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Equipment" sheetId="1" r:id="rId4"/>
    <sheet state="visible" name="Gen" sheetId="2" r:id="rId5"/>
    <sheet state="hidden" name="ItemsImport" sheetId="3" r:id="rId6"/>
    <sheet state="visible" name="Items" sheetId="4" r:id="rId7"/>
    <sheet state="visible" name="Equipconvert" sheetId="5" r:id="rId8"/>
    <sheet state="hidden" name="Equipconvrt" sheetId="6" r:id="rId9"/>
    <sheet state="visible" name="Combine" sheetId="7" r:id="rId10"/>
    <sheet state="hidden" name="Worlds" sheetId="8" r:id="rId11"/>
  </sheets>
  <definedNames/>
  <calcPr/>
</workbook>
</file>

<file path=xl/sharedStrings.xml><?xml version="1.0" encoding="utf-8"?>
<sst xmlns="http://schemas.openxmlformats.org/spreadsheetml/2006/main" count="1174" uniqueCount="1155">
  <si>
    <t>Gilder Range</t>
  </si>
  <si>
    <t>Item amount</t>
  </si>
  <si>
    <t>Location</t>
  </si>
  <si>
    <t>1</t>
  </si>
  <si>
    <t>Land of Spira</t>
  </si>
  <si>
    <t>2</t>
  </si>
  <si>
    <t>4</t>
  </si>
  <si>
    <t>6</t>
  </si>
  <si>
    <t>8</t>
  </si>
  <si>
    <t>10</t>
  </si>
  <si>
    <t>12</t>
  </si>
  <si>
    <t>14</t>
  </si>
  <si>
    <t>16</t>
  </si>
  <si>
    <t>18</t>
  </si>
  <si>
    <t>What Tier:</t>
  </si>
  <si>
    <t>Randomize</t>
  </si>
  <si>
    <t>Gilders:</t>
  </si>
  <si>
    <t>Item Number</t>
  </si>
  <si>
    <t>Name</t>
  </si>
  <si>
    <t>Description</t>
  </si>
  <si>
    <t>Type</t>
  </si>
  <si>
    <t>Slot</t>
  </si>
  <si>
    <t>Level Requiement</t>
  </si>
  <si>
    <t>Abilities</t>
  </si>
  <si>
    <t>Estimated Price</t>
  </si>
  <si>
    <t>1:</t>
  </si>
  <si>
    <t>Head</t>
  </si>
  <si>
    <t xml:space="preserve"> ++ ++5 Intimidation, ++ - 2 Charisma. +-Cannot be forged +-Cannot be duplicated.</t>
  </si>
  <si>
    <t>2:</t>
  </si>
  <si>
    <t>5 hunger</t>
  </si>
  <si>
    <t>Crop</t>
  </si>
  <si>
    <t>3:</t>
  </si>
  <si>
    <t>(Quest item)</t>
  </si>
  <si>
    <t>Item</t>
  </si>
  <si>
    <t>4:</t>
  </si>
  <si>
    <t>Allows use of Eel Nado without consuming mana</t>
  </si>
  <si>
    <t>5:</t>
  </si>
  <si>
    <t>6:</t>
  </si>
  <si>
    <t>7:</t>
  </si>
  <si>
    <t>8:</t>
  </si>
  <si>
    <t>9:</t>
  </si>
  <si>
    <t>10:</t>
  </si>
  <si>
    <t>11:</t>
  </si>
  <si>
    <t>12:</t>
  </si>
  <si>
    <t>13:</t>
  </si>
  <si>
    <t>14:</t>
  </si>
  <si>
    <t>15:</t>
  </si>
  <si>
    <t>16:</t>
  </si>
  <si>
    <t>17:</t>
  </si>
  <si>
    <t>18:</t>
  </si>
  <si>
    <t>19:</t>
  </si>
  <si>
    <t>20:</t>
  </si>
  <si>
    <t>ChestRestrict</t>
  </si>
  <si>
    <t>ItemLoc</t>
  </si>
  <si>
    <t>Missing in Chest list</t>
  </si>
  <si>
    <t>Nothing</t>
  </si>
  <si>
    <t>Slime core</t>
  </si>
  <si>
    <t>Mysterious egg</t>
  </si>
  <si>
    <t>Emerald of Luck</t>
  </si>
  <si>
    <t>Gold</t>
  </si>
  <si>
    <t>Iron</t>
  </si>
  <si>
    <t>Dragon scales</t>
  </si>
  <si>
    <t>Desert Emerald</t>
  </si>
  <si>
    <t>Desert Ruby</t>
  </si>
  <si>
    <t>Diamonds</t>
  </si>
  <si>
    <t>Bricks</t>
  </si>
  <si>
    <t>Obsidian</t>
  </si>
  <si>
    <t>Sand</t>
  </si>
  <si>
    <t>Glowing rocks</t>
  </si>
  <si>
    <t>Steel</t>
  </si>
  <si>
    <t>Silver</t>
  </si>
  <si>
    <t>Chains</t>
  </si>
  <si>
    <t xml:space="preserve">Steel Pickaxe </t>
  </si>
  <si>
    <t>Haggis Bowl</t>
  </si>
  <si>
    <t>Chunk of Salmon</t>
  </si>
  <si>
    <t>Dragon Jerky</t>
  </si>
  <si>
    <t>Bacon Strip</t>
  </si>
  <si>
    <t>Smoked Salmon</t>
  </si>
  <si>
    <t>Smoked Lamb</t>
  </si>
  <si>
    <t>Volcanic Venison</t>
  </si>
  <si>
    <t>Pulled Pork</t>
  </si>
  <si>
    <t>Honeyed Nordic Mead</t>
  </si>
  <si>
    <t>Wine</t>
  </si>
  <si>
    <t>Melomel (Mead w/ fruit added)</t>
  </si>
  <si>
    <t>Docile Desert Djinn Gin</t>
  </si>
  <si>
    <t>Small Battery</t>
  </si>
  <si>
    <t>Medium Battery</t>
  </si>
  <si>
    <t>Large Battery</t>
  </si>
  <si>
    <t>Docile Desert Djinn’s Gin</t>
  </si>
  <si>
    <t>Minor Health Potion</t>
  </si>
  <si>
    <t>Medium Health Potion</t>
  </si>
  <si>
    <t>Max Health Potion</t>
  </si>
  <si>
    <t>Minor Mana Potion</t>
  </si>
  <si>
    <t>Medium Mana Potion</t>
  </si>
  <si>
    <t>Max Mana Potion</t>
  </si>
  <si>
    <t>Potion of Multishot</t>
  </si>
  <si>
    <t>Potion of Eel Nado</t>
  </si>
  <si>
    <t>Potion of Minor Health</t>
  </si>
  <si>
    <t>Potion of Health</t>
  </si>
  <si>
    <t>Potion of Major Health</t>
  </si>
  <si>
    <t>Potion of Regeneration</t>
  </si>
  <si>
    <t>Potion of Minor Mana</t>
  </si>
  <si>
    <t>Potion of Mana</t>
  </si>
  <si>
    <t>Potion of Extreme Mana</t>
  </si>
  <si>
    <t>Potion of Invigoration</t>
  </si>
  <si>
    <t>Potion of Invulnerability</t>
  </si>
  <si>
    <t>Potion of Stun Resist</t>
  </si>
  <si>
    <t>Potion Of Sobriety</t>
  </si>
  <si>
    <t>Legendary Tome</t>
  </si>
  <si>
    <t>Murky Emerald</t>
  </si>
  <si>
    <t>Foul Night Swamp water vile</t>
  </si>
  <si>
    <t>Foul Night foul smelling potion</t>
  </si>
  <si>
    <t>Swampy Seaweed</t>
  </si>
  <si>
    <t>Foul night swamp bubble grenade</t>
  </si>
  <si>
    <t>Block of Ice</t>
  </si>
  <si>
    <t>Frost Kings Map</t>
  </si>
  <si>
    <t>Bacon</t>
  </si>
  <si>
    <t>Bread</t>
  </si>
  <si>
    <t>Unknown dried meat</t>
  </si>
  <si>
    <t>Water</t>
  </si>
  <si>
    <t>Rum</t>
  </si>
  <si>
    <t>Spirits</t>
  </si>
  <si>
    <t>Yeast</t>
  </si>
  <si>
    <t>Mead</t>
  </si>
  <si>
    <t>Water Tome Rank 9</t>
  </si>
  <si>
    <t>Dragon Flute</t>
  </si>
  <si>
    <t>Last Resort Potion</t>
  </si>
  <si>
    <t>Fish in a Bottle</t>
  </si>
  <si>
    <t>Water Arrow</t>
  </si>
  <si>
    <t>Barrel of Poisonous Water</t>
  </si>
  <si>
    <t>Live Worm</t>
  </si>
  <si>
    <t>Iron Fishing Pole</t>
  </si>
  <si>
    <t>Fishing Lure Beginner</t>
  </si>
  <si>
    <t>Fishing Lure Moderate</t>
  </si>
  <si>
    <t>Fishing Lure Expert</t>
  </si>
  <si>
    <t>Fossilized Water Dragon Bones</t>
  </si>
  <si>
    <t>Return Home Gem</t>
  </si>
  <si>
    <t>Immunity to water potion temp</t>
  </si>
  <si>
    <t>Legendary Sea Monster Meat</t>
  </si>
  <si>
    <t>Scroll of The Sea Monster</t>
  </si>
  <si>
    <t>Paper scraps</t>
  </si>
  <si>
    <t>Blank piece of paper</t>
  </si>
  <si>
    <t>Broken pistol</t>
  </si>
  <si>
    <t>Cannon Ball</t>
  </si>
  <si>
    <t>Blank Book</t>
  </si>
  <si>
    <t>Bronze</t>
  </si>
  <si>
    <t>Diamond</t>
  </si>
  <si>
    <t>Wood</t>
  </si>
  <si>
    <t>Stone</t>
  </si>
  <si>
    <t>Raw Meat</t>
  </si>
  <si>
    <t>Cooked Meat</t>
  </si>
  <si>
    <t>Dried Meat</t>
  </si>
  <si>
    <t>Medium Rare Steak</t>
  </si>
  <si>
    <t>Well Done Steak</t>
  </si>
  <si>
    <t>Kebab</t>
  </si>
  <si>
    <t>Melon Bread</t>
  </si>
  <si>
    <t>Cake</t>
  </si>
  <si>
    <t>Cherry Pie</t>
  </si>
  <si>
    <t>Saltwater</t>
  </si>
  <si>
    <t>Fisherman’s Lucky Totem</t>
  </si>
  <si>
    <t>The Fish Pendant</t>
  </si>
  <si>
    <t>Fish Stone</t>
  </si>
  <si>
    <t>Pumpkin</t>
  </si>
  <si>
    <t>Premium Pumpkin</t>
  </si>
  <si>
    <t>Pumpkin Soup</t>
  </si>
  <si>
    <t>Premium Pumpkin Soup</t>
  </si>
  <si>
    <t>Forbidden Book</t>
  </si>
  <si>
    <t>a random stick</t>
  </si>
  <si>
    <t>Rank 9 Storm Tome</t>
  </si>
  <si>
    <t>Fire Arrow</t>
  </si>
  <si>
    <t>Common Tree Branch</t>
  </si>
  <si>
    <t>Uncommon Tree branch</t>
  </si>
  <si>
    <t>Stale bread</t>
  </si>
  <si>
    <t>Coal</t>
  </si>
  <si>
    <t>Red Coral Gem</t>
  </si>
  <si>
    <t>Blue Coral Gem</t>
  </si>
  <si>
    <t>Yellow Coral Gem</t>
  </si>
  <si>
    <t>Green Coral Gem</t>
  </si>
  <si>
    <t>White Coral Gem</t>
  </si>
  <si>
    <t>Black Coral Gem</t>
  </si>
  <si>
    <t>Pink Coral Gem</t>
  </si>
  <si>
    <t>Coral</t>
  </si>
  <si>
    <t>Ivory</t>
  </si>
  <si>
    <t>Onyx</t>
  </si>
  <si>
    <t>Jade</t>
  </si>
  <si>
    <t>Emerald</t>
  </si>
  <si>
    <t>Ruby</t>
  </si>
  <si>
    <t>Sapphire</t>
  </si>
  <si>
    <t>Candy Corn</t>
  </si>
  <si>
    <t>Pumpkin Arrow</t>
  </si>
  <si>
    <t>Candy Corn Gem</t>
  </si>
  <si>
    <t>Steel Arrow</t>
  </si>
  <si>
    <t>Bone Key</t>
  </si>
  <si>
    <t>Bone</t>
  </si>
  <si>
    <t>Bone Chest</t>
  </si>
  <si>
    <t>Viking Key</t>
  </si>
  <si>
    <t>Viking Chest</t>
  </si>
  <si>
    <t>Vikings Cove Key</t>
  </si>
  <si>
    <t>Baboon meat</t>
  </si>
  <si>
    <t>Eagle Feathers</t>
  </si>
  <si>
    <t>The Cycle</t>
  </si>
  <si>
    <t>Scale</t>
  </si>
  <si>
    <t>Egg</t>
  </si>
  <si>
    <t>Soul</t>
  </si>
  <si>
    <t>Crystal</t>
  </si>
  <si>
    <t>Delta Gems</t>
  </si>
  <si>
    <t>Fire Diamonds</t>
  </si>
  <si>
    <t>plant containing the ‘instant death status effect’</t>
  </si>
  <si>
    <t>Light Arrow</t>
  </si>
  <si>
    <t>Potion of Cure Curse</t>
  </si>
  <si>
    <t>Glowing Blue Jelly</t>
  </si>
  <si>
    <t>Feather</t>
  </si>
  <si>
    <t>Talon</t>
  </si>
  <si>
    <t>Eyeball</t>
  </si>
  <si>
    <t>Spider Egg</t>
  </si>
  <si>
    <t>Giant Spider Exoskeleton</t>
  </si>
  <si>
    <t>Giant Spider Poison</t>
  </si>
  <si>
    <t>Poison Gem</t>
  </si>
  <si>
    <t>Returning Arrow</t>
  </si>
  <si>
    <t>Shadow Fluid</t>
  </si>
  <si>
    <t>Skull</t>
  </si>
  <si>
    <t>pumpkin gem</t>
  </si>
  <si>
    <t>Rotton Flesh</t>
  </si>
  <si>
    <t>Bag of Sand</t>
  </si>
  <si>
    <t>Glowing Red eye</t>
  </si>
  <si>
    <t>Sand Gem</t>
  </si>
  <si>
    <t>Poison water</t>
  </si>
  <si>
    <t>Poison Mushroom</t>
  </si>
  <si>
    <t>Vile of Poison</t>
  </si>
  <si>
    <t>Explosive Arrow</t>
  </si>
  <si>
    <t>Frost diamond</t>
  </si>
  <si>
    <t>Big Frost Owl Feathers</t>
  </si>
  <si>
    <t>Big Frost Owl egg</t>
  </si>
  <si>
    <t>Giant Frost Diamond</t>
  </si>
  <si>
    <t>Gold Brick</t>
  </si>
  <si>
    <t xml:space="preserve">Arrow of Mutiplying </t>
  </si>
  <si>
    <t>Water Gem</t>
  </si>
  <si>
    <t>Goose Meat</t>
  </si>
  <si>
    <t>Mysterious Gem</t>
  </si>
  <si>
    <t>Turtle Shell</t>
  </si>
  <si>
    <t>Pumpkin Diamond</t>
  </si>
  <si>
    <t>Shadow Diamond</t>
  </si>
  <si>
    <t>Rank 6 Earth tome</t>
  </si>
  <si>
    <t>Demon Claw</t>
  </si>
  <si>
    <t>Golden Bug</t>
  </si>
  <si>
    <t>Dragon Orb</t>
  </si>
  <si>
    <t>Water potion</t>
  </si>
  <si>
    <t>Jellyfish Stinger</t>
  </si>
  <si>
    <t xml:space="preserve">Bee Stinger </t>
  </si>
  <si>
    <t>Squid Ink</t>
  </si>
  <si>
    <t>Potion of Water Breathing</t>
  </si>
  <si>
    <t>Shark Fin</t>
  </si>
  <si>
    <t>Shark Teeth</t>
  </si>
  <si>
    <t>Fish</t>
  </si>
  <si>
    <t>Huge Teeth</t>
  </si>
  <si>
    <t>Enchanted Teeth</t>
  </si>
  <si>
    <t>Sea Dinosaur Bones</t>
  </si>
  <si>
    <t>Ancient Sea Dinosaur Egg</t>
  </si>
  <si>
    <t>Water Abyss Key</t>
  </si>
  <si>
    <t>Fire Diamond</t>
  </si>
  <si>
    <t>Giant Fire Diamond</t>
  </si>
  <si>
    <t>Heatmore Flame Golem Soul</t>
  </si>
  <si>
    <t>Flaming Feathers</t>
  </si>
  <si>
    <t>Flaming Horns</t>
  </si>
  <si>
    <t>Cooked Yak Meat</t>
  </si>
  <si>
    <t>Leaf Of The Ancient Tree Of Flames</t>
  </si>
  <si>
    <t>Ancient Volcanic Worm Egg</t>
  </si>
  <si>
    <t>Ancient Volcanic Worm Core</t>
  </si>
  <si>
    <t>Lava Tiger Skin</t>
  </si>
  <si>
    <t>Cooked Tiger Meat</t>
  </si>
  <si>
    <t>Liches Eye</t>
  </si>
  <si>
    <t>Rank 9 Fire Tome</t>
  </si>
  <si>
    <t>Ancient Fire Serpent Egg</t>
  </si>
  <si>
    <t>Demons Eye</t>
  </si>
  <si>
    <t>Demon Core</t>
  </si>
  <si>
    <t>Sentinel Core</t>
  </si>
  <si>
    <t>Fire Gem</t>
  </si>
  <si>
    <t>Aquatic Diamond</t>
  </si>
  <si>
    <t>Corrupted Twilight Knight Soul</t>
  </si>
  <si>
    <t>Hay</t>
  </si>
  <si>
    <t>Shadow Suit of armor Soul</t>
  </si>
  <si>
    <t>Mana Potion</t>
  </si>
  <si>
    <t>Werewolf Pelt</t>
  </si>
  <si>
    <t>Halloween Emerald</t>
  </si>
  <si>
    <t>Giant Halloween Diamond</t>
  </si>
  <si>
    <t>Rank 9 Twilight Tome</t>
  </si>
  <si>
    <t>Stasis Tome Rank 9</t>
  </si>
  <si>
    <t>Celestial Core</t>
  </si>
  <si>
    <t>Vampires Tooth</t>
  </si>
  <si>
    <t>Cursed Statue Of Knowing</t>
  </si>
  <si>
    <t>Orb Of Shadows</t>
  </si>
  <si>
    <t>Blessed Torch</t>
  </si>
  <si>
    <t>Pebble of Fertility</t>
  </si>
  <si>
    <t>Forest Faery Egg</t>
  </si>
  <si>
    <t>Pandan flower</t>
  </si>
  <si>
    <t>Rank 5 Earth Tome</t>
  </si>
  <si>
    <t>Earth Gem</t>
  </si>
  <si>
    <t>Key Of Knowledge</t>
  </si>
  <si>
    <t>Medallion 1</t>
  </si>
  <si>
    <t>Medallion 2</t>
  </si>
  <si>
    <t>Medallion 3</t>
  </si>
  <si>
    <t>Medallion 4</t>
  </si>
  <si>
    <t>Enchanted Ice Gem</t>
  </si>
  <si>
    <t>Carnelian Crystal</t>
  </si>
  <si>
    <t>Citrine Crystal</t>
  </si>
  <si>
    <t>Tiger's Eye Crystal</t>
  </si>
  <si>
    <t>Lodestone Crystal</t>
  </si>
  <si>
    <t>Peridot Crystal</t>
  </si>
  <si>
    <t>Golden Topaz</t>
  </si>
  <si>
    <t xml:space="preserve">Sea Crystal </t>
  </si>
  <si>
    <t>The Root Of Nature</t>
  </si>
  <si>
    <t>Rich Sand</t>
  </si>
  <si>
    <t>Sacred Sap</t>
  </si>
  <si>
    <t>Frozen Shard</t>
  </si>
  <si>
    <t>Tome of Chaotic Darkness</t>
  </si>
  <si>
    <t>The Land of The Forgotten Map</t>
  </si>
  <si>
    <t>Corn On The Cob</t>
  </si>
  <si>
    <t>Festival Bread Loaf</t>
  </si>
  <si>
    <t>Fruit Cake</t>
  </si>
  <si>
    <t>Festival Mead</t>
  </si>
  <si>
    <t>Lemonade</t>
  </si>
  <si>
    <t>Forbidden Amulet Shard</t>
  </si>
  <si>
    <t>The Forbidden Amulet of The Halloween Kingdom.</t>
  </si>
  <si>
    <t>Slime Jelly</t>
  </si>
  <si>
    <t>Broken Robot</t>
  </si>
  <si>
    <t>Boar Hide</t>
  </si>
  <si>
    <t>Bullet</t>
  </si>
  <si>
    <t>The Ancient Medallion of Frost</t>
  </si>
  <si>
    <t>Gargoyle Stone Tablet</t>
  </si>
  <si>
    <t>Map of the Gargoyle’s</t>
  </si>
  <si>
    <t>The Tome of Abstara</t>
  </si>
  <si>
    <t>Gargoyle’s Fishing Pole</t>
  </si>
  <si>
    <t>Stone Worm</t>
  </si>
  <si>
    <t>Rock Soup</t>
  </si>
  <si>
    <t>Gargoyle’s slumbering mead</t>
  </si>
  <si>
    <t>Dark rum</t>
  </si>
  <si>
    <t>Blank steak</t>
  </si>
  <si>
    <t>Geode jello</t>
  </si>
  <si>
    <t>Black baked potatoes</t>
  </si>
  <si>
    <t>Human Steak</t>
  </si>
  <si>
    <t>Black Sheep mutton</t>
  </si>
  <si>
    <t>Ebony Caviar</t>
  </si>
  <si>
    <t>Black Kale</t>
  </si>
  <si>
    <t>Smokey Champagne</t>
  </si>
  <si>
    <t>Dead Island iced tea</t>
  </si>
  <si>
    <t>Black russian</t>
  </si>
  <si>
    <t>Obsidian Lobster</t>
  </si>
  <si>
    <t>Charcoal Truffles</t>
  </si>
  <si>
    <t>Italian spaghetti and meatballs</t>
  </si>
  <si>
    <t>Enclosed Spirits (enchantment)</t>
  </si>
  <si>
    <t>Goat’s eye</t>
  </si>
  <si>
    <t>Heart of the Demon</t>
  </si>
  <si>
    <t>Tooth of the Volcanic Serpent</t>
  </si>
  <si>
    <t>Fire Jaguars Leather Skin</t>
  </si>
  <si>
    <t>Black Lake Soup</t>
  </si>
  <si>
    <t>Basilisk Veal</t>
  </si>
  <si>
    <t>Black Cactus juice</t>
  </si>
  <si>
    <t>Black Lake Purified Water</t>
  </si>
  <si>
    <t>Neutralized Basilisk Venom Shot</t>
  </si>
  <si>
    <t>Ebony Mushrooms</t>
  </si>
  <si>
    <t>Black Sludge</t>
  </si>
  <si>
    <t>Black Sepent Dragon Scales</t>
  </si>
  <si>
    <t>Chaotic Shadow Dragon Scales</t>
  </si>
  <si>
    <t>Chaotic Shadow Dragon Skull</t>
  </si>
  <si>
    <t>Sharp Teeth</t>
  </si>
  <si>
    <t>Letter from the Warden</t>
  </si>
  <si>
    <t>Rank 9 Light Tome</t>
  </si>
  <si>
    <t>Lesser Healing Potion</t>
  </si>
  <si>
    <t>Blackhorn Healing Potion</t>
  </si>
  <si>
    <t>Greater Healing Potion</t>
  </si>
  <si>
    <t>Awkward Potion</t>
  </si>
  <si>
    <t>Defensive Potion</t>
  </si>
  <si>
    <t>Offensive Potion</t>
  </si>
  <si>
    <t>Potion of Swift</t>
  </si>
  <si>
    <t>Potion of Mana Regeneration</t>
  </si>
  <si>
    <t>Potion of Thorns</t>
  </si>
  <si>
    <t>Potion of Resistance</t>
  </si>
  <si>
    <t>Potion of Speed</t>
  </si>
  <si>
    <t>Potion of Luck</t>
  </si>
  <si>
    <t>Potion of Immunity</t>
  </si>
  <si>
    <t>Apple</t>
  </si>
  <si>
    <t>Watermelon</t>
  </si>
  <si>
    <t>Orange</t>
  </si>
  <si>
    <t>Pear</t>
  </si>
  <si>
    <t>Cherry</t>
  </si>
  <si>
    <t>Strawberries</t>
  </si>
  <si>
    <t>Nectarine</t>
  </si>
  <si>
    <t>Grapes</t>
  </si>
  <si>
    <t>Mango</t>
  </si>
  <si>
    <t>Blueberries</t>
  </si>
  <si>
    <t>Pomegranate</t>
  </si>
  <si>
    <t>StarFruit</t>
  </si>
  <si>
    <t>Plum</t>
  </si>
  <si>
    <t>Bananas</t>
  </si>
  <si>
    <t>Raspberry</t>
  </si>
  <si>
    <t>Mandarin</t>
  </si>
  <si>
    <t>Jackfruit</t>
  </si>
  <si>
    <t>Papaya</t>
  </si>
  <si>
    <t>Kiwi</t>
  </si>
  <si>
    <t>Pineapple</t>
  </si>
  <si>
    <t>Lime</t>
  </si>
  <si>
    <t>Lemon</t>
  </si>
  <si>
    <t>Apricot</t>
  </si>
  <si>
    <t>Grapefruit</t>
  </si>
  <si>
    <t>Coconut</t>
  </si>
  <si>
    <t>Avocado</t>
  </si>
  <si>
    <t>Peach</t>
  </si>
  <si>
    <t>Corn</t>
  </si>
  <si>
    <t>Mushroom</t>
  </si>
  <si>
    <t>Broccoli</t>
  </si>
  <si>
    <t>Cucumber</t>
  </si>
  <si>
    <t>Red Pepper/Red Bell Pepper</t>
  </si>
  <si>
    <t>Tomato</t>
  </si>
  <si>
    <t>Carrot</t>
  </si>
  <si>
    <t>Brussels Sprout</t>
  </si>
  <si>
    <t>Cabbage</t>
  </si>
  <si>
    <t>Potato</t>
  </si>
  <si>
    <t>Eggplant</t>
  </si>
  <si>
    <t>Sweet Potato</t>
  </si>
  <si>
    <t>Turnip</t>
  </si>
  <si>
    <t>Green Chilli</t>
  </si>
  <si>
    <t>Onion</t>
  </si>
  <si>
    <t>Lettuce</t>
  </si>
  <si>
    <t>Radish</t>
  </si>
  <si>
    <t>Peas</t>
  </si>
  <si>
    <t>Asparagus</t>
  </si>
  <si>
    <t>Celery</t>
  </si>
  <si>
    <t>Green Pepper</t>
  </si>
  <si>
    <t>French Beans</t>
  </si>
  <si>
    <t>Spinach</t>
  </si>
  <si>
    <t>Beetroot</t>
  </si>
  <si>
    <t xml:space="preserve">Red Chili Peppers </t>
  </si>
  <si>
    <t>Crystal Apple</t>
  </si>
  <si>
    <t>Dark Crystal Shard</t>
  </si>
  <si>
    <t>Small Fuel Canister</t>
  </si>
  <si>
    <t>Medium Fuel Canister</t>
  </si>
  <si>
    <t>Large Fuel Canister</t>
  </si>
  <si>
    <t>Letter from the Lord of Spira</t>
  </si>
  <si>
    <t>Scroll of Bad Dreams</t>
  </si>
  <si>
    <t>A Jar of Blood</t>
  </si>
  <si>
    <t>Demon Blood</t>
  </si>
  <si>
    <t>Demon Skull</t>
  </si>
  <si>
    <t>Volcanic Teeth</t>
  </si>
  <si>
    <t xml:space="preserve">Volcanic Serpent Teeth </t>
  </si>
  <si>
    <t>Volcanic Serpent Scales</t>
  </si>
  <si>
    <t>Lava Panther Leather</t>
  </si>
  <si>
    <t>Endless Dark Core</t>
  </si>
  <si>
    <t>Endless Dark Dragon Scales</t>
  </si>
  <si>
    <t>Magma Stone</t>
  </si>
  <si>
    <t>Inferno Feather</t>
  </si>
  <si>
    <t>Ancient Stone Medallion</t>
  </si>
  <si>
    <t>Vial of Unknown Liquid</t>
  </si>
  <si>
    <t xml:space="preserve">Diamond Fishing Pole </t>
  </si>
  <si>
    <t xml:space="preserve">Obsidian Fishing Pole </t>
  </si>
  <si>
    <t>Golden Pickaxe</t>
  </si>
  <si>
    <t>Wooden Pickaxe</t>
  </si>
  <si>
    <t>Iron Pickaxe</t>
  </si>
  <si>
    <t>Silver Pickaxe</t>
  </si>
  <si>
    <t>Diamond Pickaxe</t>
  </si>
  <si>
    <t>Obsidian Pickaxe</t>
  </si>
  <si>
    <t xml:space="preserve">Fire Fishing Pole </t>
  </si>
  <si>
    <t xml:space="preserve">Golden Fishing Pole </t>
  </si>
  <si>
    <t xml:space="preserve">Wooden Fishing Pole </t>
  </si>
  <si>
    <t xml:space="preserve">Steel Fishing Pole </t>
  </si>
  <si>
    <t xml:space="preserve">Silver Fishing Pole </t>
  </si>
  <si>
    <t xml:space="preserve">Iron Fishing Pole </t>
  </si>
  <si>
    <t>Elemental Crystal</t>
  </si>
  <si>
    <t>Leather</t>
  </si>
  <si>
    <t xml:space="preserve">Pearlescent Fishing Rod </t>
  </si>
  <si>
    <t>Mithril</t>
  </si>
  <si>
    <t>Enchanted Leather</t>
  </si>
  <si>
    <t>Dart</t>
  </si>
  <si>
    <t>Golden Coin</t>
  </si>
  <si>
    <t>Oil lamp</t>
  </si>
  <si>
    <t>Seed</t>
  </si>
  <si>
    <t>Poison Vial</t>
  </si>
  <si>
    <t>Stag Meat</t>
  </si>
  <si>
    <t>Steed Meat</t>
  </si>
  <si>
    <t>Moonstone</t>
  </si>
  <si>
    <t>Sunstone</t>
  </si>
  <si>
    <t>Tier 1 Treasure Chest (Non-Magical)</t>
  </si>
  <si>
    <t>Tier 2 Treasure Chest (Non-Magical)</t>
  </si>
  <si>
    <t>Tier 3 Treasure Chest (Non-Magical)</t>
  </si>
  <si>
    <t>Treasure Chest Key (Non-Magical)</t>
  </si>
  <si>
    <t>Potion of Cure Disease</t>
  </si>
  <si>
    <t>Standard Missile</t>
  </si>
  <si>
    <t>Nuclear Missile</t>
  </si>
  <si>
    <t>EMP Missile</t>
  </si>
  <si>
    <t>Chaos Bullet</t>
  </si>
  <si>
    <t>Dark Bullet</t>
  </si>
  <si>
    <t>Earth Bullet</t>
  </si>
  <si>
    <t>Fire Bullet</t>
  </si>
  <si>
    <t>Light Bullet</t>
  </si>
  <si>
    <t>Spectral Bullet</t>
  </si>
  <si>
    <t>Stunning Bullet</t>
  </si>
  <si>
    <t>Freezing Bullet</t>
  </si>
  <si>
    <t>Healing Bullet</t>
  </si>
  <si>
    <t>Celestial Arrow</t>
  </si>
  <si>
    <t>Chaos Arrow</t>
  </si>
  <si>
    <t>Dark Arrow</t>
  </si>
  <si>
    <t>Earth Arrow</t>
  </si>
  <si>
    <t>Spectral Arrow</t>
  </si>
  <si>
    <t>Stunning Arrow</t>
  </si>
  <si>
    <t>Freezing Arrow</t>
  </si>
  <si>
    <t>Healing Arrow</t>
  </si>
  <si>
    <t>Celestial Bullet</t>
  </si>
  <si>
    <t>Fire Cannon Ball</t>
  </si>
  <si>
    <t>EquipLoc</t>
  </si>
  <si>
    <t>"Hellfire Club" Vest of Metal Harmony's</t>
  </si>
  <si>
    <t>"Sweetheart" Guitar of The Upside Down</t>
  </si>
  <si>
    <t>Alpha Sword</t>
  </si>
  <si>
    <t>Ancient Colossus Forest Hammer</t>
  </si>
  <si>
    <t>Ancient Samurai Sword</t>
  </si>
  <si>
    <t>Ancient Stone Guardians Sword</t>
  </si>
  <si>
    <t>Aqua Robe</t>
  </si>
  <si>
    <t>Aquatic Boots of Atlantis</t>
  </si>
  <si>
    <t>Aquatic Chestplate of Atlantis</t>
  </si>
  <si>
    <t>Aquatic Greaves of Atlantis</t>
  </si>
  <si>
    <t>Aquatic Helmet of Atlantis</t>
  </si>
  <si>
    <t>Aquatic Pauldrons of Atlantis</t>
  </si>
  <si>
    <t>Aquatic Sword of Atlantis</t>
  </si>
  <si>
    <t>Aquatic Vambraces of Atlantis</t>
  </si>
  <si>
    <t>Archer’s Cloaked Vest</t>
  </si>
  <si>
    <t>Archers Boots</t>
  </si>
  <si>
    <t>Archers Cloak</t>
  </si>
  <si>
    <t>Armor Of Cthulhu</t>
  </si>
  <si>
    <t>Armor Of Zeldron</t>
  </si>
  <si>
    <t>Ashen Pole Axe</t>
  </si>
  <si>
    <t>Bamboo Spear</t>
  </si>
  <si>
    <t>Baosheng’s Restore Pendant</t>
  </si>
  <si>
    <t>Basic Cannon</t>
  </si>
  <si>
    <t>Beltane Floral crown</t>
  </si>
  <si>
    <t>Beta Sword</t>
  </si>
  <si>
    <t>Black Crystal Necklace of Luck</t>
  </si>
  <si>
    <t>Black Serpent Dragon Pendant</t>
  </si>
  <si>
    <t>Blade of Burning Energy</t>
  </si>
  <si>
    <t>Blood Katana</t>
  </si>
  <si>
    <t>Blue Steel Sword</t>
  </si>
  <si>
    <t>Blunderbuss (Exclusive)</t>
  </si>
  <si>
    <t xml:space="preserve">Bone Sword </t>
  </si>
  <si>
    <t>Boots of Waking Waters</t>
  </si>
  <si>
    <t>Bow of Chaotic Darkness</t>
  </si>
  <si>
    <t>Bow of Luck</t>
  </si>
  <si>
    <t>Bow of The Sacred Druids</t>
  </si>
  <si>
    <t>Bo Staff Of Zhenmay</t>
  </si>
  <si>
    <t>Breezy Clothes</t>
  </si>
  <si>
    <t>Bright Flame Sword</t>
  </si>
  <si>
    <t>Broken Sword</t>
  </si>
  <si>
    <t>Burning Broadsword</t>
  </si>
  <si>
    <t>Candy Corn Necklace</t>
  </si>
  <si>
    <t>Candy Corn Rifle</t>
  </si>
  <si>
    <t>Cap of Metal Harmony's</t>
  </si>
  <si>
    <t>Celestian Royal Shield</t>
  </si>
  <si>
    <t>Celestian Royal Sword</t>
  </si>
  <si>
    <t>Chain Link Armor</t>
  </si>
  <si>
    <t>Chaos Sword</t>
  </si>
  <si>
    <t>Chaotic Amulet</t>
  </si>
  <si>
    <t>Ring</t>
  </si>
  <si>
    <t>Chaotic Shadow Life Orb</t>
  </si>
  <si>
    <t>Charm of Awaken</t>
  </si>
  <si>
    <t>Chestplate of Foul Night</t>
  </si>
  <si>
    <t>Chestplate of Waking Waters</t>
  </si>
  <si>
    <t>Cloth Cap</t>
  </si>
  <si>
    <t>Colossus Bone Sword</t>
  </si>
  <si>
    <t>Coral Hat</t>
  </si>
  <si>
    <t>Critical Vanish Armor</t>
  </si>
  <si>
    <t>Crow Staff</t>
  </si>
  <si>
    <t>Crown of Control</t>
  </si>
  <si>
    <t>Crown of Ice Spears</t>
  </si>
  <si>
    <t>Crown of the Forgotten</t>
  </si>
  <si>
    <t>Crown Of The Sea Serpent</t>
  </si>
  <si>
    <t>Crown Of Tritonoch</t>
  </si>
  <si>
    <t>Cryogenic Claymore</t>
  </si>
  <si>
    <t>Crystal Forged Helmet</t>
  </si>
  <si>
    <t>Crystal Forged Axe</t>
  </si>
  <si>
    <t>Crystal Forged Chestplate</t>
  </si>
  <si>
    <t>Crystal Healing Amulet</t>
  </si>
  <si>
    <t>Crystal Longsword</t>
  </si>
  <si>
    <t>Crystal Ring</t>
  </si>
  <si>
    <t>Crystal Shield</t>
  </si>
  <si>
    <t>Crystal Staff</t>
  </si>
  <si>
    <t>Crystal Sword</t>
  </si>
  <si>
    <t>Cursed Blade</t>
  </si>
  <si>
    <t>Cursed Blade of The Void Realm</t>
  </si>
  <si>
    <t>Dagger</t>
  </si>
  <si>
    <t>Dagger of Flowers</t>
  </si>
  <si>
    <t>Dagger of The Cultist</t>
  </si>
  <si>
    <t>Dark Ice Sword</t>
  </si>
  <si>
    <t>Dark Knight Helm</t>
  </si>
  <si>
    <t>Dark Wand</t>
  </si>
  <si>
    <t>Dead Forest Blade</t>
  </si>
  <si>
    <t>Dead Forest Branch</t>
  </si>
  <si>
    <t>Death's Scythe</t>
  </si>
  <si>
    <t xml:space="preserve">Demonic Scythe of Chaos </t>
  </si>
  <si>
    <t>Demonic Sword of The King</t>
  </si>
  <si>
    <t>Dimensional Dagger</t>
  </si>
  <si>
    <t>Draconic Shield</t>
  </si>
  <si>
    <t>Dragon's Skull</t>
  </si>
  <si>
    <t>Dragonbone Greatsword</t>
  </si>
  <si>
    <t>Dreading Wand Of Fire</t>
  </si>
  <si>
    <t>Dy Yu’s Plated Armor</t>
  </si>
  <si>
    <t>Easters Ring (Exclusive)</t>
  </si>
  <si>
    <t>Enchanted Chestplate of Defense</t>
  </si>
  <si>
    <t>Enchanted Dagger</t>
  </si>
  <si>
    <t>Enchanted Falcon Blade</t>
  </si>
  <si>
    <t>Energy Prong</t>
  </si>
  <si>
    <t>Faery Kings Sword</t>
  </si>
  <si>
    <t>False Helmet</t>
  </si>
  <si>
    <t>Felt Cap</t>
  </si>
  <si>
    <t>Fire Resistant Boots</t>
  </si>
  <si>
    <t>Fire Ring</t>
  </si>
  <si>
    <t>Fire Shield</t>
  </si>
  <si>
    <t>Fire Sword</t>
  </si>
  <si>
    <t>Fireproof Suit</t>
  </si>
  <si>
    <t>Fish Pendant</t>
  </si>
  <si>
    <t>Flame Band</t>
  </si>
  <si>
    <t>Flame Mask</t>
  </si>
  <si>
    <t>Flamethrower</t>
  </si>
  <si>
    <t>Flaming Sword</t>
  </si>
  <si>
    <t>Foul Night Blade</t>
  </si>
  <si>
    <t>Freezing Chains</t>
  </si>
  <si>
    <t>Frost Bow</t>
  </si>
  <si>
    <t>Frost Cloak</t>
  </si>
  <si>
    <t>Frost Spear</t>
  </si>
  <si>
    <t>Frozen Carrot Dagger</t>
  </si>
  <si>
    <t>Frozen Falchion</t>
  </si>
  <si>
    <t>Frozen Soul Lantern</t>
  </si>
  <si>
    <t>Gargoyle War Horn</t>
  </si>
  <si>
    <t>Gargoyle’s Heavy Enchanted Bow</t>
  </si>
  <si>
    <t xml:space="preserve">Gargoyle’s Necklace of Luck </t>
  </si>
  <si>
    <t>Gargoyle’s Ring</t>
  </si>
  <si>
    <t>Giant Spider Leg</t>
  </si>
  <si>
    <t>Glass Shield</t>
  </si>
  <si>
    <t>Goose Staff</t>
  </si>
  <si>
    <t>Grand Hellfire Sword</t>
  </si>
  <si>
    <t>Grand Master Bow</t>
  </si>
  <si>
    <t>Grass Sword</t>
  </si>
  <si>
    <t>Great Stone Gargoyle Sword</t>
  </si>
  <si>
    <t>Greaves of The Sea Serpent</t>
  </si>
  <si>
    <t>Greaves of Waking Waters</t>
  </si>
  <si>
    <t>Halloween Staff</t>
  </si>
  <si>
    <t>Hammer of Chaotic Shadows</t>
  </si>
  <si>
    <t>Hardened Ice Sickle</t>
  </si>
  <si>
    <t>Haunted Katana</t>
  </si>
  <si>
    <t>Haunted King's Favorite Shield</t>
  </si>
  <si>
    <t>Haunted King's Favorite Sword</t>
  </si>
  <si>
    <t>Heatmore Flame Golem Head</t>
  </si>
  <si>
    <t>Helmet of Darkness</t>
  </si>
  <si>
    <t>Helmet of Waking Waters</t>
  </si>
  <si>
    <t>High Range Bow</t>
  </si>
  <si>
    <t>Horn of The Forgotten</t>
  </si>
  <si>
    <t>Houyi's Bow</t>
  </si>
  <si>
    <t>Ice Blade</t>
  </si>
  <si>
    <t>Inferno Staff</t>
  </si>
  <si>
    <t>Jack's Special Archer Robe</t>
  </si>
  <si>
    <t>Jack's Special Ring</t>
  </si>
  <si>
    <t>Jack's Special Sword</t>
  </si>
  <si>
    <t>Jack’o Lantern Helmet of Swampy Hallow</t>
  </si>
  <si>
    <t>Katana</t>
  </si>
  <si>
    <t>King Of Mekanas Sword</t>
  </si>
  <si>
    <t>King's Royal Sword</t>
  </si>
  <si>
    <t>Knife</t>
  </si>
  <si>
    <t>Knife of Jinx</t>
  </si>
  <si>
    <t>kraken's power ring</t>
  </si>
  <si>
    <t>Krakens Power Ring</t>
  </si>
  <si>
    <t>Lava Longsword</t>
  </si>
  <si>
    <t>Lazer Infused Sword</t>
  </si>
  <si>
    <t>Legendary Sword of Heatmore</t>
  </si>
  <si>
    <t>Legendary Tree Sword</t>
  </si>
  <si>
    <t>Leggings Of Tritonoch</t>
  </si>
  <si>
    <t>Lightning Lance</t>
  </si>
  <si>
    <t>Long Spear</t>
  </si>
  <si>
    <t>Lord Dreadfuls Sword</t>
  </si>
  <si>
    <t>Magma Morningstar</t>
  </si>
  <si>
    <t>Magma Sword</t>
  </si>
  <si>
    <t>Masking Cloak</t>
  </si>
  <si>
    <t>Mini Lucky Fish in a Bottle</t>
  </si>
  <si>
    <t>Nature Faery Wand</t>
  </si>
  <si>
    <t>Nature's Sword</t>
  </si>
  <si>
    <t>Necklace o' Lending</t>
  </si>
  <si>
    <t>Necklace Of Ancient Mountains</t>
  </si>
  <si>
    <t>Necklace Of Heatmore</t>
  </si>
  <si>
    <t>Necklace Of Shards</t>
  </si>
  <si>
    <t>Necklace of The Lost Soul</t>
  </si>
  <si>
    <t>Necklace of the Pumpkin</t>
  </si>
  <si>
    <t>Necklace Of Tritonoch</t>
  </si>
  <si>
    <t>Necklace of Waking Waters</t>
  </si>
  <si>
    <t>Necklace of Water Breathing</t>
  </si>
  <si>
    <t>Obsidian Chestplate</t>
  </si>
  <si>
    <t>Ancient Oni Mask</t>
  </si>
  <si>
    <t>Pauldrons of Waking Waters</t>
  </si>
  <si>
    <t>Pendent of the Sea Serpent</t>
  </si>
  <si>
    <t>Pendent of Confusion</t>
  </si>
  <si>
    <t>Pendent of Luck</t>
  </si>
  <si>
    <t>Pillow of Dreams</t>
  </si>
  <si>
    <t>Poison Vine Sword</t>
  </si>
  <si>
    <t>Poseidon's Boots</t>
  </si>
  <si>
    <t>Poseidon's Chestplate</t>
  </si>
  <si>
    <t>Poseidon's Greaves</t>
  </si>
  <si>
    <t>Poseidon's Helmet</t>
  </si>
  <si>
    <t>Poseidon's Pauldrons</t>
  </si>
  <si>
    <t>Poseidon's Ring</t>
  </si>
  <si>
    <t>Poseidon's Sword</t>
  </si>
  <si>
    <t>Poseidon's Trident</t>
  </si>
  <si>
    <t>Poseidon's Vambraces</t>
  </si>
  <si>
    <t>Riftblade</t>
  </si>
  <si>
    <t>Ring o’ Luck and Nature</t>
  </si>
  <si>
    <t>Ring of Darkness</t>
  </si>
  <si>
    <t>Ring of Death</t>
  </si>
  <si>
    <t>Ring Of Dwelling Waters</t>
  </si>
  <si>
    <t>Ring of Endless Souls</t>
  </si>
  <si>
    <t>Ring of Healing</t>
  </si>
  <si>
    <t xml:space="preserve">Ring of Invulnerability </t>
  </si>
  <si>
    <t>Ring of Pure Chaos</t>
  </si>
  <si>
    <t>Ring of Pure Defense</t>
  </si>
  <si>
    <t>Ring of Reflect</t>
  </si>
  <si>
    <t>Ring of the Bonded Undead</t>
  </si>
  <si>
    <t>Ring of the Forgotten</t>
  </si>
  <si>
    <t>Ring Of Tritonoch</t>
  </si>
  <si>
    <t>Ring of Waking Waters</t>
  </si>
  <si>
    <t>Robe of The Cultist</t>
  </si>
  <si>
    <t>Robe of Vanish</t>
  </si>
  <si>
    <t>Robes of a Peaceful Immortal</t>
  </si>
  <si>
    <t>Royal Amulet Of Heatmore</t>
  </si>
  <si>
    <t>Royal Guard Axe</t>
  </si>
  <si>
    <t>Royal Guard Helmet</t>
  </si>
  <si>
    <t>Royal Guard Chestplate</t>
  </si>
  <si>
    <t>Royal Guard Boots</t>
  </si>
  <si>
    <t>Royal Guard Greaves</t>
  </si>
  <si>
    <t>Royal Keeper Shield</t>
  </si>
  <si>
    <t>Royal Keeper Spear</t>
  </si>
  <si>
    <t>Royal Sword of Chaotic Shadows</t>
  </si>
  <si>
    <t>Rusty sword</t>
  </si>
  <si>
    <t>Saber Toothed Sword</t>
  </si>
  <si>
    <t>Ancient Oni Chestplate</t>
  </si>
  <si>
    <t xml:space="preserve">Scythe of Mischief </t>
  </si>
  <si>
    <t>Sea Serpent Boots</t>
  </si>
  <si>
    <t>Sea Serpent Pauldrons</t>
  </si>
  <si>
    <t>Sea Serpent Vambrace</t>
  </si>
  <si>
    <t>Sea Serpents Mythical Chestplate</t>
  </si>
  <si>
    <t>Shadow Flute</t>
  </si>
  <si>
    <t>Shadow Kings Sword</t>
  </si>
  <si>
    <t>Shield of Guarding Smite</t>
  </si>
  <si>
    <t>Shield of Targeting</t>
  </si>
  <si>
    <t>Shining Katana</t>
  </si>
  <si>
    <t>Shoes of Metal Harmony's</t>
  </si>
  <si>
    <t>Shoes of Water Walking</t>
  </si>
  <si>
    <t>Short Spear</t>
  </si>
  <si>
    <t>Shuriken</t>
  </si>
  <si>
    <t>Shuttering Cloak</t>
  </si>
  <si>
    <t>Silver Armor</t>
  </si>
  <si>
    <t>Silver Katana</t>
  </si>
  <si>
    <t>Silver Knife</t>
  </si>
  <si>
    <t>Skull Cleaver</t>
  </si>
  <si>
    <t>Skull of the many Kings</t>
  </si>
  <si>
    <t>Skull Ring</t>
  </si>
  <si>
    <t>Spear</t>
  </si>
  <si>
    <t xml:space="preserve">Spear Of Assal </t>
  </si>
  <si>
    <t>Spiked Armor</t>
  </si>
  <si>
    <t>Spiny Shield</t>
  </si>
  <si>
    <t>Spooky Branch Ring</t>
  </si>
  <si>
    <t>Staff of Chaotic Shadows</t>
  </si>
  <si>
    <t>Staff of Crystals</t>
  </si>
  <si>
    <t>Staff Of Heatmore</t>
  </si>
  <si>
    <t>Staff of Shadows</t>
  </si>
  <si>
    <t>Staff Of Suffering</t>
  </si>
  <si>
    <t>Staff of Targeting</t>
  </si>
  <si>
    <t>Staff of Waves</t>
  </si>
  <si>
    <t>Guard Helmet</t>
  </si>
  <si>
    <t>Guard Shield</t>
  </si>
  <si>
    <t>Guard Sword</t>
  </si>
  <si>
    <t>Steel Armor</t>
  </si>
  <si>
    <t>Steel Broadsword</t>
  </si>
  <si>
    <t>Steel Sword</t>
  </si>
  <si>
    <t xml:space="preserve">Stick of Mystery </t>
  </si>
  <si>
    <t>Stone Arming Sword</t>
  </si>
  <si>
    <t>Stone Sledgehammer</t>
  </si>
  <si>
    <t>Stone Small Shield</t>
  </si>
  <si>
    <t>Stonewall Shield</t>
  </si>
  <si>
    <t>Sturdy Wooden Shield</t>
  </si>
  <si>
    <t>Swampville Dagger</t>
  </si>
  <si>
    <t>Sword of Bad Luck</t>
  </si>
  <si>
    <t>Sword of Chaotic Shadows</t>
  </si>
  <si>
    <t>Sword Of Darkness</t>
  </si>
  <si>
    <t>Sword of Disorder</t>
  </si>
  <si>
    <t>Sword Of Divine Flames</t>
  </si>
  <si>
    <t>Sword of Eternal darkness</t>
  </si>
  <si>
    <t>Sword of Greater Souls</t>
  </si>
  <si>
    <t>Sword of Nature’s Love</t>
  </si>
  <si>
    <t>Sword of Shadows</t>
  </si>
  <si>
    <t>Sword of Steel</t>
  </si>
  <si>
    <t>Sword of The Abyss</t>
  </si>
  <si>
    <t>Sword of The Ancient Fire Serpent</t>
  </si>
  <si>
    <t>Sword of The Burning Forest</t>
  </si>
  <si>
    <t>Sword of The Crystal Chosen</t>
  </si>
  <si>
    <t>Sword Of The Cursed Naga</t>
  </si>
  <si>
    <t>Sword Of The Dragons Blood</t>
  </si>
  <si>
    <t>Sword of The Haunted Mansion</t>
  </si>
  <si>
    <t>Sword Of The Honorable Samurai</t>
  </si>
  <si>
    <t>Sword of The Crystal King</t>
  </si>
  <si>
    <t>Sword of The Many Heroes</t>
  </si>
  <si>
    <t>Sword Of The Reaper</t>
  </si>
  <si>
    <t>Sword of The Sea Serpent</t>
  </si>
  <si>
    <t>Sword of the Vampire’s Lust</t>
  </si>
  <si>
    <t>Sword of The Waking Waters</t>
  </si>
  <si>
    <t>Sword of the Wicked</t>
  </si>
  <si>
    <t>Sword Of Tritonoch</t>
  </si>
  <si>
    <t>Tentacle</t>
  </si>
  <si>
    <t>The Black Hook</t>
  </si>
  <si>
    <t>The Blade of the Chosen</t>
  </si>
  <si>
    <t>The Bow of the Fallen Hero</t>
  </si>
  <si>
    <t>The Bow of the Haunted</t>
  </si>
  <si>
    <t>The Bow of the Pandarian</t>
  </si>
  <si>
    <t>The Buster</t>
  </si>
  <si>
    <t>The Dawn Splitter</t>
  </si>
  <si>
    <t>The Dragon King's Crown</t>
  </si>
  <si>
    <t>The Guardian Of Death's Sword</t>
  </si>
  <si>
    <t>The Helm of Foul Night</t>
  </si>
  <si>
    <t>The Invisible Spear</t>
  </si>
  <si>
    <t>The Mysterious Mirror</t>
  </si>
  <si>
    <t>The Puppet Masters Amulet</t>
  </si>
  <si>
    <t>The Puppet Masters Cloak</t>
  </si>
  <si>
    <t>The Puppet Masters Ring</t>
  </si>
  <si>
    <t>The Red Sword</t>
  </si>
  <si>
    <t>The Servants Sword</t>
  </si>
  <si>
    <t>The Shield of Foul Night</t>
  </si>
  <si>
    <t>The Staff of  Haunted Bones</t>
  </si>
  <si>
    <t>The Staff of the Aquas</t>
  </si>
  <si>
    <t>The Staff of The Pumpkin’s Curse</t>
  </si>
  <si>
    <t>The Stick of the Panda</t>
  </si>
  <si>
    <t>The Sword Of Death</t>
  </si>
  <si>
    <t>The Sword Of Easter's Gathering (Exclusive)</t>
  </si>
  <si>
    <t>The Sword of Manannán (Exclusive)</t>
  </si>
  <si>
    <t>The Waking Ash of the Serpent’s Pendent</t>
  </si>
  <si>
    <t>The Wand of Aquatic Beasts</t>
  </si>
  <si>
    <t>Titanic Two Hander</t>
  </si>
  <si>
    <t>Top Hat</t>
  </si>
  <si>
    <t>Trident</t>
  </si>
  <si>
    <t>Tundra Staff</t>
  </si>
  <si>
    <t>Twilight Bow</t>
  </si>
  <si>
    <t>Twilight Crystal Sword of Evil's Bane</t>
  </si>
  <si>
    <t>Twilight Sword</t>
  </si>
  <si>
    <t>Unknown Amulet</t>
  </si>
  <si>
    <t>Vambraces of Waking Waters</t>
  </si>
  <si>
    <t>Viking Helm</t>
  </si>
  <si>
    <t>Void sword</t>
  </si>
  <si>
    <t>Volcanic Sword of Destruction</t>
  </si>
  <si>
    <t>Wand of Grey</t>
  </si>
  <si>
    <t>Wand of Multi-Color</t>
  </si>
  <si>
    <t>Warlock’s Armored Chestplate</t>
  </si>
  <si>
    <t>Water Warhammer</t>
  </si>
  <si>
    <t>Weaponized Bamboo Hat</t>
  </si>
  <si>
    <t>Wig of Temper Fire</t>
  </si>
  <si>
    <t>Woodsman’s Hacker</t>
  </si>
  <si>
    <t>World Tree Sword</t>
  </si>
  <si>
    <t>Tear of the Dragon Pendant</t>
  </si>
  <si>
    <t>Luck of the Dragon Pendant</t>
  </si>
  <si>
    <t>Scale of the Dragon Pendant</t>
  </si>
  <si>
    <t>Guard Pauldrons</t>
  </si>
  <si>
    <t>Guard Vambraces</t>
  </si>
  <si>
    <t>Royal Guard Pauldrons</t>
  </si>
  <si>
    <t>Royal Guard Vambraces</t>
  </si>
  <si>
    <t>Celestian Royal Pauldrons</t>
  </si>
  <si>
    <t>Celestian Royal Vambraces</t>
  </si>
  <si>
    <t>Royal Guard Shield</t>
  </si>
  <si>
    <t>Guard Leggings</t>
  </si>
  <si>
    <t>Guard Boots</t>
  </si>
  <si>
    <t>Celestian Royal Boots</t>
  </si>
  <si>
    <t>Celestian Royal Leggings</t>
  </si>
  <si>
    <t>Celestian Royal Helmet</t>
  </si>
  <si>
    <t>Celestian Royal Chestplate</t>
  </si>
  <si>
    <t>Guard Chestplate</t>
  </si>
  <si>
    <t>Revolver</t>
  </si>
  <si>
    <t>Musket</t>
  </si>
  <si>
    <t>Lazer Infused Railgun</t>
  </si>
  <si>
    <t>Minigun</t>
  </si>
  <si>
    <t>Seahorse’s Ring</t>
  </si>
  <si>
    <t>Bamboo Vambraces</t>
  </si>
  <si>
    <t>Bamboo Pauldrons</t>
  </si>
  <si>
    <t>Bamboo Chestplate</t>
  </si>
  <si>
    <t>Bamboo Greaves</t>
  </si>
  <si>
    <t>Strengthened Bamboo Sword</t>
  </si>
  <si>
    <t>Bamboo Sandals</t>
  </si>
  <si>
    <t>Greaves of Foul Night</t>
  </si>
  <si>
    <t>Vambraces of Foul Night</t>
  </si>
  <si>
    <t>Boots of Foul Night</t>
  </si>
  <si>
    <t>Pauldrons of Foul Night</t>
  </si>
  <si>
    <t>Crystal Forged Pauldrons</t>
  </si>
  <si>
    <t>Crystal Forged Greaves</t>
  </si>
  <si>
    <t>Crystal Forged Boots</t>
  </si>
  <si>
    <t>Crystal Forged Vambraces</t>
  </si>
  <si>
    <t>Fiddle</t>
  </si>
  <si>
    <t>WyvernTail Blade</t>
  </si>
  <si>
    <t>WyvernTail Helm</t>
  </si>
  <si>
    <t>WyvernTail Pauldrons</t>
  </si>
  <si>
    <t>WyvernTail Chestplate</t>
  </si>
  <si>
    <t>WyvernTail Vambraces</t>
  </si>
  <si>
    <t>WyvernTail Greaves</t>
  </si>
  <si>
    <t>WyvernTail Boots</t>
  </si>
  <si>
    <t>WyvernTail Pendent</t>
  </si>
  <si>
    <t>WyvernTail Ring</t>
  </si>
  <si>
    <t>Sweltering Blade</t>
  </si>
  <si>
    <t>Sweltering Helm</t>
  </si>
  <si>
    <t>Sweltering Pauldrons</t>
  </si>
  <si>
    <t>Sweltering Chestplate</t>
  </si>
  <si>
    <t>Sweltering Vambraces</t>
  </si>
  <si>
    <t>Sweltering Greaves</t>
  </si>
  <si>
    <t>Sweltering Boots</t>
  </si>
  <si>
    <t>Sweltering Pendent</t>
  </si>
  <si>
    <t>Sweltering Ring</t>
  </si>
  <si>
    <t>Reinforced Tortoise Shell</t>
  </si>
  <si>
    <t>Tortoise Shell Shield</t>
  </si>
  <si>
    <t>Stone of the Summit</t>
  </si>
  <si>
    <t>Deep Blue Pearl</t>
  </si>
  <si>
    <t>Tempests Lightning Rod</t>
  </si>
  <si>
    <t>Sword of Mystic Vagility</t>
  </si>
  <si>
    <t>.50 Caliber Machine Gun (car)</t>
  </si>
  <si>
    <t>Auto Turret</t>
  </si>
  <si>
    <t>Lazer Infused Cannon</t>
  </si>
  <si>
    <t>Roof Mounted Turret</t>
  </si>
  <si>
    <t>.50 Caliber Machine Gun (boat)</t>
  </si>
  <si>
    <t>Missile Turret (car)</t>
  </si>
  <si>
    <t>Missile Turret (boat)</t>
  </si>
  <si>
    <t>Royal Sword of Dragonia</t>
  </si>
  <si>
    <t>Dragonian Helm</t>
  </si>
  <si>
    <t>Dragonian Pauldrons</t>
  </si>
  <si>
    <t>Dragonian Chestplate</t>
  </si>
  <si>
    <t>Dragonian Vambraces</t>
  </si>
  <si>
    <t>Dragonian Greaves</t>
  </si>
  <si>
    <t>Dragonian Boots</t>
  </si>
  <si>
    <t>Dragonian Pendent</t>
  </si>
  <si>
    <t>Dragonian Ring</t>
  </si>
  <si>
    <t>Fishing Pole of Luck and Power</t>
  </si>
  <si>
    <t>Ancient Oni Pauldrons</t>
  </si>
  <si>
    <t>Ancient Oni Vambraces</t>
  </si>
  <si>
    <t>Ancient Oni Greaves</t>
  </si>
  <si>
    <t>Ancient Oni Boots</t>
  </si>
  <si>
    <t>Ancient Oni Katana</t>
  </si>
  <si>
    <t>The Grand Staff of Evil Flames</t>
  </si>
  <si>
    <t>Soul Sword of The Endless Realm</t>
  </si>
  <si>
    <t>Rat King's Crown</t>
  </si>
  <si>
    <t>Vermouth's Crown of Tides</t>
  </si>
  <si>
    <t>ChronoMech Enigma</t>
  </si>
  <si>
    <t>Royal Sword of The Halloween Kingdom</t>
  </si>
  <si>
    <t>Royal Shield of The Halloween Kingdom</t>
  </si>
  <si>
    <t>Sacred Flaming Pearl</t>
  </si>
  <si>
    <t>DragonScale Royal Helm</t>
  </si>
  <si>
    <t>DragonScale Royal Chestplate</t>
  </si>
  <si>
    <t>DragonScale Royal Vambraces</t>
  </si>
  <si>
    <t>DragonScale Royal Greaves</t>
  </si>
  <si>
    <t>DragonScale Royal Shield</t>
  </si>
  <si>
    <t>DragonScale Royal Boots</t>
  </si>
  <si>
    <t>DragonScale Royal Pauldrons</t>
  </si>
  <si>
    <t>BLADE! OF! JUSTICE!!!!</t>
  </si>
  <si>
    <t>Abstara Royal Helm</t>
  </si>
  <si>
    <t>Abstara Royal Chestplate</t>
  </si>
  <si>
    <t>Abstara Royal Vambraces</t>
  </si>
  <si>
    <t>Abstara Royal Greaves</t>
  </si>
  <si>
    <t>Abstara Royal Shield</t>
  </si>
  <si>
    <t>Abstara Royal Boots</t>
  </si>
  <si>
    <t>Abstara Royal Pauldrons</t>
  </si>
  <si>
    <t>Feathered Hat of Roguish "Justice"</t>
  </si>
  <si>
    <t>Cape of Misdeed</t>
  </si>
  <si>
    <t>Doublet of Debauchery</t>
  </si>
  <si>
    <t>Leather Boots of Softstep</t>
  </si>
  <si>
    <t>Tights of Fabulous Thievery</t>
  </si>
  <si>
    <t>Fingerless Glove of Anonymity</t>
  </si>
  <si>
    <t>Bracers of Dastardly Deflection</t>
  </si>
  <si>
    <t>Amulet of the Goddess of Theft</t>
  </si>
  <si>
    <t>Flute of The Majestic Forest</t>
  </si>
  <si>
    <t>Heatmore Tribal Drums</t>
  </si>
  <si>
    <t>Heatmore Tribal Maracas</t>
  </si>
  <si>
    <t>Mask of Creeping Darkness</t>
  </si>
  <si>
    <t>Chest of Evershifting Darkness</t>
  </si>
  <si>
    <t>Leather Boots of EDGINESS</t>
  </si>
  <si>
    <t>Silken Gloves of Dexterity</t>
  </si>
  <si>
    <t>Leggings of Swift Death</t>
  </si>
  <si>
    <t>Cape of Illusion</t>
  </si>
  <si>
    <t>Assassin's Kiss</t>
  </si>
  <si>
    <t>Night's Edge</t>
  </si>
  <si>
    <t>Ancient Draconian Deity Necklace</t>
  </si>
  <si>
    <t>Gungnir</t>
  </si>
  <si>
    <t>Hades' Death Scythe</t>
  </si>
  <si>
    <t>Gaia's Rock Hammer</t>
  </si>
  <si>
    <t>Bahamut's Claw</t>
  </si>
  <si>
    <t>Chronos' Staff of Time</t>
  </si>
  <si>
    <t>Scimitar</t>
  </si>
  <si>
    <t>Gaia's Helmet of Earthen Fortitude</t>
  </si>
  <si>
    <t>Gaia's Pendant</t>
  </si>
  <si>
    <t>Gaia's Sandals of Earthen Fortitude</t>
  </si>
  <si>
    <t>Gaia's Gloves</t>
  </si>
  <si>
    <t>Gaia's Gaiters</t>
  </si>
  <si>
    <t>Gaia's Pauldrons</t>
  </si>
  <si>
    <t>Gaia's Chestpiece</t>
  </si>
  <si>
    <t>Gaia's Ring</t>
  </si>
  <si>
    <t>Paladin of Gaia's Bucket helm of Tenacity</t>
  </si>
  <si>
    <t>Paladin of Gaia's Stone Pauldrons</t>
  </si>
  <si>
    <t>Paladin of Gaia's Emblazoned Chestpiece</t>
  </si>
  <si>
    <t>Paladin of Gaia's Vambraces</t>
  </si>
  <si>
    <t>Paladin of Gaia's Plate Chausses</t>
  </si>
  <si>
    <t>Paladin of Gaia's Sabatons</t>
  </si>
  <si>
    <t>Paladin of Gaia's Ruby Ring</t>
  </si>
  <si>
    <t>Paladin of Gaia's Emerald Pendant</t>
  </si>
  <si>
    <t xml:space="preserve">The Blacksmith's Forged Battleaxe </t>
  </si>
  <si>
    <t>The Blacksmith's Forged Sword</t>
  </si>
  <si>
    <t>The Blacksmith's Forged Helmet</t>
  </si>
  <si>
    <t>The Blacksmith's Forged Pauldrons</t>
  </si>
  <si>
    <t>The Blacksmith's Forged Vambraces</t>
  </si>
  <si>
    <t>The Blacksmith's Forged Greaves</t>
  </si>
  <si>
    <t>The Blacksmith's Forged Sabatons</t>
  </si>
  <si>
    <t>The Blacksmith's Forged Cuirasses</t>
  </si>
  <si>
    <t>The Blacksmith's Forged Ring</t>
  </si>
  <si>
    <t>The Blacksmith's Forged Pendant</t>
  </si>
  <si>
    <t>The Blacksmith's Ring of Green Hatred</t>
  </si>
  <si>
    <t>Ring o' Strength and Fire</t>
  </si>
  <si>
    <t>Ring o' Fortitude and Earth</t>
  </si>
  <si>
    <t>Ring o' Agility and Water</t>
  </si>
  <si>
    <t>Ring o' Power and Delta</t>
  </si>
  <si>
    <t>Ring o' Courage and Order</t>
  </si>
  <si>
    <t>Ring o' Resilience and Physicality</t>
  </si>
  <si>
    <t>Ring o' Insanity and Chaos</t>
  </si>
  <si>
    <t>Ring o' Debonair and Light</t>
  </si>
  <si>
    <t>Ring o' Spite and Blood</t>
  </si>
  <si>
    <t>Ring o' Neurodivergence and Spirit</t>
  </si>
  <si>
    <t>Ring o' Impassivity and Storm</t>
  </si>
  <si>
    <t>Ring o' Rigidity and Stasis</t>
  </si>
  <si>
    <t>Ring o' Loyalty and Celestial</t>
  </si>
  <si>
    <t>Ring o' Arrogance and Twilight</t>
  </si>
  <si>
    <t>Ring o' Grace and Astral</t>
  </si>
  <si>
    <t>Ring o' Villainy and Voodoo</t>
  </si>
  <si>
    <t>The Bow of The Verdant Forest</t>
  </si>
  <si>
    <t>Enchanted Wooden Buckler of The Verdant Forest</t>
  </si>
  <si>
    <t>Cowl of the Eagle's Sight</t>
  </si>
  <si>
    <t>Ailettes of the Forest's Splendor</t>
  </si>
  <si>
    <t>Bracer of Trueshot</t>
  </si>
  <si>
    <t>Leather Cuirass of Barkskin</t>
  </si>
  <si>
    <t>Greaves of The Verdant Forest</t>
  </si>
  <si>
    <t>Boots of The Verdant Forest</t>
  </si>
  <si>
    <t>Emerald Ring of The Forest</t>
  </si>
  <si>
    <t>Emerald Amulet of The Forest</t>
  </si>
  <si>
    <t>Artemis' Crown of The Forest</t>
  </si>
  <si>
    <t>Artemis' Bow of Divine Wrath</t>
  </si>
  <si>
    <t>Artemis' Shield of Divine Grace</t>
  </si>
  <si>
    <t>Artemis' Divine Quiver</t>
  </si>
  <si>
    <t>Artemis' Toga of Divine Beauty</t>
  </si>
  <si>
    <t>Artemis' Bracer of The Archer Goddess</t>
  </si>
  <si>
    <t>Artemis' Leggings of Divine Agility</t>
  </si>
  <si>
    <t>Artemis' Sandals of Divine Speed</t>
  </si>
  <si>
    <t>Artemis' Ring</t>
  </si>
  <si>
    <t>Artemis' Fang Necklace</t>
  </si>
  <si>
    <t>Forged Paladin's Helm</t>
  </si>
  <si>
    <t>Forged Paladin's Pauldrons</t>
  </si>
  <si>
    <t>Forged Paladin's Plate</t>
  </si>
  <si>
    <t>Forged Paladin's Vambraces</t>
  </si>
  <si>
    <t>Forged Firearm</t>
  </si>
  <si>
    <t>Forged Towershield</t>
  </si>
  <si>
    <t>Forged Leg guard</t>
  </si>
  <si>
    <t>Forged Sabatons</t>
  </si>
  <si>
    <t>Scrap Ring</t>
  </si>
  <si>
    <t>Scrap Gorget</t>
  </si>
  <si>
    <t>Minstrel's Cap</t>
  </si>
  <si>
    <t>Minstrel's Cape</t>
  </si>
  <si>
    <t>Minstrel's Doublet</t>
  </si>
  <si>
    <t>Minstrel's Cuffs</t>
  </si>
  <si>
    <t>Heavenly Lute</t>
  </si>
  <si>
    <t>Wine Stained Buckler With Portable Alcoholism</t>
  </si>
  <si>
    <t>Minstrel's Tights</t>
  </si>
  <si>
    <t>Minstrel's Boots</t>
  </si>
  <si>
    <t>Brass Ring of Blackout Drunkenness</t>
  </si>
  <si>
    <t>Wreath of The Party's Fervor</t>
  </si>
  <si>
    <t>Pauldrons of Tritonoch</t>
  </si>
  <si>
    <t>Chestplate of Tritonoch</t>
  </si>
  <si>
    <t>Vambraces of Tritonoch</t>
  </si>
  <si>
    <t>Trident of Tritonoch</t>
  </si>
  <si>
    <t>Boots of Tritonoch</t>
  </si>
  <si>
    <t>Steel Bandit Dagger</t>
  </si>
  <si>
    <t>Bandit Hide Helm</t>
  </si>
  <si>
    <t>Bandit Hide Padding</t>
  </si>
  <si>
    <t>Bandit Hide Chestplate</t>
  </si>
  <si>
    <t>Bandit Hide Vambraces</t>
  </si>
  <si>
    <t>Bandit Hide Greaves</t>
  </si>
  <si>
    <t>Bandit Hide Boots</t>
  </si>
  <si>
    <t>Nunchucks</t>
  </si>
  <si>
    <t>Shuriken (Enhanced)</t>
  </si>
  <si>
    <t>Poison Dart Gun</t>
  </si>
  <si>
    <t>Poison Tipped Needle</t>
  </si>
  <si>
    <t>Katana (Enhanced)</t>
  </si>
  <si>
    <t>Ninja Initiate's Cowl</t>
  </si>
  <si>
    <t>Ninja Initiate's Cape</t>
  </si>
  <si>
    <t>Ninja Initiate's Vest</t>
  </si>
  <si>
    <t>Ninja Initiate's Gloves</t>
  </si>
  <si>
    <t>Ninja Initiate's Sarouel</t>
  </si>
  <si>
    <t>Ninja Initiate's Sandals</t>
  </si>
  <si>
    <t>Sai</t>
  </si>
  <si>
    <t>Poison Master's Mask</t>
  </si>
  <si>
    <t>Poison Master's Cape</t>
  </si>
  <si>
    <t>Poison Master's Robe</t>
  </si>
  <si>
    <t>Poison Master's Heavy Duty Gloves</t>
  </si>
  <si>
    <t>Poison Master's Sarouel</t>
  </si>
  <si>
    <t>Poison Master's Boots</t>
  </si>
  <si>
    <t>Ambusher's Cowl</t>
  </si>
  <si>
    <t>Ambusher's Cape</t>
  </si>
  <si>
    <t>Ambusher's Vest</t>
  </si>
  <si>
    <t>Ambusher's Gloves</t>
  </si>
  <si>
    <t>Ambusher's Sarouel</t>
  </si>
  <si>
    <t>Ambusher's Sandals</t>
  </si>
  <si>
    <t>Blade of Ancestral Blood</t>
  </si>
  <si>
    <t>Lunaris, Sword of The Moon</t>
  </si>
  <si>
    <t>Master Inugima's Cowl</t>
  </si>
  <si>
    <t>Master Inugima's Cape</t>
  </si>
  <si>
    <t>Master Inugima's Cloak</t>
  </si>
  <si>
    <t>Master Inugima's Gloves</t>
  </si>
  <si>
    <t>Master Inugima's Sarouel</t>
  </si>
  <si>
    <t>Master Inugima's Boots</t>
  </si>
  <si>
    <t>Master Inugima's Ring</t>
  </si>
  <si>
    <t>Master Inugima's Pendant</t>
  </si>
  <si>
    <t>Amulet of Giving</t>
  </si>
  <si>
    <t>Pilgrim's Hat</t>
  </si>
  <si>
    <t>Harbingers' Helm of the Unrestrained (Spira)</t>
  </si>
  <si>
    <t>Harbingers' Shifting Pauldrons (Spira)</t>
  </si>
  <si>
    <t>Harbingers' Emblazoned Chest of The Encroaching Void (Spira)</t>
  </si>
  <si>
    <t>Harbingers' Broken Fettering (Spira)</t>
  </si>
  <si>
    <t>Harbingers' Ethereal Chausses (Spira)</t>
  </si>
  <si>
    <t>Harbingers' Spiked Sabatons (Spira)</t>
  </si>
  <si>
    <t>Harbingers' Vow (Spira)</t>
  </si>
  <si>
    <t>Harbingers' Resolve (Spira)</t>
  </si>
  <si>
    <t>Harbingers' Fist of Iron (Spira)</t>
  </si>
  <si>
    <t>Harbingers' Claw of Steel (Spira)</t>
  </si>
  <si>
    <t>Eagles Claw</t>
  </si>
  <si>
    <t>Golden Gauntlet</t>
  </si>
  <si>
    <t>Hand Crossbow</t>
  </si>
  <si>
    <t>Flintlock Pistol</t>
  </si>
  <si>
    <t>Head of Gévaudan</t>
  </si>
  <si>
    <t>Phantasmal Scythe</t>
  </si>
  <si>
    <t>Piranha Tooth Dagger</t>
  </si>
  <si>
    <t>Rhino Horn Spear</t>
  </si>
  <si>
    <t>Rock Axe</t>
  </si>
  <si>
    <t>Saber Tooth</t>
  </si>
  <si>
    <t>Worm Tooth Chainsaw</t>
  </si>
  <si>
    <t>Shark Tooth Greatclub</t>
  </si>
  <si>
    <t>Sticky Slime Guantlets</t>
  </si>
  <si>
    <t>Draconic Scythe</t>
  </si>
  <si>
    <t>Elemental Scythe</t>
  </si>
  <si>
    <t>Staff of the Elemental King of Water</t>
  </si>
  <si>
    <t>Bashe's Tail</t>
  </si>
  <si>
    <t>Bashe's Flute</t>
  </si>
  <si>
    <t>Grash's Favorite Length Of Iron</t>
  </si>
  <si>
    <t>Wolf Tooth Neclace</t>
  </si>
  <si>
    <t>Dragon Scale Neclace</t>
  </si>
  <si>
    <t>Heavenly Necklace</t>
  </si>
  <si>
    <t>Demonic Necklace</t>
  </si>
  <si>
    <t>The Cloak of Gévaudan</t>
  </si>
  <si>
    <t>Spirit Glyph</t>
  </si>
  <si>
    <t>Necromantic Sigil</t>
  </si>
  <si>
    <t>Dragonslayer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</si>
</sst>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scheme val="minor"/>
    </font>
    <font>
      <color theme="1"/>
      <name val="Arial"/>
      <scheme val="minor"/>
    </font>
    <font>
      <b/>
      <color theme="1"/>
      <name val="Arial"/>
      <scheme val="minor"/>
    </font>
    <font>
      <b/>
      <color theme="1"/>
      <name val="Arial"/>
    </font>
    <font>
      <sz val="11.0"/>
      <color rgb="FF000000"/>
      <name val="Inconsolata"/>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3" xfId="0" applyFont="1" applyNumberFormat="1"/>
    <xf borderId="0" fillId="0" fontId="1" numFmtId="0" xfId="0" applyAlignment="1" applyFont="1">
      <alignment readingOrder="0"/>
    </xf>
    <xf borderId="0" fillId="0" fontId="1" numFmtId="0" xfId="0" applyAlignment="1" applyFont="1">
      <alignment horizontal="center" readingOrder="0"/>
    </xf>
    <xf borderId="0" fillId="0" fontId="1" numFmtId="3" xfId="0" applyAlignment="1" applyFont="1" applyNumberFormat="1">
      <alignment readingOrder="0"/>
    </xf>
    <xf borderId="0" fillId="0" fontId="1" numFmtId="49" xfId="0" applyAlignment="1" applyFont="1" applyNumberFormat="1">
      <alignment horizontal="right" readingOrder="0"/>
    </xf>
    <xf borderId="0" fillId="0" fontId="1" numFmtId="0" xfId="0" applyAlignment="1" applyFont="1">
      <alignment horizontal="left" readingOrder="0"/>
    </xf>
    <xf borderId="0" fillId="0" fontId="2" numFmtId="0" xfId="0" applyAlignment="1" applyFont="1">
      <alignment horizontal="right" readingOrder="0"/>
    </xf>
    <xf borderId="0" fillId="0" fontId="1" numFmtId="0" xfId="0" applyAlignment="1" applyFont="1">
      <alignment horizontal="right" readingOrder="0"/>
    </xf>
    <xf borderId="0" fillId="0" fontId="1" numFmtId="164" xfId="0" applyFont="1" applyNumberFormat="1"/>
    <xf borderId="0" fillId="0" fontId="2" numFmtId="0" xfId="0" applyAlignment="1" applyFont="1">
      <alignment horizontal="center" readingOrder="0"/>
    </xf>
    <xf borderId="0" fillId="0" fontId="3" numFmtId="0" xfId="0" applyAlignment="1" applyFont="1">
      <alignment horizontal="center" vertical="bottom"/>
    </xf>
    <xf borderId="0" fillId="0" fontId="2" numFmtId="0" xfId="0" applyAlignment="1" applyFont="1">
      <alignment horizontal="right"/>
    </xf>
    <xf borderId="0" fillId="0" fontId="2" numFmtId="0" xfId="0" applyAlignment="1" applyFont="1">
      <alignment horizontal="right"/>
    </xf>
    <xf borderId="0" fillId="2" fontId="4" numFmtId="0" xfId="0" applyFill="1" applyFont="1"/>
    <xf borderId="0" fillId="0" fontId="5" numFmtId="0" xfId="0" applyAlignment="1" applyFont="1">
      <alignment shrinkToFit="0" vertical="bottom" wrapText="1"/>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tr">
        <f>IFERROR(__xludf.DUMMYFUNCTION("IMPORTRANGE(""https://docs.google.com/spreadsheets/d/1HXoAI5UG3zq1UHqU5n7fPdbQk93qOha2VQb1r7iRi1o"",""Equipment!A:AH"")"),"Name")</f>
        <v>Name</v>
      </c>
      <c r="B1" s="1" t="str">
        <f>IFERROR(__xludf.DUMMYFUNCTION("""COMPUTED_VALUE"""),"Slot")</f>
        <v>Slot</v>
      </c>
      <c r="C1" s="1" t="str">
        <f>IFERROR(__xludf.DUMMYFUNCTION("""COMPUTED_VALUE"""),"Description")</f>
        <v>Description</v>
      </c>
      <c r="D1" s="1" t="str">
        <f>IFERROR(__xludf.DUMMYFUNCTION("""COMPUTED_VALUE"""),"Type")</f>
        <v>Type</v>
      </c>
      <c r="E1" s="1" t="str">
        <f>IFERROR(__xludf.DUMMYFUNCTION("""COMPUTED_VALUE"""),"LevelReq")</f>
        <v>LevelReq</v>
      </c>
      <c r="F1" s="1" t="str">
        <f>IFERROR(__xludf.DUMMYFUNCTION("""COMPUTED_VALUE"""),"Price")</f>
        <v>Price</v>
      </c>
      <c r="G1" s="1" t="str">
        <f>IFERROR(__xludf.DUMMYFUNCTION("""COMPUTED_VALUE"""),"DefDmg")</f>
        <v>DefDmg</v>
      </c>
      <c r="H1" s="1" t="str">
        <f>IFERROR(__xludf.DUMMYFUNCTION("""COMPUTED_VALUE"""),"Natural")</f>
        <v>Natural</v>
      </c>
      <c r="I1" s="1" t="str">
        <f>IFERROR(__xludf.DUMMYFUNCTION("""COMPUTED_VALUE"""),"Fire")</f>
        <v>Fire</v>
      </c>
      <c r="J1" s="1" t="str">
        <f>IFERROR(__xludf.DUMMYFUNCTION("""COMPUTED_VALUE"""),"Physical")</f>
        <v>Physical</v>
      </c>
      <c r="K1" s="1" t="str">
        <f>IFERROR(__xludf.DUMMYFUNCTION("""COMPUTED_VALUE"""),"Water")</f>
        <v>Water</v>
      </c>
      <c r="L1" s="1" t="str">
        <f>IFERROR(__xludf.DUMMYFUNCTION("""COMPUTED_VALUE"""),"Storm")</f>
        <v>Storm</v>
      </c>
      <c r="M1" s="1" t="str">
        <f>IFERROR(__xludf.DUMMYFUNCTION("""COMPUTED_VALUE"""),"Earth")</f>
        <v>Earth</v>
      </c>
      <c r="N1" s="1" t="str">
        <f>IFERROR(__xludf.DUMMYFUNCTION("""COMPUTED_VALUE"""),"Light")</f>
        <v>Light</v>
      </c>
      <c r="O1" s="1" t="str">
        <f>IFERROR(__xludf.DUMMYFUNCTION("""COMPUTED_VALUE"""),"Dark")</f>
        <v>Dark</v>
      </c>
      <c r="P1" s="1" t="str">
        <f>IFERROR(__xludf.DUMMYFUNCTION("""COMPUTED_VALUE"""),"Spirit")</f>
        <v>Spirit</v>
      </c>
      <c r="Q1" s="1" t="str">
        <f>IFERROR(__xludf.DUMMYFUNCTION("""COMPUTED_VALUE"""),"Order")</f>
        <v>Order</v>
      </c>
      <c r="R1" s="1" t="str">
        <f>IFERROR(__xludf.DUMMYFUNCTION("""COMPUTED_VALUE"""),"Chaos")</f>
        <v>Chaos</v>
      </c>
      <c r="S1" s="1" t="str">
        <f>IFERROR(__xludf.DUMMYFUNCTION("""COMPUTED_VALUE"""),"Nature")</f>
        <v>Nature</v>
      </c>
      <c r="T1" s="1" t="str">
        <f>IFERROR(__xludf.DUMMYFUNCTION("""COMPUTED_VALUE"""),"Melee")</f>
        <v>Melee</v>
      </c>
      <c r="U1" s="1" t="str">
        <f>IFERROR(__xludf.DUMMYFUNCTION("""COMPUTED_VALUE"""),"Ranged")</f>
        <v>Ranged</v>
      </c>
      <c r="V1" s="1" t="str">
        <f>IFERROR(__xludf.DUMMYFUNCTION("""COMPUTED_VALUE"""),"Stasis")</f>
        <v>Stasis</v>
      </c>
      <c r="W1" s="1" t="str">
        <f>IFERROR(__xludf.DUMMYFUNCTION("""COMPUTED_VALUE"""),"Twilight")</f>
        <v>Twilight</v>
      </c>
      <c r="X1" s="1" t="str">
        <f>IFERROR(__xludf.DUMMYFUNCTION("""COMPUTED_VALUE"""),"Voodoo")</f>
        <v>Voodoo</v>
      </c>
      <c r="Y1" s="1" t="str">
        <f>IFERROR(__xludf.DUMMYFUNCTION("""COMPUTED_VALUE"""),"Blood")</f>
        <v>Blood</v>
      </c>
      <c r="Z1" s="1" t="str">
        <f>IFERROR(__xludf.DUMMYFUNCTION("""COMPUTED_VALUE"""),"Delta")</f>
        <v>Delta</v>
      </c>
      <c r="AA1" s="1" t="str">
        <f>IFERROR(__xludf.DUMMYFUNCTION("""COMPUTED_VALUE"""),"Zen")</f>
        <v>Zen</v>
      </c>
      <c r="AB1" s="1" t="str">
        <f>IFERROR(__xludf.DUMMYFUNCTION("""COMPUTED_VALUE"""),"Astral")</f>
        <v>Astral</v>
      </c>
      <c r="AC1" s="1" t="str">
        <f>IFERROR(__xludf.DUMMYFUNCTION("""COMPUTED_VALUE"""),"Celestial")</f>
        <v>Celestial</v>
      </c>
      <c r="AD1" s="1" t="str">
        <f>IFERROR(__xludf.DUMMYFUNCTION("""COMPUTED_VALUE"""),"Time")</f>
        <v>Time</v>
      </c>
      <c r="AE1" s="1" t="str">
        <f>IFERROR(__xludf.DUMMYFUNCTION("""COMPUTED_VALUE"""),"Acoustic")</f>
        <v>Acoustic</v>
      </c>
      <c r="AF1" s="1" t="str">
        <f>IFERROR(__xludf.DUMMYFUNCTION("""COMPUTED_VALUE"""),"OtherAbilities")</f>
        <v>OtherAbilities</v>
      </c>
      <c r="AG1" s="1" t="str">
        <f>IFERROR(__xludf.DUMMYFUNCTION("""COMPUTED_VALUE"""),"EquipLoc")</f>
        <v>EquipLoc</v>
      </c>
      <c r="AH1" s="1" t="str">
        <f>IFERROR(__xludf.DUMMYFUNCTION("""COMPUTED_VALUE"""),"Needs Revising")</f>
        <v>Needs Revising</v>
      </c>
    </row>
    <row r="2">
      <c r="A2" s="1" t="str">
        <f>IFERROR(__xludf.DUMMYFUNCTION("""COMPUTED_VALUE"""),"""Hellfire Club"" Vest of Metal Harmony's")</f>
        <v>"Hellfire Club" Vest of Metal Harmony's</v>
      </c>
      <c r="B2" s="1" t="str">
        <f>IFERROR(__xludf.DUMMYFUNCTION("""COMPUTED_VALUE"""),"Torso")</f>
        <v>Torso</v>
      </c>
      <c r="C2" s="1"/>
      <c r="D2" s="1"/>
      <c r="E2" s="1">
        <f>IFERROR(__xludf.DUMMYFUNCTION("""COMPUTED_VALUE"""),200.0)</f>
        <v>200</v>
      </c>
      <c r="F2" s="2">
        <f>IFERROR(__xludf.DUMMYFUNCTION("""COMPUTED_VALUE"""),1900000.0)</f>
        <v>1900000</v>
      </c>
      <c r="G2" s="1" t="str">
        <f>IFERROR(__xludf.DUMMYFUNCTION("""COMPUTED_VALUE"""),"DEF")</f>
        <v>DEF</v>
      </c>
      <c r="H2" s="3">
        <f>IFERROR(__xludf.DUMMYFUNCTION("""COMPUTED_VALUE"""),10000.0)</f>
        <v>10000</v>
      </c>
      <c r="I2" s="1"/>
      <c r="J2" s="1"/>
      <c r="K2" s="1"/>
      <c r="L2" s="1"/>
      <c r="M2" s="1"/>
      <c r="N2" s="1"/>
      <c r="O2" s="1"/>
      <c r="P2" s="1"/>
      <c r="Q2" s="1"/>
      <c r="R2" s="1"/>
      <c r="S2" s="1"/>
      <c r="T2" s="1"/>
      <c r="U2" s="1"/>
      <c r="V2" s="1"/>
      <c r="W2" s="1"/>
      <c r="X2" s="1"/>
      <c r="Y2" s="1"/>
      <c r="Z2" s="1"/>
      <c r="AA2" s="1"/>
      <c r="AB2" s="1"/>
      <c r="AC2" s="1"/>
      <c r="AD2" s="1"/>
      <c r="AE2" s="1"/>
      <c r="AF2" s="1" t="str">
        <f>IFERROR(__xludf.DUMMYFUNCTION("""COMPUTED_VALUE"""),"++When dealing damage with an instrument you will regain sp equal to the damage you caused.")</f>
        <v>++When dealing damage with an instrument you will regain sp equal to the damage you caused.</v>
      </c>
      <c r="AG2" s="1" t="str">
        <f>IFERROR(__xludf.DUMMYFUNCTION("""COMPUTED_VALUE"""),"Land of Spira")</f>
        <v>Land of Spira</v>
      </c>
      <c r="AH2" s="1" t="b">
        <f>IFERROR(__xludf.DUMMYFUNCTION("""COMPUTED_VALUE"""),FALSE)</f>
        <v>0</v>
      </c>
    </row>
    <row r="3">
      <c r="A3" s="1" t="str">
        <f>IFERROR(__xludf.DUMMYFUNCTION("""COMPUTED_VALUE"""),"""Sweetheart"" Guitar of The Upside Down")</f>
        <v>"Sweetheart" Guitar of The Upside Down</v>
      </c>
      <c r="B3" s="1" t="str">
        <f>IFERROR(__xludf.DUMMYFUNCTION("""COMPUTED_VALUE"""),"Hand")</f>
        <v>Hand</v>
      </c>
      <c r="C3" s="1"/>
      <c r="D3" s="1" t="str">
        <f>IFERROR(__xludf.DUMMYFUNCTION("""COMPUTED_VALUE"""),"Instrument")</f>
        <v>Instrument</v>
      </c>
      <c r="E3" s="1">
        <f>IFERROR(__xludf.DUMMYFUNCTION("""COMPUTED_VALUE"""),200.0)</f>
        <v>200</v>
      </c>
      <c r="F3" s="2">
        <f>IFERROR(__xludf.DUMMYFUNCTION("""COMPUTED_VALUE"""),1900000.0)</f>
        <v>1900000</v>
      </c>
      <c r="G3" s="1" t="str">
        <f>IFERROR(__xludf.DUMMYFUNCTION("""COMPUTED_VALUE"""),"DMG")</f>
        <v>DMG</v>
      </c>
      <c r="H3" s="3">
        <f>IFERROR(__xludf.DUMMYFUNCTION("""COMPUTED_VALUE"""),2500.0)</f>
        <v>2500</v>
      </c>
      <c r="I3" s="3">
        <f>IFERROR(__xludf.DUMMYFUNCTION("""COMPUTED_VALUE"""),2500.0)</f>
        <v>2500</v>
      </c>
      <c r="J3" s="1"/>
      <c r="K3" s="1"/>
      <c r="L3" s="1"/>
      <c r="M3" s="1"/>
      <c r="N3" s="1"/>
      <c r="O3" s="3">
        <f>IFERROR(__xludf.DUMMYFUNCTION("""COMPUTED_VALUE"""),2500.0)</f>
        <v>2500</v>
      </c>
      <c r="P3" s="1"/>
      <c r="Q3" s="1"/>
      <c r="R3" s="3">
        <f>IFERROR(__xludf.DUMMYFUNCTION("""COMPUTED_VALUE"""),2500.0)</f>
        <v>2500</v>
      </c>
      <c r="S3" s="1"/>
      <c r="T3" s="1"/>
      <c r="U3" s="1"/>
      <c r="V3" s="1"/>
      <c r="W3" s="1"/>
      <c r="X3" s="1"/>
      <c r="Y3" s="1"/>
      <c r="Z3" s="1"/>
      <c r="AA3" s="1"/>
      <c r="AB3" s="1"/>
      <c r="AC3" s="1"/>
      <c r="AD3" s="1"/>
      <c r="AE3" s="1"/>
      <c r="AF3" s="1" t="str">
        <f>IFERROR(__xludf.DUMMYFUNCTION("""COMPUTED_VALUE"""),"++This instrument will deal X2 damage while it's equipped. ++Any spells that deal damage for the user will now do an additional X2. ++25% chance to port the target you hit to a random location.")</f>
        <v>++This instrument will deal X2 damage while it's equipped. ++Any spells that deal damage for the user will now do an additional X2. ++25% chance to port the target you hit to a random location.</v>
      </c>
      <c r="AG3" s="1" t="str">
        <f>IFERROR(__xludf.DUMMYFUNCTION("""COMPUTED_VALUE"""),"Land of Spira")</f>
        <v>Land of Spira</v>
      </c>
      <c r="AH3" s="1" t="b">
        <f>IFERROR(__xludf.DUMMYFUNCTION("""COMPUTED_VALUE"""),FALSE)</f>
        <v>0</v>
      </c>
    </row>
    <row r="4">
      <c r="A4" s="1" t="str">
        <f>IFERROR(__xludf.DUMMYFUNCTION("""COMPUTED_VALUE"""),"Alpha Sword")</f>
        <v>Alpha Sword</v>
      </c>
      <c r="B4" s="1" t="str">
        <f>IFERROR(__xludf.DUMMYFUNCTION("""COMPUTED_VALUE"""),"Hand")</f>
        <v>Hand</v>
      </c>
      <c r="C4" s="1"/>
      <c r="D4" s="1" t="str">
        <f>IFERROR(__xludf.DUMMYFUNCTION("""COMPUTED_VALUE"""),"Sword")</f>
        <v>Sword</v>
      </c>
      <c r="E4" s="1">
        <f>IFERROR(__xludf.DUMMYFUNCTION("""COMPUTED_VALUE"""),4000.0)</f>
        <v>4000</v>
      </c>
      <c r="F4" s="2">
        <f>IFERROR(__xludf.DUMMYFUNCTION("""COMPUTED_VALUE"""),7.98E8)</f>
        <v>798000000</v>
      </c>
      <c r="G4" s="1" t="str">
        <f>IFERROR(__xludf.DUMMYFUNCTION("""COMPUTED_VALUE"""),"DMG")</f>
        <v>DMG</v>
      </c>
      <c r="H4" s="3">
        <f>IFERROR(__xludf.DUMMYFUNCTION("""COMPUTED_VALUE"""),100000.0)</f>
        <v>100000</v>
      </c>
      <c r="I4" s="1"/>
      <c r="J4" s="1"/>
      <c r="K4" s="1"/>
      <c r="L4" s="1"/>
      <c r="M4" s="1"/>
      <c r="N4" s="1"/>
      <c r="O4" s="3">
        <f>IFERROR(__xludf.DUMMYFUNCTION("""COMPUTED_VALUE"""),100000.0)</f>
        <v>100000</v>
      </c>
      <c r="P4" s="1"/>
      <c r="Q4" s="1"/>
      <c r="R4" s="1"/>
      <c r="S4" s="1"/>
      <c r="T4" s="1"/>
      <c r="U4" s="1"/>
      <c r="V4" s="1"/>
      <c r="W4" s="1"/>
      <c r="X4" s="1"/>
      <c r="Y4" s="1"/>
      <c r="Z4" s="1"/>
      <c r="AA4" s="1"/>
      <c r="AB4" s="1"/>
      <c r="AC4" s="1"/>
      <c r="AD4" s="1"/>
      <c r="AE4" s="1"/>
      <c r="AF4" s="1" t="str">
        <f>IFERROR(__xludf.DUMMYFUNCTION("""COMPUTED_VALUE"""),"++If you kill an enemy using this weapon you may attack another enemy once more using this weapon on the same turn but this can only be done once per turn.")</f>
        <v>++If you kill an enemy using this weapon you may attack another enemy once more using this weapon on the same turn but this can only be done once per turn.</v>
      </c>
      <c r="AG4" s="1" t="str">
        <f>IFERROR(__xludf.DUMMYFUNCTION("""COMPUTED_VALUE"""),"Abstara")</f>
        <v>Abstara</v>
      </c>
      <c r="AH4" s="1" t="b">
        <f>IFERROR(__xludf.DUMMYFUNCTION("""COMPUTED_VALUE"""),FALSE)</f>
        <v>0</v>
      </c>
    </row>
    <row r="5">
      <c r="A5" s="1" t="str">
        <f>IFERROR(__xludf.DUMMYFUNCTION("""COMPUTED_VALUE"""),"Ancient Colossus Forest Hammer")</f>
        <v>Ancient Colossus Forest Hammer</v>
      </c>
      <c r="B5" s="1" t="str">
        <f>IFERROR(__xludf.DUMMYFUNCTION("""COMPUTED_VALUE"""),"Hand")</f>
        <v>Hand</v>
      </c>
      <c r="C5" s="1"/>
      <c r="D5" s="1" t="str">
        <f>IFERROR(__xludf.DUMMYFUNCTION("""COMPUTED_VALUE"""),"Club")</f>
        <v>Club</v>
      </c>
      <c r="E5" s="1">
        <f>IFERROR(__xludf.DUMMYFUNCTION("""COMPUTED_VALUE"""),700.0)</f>
        <v>700</v>
      </c>
      <c r="F5" s="2">
        <f>IFERROR(__xludf.DUMMYFUNCTION("""COMPUTED_VALUE"""),2.415E7)</f>
        <v>24150000</v>
      </c>
      <c r="G5" s="1" t="str">
        <f>IFERROR(__xludf.DUMMYFUNCTION("""COMPUTED_VALUE"""),"DMG")</f>
        <v>DMG</v>
      </c>
      <c r="H5" s="1">
        <f>IFERROR(__xludf.DUMMYFUNCTION("""COMPUTED_VALUE"""),25000.0)</f>
        <v>25000</v>
      </c>
      <c r="I5" s="1"/>
      <c r="J5" s="1"/>
      <c r="K5" s="1"/>
      <c r="L5" s="1"/>
      <c r="M5" s="1"/>
      <c r="N5" s="1"/>
      <c r="O5" s="1"/>
      <c r="P5" s="1"/>
      <c r="Q5" s="1"/>
      <c r="R5" s="1"/>
      <c r="S5" s="1">
        <f>IFERROR(__xludf.DUMMYFUNCTION("""COMPUTED_VALUE"""),10000.0)</f>
        <v>10000</v>
      </c>
      <c r="T5" s="1"/>
      <c r="U5" s="1"/>
      <c r="V5" s="1"/>
      <c r="W5" s="1"/>
      <c r="X5" s="1"/>
      <c r="Y5" s="1"/>
      <c r="Z5" s="1"/>
      <c r="AA5" s="1"/>
      <c r="AB5" s="1"/>
      <c r="AC5" s="1"/>
      <c r="AD5" s="1"/>
      <c r="AE5" s="1"/>
      <c r="AF5" s="1" t="str">
        <f>IFERROR(__xludf.DUMMYFUNCTION("""COMPUTED_VALUE"""),"++When in a Natural environment all attacks with this weapon will roll twice and take the higher number")</f>
        <v>++When in a Natural environment all attacks with this weapon will roll twice and take the higher number</v>
      </c>
      <c r="AG5" s="1" t="str">
        <f>IFERROR(__xludf.DUMMYFUNCTION("""COMPUTED_VALUE"""),"Land of Spira")</f>
        <v>Land of Spira</v>
      </c>
      <c r="AH5" s="1" t="b">
        <f>IFERROR(__xludf.DUMMYFUNCTION("""COMPUTED_VALUE"""),FALSE)</f>
        <v>0</v>
      </c>
    </row>
    <row r="6">
      <c r="A6" s="1" t="str">
        <f>IFERROR(__xludf.DUMMYFUNCTION("""COMPUTED_VALUE"""),"Ancient Samurai Sword")</f>
        <v>Ancient Samurai Sword</v>
      </c>
      <c r="B6" s="1" t="str">
        <f>IFERROR(__xludf.DUMMYFUNCTION("""COMPUTED_VALUE"""),"Hand")</f>
        <v>Hand</v>
      </c>
      <c r="C6" s="1"/>
      <c r="D6" s="1" t="str">
        <f>IFERROR(__xludf.DUMMYFUNCTION("""COMPUTED_VALUE"""),"Sword")</f>
        <v>Sword</v>
      </c>
      <c r="E6" s="1">
        <f>IFERROR(__xludf.DUMMYFUNCTION("""COMPUTED_VALUE"""),800.0)</f>
        <v>800</v>
      </c>
      <c r="F6" s="2">
        <f>IFERROR(__xludf.DUMMYFUNCTION("""COMPUTED_VALUE"""),3.16E7)</f>
        <v>31600000</v>
      </c>
      <c r="G6" s="1" t="str">
        <f>IFERROR(__xludf.DUMMYFUNCTION("""COMPUTED_VALUE"""),"DMG")</f>
        <v>DMG</v>
      </c>
      <c r="H6" s="3">
        <f>IFERROR(__xludf.DUMMYFUNCTION("""COMPUTED_VALUE"""),10000.0)</f>
        <v>10000</v>
      </c>
      <c r="I6" s="3">
        <f>IFERROR(__xludf.DUMMYFUNCTION("""COMPUTED_VALUE"""),10000.0)</f>
        <v>10000</v>
      </c>
      <c r="J6" s="1"/>
      <c r="K6" s="1"/>
      <c r="L6" s="1"/>
      <c r="M6" s="1"/>
      <c r="N6" s="3">
        <f>IFERROR(__xludf.DUMMYFUNCTION("""COMPUTED_VALUE"""),10000.0)</f>
        <v>10000</v>
      </c>
      <c r="O6" s="1"/>
      <c r="P6" s="1"/>
      <c r="Q6" s="3">
        <f>IFERROR(__xludf.DUMMYFUNCTION("""COMPUTED_VALUE"""),10000.0)</f>
        <v>10000</v>
      </c>
      <c r="R6" s="1"/>
      <c r="S6" s="1"/>
      <c r="T6" s="1"/>
      <c r="U6" s="1"/>
      <c r="V6" s="1"/>
      <c r="W6" s="1"/>
      <c r="X6" s="1"/>
      <c r="Y6" s="1"/>
      <c r="Z6" s="1"/>
      <c r="AA6" s="1"/>
      <c r="AB6" s="1"/>
      <c r="AC6" s="1"/>
      <c r="AD6" s="1"/>
      <c r="AE6" s="1"/>
      <c r="AF6" s="1" t="str">
        <f>IFERROR(__xludf.DUMMYFUNCTION("""COMPUTED_VALUE"""),"++Doubles the chance for the Sword ability to activate")</f>
        <v>++Doubles the chance for the Sword ability to activate</v>
      </c>
      <c r="AG6" s="1" t="str">
        <f>IFERROR(__xludf.DUMMYFUNCTION("""COMPUTED_VALUE"""),"Land of Spira")</f>
        <v>Land of Spira</v>
      </c>
      <c r="AH6" s="1" t="b">
        <f>IFERROR(__xludf.DUMMYFUNCTION("""COMPUTED_VALUE"""),FALSE)</f>
        <v>0</v>
      </c>
    </row>
    <row r="7">
      <c r="A7" s="1" t="str">
        <f>IFERROR(__xludf.DUMMYFUNCTION("""COMPUTED_VALUE"""),"Ancient Stone Guardians Sword")</f>
        <v>Ancient Stone Guardians Sword</v>
      </c>
      <c r="B7" s="1" t="str">
        <f>IFERROR(__xludf.DUMMYFUNCTION("""COMPUTED_VALUE"""),"Hand")</f>
        <v>Hand</v>
      </c>
      <c r="C7" s="1"/>
      <c r="D7" s="1" t="str">
        <f>IFERROR(__xludf.DUMMYFUNCTION("""COMPUTED_VALUE"""),"Sword")</f>
        <v>Sword</v>
      </c>
      <c r="E7" s="1">
        <f>IFERROR(__xludf.DUMMYFUNCTION("""COMPUTED_VALUE"""),1200.0)</f>
        <v>1200</v>
      </c>
      <c r="F7" s="2">
        <f>IFERROR(__xludf.DUMMYFUNCTION("""COMPUTED_VALUE"""),7.14E7)</f>
        <v>71400000</v>
      </c>
      <c r="G7" s="1" t="str">
        <f>IFERROR(__xludf.DUMMYFUNCTION("""COMPUTED_VALUE"""),"DMG")</f>
        <v>DMG</v>
      </c>
      <c r="H7" s="3">
        <f>IFERROR(__xludf.DUMMYFUNCTION("""COMPUTED_VALUE"""),20000.0)</f>
        <v>20000</v>
      </c>
      <c r="I7" s="1"/>
      <c r="J7" s="1"/>
      <c r="K7" s="1"/>
      <c r="L7" s="1"/>
      <c r="M7" s="3">
        <f>IFERROR(__xludf.DUMMYFUNCTION("""COMPUTED_VALUE"""),20000.0)</f>
        <v>20000</v>
      </c>
      <c r="N7" s="3">
        <f>IFERROR(__xludf.DUMMYFUNCTION("""COMPUTED_VALUE"""),20000.0)</f>
        <v>20000</v>
      </c>
      <c r="O7" s="1"/>
      <c r="P7" s="1"/>
      <c r="Q7" s="1"/>
      <c r="R7" s="1"/>
      <c r="S7" s="1"/>
      <c r="T7" s="1"/>
      <c r="U7" s="1"/>
      <c r="V7" s="1"/>
      <c r="W7" s="1"/>
      <c r="X7" s="1"/>
      <c r="Y7" s="1"/>
      <c r="Z7" s="1"/>
      <c r="AA7" s="1"/>
      <c r="AB7" s="1"/>
      <c r="AC7" s="1"/>
      <c r="AD7" s="1"/>
      <c r="AE7" s="1"/>
      <c r="AF7" s="1" t="str">
        <f>IFERROR(__xludf.DUMMYFUNCTION("""COMPUTED_VALUE"""),"++X2 Defense for all allies")</f>
        <v>++X2 Defense for all allies</v>
      </c>
      <c r="AG7" s="1" t="str">
        <f>IFERROR(__xludf.DUMMYFUNCTION("""COMPUTED_VALUE"""),"Land of Spira")</f>
        <v>Land of Spira</v>
      </c>
      <c r="AH7" s="1" t="b">
        <f>IFERROR(__xludf.DUMMYFUNCTION("""COMPUTED_VALUE"""),FALSE)</f>
        <v>0</v>
      </c>
    </row>
    <row r="8">
      <c r="A8" s="1" t="str">
        <f>IFERROR(__xludf.DUMMYFUNCTION("""COMPUTED_VALUE"""),"Aqua Robe")</f>
        <v>Aqua Robe</v>
      </c>
      <c r="B8" s="1" t="str">
        <f>IFERROR(__xludf.DUMMYFUNCTION("""COMPUTED_VALUE"""),"Torso")</f>
        <v>Torso</v>
      </c>
      <c r="C8" s="1"/>
      <c r="D8" s="1"/>
      <c r="E8" s="1">
        <f>IFERROR(__xludf.DUMMYFUNCTION("""COMPUTED_VALUE"""),40.0)</f>
        <v>40</v>
      </c>
      <c r="F8" s="2">
        <f>IFERROR(__xludf.DUMMYFUNCTION("""COMPUTED_VALUE"""),60000.0)</f>
        <v>60000</v>
      </c>
      <c r="G8" s="1" t="str">
        <f>IFERROR(__xludf.DUMMYFUNCTION("""COMPUTED_VALUE"""),"DEF")</f>
        <v>DEF</v>
      </c>
      <c r="H8" s="1">
        <f>IFERROR(__xludf.DUMMYFUNCTION("""COMPUTED_VALUE"""),1000.0)</f>
        <v>1000</v>
      </c>
      <c r="I8" s="1"/>
      <c r="J8" s="1"/>
      <c r="K8" s="1">
        <f>IFERROR(__xludf.DUMMYFUNCTION("""COMPUTED_VALUE"""),1000.0)</f>
        <v>1000</v>
      </c>
      <c r="L8" s="1"/>
      <c r="M8" s="1"/>
      <c r="N8" s="1"/>
      <c r="O8" s="1"/>
      <c r="P8" s="1"/>
      <c r="Q8" s="1"/>
      <c r="R8" s="1"/>
      <c r="S8" s="1"/>
      <c r="T8" s="1"/>
      <c r="U8" s="1"/>
      <c r="V8" s="1"/>
      <c r="W8" s="1"/>
      <c r="X8" s="1"/>
      <c r="Y8" s="1"/>
      <c r="Z8" s="1"/>
      <c r="AA8" s="1"/>
      <c r="AB8" s="1"/>
      <c r="AC8" s="1"/>
      <c r="AD8" s="1"/>
      <c r="AE8" s="1"/>
      <c r="AF8" s="1" t="str">
        <f>IFERROR(__xludf.DUMMYFUNCTION("""COMPUTED_VALUE"""),"++X4 damage additional water damage for the user.")</f>
        <v>++X4 damage additional water damage for the user.</v>
      </c>
      <c r="AG8" s="1" t="str">
        <f>IFERROR(__xludf.DUMMYFUNCTION("""COMPUTED_VALUE"""),"Land of Spira")</f>
        <v>Land of Spira</v>
      </c>
      <c r="AH8" s="1" t="b">
        <f>IFERROR(__xludf.DUMMYFUNCTION("""COMPUTED_VALUE"""),FALSE)</f>
        <v>0</v>
      </c>
    </row>
    <row r="9">
      <c r="A9" s="1" t="str">
        <f>IFERROR(__xludf.DUMMYFUNCTION("""COMPUTED_VALUE"""),"Aquatic Boots of Atlantis")</f>
        <v>Aquatic Boots of Atlantis</v>
      </c>
      <c r="B9" s="1" t="str">
        <f>IFERROR(__xludf.DUMMYFUNCTION("""COMPUTED_VALUE"""),"Feet")</f>
        <v>Feet</v>
      </c>
      <c r="C9" s="1"/>
      <c r="D9" s="1"/>
      <c r="E9" s="1">
        <f>IFERROR(__xludf.DUMMYFUNCTION("""COMPUTED_VALUE"""),300.0)</f>
        <v>300</v>
      </c>
      <c r="F9" s="2">
        <f>IFERROR(__xludf.DUMMYFUNCTION("""COMPUTED_VALUE"""),4350000.0)</f>
        <v>4350000</v>
      </c>
      <c r="G9" s="1" t="str">
        <f>IFERROR(__xludf.DUMMYFUNCTION("""COMPUTED_VALUE"""),"DEF")</f>
        <v>DEF</v>
      </c>
      <c r="H9" s="1">
        <f>IFERROR(__xludf.DUMMYFUNCTION("""COMPUTED_VALUE"""),7500.0)</f>
        <v>7500</v>
      </c>
      <c r="I9" s="1"/>
      <c r="J9" s="1"/>
      <c r="K9" s="1">
        <f>IFERROR(__xludf.DUMMYFUNCTION("""COMPUTED_VALUE"""),7500.0)</f>
        <v>7500</v>
      </c>
      <c r="L9" s="1"/>
      <c r="M9" s="1"/>
      <c r="N9" s="1"/>
      <c r="O9" s="1"/>
      <c r="P9" s="1"/>
      <c r="Q9" s="1"/>
      <c r="R9" s="1"/>
      <c r="S9" s="1"/>
      <c r="T9" s="1"/>
      <c r="U9" s="1"/>
      <c r="V9" s="1"/>
      <c r="W9" s="1"/>
      <c r="X9" s="1"/>
      <c r="Y9" s="1"/>
      <c r="Z9" s="1"/>
      <c r="AA9" s="1"/>
      <c r="AB9" s="1"/>
      <c r="AC9" s="1"/>
      <c r="AD9" s="1"/>
      <c r="AE9" s="1"/>
      <c r="AF9" s="1" t="str">
        <f>IFERROR(__xludf.DUMMYFUNCTION("""COMPUTED_VALUE"""),"++X6 additional water damage for self.")</f>
        <v>++X6 additional water damage for self.</v>
      </c>
      <c r="AG9" s="1" t="str">
        <f>IFERROR(__xludf.DUMMYFUNCTION("""COMPUTED_VALUE"""),"Land of Spira")</f>
        <v>Land of Spira</v>
      </c>
      <c r="AH9" s="1" t="b">
        <f>IFERROR(__xludf.DUMMYFUNCTION("""COMPUTED_VALUE"""),FALSE)</f>
        <v>0</v>
      </c>
    </row>
    <row r="10">
      <c r="A10" s="1" t="str">
        <f>IFERROR(__xludf.DUMMYFUNCTION("""COMPUTED_VALUE"""),"Aquatic Chestplate of Atlantis")</f>
        <v>Aquatic Chestplate of Atlantis</v>
      </c>
      <c r="B10" s="1" t="str">
        <f>IFERROR(__xludf.DUMMYFUNCTION("""COMPUTED_VALUE"""),"Torso")</f>
        <v>Torso</v>
      </c>
      <c r="C10" s="1"/>
      <c r="D10" s="1"/>
      <c r="E10" s="1">
        <f>IFERROR(__xludf.DUMMYFUNCTION("""COMPUTED_VALUE"""),600.0)</f>
        <v>600</v>
      </c>
      <c r="F10" s="2">
        <f>IFERROR(__xludf.DUMMYFUNCTION("""COMPUTED_VALUE"""),1.77E7)</f>
        <v>17700000</v>
      </c>
      <c r="G10" s="1" t="str">
        <f>IFERROR(__xludf.DUMMYFUNCTION("""COMPUTED_VALUE"""),"DEF")</f>
        <v>DEF</v>
      </c>
      <c r="H10" s="3">
        <f>IFERROR(__xludf.DUMMYFUNCTION("""COMPUTED_VALUE"""),15000.0)</f>
        <v>15000</v>
      </c>
      <c r="I10" s="1"/>
      <c r="J10" s="1"/>
      <c r="K10" s="3">
        <f>IFERROR(__xludf.DUMMYFUNCTION("""COMPUTED_VALUE"""),15000.0)</f>
        <v>15000</v>
      </c>
      <c r="L10" s="1"/>
      <c r="M10" s="1"/>
      <c r="N10" s="1"/>
      <c r="O10" s="1"/>
      <c r="P10" s="1"/>
      <c r="Q10" s="1"/>
      <c r="R10" s="1"/>
      <c r="S10" s="1"/>
      <c r="T10" s="1"/>
      <c r="U10" s="1"/>
      <c r="V10" s="1"/>
      <c r="W10" s="1"/>
      <c r="X10" s="1"/>
      <c r="Y10" s="1"/>
      <c r="Z10" s="1"/>
      <c r="AA10" s="1"/>
      <c r="AB10" s="1"/>
      <c r="AC10" s="1"/>
      <c r="AD10" s="1"/>
      <c r="AE10" s="1"/>
      <c r="AF10" s="1" t="str">
        <f>IFERROR(__xludf.DUMMYFUNCTION("""COMPUTED_VALUE"""),"++X6 additional water damage for self.  ++X8 Defense for self and allies if you have all Aquatic Atlantis Equipment Equipped.")</f>
        <v>++X6 additional water damage for self.  ++X8 Defense for self and allies if you have all Aquatic Atlantis Equipment Equipped.</v>
      </c>
      <c r="AG10" s="1" t="str">
        <f>IFERROR(__xludf.DUMMYFUNCTION("""COMPUTED_VALUE"""),"Land of Spira")</f>
        <v>Land of Spira</v>
      </c>
      <c r="AH10" s="1" t="b">
        <f>IFERROR(__xludf.DUMMYFUNCTION("""COMPUTED_VALUE"""),FALSE)</f>
        <v>0</v>
      </c>
    </row>
    <row r="11">
      <c r="A11" s="1" t="str">
        <f>IFERROR(__xludf.DUMMYFUNCTION("""COMPUTED_VALUE"""),"Aquatic Greaves of Atlantis")</f>
        <v>Aquatic Greaves of Atlantis</v>
      </c>
      <c r="B11" s="1" t="str">
        <f>IFERROR(__xludf.DUMMYFUNCTION("""COMPUTED_VALUE"""),"Legs")</f>
        <v>Legs</v>
      </c>
      <c r="C11" s="1"/>
      <c r="D11" s="1"/>
      <c r="E11" s="1">
        <f>IFERROR(__xludf.DUMMYFUNCTION("""COMPUTED_VALUE"""),300.0)</f>
        <v>300</v>
      </c>
      <c r="F11" s="2">
        <f>IFERROR(__xludf.DUMMYFUNCTION("""COMPUTED_VALUE"""),4350000.0)</f>
        <v>4350000</v>
      </c>
      <c r="G11" s="1" t="str">
        <f>IFERROR(__xludf.DUMMYFUNCTION("""COMPUTED_VALUE"""),"DEF")</f>
        <v>DEF</v>
      </c>
      <c r="H11" s="1">
        <f>IFERROR(__xludf.DUMMYFUNCTION("""COMPUTED_VALUE"""),7500.0)</f>
        <v>7500</v>
      </c>
      <c r="I11" s="1"/>
      <c r="J11" s="1"/>
      <c r="K11" s="1">
        <f>IFERROR(__xludf.DUMMYFUNCTION("""COMPUTED_VALUE"""),7500.0)</f>
        <v>7500</v>
      </c>
      <c r="L11" s="1"/>
      <c r="M11" s="1"/>
      <c r="N11" s="1"/>
      <c r="O11" s="1"/>
      <c r="P11" s="1"/>
      <c r="Q11" s="1"/>
      <c r="R11" s="1"/>
      <c r="S11" s="1"/>
      <c r="T11" s="1"/>
      <c r="U11" s="1"/>
      <c r="V11" s="1"/>
      <c r="W11" s="1"/>
      <c r="X11" s="1"/>
      <c r="Y11" s="1"/>
      <c r="Z11" s="1"/>
      <c r="AA11" s="1"/>
      <c r="AB11" s="1"/>
      <c r="AC11" s="1"/>
      <c r="AD11" s="1"/>
      <c r="AE11" s="1"/>
      <c r="AF11" s="1" t="str">
        <f>IFERROR(__xludf.DUMMYFUNCTION("""COMPUTED_VALUE"""),"++X6 additional water damage for self.")</f>
        <v>++X6 additional water damage for self.</v>
      </c>
      <c r="AG11" s="1" t="str">
        <f>IFERROR(__xludf.DUMMYFUNCTION("""COMPUTED_VALUE"""),"Land of Spira")</f>
        <v>Land of Spira</v>
      </c>
      <c r="AH11" s="1" t="b">
        <f>IFERROR(__xludf.DUMMYFUNCTION("""COMPUTED_VALUE"""),FALSE)</f>
        <v>0</v>
      </c>
    </row>
    <row r="12">
      <c r="A12" s="1" t="str">
        <f>IFERROR(__xludf.DUMMYFUNCTION("""COMPUTED_VALUE"""),"Aquatic Helmet of Atlantis")</f>
        <v>Aquatic Helmet of Atlantis</v>
      </c>
      <c r="B12" s="1" t="str">
        <f>IFERROR(__xludf.DUMMYFUNCTION("""COMPUTED_VALUE"""),"Head")</f>
        <v>Head</v>
      </c>
      <c r="C12" s="1"/>
      <c r="D12" s="1"/>
      <c r="E12" s="1">
        <f>IFERROR(__xludf.DUMMYFUNCTION("""COMPUTED_VALUE"""),300.0)</f>
        <v>300</v>
      </c>
      <c r="F12" s="2">
        <f>IFERROR(__xludf.DUMMYFUNCTION("""COMPUTED_VALUE"""),4350000.0)</f>
        <v>4350000</v>
      </c>
      <c r="G12" s="1" t="str">
        <f>IFERROR(__xludf.DUMMYFUNCTION("""COMPUTED_VALUE"""),"DEF")</f>
        <v>DEF</v>
      </c>
      <c r="H12" s="1">
        <f>IFERROR(__xludf.DUMMYFUNCTION("""COMPUTED_VALUE"""),7500.0)</f>
        <v>7500</v>
      </c>
      <c r="I12" s="1"/>
      <c r="J12" s="1"/>
      <c r="K12" s="1">
        <f>IFERROR(__xludf.DUMMYFUNCTION("""COMPUTED_VALUE"""),7500.0)</f>
        <v>7500</v>
      </c>
      <c r="L12" s="1"/>
      <c r="M12" s="1"/>
      <c r="N12" s="1"/>
      <c r="O12" s="1"/>
      <c r="P12" s="1"/>
      <c r="Q12" s="1"/>
      <c r="R12" s="1"/>
      <c r="S12" s="1"/>
      <c r="T12" s="1"/>
      <c r="U12" s="1"/>
      <c r="V12" s="1"/>
      <c r="W12" s="1"/>
      <c r="X12" s="1"/>
      <c r="Y12" s="1"/>
      <c r="Z12" s="1"/>
      <c r="AA12" s="1"/>
      <c r="AB12" s="1"/>
      <c r="AC12" s="1"/>
      <c r="AD12" s="1"/>
      <c r="AE12" s="1"/>
      <c r="AF12" s="1" t="str">
        <f>IFERROR(__xludf.DUMMYFUNCTION("""COMPUTED_VALUE"""),"++X6 additional water damage for self.")</f>
        <v>++X6 additional water damage for self.</v>
      </c>
      <c r="AG12" s="1" t="str">
        <f>IFERROR(__xludf.DUMMYFUNCTION("""COMPUTED_VALUE"""),"Land of Spira")</f>
        <v>Land of Spira</v>
      </c>
      <c r="AH12" s="1" t="b">
        <f>IFERROR(__xludf.DUMMYFUNCTION("""COMPUTED_VALUE"""),FALSE)</f>
        <v>0</v>
      </c>
    </row>
    <row r="13">
      <c r="A13" s="1" t="str">
        <f>IFERROR(__xludf.DUMMYFUNCTION("""COMPUTED_VALUE"""),"Aquatic Pauldrons of Atlantis")</f>
        <v>Aquatic Pauldrons of Atlantis</v>
      </c>
      <c r="B13" s="1" t="str">
        <f>IFERROR(__xludf.DUMMYFUNCTION("""COMPUTED_VALUE"""),"Shoulders")</f>
        <v>Shoulders</v>
      </c>
      <c r="C13" s="1"/>
      <c r="D13" s="1"/>
      <c r="E13" s="1">
        <f>IFERROR(__xludf.DUMMYFUNCTION("""COMPUTED_VALUE"""),300.0)</f>
        <v>300</v>
      </c>
      <c r="F13" s="2">
        <f>IFERROR(__xludf.DUMMYFUNCTION("""COMPUTED_VALUE"""),4350000.0)</f>
        <v>4350000</v>
      </c>
      <c r="G13" s="1" t="str">
        <f>IFERROR(__xludf.DUMMYFUNCTION("""COMPUTED_VALUE"""),"DEF")</f>
        <v>DEF</v>
      </c>
      <c r="H13" s="1">
        <f>IFERROR(__xludf.DUMMYFUNCTION("""COMPUTED_VALUE"""),7500.0)</f>
        <v>7500</v>
      </c>
      <c r="I13" s="1"/>
      <c r="J13" s="1"/>
      <c r="K13" s="1">
        <f>IFERROR(__xludf.DUMMYFUNCTION("""COMPUTED_VALUE"""),7500.0)</f>
        <v>7500</v>
      </c>
      <c r="L13" s="1"/>
      <c r="M13" s="1"/>
      <c r="N13" s="1"/>
      <c r="O13" s="1"/>
      <c r="P13" s="1"/>
      <c r="Q13" s="1"/>
      <c r="R13" s="1"/>
      <c r="S13" s="1"/>
      <c r="T13" s="1"/>
      <c r="U13" s="1"/>
      <c r="V13" s="1"/>
      <c r="W13" s="1"/>
      <c r="X13" s="1"/>
      <c r="Y13" s="1"/>
      <c r="Z13" s="1"/>
      <c r="AA13" s="1"/>
      <c r="AB13" s="1"/>
      <c r="AC13" s="1"/>
      <c r="AD13" s="1"/>
      <c r="AE13" s="1"/>
      <c r="AF13" s="1" t="str">
        <f>IFERROR(__xludf.DUMMYFUNCTION("""COMPUTED_VALUE"""),"++X6 additional water damage for self.")</f>
        <v>++X6 additional water damage for self.</v>
      </c>
      <c r="AG13" s="1" t="str">
        <f>IFERROR(__xludf.DUMMYFUNCTION("""COMPUTED_VALUE"""),"Land of Spira")</f>
        <v>Land of Spira</v>
      </c>
      <c r="AH13" s="1" t="b">
        <f>IFERROR(__xludf.DUMMYFUNCTION("""COMPUTED_VALUE"""),FALSE)</f>
        <v>0</v>
      </c>
    </row>
    <row r="14">
      <c r="A14" s="1" t="str">
        <f>IFERROR(__xludf.DUMMYFUNCTION("""COMPUTED_VALUE"""),"Aquatic Sword of Atlantis")</f>
        <v>Aquatic Sword of Atlantis</v>
      </c>
      <c r="B14" s="1" t="str">
        <f>IFERROR(__xludf.DUMMYFUNCTION("""COMPUTED_VALUE"""),"Hand")</f>
        <v>Hand</v>
      </c>
      <c r="C14" s="1"/>
      <c r="D14" s="1" t="str">
        <f>IFERROR(__xludf.DUMMYFUNCTION("""COMPUTED_VALUE"""),"Sword")</f>
        <v>Sword</v>
      </c>
      <c r="E14" s="1">
        <f>IFERROR(__xludf.DUMMYFUNCTION("""COMPUTED_VALUE"""),1200.0)</f>
        <v>1200</v>
      </c>
      <c r="F14" s="2">
        <f>IFERROR(__xludf.DUMMYFUNCTION("""COMPUTED_VALUE"""),7.14E7)</f>
        <v>71400000</v>
      </c>
      <c r="G14" s="1" t="str">
        <f>IFERROR(__xludf.DUMMYFUNCTION("""COMPUTED_VALUE"""),"DMG")</f>
        <v>DMG</v>
      </c>
      <c r="H14" s="3">
        <f>IFERROR(__xludf.DUMMYFUNCTION("""COMPUTED_VALUE"""),30000.0)</f>
        <v>30000</v>
      </c>
      <c r="I14" s="1"/>
      <c r="J14" s="1"/>
      <c r="K14" s="3">
        <f>IFERROR(__xludf.DUMMYFUNCTION("""COMPUTED_VALUE"""),30000.0)</f>
        <v>30000</v>
      </c>
      <c r="L14" s="1"/>
      <c r="M14" s="1"/>
      <c r="N14" s="1"/>
      <c r="O14" s="1"/>
      <c r="P14" s="1"/>
      <c r="Q14" s="1"/>
      <c r="R14" s="1"/>
      <c r="S14" s="1"/>
      <c r="T14" s="1"/>
      <c r="U14" s="1"/>
      <c r="V14" s="1"/>
      <c r="W14" s="1"/>
      <c r="X14" s="1"/>
      <c r="Y14" s="1"/>
      <c r="Z14" s="1"/>
      <c r="AA14" s="1"/>
      <c r="AB14" s="1"/>
      <c r="AC14" s="1"/>
      <c r="AD14" s="1"/>
      <c r="AE14" s="1"/>
      <c r="AF14" s="1" t="str">
        <f>IFERROR(__xludf.DUMMYFUNCTION("""COMPUTED_VALUE"""),"++X6 additional water damage for self, ++Tides of Atlantis: Upon a successful hit this weapon has a 50% chance to cast Tsunami for no sp cost. Cannot be duplicated.")</f>
        <v>++X6 additional water damage for self, ++Tides of Atlantis: Upon a successful hit this weapon has a 50% chance to cast Tsunami for no sp cost. Cannot be duplicated.</v>
      </c>
      <c r="AG14" s="1" t="str">
        <f>IFERROR(__xludf.DUMMYFUNCTION("""COMPUTED_VALUE"""),"Land of Spira")</f>
        <v>Land of Spira</v>
      </c>
      <c r="AH14" s="1" t="b">
        <f>IFERROR(__xludf.DUMMYFUNCTION("""COMPUTED_VALUE"""),FALSE)</f>
        <v>0</v>
      </c>
    </row>
    <row r="15">
      <c r="A15" s="1" t="str">
        <f>IFERROR(__xludf.DUMMYFUNCTION("""COMPUTED_VALUE"""),"Aquatic Vambraces of Atlantis")</f>
        <v>Aquatic Vambraces of Atlantis</v>
      </c>
      <c r="B15" s="1" t="str">
        <f>IFERROR(__xludf.DUMMYFUNCTION("""COMPUTED_VALUE"""),"Arms")</f>
        <v>Arms</v>
      </c>
      <c r="C15" s="1"/>
      <c r="D15" s="1"/>
      <c r="E15" s="1">
        <f>IFERROR(__xludf.DUMMYFUNCTION("""COMPUTED_VALUE"""),300.0)</f>
        <v>300</v>
      </c>
      <c r="F15" s="2">
        <f>IFERROR(__xludf.DUMMYFUNCTION("""COMPUTED_VALUE"""),4350000.0)</f>
        <v>4350000</v>
      </c>
      <c r="G15" s="1" t="str">
        <f>IFERROR(__xludf.DUMMYFUNCTION("""COMPUTED_VALUE"""),"DEF")</f>
        <v>DEF</v>
      </c>
      <c r="H15" s="1">
        <f>IFERROR(__xludf.DUMMYFUNCTION("""COMPUTED_VALUE"""),7500.0)</f>
        <v>7500</v>
      </c>
      <c r="I15" s="1"/>
      <c r="J15" s="1"/>
      <c r="K15" s="1">
        <f>IFERROR(__xludf.DUMMYFUNCTION("""COMPUTED_VALUE"""),7500.0)</f>
        <v>7500</v>
      </c>
      <c r="L15" s="1"/>
      <c r="M15" s="1"/>
      <c r="N15" s="1"/>
      <c r="O15" s="1"/>
      <c r="P15" s="1"/>
      <c r="Q15" s="1"/>
      <c r="R15" s="1"/>
      <c r="S15" s="1"/>
      <c r="T15" s="1"/>
      <c r="U15" s="1"/>
      <c r="V15" s="1"/>
      <c r="W15" s="1"/>
      <c r="X15" s="1"/>
      <c r="Y15" s="1"/>
      <c r="Z15" s="1"/>
      <c r="AA15" s="1"/>
      <c r="AB15" s="1"/>
      <c r="AC15" s="1"/>
      <c r="AD15" s="1"/>
      <c r="AE15" s="1"/>
      <c r="AF15" s="1" t="str">
        <f>IFERROR(__xludf.DUMMYFUNCTION("""COMPUTED_VALUE"""),"X6 additional water damage for self.")</f>
        <v>X6 additional water damage for self.</v>
      </c>
      <c r="AG15" s="1" t="str">
        <f>IFERROR(__xludf.DUMMYFUNCTION("""COMPUTED_VALUE"""),"Land of Spira")</f>
        <v>Land of Spira</v>
      </c>
      <c r="AH15" s="1" t="b">
        <f>IFERROR(__xludf.DUMMYFUNCTION("""COMPUTED_VALUE"""),FALSE)</f>
        <v>0</v>
      </c>
    </row>
    <row r="16">
      <c r="A16" s="1" t="str">
        <f>IFERROR(__xludf.DUMMYFUNCTION("""COMPUTED_VALUE"""),"Archer’s Cloaked Vest")</f>
        <v>Archer’s Cloaked Vest</v>
      </c>
      <c r="B16" s="1" t="str">
        <f>IFERROR(__xludf.DUMMYFUNCTION("""COMPUTED_VALUE"""),"Torso")</f>
        <v>Torso</v>
      </c>
      <c r="C16" s="1"/>
      <c r="D16" s="1"/>
      <c r="E16" s="1">
        <f>IFERROR(__xludf.DUMMYFUNCTION("""COMPUTED_VALUE"""),20.0)</f>
        <v>20</v>
      </c>
      <c r="F16" s="2">
        <f>IFERROR(__xludf.DUMMYFUNCTION("""COMPUTED_VALUE"""),1000.0)</f>
        <v>1000</v>
      </c>
      <c r="G16" s="1" t="str">
        <f>IFERROR(__xludf.DUMMYFUNCTION("""COMPUTED_VALUE"""),"DEF")</f>
        <v>DEF</v>
      </c>
      <c r="H16" s="1">
        <f>IFERROR(__xludf.DUMMYFUNCTION("""COMPUTED_VALUE"""),800.0)</f>
        <v>800</v>
      </c>
      <c r="I16" s="1"/>
      <c r="J16" s="1"/>
      <c r="K16" s="1"/>
      <c r="L16" s="1"/>
      <c r="M16" s="1"/>
      <c r="N16" s="1"/>
      <c r="O16" s="1"/>
      <c r="P16" s="1"/>
      <c r="Q16" s="1"/>
      <c r="R16" s="1"/>
      <c r="S16" s="1"/>
      <c r="T16" s="1"/>
      <c r="U16" s="1"/>
      <c r="V16" s="1"/>
      <c r="W16" s="1"/>
      <c r="X16" s="1"/>
      <c r="Y16" s="1"/>
      <c r="Z16" s="1"/>
      <c r="AA16" s="1"/>
      <c r="AB16" s="1"/>
      <c r="AC16" s="1"/>
      <c r="AD16" s="1"/>
      <c r="AE16" s="1"/>
      <c r="AF16" s="1" t="str">
        <f>IFERROR(__xludf.DUMMYFUNCTION("""COMPUTED_VALUE"""),"(Ranger Set) ++Half the Arrow - Range Spells cost half the sp cost, ++Ranger Enrage - All Ranged Spells do double in damage ++only archers can equip")</f>
        <v>(Ranger Set) ++Half the Arrow - Range Spells cost half the sp cost, ++Ranger Enrage - All Ranged Spells do double in damage ++only archers can equip</v>
      </c>
      <c r="AG16" s="1" t="str">
        <f>IFERROR(__xludf.DUMMYFUNCTION("""COMPUTED_VALUE"""),"Land of Spira")</f>
        <v>Land of Spira</v>
      </c>
      <c r="AH16" s="1" t="b">
        <f>IFERROR(__xludf.DUMMYFUNCTION("""COMPUTED_VALUE"""),FALSE)</f>
        <v>0</v>
      </c>
    </row>
    <row r="17">
      <c r="A17" s="1" t="str">
        <f>IFERROR(__xludf.DUMMYFUNCTION("""COMPUTED_VALUE"""),"Archers Boots")</f>
        <v>Archers Boots</v>
      </c>
      <c r="B17" s="1" t="str">
        <f>IFERROR(__xludf.DUMMYFUNCTION("""COMPUTED_VALUE"""),"Feet")</f>
        <v>Feet</v>
      </c>
      <c r="C17" s="1"/>
      <c r="D17" s="1"/>
      <c r="E17" s="1">
        <f>IFERROR(__xludf.DUMMYFUNCTION("""COMPUTED_VALUE"""),1.0)</f>
        <v>1</v>
      </c>
      <c r="F17" s="2">
        <f>IFERROR(__xludf.DUMMYFUNCTION("""COMPUTED_VALUE"""),0.0)</f>
        <v>0</v>
      </c>
      <c r="G17" s="1"/>
      <c r="H17" s="1"/>
      <c r="I17" s="1"/>
      <c r="J17" s="1"/>
      <c r="K17" s="1"/>
      <c r="L17" s="1"/>
      <c r="M17" s="1"/>
      <c r="N17" s="1"/>
      <c r="O17" s="1"/>
      <c r="P17" s="1"/>
      <c r="Q17" s="1"/>
      <c r="R17" s="1"/>
      <c r="S17" s="1"/>
      <c r="T17" s="1"/>
      <c r="U17" s="1"/>
      <c r="V17" s="1"/>
      <c r="W17" s="1"/>
      <c r="X17" s="1"/>
      <c r="Y17" s="1"/>
      <c r="Z17" s="1"/>
      <c r="AA17" s="1"/>
      <c r="AB17" s="1"/>
      <c r="AC17" s="1"/>
      <c r="AD17" s="1"/>
      <c r="AE17" s="1"/>
      <c r="AF17" s="1" t="str">
        <f>IFERROR(__xludf.DUMMYFUNCTION("""COMPUTED_VALUE"""),"(Ranger Set) ++5 evasion ++Only archers can equip, +-Cannot be duplicated or forged.")</f>
        <v>(Ranger Set) ++5 evasion ++Only archers can equip, +-Cannot be duplicated or forged.</v>
      </c>
      <c r="AG17" s="1" t="str">
        <f>IFERROR(__xludf.DUMMYFUNCTION("""COMPUTED_VALUE"""),"Land of Spira")</f>
        <v>Land of Spira</v>
      </c>
      <c r="AH17" s="1" t="b">
        <f>IFERROR(__xludf.DUMMYFUNCTION("""COMPUTED_VALUE"""),FALSE)</f>
        <v>0</v>
      </c>
    </row>
    <row r="18">
      <c r="A18" s="1" t="str">
        <f>IFERROR(__xludf.DUMMYFUNCTION("""COMPUTED_VALUE"""),"Archers Cloak")</f>
        <v>Archers Cloak</v>
      </c>
      <c r="B18" s="1" t="str">
        <f>IFERROR(__xludf.DUMMYFUNCTION("""COMPUTED_VALUE"""),"Torso")</f>
        <v>Torso</v>
      </c>
      <c r="C18" s="1"/>
      <c r="D18" s="1"/>
      <c r="E18" s="1">
        <f>IFERROR(__xludf.DUMMYFUNCTION("""COMPUTED_VALUE"""),1.0)</f>
        <v>1</v>
      </c>
      <c r="F18" s="2">
        <f>IFERROR(__xludf.DUMMYFUNCTION("""COMPUTED_VALUE"""),0.0)</f>
        <v>0</v>
      </c>
      <c r="G18" s="1"/>
      <c r="H18" s="1"/>
      <c r="I18" s="1"/>
      <c r="J18" s="1"/>
      <c r="K18" s="1"/>
      <c r="L18" s="1"/>
      <c r="M18" s="1"/>
      <c r="N18" s="1"/>
      <c r="O18" s="1"/>
      <c r="P18" s="1"/>
      <c r="Q18" s="1"/>
      <c r="R18" s="1"/>
      <c r="S18" s="1"/>
      <c r="T18" s="1"/>
      <c r="U18" s="1"/>
      <c r="V18" s="1"/>
      <c r="W18" s="1"/>
      <c r="X18" s="1"/>
      <c r="Y18" s="1"/>
      <c r="Z18" s="1"/>
      <c r="AA18" s="1"/>
      <c r="AB18" s="1"/>
      <c r="AC18" s="1"/>
      <c r="AD18" s="1"/>
      <c r="AE18" s="1"/>
      <c r="AF18" s="1" t="str">
        <f>IFERROR(__xludf.DUMMYFUNCTION("""COMPUTED_VALUE"""),"(Ranger Set) ++Ranged Spells cost half the sp cost ++Only archers can equip")</f>
        <v>(Ranger Set) ++Ranged Spells cost half the sp cost ++Only archers can equip</v>
      </c>
      <c r="AG18" s="1" t="str">
        <f>IFERROR(__xludf.DUMMYFUNCTION("""COMPUTED_VALUE"""),"Land of Spira")</f>
        <v>Land of Spira</v>
      </c>
      <c r="AH18" s="1" t="b">
        <f>IFERROR(__xludf.DUMMYFUNCTION("""COMPUTED_VALUE"""),FALSE)</f>
        <v>0</v>
      </c>
    </row>
    <row r="19">
      <c r="A19" s="1" t="str">
        <f>IFERROR(__xludf.DUMMYFUNCTION("""COMPUTED_VALUE"""),"Armor Of Cthulhu")</f>
        <v>Armor Of Cthulhu</v>
      </c>
      <c r="B19" s="1" t="str">
        <f>IFERROR(__xludf.DUMMYFUNCTION("""COMPUTED_VALUE"""),"Torso")</f>
        <v>Torso</v>
      </c>
      <c r="C19" s="1"/>
      <c r="D19" s="1"/>
      <c r="E19" s="1">
        <f>IFERROR(__xludf.DUMMYFUNCTION("""COMPUTED_VALUE"""),400.0)</f>
        <v>400</v>
      </c>
      <c r="F19" s="2">
        <f>IFERROR(__xludf.DUMMYFUNCTION("""COMPUTED_VALUE"""),7800000.0)</f>
        <v>7800000</v>
      </c>
      <c r="G19" s="1" t="str">
        <f>IFERROR(__xludf.DUMMYFUNCTION("""COMPUTED_VALUE"""),"DEF")</f>
        <v>DEF</v>
      </c>
      <c r="H19" s="1">
        <f>IFERROR(__xludf.DUMMYFUNCTION("""COMPUTED_VALUE"""),20000.0)</f>
        <v>20000</v>
      </c>
      <c r="I19" s="1"/>
      <c r="J19" s="1"/>
      <c r="K19" s="1"/>
      <c r="L19" s="1"/>
      <c r="M19" s="1"/>
      <c r="N19" s="1"/>
      <c r="O19" s="1"/>
      <c r="P19" s="1"/>
      <c r="Q19" s="1"/>
      <c r="R19" s="1"/>
      <c r="S19" s="1"/>
      <c r="T19" s="1"/>
      <c r="U19" s="1"/>
      <c r="V19" s="1"/>
      <c r="W19" s="1"/>
      <c r="X19" s="1"/>
      <c r="Y19" s="1"/>
      <c r="Z19" s="1"/>
      <c r="AA19" s="1"/>
      <c r="AB19" s="1"/>
      <c r="AC19" s="1"/>
      <c r="AD19" s="1"/>
      <c r="AE19" s="1"/>
      <c r="AF19" s="1" t="str">
        <f>IFERROR(__xludf.DUMMYFUNCTION("""COMPUTED_VALUE"""),"(Cthulhu Set) ++Curse of Cthulhu - When the wearer takes damage the wearer will gain half the damage back as HP and SP.")</f>
        <v>(Cthulhu Set) ++Curse of Cthulhu - When the wearer takes damage the wearer will gain half the damage back as HP and SP.</v>
      </c>
      <c r="AG19" s="1" t="str">
        <f>IFERROR(__xludf.DUMMYFUNCTION("""COMPUTED_VALUE"""),"Land of Spira")</f>
        <v>Land of Spira</v>
      </c>
      <c r="AH19" s="1" t="b">
        <f>IFERROR(__xludf.DUMMYFUNCTION("""COMPUTED_VALUE"""),FALSE)</f>
        <v>0</v>
      </c>
    </row>
    <row r="20">
      <c r="A20" s="1"/>
      <c r="B20" s="1" t="str">
        <f>IFERROR(__xludf.DUMMYFUNCTION("""COMPUTED_VALUE"""),"Torso")</f>
        <v>Torso</v>
      </c>
      <c r="C20" s="1"/>
      <c r="D20" s="1"/>
      <c r="E20" s="1">
        <f>IFERROR(__xludf.DUMMYFUNCTION("""COMPUTED_VALUE"""),200.0)</f>
        <v>200</v>
      </c>
      <c r="F20" s="2">
        <f>IFERROR(__xludf.DUMMYFUNCTION("""COMPUTED_VALUE"""),1900000.0)</f>
        <v>1900000</v>
      </c>
      <c r="G20" s="1" t="str">
        <f>IFERROR(__xludf.DUMMYFUNCTION("""COMPUTED_VALUE"""),"DEF")</f>
        <v>DEF</v>
      </c>
      <c r="H20" s="3">
        <f>IFERROR(__xludf.DUMMYFUNCTION("""COMPUTED_VALUE"""),10000.0)</f>
        <v>10000</v>
      </c>
      <c r="I20" s="1"/>
      <c r="J20" s="1"/>
      <c r="K20" s="1"/>
      <c r="L20" s="1"/>
      <c r="M20" s="1"/>
      <c r="N20" s="1"/>
      <c r="O20" s="1"/>
      <c r="P20" s="1"/>
      <c r="Q20" s="1"/>
      <c r="R20" s="1"/>
      <c r="S20" s="1"/>
      <c r="T20" s="1"/>
      <c r="U20" s="1"/>
      <c r="V20" s="1"/>
      <c r="W20" s="1"/>
      <c r="X20" s="1"/>
      <c r="Y20" s="1"/>
      <c r="Z20" s="1"/>
      <c r="AA20" s="1"/>
      <c r="AB20" s="1"/>
      <c r="AC20" s="1"/>
      <c r="AD20" s="1"/>
      <c r="AE20" s="1"/>
      <c r="AF20" s="1"/>
      <c r="AG20" s="1" t="str">
        <f>IFERROR(__xludf.DUMMYFUNCTION("""COMPUTED_VALUE"""),"Land of Spira")</f>
        <v>Land of Spira</v>
      </c>
      <c r="AH20" s="1" t="b">
        <f>IFERROR(__xludf.DUMMYFUNCTION("""COMPUTED_VALUE"""),FALSE)</f>
        <v>0</v>
      </c>
    </row>
    <row r="21">
      <c r="A21" s="1"/>
      <c r="B21" s="1" t="str">
        <f>IFERROR(__xludf.DUMMYFUNCTION("""COMPUTED_VALUE"""),"Torso")</f>
        <v>Torso</v>
      </c>
      <c r="C21" s="1" t="str">
        <f>IFERROR(__xludf.DUMMYFUNCTION("""COMPUTED_VALUE"""),"Winter Event Exclusive")</f>
        <v>Winter Event Exclusive</v>
      </c>
      <c r="D21" s="1"/>
      <c r="E21" s="1">
        <f>IFERROR(__xludf.DUMMYFUNCTION("""COMPUTED_VALUE"""),800.0)</f>
        <v>800</v>
      </c>
      <c r="F21" s="2">
        <f>IFERROR(__xludf.DUMMYFUNCTION("""COMPUTED_VALUE"""),3.16E7)</f>
        <v>31600000</v>
      </c>
      <c r="G21" s="1"/>
      <c r="H21" s="3">
        <f>IFERROR(__xludf.DUMMYFUNCTION("""COMPUTED_VALUE"""),20000.0)</f>
        <v>20000</v>
      </c>
      <c r="I21" s="3">
        <f>IFERROR(__xludf.DUMMYFUNCTION("""COMPUTED_VALUE"""),20000.0)</f>
        <v>20000</v>
      </c>
      <c r="J21" s="1"/>
      <c r="K21" s="1"/>
      <c r="L21" s="1"/>
      <c r="M21" s="1"/>
      <c r="N21" s="1"/>
      <c r="O21" s="1"/>
      <c r="P21" s="1"/>
      <c r="Q21" s="1"/>
      <c r="R21" s="1"/>
      <c r="S21" s="1"/>
      <c r="T21" s="1"/>
      <c r="U21" s="1"/>
      <c r="V21" s="1"/>
      <c r="W21" s="1"/>
      <c r="X21" s="1"/>
      <c r="Y21" s="1"/>
      <c r="Z21" s="1"/>
      <c r="AA21" s="1"/>
      <c r="AB21" s="1"/>
      <c r="AC21" s="1"/>
      <c r="AD21" s="1"/>
      <c r="AE21" s="1"/>
      <c r="AF21" s="1"/>
      <c r="AG21" s="1" t="str">
        <f>IFERROR(__xludf.DUMMYFUNCTION("""COMPUTED_VALUE"""),"Land of Spira")</f>
        <v>Land of Spira</v>
      </c>
      <c r="AH21" s="1" t="b">
        <f>IFERROR(__xludf.DUMMYFUNCTION("""COMPUTED_VALUE"""),FALSE)</f>
        <v>0</v>
      </c>
    </row>
    <row r="22">
      <c r="A22" s="1" t="str">
        <f>IFERROR(__xludf.DUMMYFUNCTION("""COMPUTED_VALUE"""),"Armor Of Zeldron")</f>
        <v>Armor Of Zeldron</v>
      </c>
      <c r="B22" s="1" t="str">
        <f>IFERROR(__xludf.DUMMYFUNCTION("""COMPUTED_VALUE"""),"Torso")</f>
        <v>Torso</v>
      </c>
      <c r="C22" s="1" t="str">
        <f>IFERROR(__xludf.DUMMYFUNCTION("""COMPUTED_VALUE"""),"Made of gold")</f>
        <v>Made of gold</v>
      </c>
      <c r="D22" s="1"/>
      <c r="E22" s="1">
        <f>IFERROR(__xludf.DUMMYFUNCTION("""COMPUTED_VALUE"""),400.0)</f>
        <v>400</v>
      </c>
      <c r="F22" s="2">
        <f>IFERROR(__xludf.DUMMYFUNCTION("""COMPUTED_VALUE"""),7800000.0)</f>
        <v>7800000</v>
      </c>
      <c r="G22" s="1" t="str">
        <f>IFERROR(__xludf.DUMMYFUNCTION("""COMPUTED_VALUE"""),"DEF")</f>
        <v>DEF</v>
      </c>
      <c r="H22" s="3">
        <f>IFERROR(__xludf.DUMMYFUNCTION("""COMPUTED_VALUE"""),10000.0)</f>
        <v>10000</v>
      </c>
      <c r="I22" s="1"/>
      <c r="J22" s="1"/>
      <c r="K22" s="1"/>
      <c r="L22" s="1"/>
      <c r="M22" s="1"/>
      <c r="N22" s="1"/>
      <c r="O22" s="1"/>
      <c r="P22" s="1"/>
      <c r="Q22" s="3">
        <f>IFERROR(__xludf.DUMMYFUNCTION("""COMPUTED_VALUE"""),10000.0)</f>
        <v>10000</v>
      </c>
      <c r="R22" s="1"/>
      <c r="S22" s="1"/>
      <c r="T22" s="1"/>
      <c r="U22" s="1"/>
      <c r="V22" s="1"/>
      <c r="W22" s="1"/>
      <c r="X22" s="1"/>
      <c r="Y22" s="1"/>
      <c r="Z22" s="1"/>
      <c r="AA22" s="1"/>
      <c r="AB22" s="1"/>
      <c r="AC22" s="1"/>
      <c r="AD22" s="1"/>
      <c r="AE22" s="1"/>
      <c r="AF22" s="1"/>
      <c r="AG22" s="1" t="str">
        <f>IFERROR(__xludf.DUMMYFUNCTION("""COMPUTED_VALUE"""),"Land of Spira")</f>
        <v>Land of Spira</v>
      </c>
      <c r="AH22" s="1" t="b">
        <f>IFERROR(__xludf.DUMMYFUNCTION("""COMPUTED_VALUE"""),TRUE)</f>
        <v>1</v>
      </c>
    </row>
    <row r="23">
      <c r="A23" s="1" t="str">
        <f>IFERROR(__xludf.DUMMYFUNCTION("""COMPUTED_VALUE"""),"Ashen Pole Axe")</f>
        <v>Ashen Pole Axe</v>
      </c>
      <c r="B23" s="1" t="str">
        <f>IFERROR(__xludf.DUMMYFUNCTION("""COMPUTED_VALUE"""),"Hand")</f>
        <v>Hand</v>
      </c>
      <c r="C23" s="1"/>
      <c r="D23" s="1" t="str">
        <f>IFERROR(__xludf.DUMMYFUNCTION("""COMPUTED_VALUE"""),"Axe")</f>
        <v>Axe</v>
      </c>
      <c r="E23" s="1">
        <f>IFERROR(__xludf.DUMMYFUNCTION("""COMPUTED_VALUE"""),20.0)</f>
        <v>20</v>
      </c>
      <c r="F23" s="2">
        <f>IFERROR(__xludf.DUMMYFUNCTION("""COMPUTED_VALUE"""),10000.0)</f>
        <v>10000</v>
      </c>
      <c r="G23" s="1" t="str">
        <f>IFERROR(__xludf.DUMMYFUNCTION("""COMPUTED_VALUE"""),"DMG")</f>
        <v>DMG</v>
      </c>
      <c r="H23" s="1">
        <f>IFERROR(__xludf.DUMMYFUNCTION("""COMPUTED_VALUE"""),500.0)</f>
        <v>500</v>
      </c>
      <c r="I23" s="1">
        <f>IFERROR(__xludf.DUMMYFUNCTION("""COMPUTED_VALUE"""),500.0)</f>
        <v>500</v>
      </c>
      <c r="J23" s="1"/>
      <c r="K23" s="1"/>
      <c r="L23" s="1"/>
      <c r="M23" s="1"/>
      <c r="N23" s="1"/>
      <c r="O23" s="1"/>
      <c r="P23" s="1"/>
      <c r="Q23" s="1"/>
      <c r="R23" s="1"/>
      <c r="S23" s="1"/>
      <c r="T23" s="1"/>
      <c r="U23" s="1"/>
      <c r="V23" s="1"/>
      <c r="W23" s="1"/>
      <c r="X23" s="1"/>
      <c r="Y23" s="1"/>
      <c r="Z23" s="1"/>
      <c r="AA23" s="1"/>
      <c r="AB23" s="1"/>
      <c r="AC23" s="1"/>
      <c r="AD23" s="1"/>
      <c r="AE23" s="1"/>
      <c r="AF23" s="1" t="str">
        <f>IFERROR(__xludf.DUMMYFUNCTION("""COMPUTED_VALUE"""),"++Inflicts Burn 500")</f>
        <v>++Inflicts Burn 500</v>
      </c>
      <c r="AG23" s="1" t="str">
        <f>IFERROR(__xludf.DUMMYFUNCTION("""COMPUTED_VALUE"""),"Land of Spira")</f>
        <v>Land of Spira</v>
      </c>
      <c r="AH23" s="1" t="b">
        <f>IFERROR(__xludf.DUMMYFUNCTION("""COMPUTED_VALUE"""),FALSE)</f>
        <v>0</v>
      </c>
    </row>
    <row r="24">
      <c r="A24" s="1" t="str">
        <f>IFERROR(__xludf.DUMMYFUNCTION("""COMPUTED_VALUE"""),"Bamboo Spear")</f>
        <v>Bamboo Spear</v>
      </c>
      <c r="B24" s="1" t="str">
        <f>IFERROR(__xludf.DUMMYFUNCTION("""COMPUTED_VALUE"""),"Hand")</f>
        <v>Hand</v>
      </c>
      <c r="C24" s="1"/>
      <c r="D24" s="1" t="str">
        <f>IFERROR(__xludf.DUMMYFUNCTION("""COMPUTED_VALUE"""),"Spear")</f>
        <v>Spear</v>
      </c>
      <c r="E24" s="1">
        <f>IFERROR(__xludf.DUMMYFUNCTION("""COMPUTED_VALUE"""),60.0)</f>
        <v>60</v>
      </c>
      <c r="F24" s="2">
        <f>IFERROR(__xludf.DUMMYFUNCTION("""COMPUTED_VALUE"""),150000.0)</f>
        <v>150000</v>
      </c>
      <c r="G24" s="1" t="str">
        <f>IFERROR(__xludf.DUMMYFUNCTION("""COMPUTED_VALUE"""),"DMG")</f>
        <v>DMG</v>
      </c>
      <c r="H24" s="1">
        <f>IFERROR(__xludf.DUMMYFUNCTION("""COMPUTED_VALUE"""),1000.0)</f>
        <v>1000</v>
      </c>
      <c r="I24" s="1"/>
      <c r="J24" s="1"/>
      <c r="K24" s="1"/>
      <c r="L24" s="1"/>
      <c r="M24" s="1"/>
      <c r="N24" s="1"/>
      <c r="O24" s="1"/>
      <c r="P24" s="1"/>
      <c r="Q24" s="1"/>
      <c r="R24" s="1"/>
      <c r="S24" s="1">
        <f>IFERROR(__xludf.DUMMYFUNCTION("""COMPUTED_VALUE"""),1000.0)</f>
        <v>1000</v>
      </c>
      <c r="T24" s="1"/>
      <c r="U24" s="1"/>
      <c r="V24" s="1"/>
      <c r="W24" s="1"/>
      <c r="X24" s="1"/>
      <c r="Y24" s="1">
        <f>IFERROR(__xludf.DUMMYFUNCTION("""COMPUTED_VALUE"""),1000.0)</f>
        <v>1000</v>
      </c>
      <c r="Z24" s="1"/>
      <c r="AA24" s="1"/>
      <c r="AB24" s="1"/>
      <c r="AC24" s="1"/>
      <c r="AD24" s="1"/>
      <c r="AE24" s="1"/>
      <c r="AF24" s="1" t="str">
        <f>IFERROR(__xludf.DUMMYFUNCTION("""COMPUTED_VALUE"""),"++When striking an enemy with this weapon, they X2 additional Nature damage.")</f>
        <v>++When striking an enemy with this weapon, they X2 additional Nature damage.</v>
      </c>
      <c r="AG24" s="1" t="str">
        <f>IFERROR(__xludf.DUMMYFUNCTION("""COMPUTED_VALUE"""),"Land of Spira")</f>
        <v>Land of Spira</v>
      </c>
      <c r="AH24" s="1" t="b">
        <f>IFERROR(__xludf.DUMMYFUNCTION("""COMPUTED_VALUE"""),FALSE)</f>
        <v>0</v>
      </c>
    </row>
    <row r="25">
      <c r="A25" s="1" t="str">
        <f>IFERROR(__xludf.DUMMYFUNCTION("""COMPUTED_VALUE"""),"Baosheng’s Restore Pendant")</f>
        <v>Baosheng’s Restore Pendant</v>
      </c>
      <c r="B25" s="1" t="str">
        <f>IFERROR(__xludf.DUMMYFUNCTION("""COMPUTED_VALUE"""),"Neck")</f>
        <v>Neck</v>
      </c>
      <c r="C25" s="1"/>
      <c r="D25" s="1"/>
      <c r="E25" s="1">
        <f>IFERROR(__xludf.DUMMYFUNCTION("""COMPUTED_VALUE"""),1.0)</f>
        <v>1</v>
      </c>
      <c r="F25" s="2">
        <f>IFERROR(__xludf.DUMMYFUNCTION("""COMPUTED_VALUE"""),0.0)</f>
        <v>0</v>
      </c>
      <c r="G25" s="1"/>
      <c r="H25" s="1"/>
      <c r="I25" s="1"/>
      <c r="J25" s="1"/>
      <c r="K25" s="1"/>
      <c r="L25" s="1"/>
      <c r="M25" s="1"/>
      <c r="N25" s="1"/>
      <c r="O25" s="1"/>
      <c r="P25" s="1"/>
      <c r="Q25" s="1"/>
      <c r="R25" s="1"/>
      <c r="S25" s="1"/>
      <c r="T25" s="1"/>
      <c r="U25" s="1"/>
      <c r="V25" s="1"/>
      <c r="W25" s="1"/>
      <c r="X25" s="1"/>
      <c r="Y25" s="1"/>
      <c r="Z25" s="1"/>
      <c r="AA25" s="1"/>
      <c r="AB25" s="1"/>
      <c r="AC25" s="1"/>
      <c r="AD25" s="1"/>
      <c r="AE25" s="1"/>
      <c r="AF25" s="1" t="str">
        <f>IFERROR(__xludf.DUMMYFUNCTION("""COMPUTED_VALUE"""),"++Restores 100 HP and SP per round during battle.")</f>
        <v>++Restores 100 HP and SP per round during battle.</v>
      </c>
      <c r="AG25" s="1" t="str">
        <f>IFERROR(__xludf.DUMMYFUNCTION("""COMPUTED_VALUE"""),"Land of Spira")</f>
        <v>Land of Spira</v>
      </c>
      <c r="AH25" s="1" t="b">
        <f>IFERROR(__xludf.DUMMYFUNCTION("""COMPUTED_VALUE"""),FALSE)</f>
        <v>0</v>
      </c>
    </row>
    <row r="26">
      <c r="A26" s="1" t="str">
        <f>IFERROR(__xludf.DUMMYFUNCTION("""COMPUTED_VALUE"""),"Basic Cannon")</f>
        <v>Basic Cannon</v>
      </c>
      <c r="B26" s="1" t="str">
        <f>IFERROR(__xludf.DUMMYFUNCTION("""COMPUTED_VALUE"""),"BoatGun")</f>
        <v>BoatGun</v>
      </c>
      <c r="C26" s="1"/>
      <c r="D26" s="1" t="str">
        <f>IFERROR(__xludf.DUMMYFUNCTION("""COMPUTED_VALUE"""),"Firearm")</f>
        <v>Firearm</v>
      </c>
      <c r="E26" s="1">
        <f>IFERROR(__xludf.DUMMYFUNCTION("""COMPUTED_VALUE"""),400.0)</f>
        <v>400</v>
      </c>
      <c r="F26" s="2">
        <f>IFERROR(__xludf.DUMMYFUNCTION("""COMPUTED_VALUE"""),7800000.0)</f>
        <v>7800000</v>
      </c>
      <c r="G26" s="1" t="str">
        <f>IFERROR(__xludf.DUMMYFUNCTION("""COMPUTED_VALUE"""),"DMG")</f>
        <v>DMG</v>
      </c>
      <c r="H26" s="3">
        <f>IFERROR(__xludf.DUMMYFUNCTION("""COMPUTED_VALUE"""),20000.0)</f>
        <v>20000</v>
      </c>
      <c r="I26" s="1"/>
      <c r="J26" s="1"/>
      <c r="K26" s="1"/>
      <c r="L26" s="1"/>
      <c r="M26" s="1"/>
      <c r="N26" s="1"/>
      <c r="O26" s="1"/>
      <c r="P26" s="1"/>
      <c r="Q26" s="1"/>
      <c r="R26" s="1"/>
      <c r="S26" s="1"/>
      <c r="T26" s="1"/>
      <c r="U26" s="1"/>
      <c r="V26" s="1"/>
      <c r="W26" s="1"/>
      <c r="X26" s="1"/>
      <c r="Y26" s="1"/>
      <c r="Z26" s="1"/>
      <c r="AA26" s="1"/>
      <c r="AB26" s="1"/>
      <c r="AC26" s="1"/>
      <c r="AD26" s="1"/>
      <c r="AE26" s="1"/>
      <c r="AF26" s="1"/>
      <c r="AG26" s="1" t="str">
        <f>IFERROR(__xludf.DUMMYFUNCTION("""COMPUTED_VALUE"""),"Land of Spira")</f>
        <v>Land of Spira</v>
      </c>
      <c r="AH26" s="1" t="b">
        <f>IFERROR(__xludf.DUMMYFUNCTION("""COMPUTED_VALUE"""),FALSE)</f>
        <v>0</v>
      </c>
    </row>
    <row r="27">
      <c r="A27" s="1" t="str">
        <f>IFERROR(__xludf.DUMMYFUNCTION("""COMPUTED_VALUE"""),"Beltane Floral crown")</f>
        <v>Beltane Floral crown</v>
      </c>
      <c r="B27" s="1" t="str">
        <f>IFERROR(__xludf.DUMMYFUNCTION("""COMPUTED_VALUE"""),"Head")</f>
        <v>Head</v>
      </c>
      <c r="C27" s="1"/>
      <c r="D27" s="1"/>
      <c r="E27" s="1">
        <f>IFERROR(__xludf.DUMMYFUNCTION("""COMPUTED_VALUE"""),1.0)</f>
        <v>1</v>
      </c>
      <c r="F27" s="2">
        <f>IFERROR(__xludf.DUMMYFUNCTION("""COMPUTED_VALUE"""),0.0)</f>
        <v>0</v>
      </c>
      <c r="G27" s="1"/>
      <c r="H27" s="1"/>
      <c r="I27" s="1"/>
      <c r="J27" s="1"/>
      <c r="K27" s="1"/>
      <c r="L27" s="1"/>
      <c r="M27" s="1"/>
      <c r="N27" s="1"/>
      <c r="O27" s="1"/>
      <c r="P27" s="1"/>
      <c r="Q27" s="1"/>
      <c r="R27" s="1"/>
      <c r="S27" s="1"/>
      <c r="T27" s="1"/>
      <c r="U27" s="1"/>
      <c r="V27" s="1"/>
      <c r="W27" s="1"/>
      <c r="X27" s="1"/>
      <c r="Y27" s="1"/>
      <c r="Z27" s="1"/>
      <c r="AA27" s="1"/>
      <c r="AB27" s="1"/>
      <c r="AC27" s="1"/>
      <c r="AD27" s="1"/>
      <c r="AE27" s="1"/>
      <c r="AF27" s="1" t="str">
        <f>IFERROR(__xludf.DUMMYFUNCTION("""COMPUTED_VALUE"""),"++Grants immunity to Nature.")</f>
        <v>++Grants immunity to Nature.</v>
      </c>
      <c r="AG27" s="1" t="str">
        <f>IFERROR(__xludf.DUMMYFUNCTION("""COMPUTED_VALUE"""),"Land of Spira")</f>
        <v>Land of Spira</v>
      </c>
      <c r="AH27" s="1" t="b">
        <f>IFERROR(__xludf.DUMMYFUNCTION("""COMPUTED_VALUE"""),FALSE)</f>
        <v>0</v>
      </c>
    </row>
    <row r="28">
      <c r="A28" s="1" t="str">
        <f>IFERROR(__xludf.DUMMYFUNCTION("""COMPUTED_VALUE"""),"Beta Sword")</f>
        <v>Beta Sword</v>
      </c>
      <c r="B28" s="1" t="str">
        <f>IFERROR(__xludf.DUMMYFUNCTION("""COMPUTED_VALUE"""),"Hand")</f>
        <v>Hand</v>
      </c>
      <c r="C28" s="1"/>
      <c r="D28" s="1"/>
      <c r="E28" s="1">
        <f>IFERROR(__xludf.DUMMYFUNCTION("""COMPUTED_VALUE"""),3000.0)</f>
        <v>3000</v>
      </c>
      <c r="F28" s="2">
        <f>IFERROR(__xludf.DUMMYFUNCTION("""COMPUTED_VALUE"""),4.485E8)</f>
        <v>448500000</v>
      </c>
      <c r="G28" s="1" t="str">
        <f>IFERROR(__xludf.DUMMYFUNCTION("""COMPUTED_VALUE"""),"DMG")</f>
        <v>DMG</v>
      </c>
      <c r="H28" s="3">
        <f>IFERROR(__xludf.DUMMYFUNCTION("""COMPUTED_VALUE"""),125000.0)</f>
        <v>125000</v>
      </c>
      <c r="I28" s="1"/>
      <c r="J28" s="1"/>
      <c r="K28" s="1"/>
      <c r="L28" s="1"/>
      <c r="M28" s="1"/>
      <c r="N28" s="1"/>
      <c r="O28" s="3">
        <f>IFERROR(__xludf.DUMMYFUNCTION("""COMPUTED_VALUE"""),25000.0)</f>
        <v>25000</v>
      </c>
      <c r="P28" s="1"/>
      <c r="Q28" s="1"/>
      <c r="R28" s="1"/>
      <c r="S28" s="1"/>
      <c r="T28" s="1"/>
      <c r="U28" s="1"/>
      <c r="V28" s="1"/>
      <c r="W28" s="1"/>
      <c r="X28" s="1"/>
      <c r="Y28" s="1"/>
      <c r="Z28" s="1"/>
      <c r="AA28" s="1"/>
      <c r="AB28" s="1"/>
      <c r="AC28" s="1"/>
      <c r="AD28" s="1"/>
      <c r="AE28" s="1"/>
      <c r="AF28" s="1" t="str">
        <f>IFERROR(__xludf.DUMMYFUNCTION("""COMPUTED_VALUE"""),"++Allows you to use another party members companion on your turn as a second action.")</f>
        <v>++Allows you to use another party members companion on your turn as a second action.</v>
      </c>
      <c r="AG28" s="1" t="str">
        <f>IFERROR(__xludf.DUMMYFUNCTION("""COMPUTED_VALUE"""),"Abstara")</f>
        <v>Abstara</v>
      </c>
      <c r="AH28" s="1" t="b">
        <f>IFERROR(__xludf.DUMMYFUNCTION("""COMPUTED_VALUE"""),FALSE)</f>
        <v>0</v>
      </c>
    </row>
    <row r="29">
      <c r="A29" s="1" t="str">
        <f>IFERROR(__xludf.DUMMYFUNCTION("""COMPUTED_VALUE"""),"Black Crystal Necklace of Luck")</f>
        <v>Black Crystal Necklace of Luck</v>
      </c>
      <c r="B29" s="1" t="str">
        <f>IFERROR(__xludf.DUMMYFUNCTION("""COMPUTED_VALUE"""),"Neck")</f>
        <v>Neck</v>
      </c>
      <c r="C29" s="1"/>
      <c r="D29" s="1"/>
      <c r="E29" s="1">
        <f>IFERROR(__xludf.DUMMYFUNCTION("""COMPUTED_VALUE"""),1.0)</f>
        <v>1</v>
      </c>
      <c r="F29" s="2">
        <f>IFERROR(__xludf.DUMMYFUNCTION("""COMPUTED_VALUE"""),0.0)</f>
        <v>0</v>
      </c>
      <c r="G29" s="1"/>
      <c r="H29" s="1"/>
      <c r="I29" s="1"/>
      <c r="J29" s="1"/>
      <c r="K29" s="1"/>
      <c r="L29" s="1"/>
      <c r="M29" s="1"/>
      <c r="N29" s="1"/>
      <c r="O29" s="1"/>
      <c r="P29" s="1"/>
      <c r="Q29" s="1"/>
      <c r="R29" s="1"/>
      <c r="S29" s="1"/>
      <c r="T29" s="1"/>
      <c r="U29" s="1"/>
      <c r="V29" s="1"/>
      <c r="W29" s="1"/>
      <c r="X29" s="1"/>
      <c r="Y29" s="1"/>
      <c r="Z29" s="1"/>
      <c r="AA29" s="1"/>
      <c r="AB29" s="1"/>
      <c r="AC29" s="1"/>
      <c r="AD29" s="1"/>
      <c r="AE29" s="1"/>
      <c r="AF29" s="1" t="str">
        <f>IFERROR(__xludf.DUMMYFUNCTION("""COMPUTED_VALUE"""),"++Plus 2 is added to whatever number you roll on a d20 ++can only wear one, +-Cannot be forged or duplicated.")</f>
        <v>++Plus 2 is added to whatever number you roll on a d20 ++can only wear one, +-Cannot be forged or duplicated.</v>
      </c>
      <c r="AG29" s="1" t="str">
        <f>IFERROR(__xludf.DUMMYFUNCTION("""COMPUTED_VALUE"""),"Land of Spira")</f>
        <v>Land of Spira</v>
      </c>
      <c r="AH29" s="1" t="b">
        <f>IFERROR(__xludf.DUMMYFUNCTION("""COMPUTED_VALUE"""),FALSE)</f>
        <v>0</v>
      </c>
    </row>
    <row r="30">
      <c r="A30" s="1" t="str">
        <f>IFERROR(__xludf.DUMMYFUNCTION("""COMPUTED_VALUE"""),"Black Serpent Dragon Pendant")</f>
        <v>Black Serpent Dragon Pendant</v>
      </c>
      <c r="B30" s="1" t="str">
        <f>IFERROR(__xludf.DUMMYFUNCTION("""COMPUTED_VALUE"""),"Neck")</f>
        <v>Neck</v>
      </c>
      <c r="C30" s="1"/>
      <c r="D30" s="1"/>
      <c r="E30" s="1">
        <f>IFERROR(__xludf.DUMMYFUNCTION("""COMPUTED_VALUE"""),1.0)</f>
        <v>1</v>
      </c>
      <c r="F30" s="2">
        <f>IFERROR(__xludf.DUMMYFUNCTION("""COMPUTED_VALUE"""),0.0)</f>
        <v>0</v>
      </c>
      <c r="G30" s="1"/>
      <c r="H30" s="1"/>
      <c r="I30" s="1"/>
      <c r="J30" s="1"/>
      <c r="K30" s="1"/>
      <c r="L30" s="1"/>
      <c r="M30" s="1"/>
      <c r="N30" s="1"/>
      <c r="O30" s="1"/>
      <c r="P30" s="1"/>
      <c r="Q30" s="1"/>
      <c r="R30" s="1"/>
      <c r="S30" s="1"/>
      <c r="T30" s="1"/>
      <c r="U30" s="1"/>
      <c r="V30" s="1"/>
      <c r="W30" s="1"/>
      <c r="X30" s="1"/>
      <c r="Y30" s="1"/>
      <c r="Z30" s="1"/>
      <c r="AA30" s="1"/>
      <c r="AB30" s="1"/>
      <c r="AC30" s="1"/>
      <c r="AD30" s="1"/>
      <c r="AE30" s="1"/>
      <c r="AF30" s="1" t="str">
        <f>IFERROR(__xludf.DUMMYFUNCTION("""COMPUTED_VALUE"""),"++Immunity to dark and water damage. ++X2 additional dark and water damage for the wearer.")</f>
        <v>++Immunity to dark and water damage. ++X2 additional dark and water damage for the wearer.</v>
      </c>
      <c r="AG30" s="1" t="str">
        <f>IFERROR(__xludf.DUMMYFUNCTION("""COMPUTED_VALUE"""),"Abstara")</f>
        <v>Abstara</v>
      </c>
      <c r="AH30" s="1" t="b">
        <f>IFERROR(__xludf.DUMMYFUNCTION("""COMPUTED_VALUE"""),FALSE)</f>
        <v>0</v>
      </c>
    </row>
    <row r="31">
      <c r="A31" s="1" t="str">
        <f>IFERROR(__xludf.DUMMYFUNCTION("""COMPUTED_VALUE"""),"Blade of Burning Energy")</f>
        <v>Blade of Burning Energy</v>
      </c>
      <c r="B31" s="1" t="str">
        <f>IFERROR(__xludf.DUMMYFUNCTION("""COMPUTED_VALUE"""),"Hand")</f>
        <v>Hand</v>
      </c>
      <c r="C31" s="1"/>
      <c r="D31" s="1" t="str">
        <f>IFERROR(__xludf.DUMMYFUNCTION("""COMPUTED_VALUE"""),"Sword")</f>
        <v>Sword</v>
      </c>
      <c r="E31" s="1">
        <f>IFERROR(__xludf.DUMMYFUNCTION("""COMPUTED_VALUE"""),400.0)</f>
        <v>400</v>
      </c>
      <c r="F31" s="2">
        <f>IFERROR(__xludf.DUMMYFUNCTION("""COMPUTED_VALUE"""),7800000.0)</f>
        <v>7800000</v>
      </c>
      <c r="G31" s="1" t="str">
        <f>IFERROR(__xludf.DUMMYFUNCTION("""COMPUTED_VALUE"""),"DMG")</f>
        <v>DMG</v>
      </c>
      <c r="H31" s="3">
        <f>IFERROR(__xludf.DUMMYFUNCTION("""COMPUTED_VALUE"""),10000.0)</f>
        <v>10000</v>
      </c>
      <c r="I31" s="3">
        <f>IFERROR(__xludf.DUMMYFUNCTION("""COMPUTED_VALUE"""),10000.0)</f>
        <v>10000</v>
      </c>
      <c r="J31" s="1"/>
      <c r="K31" s="1"/>
      <c r="L31" s="1"/>
      <c r="M31" s="1"/>
      <c r="N31" s="1"/>
      <c r="O31" s="1"/>
      <c r="P31" s="1"/>
      <c r="Q31" s="1"/>
      <c r="R31" s="1"/>
      <c r="S31" s="1"/>
      <c r="T31" s="1"/>
      <c r="U31" s="1"/>
      <c r="V31" s="1"/>
      <c r="W31" s="1"/>
      <c r="X31" s="1"/>
      <c r="Y31" s="1"/>
      <c r="Z31" s="1"/>
      <c r="AA31" s="1"/>
      <c r="AB31" s="1"/>
      <c r="AC31" s="1"/>
      <c r="AD31" s="1"/>
      <c r="AE31" s="1"/>
      <c r="AF31" s="1" t="str">
        <f>IFERROR(__xludf.DUMMYFUNCTION("""COMPUTED_VALUE"""),"++Burn 5000")</f>
        <v>++Burn 5000</v>
      </c>
      <c r="AG31" s="1" t="str">
        <f>IFERROR(__xludf.DUMMYFUNCTION("""COMPUTED_VALUE"""),"Land of Spira")</f>
        <v>Land of Spira</v>
      </c>
      <c r="AH31" s="1" t="b">
        <f>IFERROR(__xludf.DUMMYFUNCTION("""COMPUTED_VALUE"""),FALSE)</f>
        <v>0</v>
      </c>
    </row>
    <row r="32">
      <c r="A32" s="1" t="str">
        <f>IFERROR(__xludf.DUMMYFUNCTION("""COMPUTED_VALUE"""),"Blood Katana")</f>
        <v>Blood Katana</v>
      </c>
      <c r="B32" s="1" t="str">
        <f>IFERROR(__xludf.DUMMYFUNCTION("""COMPUTED_VALUE"""),"Hand")</f>
        <v>Hand</v>
      </c>
      <c r="C32" s="1"/>
      <c r="D32" s="1" t="str">
        <f>IFERROR(__xludf.DUMMYFUNCTION("""COMPUTED_VALUE"""),"Sword")</f>
        <v>Sword</v>
      </c>
      <c r="E32" s="1">
        <f>IFERROR(__xludf.DUMMYFUNCTION("""COMPUTED_VALUE"""),400.0)</f>
        <v>400</v>
      </c>
      <c r="F32" s="2">
        <f>IFERROR(__xludf.DUMMYFUNCTION("""COMPUTED_VALUE"""),7800000.0)</f>
        <v>7800000</v>
      </c>
      <c r="G32" s="1" t="str">
        <f>IFERROR(__xludf.DUMMYFUNCTION("""COMPUTED_VALUE"""),"DMG")</f>
        <v>DMG</v>
      </c>
      <c r="H32" s="3">
        <f>IFERROR(__xludf.DUMMYFUNCTION("""COMPUTED_VALUE"""),10000.0)</f>
        <v>10000</v>
      </c>
      <c r="I32" s="1"/>
      <c r="J32" s="1"/>
      <c r="K32" s="1"/>
      <c r="L32" s="1"/>
      <c r="M32" s="1"/>
      <c r="N32" s="1"/>
      <c r="O32" s="1"/>
      <c r="P32" s="1"/>
      <c r="Q32" s="1"/>
      <c r="R32" s="1"/>
      <c r="S32" s="1"/>
      <c r="T32" s="1"/>
      <c r="U32" s="1"/>
      <c r="V32" s="1"/>
      <c r="W32" s="1"/>
      <c r="X32" s="1"/>
      <c r="Y32" s="3">
        <f>IFERROR(__xludf.DUMMYFUNCTION("""COMPUTED_VALUE"""),10000.0)</f>
        <v>10000</v>
      </c>
      <c r="Z32" s="1"/>
      <c r="AA32" s="1"/>
      <c r="AB32" s="1"/>
      <c r="AC32" s="1"/>
      <c r="AD32" s="1"/>
      <c r="AE32" s="1"/>
      <c r="AF32" s="1" t="str">
        <f>IFERROR(__xludf.DUMMYFUNCTION("""COMPUTED_VALUE"""),"++X2 blood damage for spells and weapons. +-Cannot be duplicated.")</f>
        <v>++X2 blood damage for spells and weapons. +-Cannot be duplicated.</v>
      </c>
      <c r="AG32" s="1" t="str">
        <f>IFERROR(__xludf.DUMMYFUNCTION("""COMPUTED_VALUE"""),"Land of Spira")</f>
        <v>Land of Spira</v>
      </c>
      <c r="AH32" s="1" t="b">
        <f>IFERROR(__xludf.DUMMYFUNCTION("""COMPUTED_VALUE"""),FALSE)</f>
        <v>0</v>
      </c>
    </row>
    <row r="33">
      <c r="A33" s="1" t="str">
        <f>IFERROR(__xludf.DUMMYFUNCTION("""COMPUTED_VALUE"""),"Blue Steel Sword")</f>
        <v>Blue Steel Sword</v>
      </c>
      <c r="B33" s="1" t="str">
        <f>IFERROR(__xludf.DUMMYFUNCTION("""COMPUTED_VALUE"""),"Hand")</f>
        <v>Hand</v>
      </c>
      <c r="C33" s="1"/>
      <c r="D33" s="1" t="str">
        <f>IFERROR(__xludf.DUMMYFUNCTION("""COMPUTED_VALUE"""),"Sword")</f>
        <v>Sword</v>
      </c>
      <c r="E33" s="1">
        <f>IFERROR(__xludf.DUMMYFUNCTION("""COMPUTED_VALUE"""),40.0)</f>
        <v>40</v>
      </c>
      <c r="F33" s="2">
        <f>IFERROR(__xludf.DUMMYFUNCTION("""COMPUTED_VALUE"""),60000.0)</f>
        <v>60000</v>
      </c>
      <c r="G33" s="1" t="str">
        <f>IFERROR(__xludf.DUMMYFUNCTION("""COMPUTED_VALUE"""),"DMG")</f>
        <v>DMG</v>
      </c>
      <c r="H33" s="1">
        <f>IFERROR(__xludf.DUMMYFUNCTION("""COMPUTED_VALUE"""),1000.0)</f>
        <v>1000</v>
      </c>
      <c r="I33" s="1"/>
      <c r="J33" s="1"/>
      <c r="K33" s="1">
        <f>IFERROR(__xludf.DUMMYFUNCTION("""COMPUTED_VALUE"""),1000.0)</f>
        <v>1000</v>
      </c>
      <c r="L33" s="1"/>
      <c r="M33" s="1"/>
      <c r="N33" s="1"/>
      <c r="O33" s="1"/>
      <c r="P33" s="1"/>
      <c r="Q33" s="1"/>
      <c r="R33" s="1"/>
      <c r="S33" s="1"/>
      <c r="T33" s="1"/>
      <c r="U33" s="1"/>
      <c r="V33" s="1"/>
      <c r="W33" s="1"/>
      <c r="X33" s="1"/>
      <c r="Y33" s="1"/>
      <c r="Z33" s="1"/>
      <c r="AA33" s="1"/>
      <c r="AB33" s="1"/>
      <c r="AC33" s="1"/>
      <c r="AD33" s="1"/>
      <c r="AE33" s="1"/>
      <c r="AF33" s="1"/>
      <c r="AG33" s="1" t="str">
        <f>IFERROR(__xludf.DUMMYFUNCTION("""COMPUTED_VALUE"""),"Land of Spira")</f>
        <v>Land of Spira</v>
      </c>
      <c r="AH33" s="1" t="b">
        <f>IFERROR(__xludf.DUMMYFUNCTION("""COMPUTED_VALUE"""),FALSE)</f>
        <v>0</v>
      </c>
    </row>
    <row r="34">
      <c r="A34" s="1" t="str">
        <f>IFERROR(__xludf.DUMMYFUNCTION("""COMPUTED_VALUE"""),"Blunderbuss (Exclusive)")</f>
        <v>Blunderbuss (Exclusive)</v>
      </c>
      <c r="B34" s="1" t="str">
        <f>IFERROR(__xludf.DUMMYFUNCTION("""COMPUTED_VALUE"""),"Hand")</f>
        <v>Hand</v>
      </c>
      <c r="C34" s="1" t="str">
        <f>IFERROR(__xludf.DUMMYFUNCTION("""COMPUTED_VALUE"""),"The feast enjoyed on the first Thanksgiving didn’t hunt itself! The Pilgrims had to forage and hunt before setting the table. You can count on the Blunderbuss to help you when times are rough.")</f>
        <v>The feast enjoyed on the first Thanksgiving didn’t hunt itself! The Pilgrims had to forage and hunt before setting the table. You can count on the Blunderbuss to help you when times are rough.</v>
      </c>
      <c r="D34" s="1" t="str">
        <f>IFERROR(__xludf.DUMMYFUNCTION("""COMPUTED_VALUE"""),"Firearm")</f>
        <v>Firearm</v>
      </c>
      <c r="E34" s="1">
        <f>IFERROR(__xludf.DUMMYFUNCTION("""COMPUTED_VALUE"""),200.0)</f>
        <v>200</v>
      </c>
      <c r="F34" s="2">
        <f>IFERROR(__xludf.DUMMYFUNCTION("""COMPUTED_VALUE"""),1.99E8)</f>
        <v>199000000</v>
      </c>
      <c r="G34" s="1"/>
      <c r="H34" s="3">
        <f>IFERROR(__xludf.DUMMYFUNCTION("""COMPUTED_VALUE"""),50000.0)</f>
        <v>50000</v>
      </c>
      <c r="I34" s="1"/>
      <c r="J34" s="1"/>
      <c r="K34" s="1"/>
      <c r="L34" s="1"/>
      <c r="M34" s="1"/>
      <c r="N34" s="1"/>
      <c r="O34" s="1"/>
      <c r="P34" s="1"/>
      <c r="Q34" s="1"/>
      <c r="R34" s="1"/>
      <c r="S34" s="1"/>
      <c r="T34" s="1"/>
      <c r="U34" s="1"/>
      <c r="V34" s="1"/>
      <c r="W34" s="1"/>
      <c r="X34" s="1"/>
      <c r="Y34" s="1"/>
      <c r="Z34" s="1"/>
      <c r="AA34" s="1"/>
      <c r="AB34" s="1"/>
      <c r="AC34" s="3">
        <f>IFERROR(__xludf.DUMMYFUNCTION("""COMPUTED_VALUE"""),50000.0)</f>
        <v>50000</v>
      </c>
      <c r="AD34" s="1"/>
      <c r="AE34" s="1"/>
      <c r="AF34" s="1" t="str">
        <f>IFERROR(__xludf.DUMMYFUNCTION("""COMPUTED_VALUE"""),"++This weapon will deal x4 damage if you are using the turkey hydra companion. +-You must take a turn to reload this weapon after using it.")</f>
        <v>++This weapon will deal x4 damage if you are using the turkey hydra companion. +-You must take a turn to reload this weapon after using it.</v>
      </c>
      <c r="AG34" s="1" t="str">
        <f>IFERROR(__xludf.DUMMYFUNCTION("""COMPUTED_VALUE"""),"Land of Spira")</f>
        <v>Land of Spira</v>
      </c>
      <c r="AH34" s="1" t="b">
        <f>IFERROR(__xludf.DUMMYFUNCTION("""COMPUTED_VALUE"""),FALSE)</f>
        <v>0</v>
      </c>
    </row>
    <row r="35">
      <c r="A35" s="1" t="str">
        <f>IFERROR(__xludf.DUMMYFUNCTION("""COMPUTED_VALUE"""),"Bone Sword ")</f>
        <v>Bone Sword </v>
      </c>
      <c r="B35" s="1" t="str">
        <f>IFERROR(__xludf.DUMMYFUNCTION("""COMPUTED_VALUE"""),"Hand")</f>
        <v>Hand</v>
      </c>
      <c r="C35" s="1"/>
      <c r="D35" s="1" t="str">
        <f>IFERROR(__xludf.DUMMYFUNCTION("""COMPUTED_VALUE"""),"Sword")</f>
        <v>Sword</v>
      </c>
      <c r="E35" s="1">
        <f>IFERROR(__xludf.DUMMYFUNCTION("""COMPUTED_VALUE"""),300.0)</f>
        <v>300</v>
      </c>
      <c r="F35" s="2">
        <f>IFERROR(__xludf.DUMMYFUNCTION("""COMPUTED_VALUE"""),4350000.0)</f>
        <v>4350000</v>
      </c>
      <c r="G35" s="1" t="str">
        <f>IFERROR(__xludf.DUMMYFUNCTION("""COMPUTED_VALUE"""),"DMG")</f>
        <v>DMG</v>
      </c>
      <c r="H35" s="3">
        <f>IFERROR(__xludf.DUMMYFUNCTION("""COMPUTED_VALUE"""),5000.0)</f>
        <v>5000</v>
      </c>
      <c r="I35" s="1"/>
      <c r="J35" s="1"/>
      <c r="K35" s="1"/>
      <c r="L35" s="1"/>
      <c r="M35" s="1">
        <f>IFERROR(__xludf.DUMMYFUNCTION("""COMPUTED_VALUE"""),5000.0)</f>
        <v>5000</v>
      </c>
      <c r="N35" s="1"/>
      <c r="O35" s="1">
        <f>IFERROR(__xludf.DUMMYFUNCTION("""COMPUTED_VALUE"""),5000.0)</f>
        <v>5000</v>
      </c>
      <c r="P35" s="1"/>
      <c r="Q35" s="1"/>
      <c r="R35" s="1"/>
      <c r="S35" s="1"/>
      <c r="T35" s="1"/>
      <c r="U35" s="1"/>
      <c r="V35" s="1"/>
      <c r="W35" s="1"/>
      <c r="X35" s="1"/>
      <c r="Y35" s="1"/>
      <c r="Z35" s="1"/>
      <c r="AA35" s="1"/>
      <c r="AB35" s="1"/>
      <c r="AC35" s="1"/>
      <c r="AD35" s="1"/>
      <c r="AE35" s="1"/>
      <c r="AF35" s="1" t="str">
        <f>IFERROR(__xludf.DUMMYFUNCTION("""COMPUTED_VALUE"""),"++X2 Earth damage. ")</f>
        <v>++X2 Earth damage. </v>
      </c>
      <c r="AG35" s="1" t="str">
        <f>IFERROR(__xludf.DUMMYFUNCTION("""COMPUTED_VALUE"""),"Land of Spira")</f>
        <v>Land of Spira</v>
      </c>
      <c r="AH35" s="1" t="b">
        <f>IFERROR(__xludf.DUMMYFUNCTION("""COMPUTED_VALUE"""),FALSE)</f>
        <v>0</v>
      </c>
    </row>
    <row r="36">
      <c r="A36" s="1" t="str">
        <f>IFERROR(__xludf.DUMMYFUNCTION("""COMPUTED_VALUE"""),"Boots of Waking Waters")</f>
        <v>Boots of Waking Waters</v>
      </c>
      <c r="B36" s="1" t="str">
        <f>IFERROR(__xludf.DUMMYFUNCTION("""COMPUTED_VALUE"""),"Feet")</f>
        <v>Feet</v>
      </c>
      <c r="C36" s="1"/>
      <c r="D36" s="1"/>
      <c r="E36" s="1">
        <f>IFERROR(__xludf.DUMMYFUNCTION("""COMPUTED_VALUE"""),200.0)</f>
        <v>200</v>
      </c>
      <c r="F36" s="2">
        <f>IFERROR(__xludf.DUMMYFUNCTION("""COMPUTED_VALUE"""),1900000.0)</f>
        <v>1900000</v>
      </c>
      <c r="G36" s="1" t="str">
        <f>IFERROR(__xludf.DUMMYFUNCTION("""COMPUTED_VALUE"""),"DEF")</f>
        <v>DEF</v>
      </c>
      <c r="H36" s="1">
        <f>IFERROR(__xludf.DUMMYFUNCTION("""COMPUTED_VALUE"""),5000.0)</f>
        <v>5000</v>
      </c>
      <c r="I36" s="1"/>
      <c r="J36" s="1"/>
      <c r="K36" s="1">
        <f>IFERROR(__xludf.DUMMYFUNCTION("""COMPUTED_VALUE"""),5000.0)</f>
        <v>5000</v>
      </c>
      <c r="L36" s="1"/>
      <c r="M36" s="1"/>
      <c r="N36" s="1"/>
      <c r="O36" s="1"/>
      <c r="P36" s="1"/>
      <c r="Q36" s="1"/>
      <c r="R36" s="1"/>
      <c r="S36" s="1"/>
      <c r="T36" s="1"/>
      <c r="U36" s="1"/>
      <c r="V36" s="1"/>
      <c r="W36" s="1"/>
      <c r="X36" s="1"/>
      <c r="Y36" s="1"/>
      <c r="Z36" s="1"/>
      <c r="AA36" s="1"/>
      <c r="AB36" s="1"/>
      <c r="AC36" s="1"/>
      <c r="AD36" s="1"/>
      <c r="AE36" s="1"/>
      <c r="AF36" s="1" t="str">
        <f>IFERROR(__xludf.DUMMYFUNCTION("""COMPUTED_VALUE"""),"++X4 additional water damage for self.")</f>
        <v>++X4 additional water damage for self.</v>
      </c>
      <c r="AG36" s="1" t="str">
        <f>IFERROR(__xludf.DUMMYFUNCTION("""COMPUTED_VALUE"""),"Land of Spira")</f>
        <v>Land of Spira</v>
      </c>
      <c r="AH36" s="1" t="b">
        <f>IFERROR(__xludf.DUMMYFUNCTION("""COMPUTED_VALUE"""),FALSE)</f>
        <v>0</v>
      </c>
    </row>
    <row r="37">
      <c r="A37" s="1" t="str">
        <f>IFERROR(__xludf.DUMMYFUNCTION("""COMPUTED_VALUE"""),"Bow of Chaotic Darkness")</f>
        <v>Bow of Chaotic Darkness</v>
      </c>
      <c r="B37" s="1" t="str">
        <f>IFERROR(__xludf.DUMMYFUNCTION("""COMPUTED_VALUE"""),"Hand")</f>
        <v>Hand</v>
      </c>
      <c r="C37" s="1"/>
      <c r="D37" s="1" t="str">
        <f>IFERROR(__xludf.DUMMYFUNCTION("""COMPUTED_VALUE"""),"Bow")</f>
        <v>Bow</v>
      </c>
      <c r="E37" s="1">
        <f>IFERROR(__xludf.DUMMYFUNCTION("""COMPUTED_VALUE"""),4400.0)</f>
        <v>4400</v>
      </c>
      <c r="F37" s="2">
        <f>IFERROR(__xludf.DUMMYFUNCTION("""COMPUTED_VALUE"""),9.658E8)</f>
        <v>965800000</v>
      </c>
      <c r="G37" s="1" t="str">
        <f>IFERROR(__xludf.DUMMYFUNCTION("""COMPUTED_VALUE"""),"DMG")</f>
        <v>DMG</v>
      </c>
      <c r="H37" s="3">
        <f>IFERROR(__xludf.DUMMYFUNCTION("""COMPUTED_VALUE"""),140000.0)</f>
        <v>140000</v>
      </c>
      <c r="I37" s="1"/>
      <c r="J37" s="1"/>
      <c r="K37" s="1"/>
      <c r="L37" s="1"/>
      <c r="M37" s="1"/>
      <c r="N37" s="1"/>
      <c r="O37" s="3">
        <f>IFERROR(__xludf.DUMMYFUNCTION("""COMPUTED_VALUE"""),40000.0)</f>
        <v>40000</v>
      </c>
      <c r="P37" s="1"/>
      <c r="Q37" s="1"/>
      <c r="R37" s="3">
        <f>IFERROR(__xludf.DUMMYFUNCTION("""COMPUTED_VALUE"""),40000.0)</f>
        <v>40000</v>
      </c>
      <c r="S37" s="1"/>
      <c r="T37" s="1"/>
      <c r="U37" s="1"/>
      <c r="V37" s="1"/>
      <c r="W37" s="1"/>
      <c r="X37" s="1"/>
      <c r="Y37" s="1"/>
      <c r="Z37" s="1"/>
      <c r="AA37" s="1"/>
      <c r="AB37" s="1"/>
      <c r="AC37" s="1"/>
      <c r="AD37" s="1"/>
      <c r="AE37" s="1"/>
      <c r="AF37" s="1" t="str">
        <f>IFERROR(__xludf.DUMMYFUNCTION("""COMPUTED_VALUE"""),"++You may use up to 4 arrows with this bow.")</f>
        <v>++You may use up to 4 arrows with this bow.</v>
      </c>
      <c r="AG37" s="1" t="str">
        <f>IFERROR(__xludf.DUMMYFUNCTION("""COMPUTED_VALUE"""),"Abstara")</f>
        <v>Abstara</v>
      </c>
      <c r="AH37" s="1" t="b">
        <f>IFERROR(__xludf.DUMMYFUNCTION("""COMPUTED_VALUE"""),FALSE)</f>
        <v>0</v>
      </c>
    </row>
    <row r="38">
      <c r="A38" s="1" t="str">
        <f>IFERROR(__xludf.DUMMYFUNCTION("""COMPUTED_VALUE"""),"Bow of Luck")</f>
        <v>Bow of Luck</v>
      </c>
      <c r="B38" s="1" t="str">
        <f>IFERROR(__xludf.DUMMYFUNCTION("""COMPUTED_VALUE"""),"Hand")</f>
        <v>Hand</v>
      </c>
      <c r="C38" s="1"/>
      <c r="D38" s="1" t="str">
        <f>IFERROR(__xludf.DUMMYFUNCTION("""COMPUTED_VALUE"""),"Bow")</f>
        <v>Bow</v>
      </c>
      <c r="E38" s="1">
        <f>IFERROR(__xludf.DUMMYFUNCTION("""COMPUTED_VALUE"""),3000.0)</f>
        <v>3000</v>
      </c>
      <c r="F38" s="2">
        <f>IFERROR(__xludf.DUMMYFUNCTION("""COMPUTED_VALUE"""),4.485E8)</f>
        <v>448500000</v>
      </c>
      <c r="G38" s="1" t="str">
        <f>IFERROR(__xludf.DUMMYFUNCTION("""COMPUTED_VALUE"""),"DMG")</f>
        <v>DMG</v>
      </c>
      <c r="H38" s="3">
        <f>IFERROR(__xludf.DUMMYFUNCTION("""COMPUTED_VALUE"""),150000.0)</f>
        <v>150000</v>
      </c>
      <c r="I38" s="1"/>
      <c r="J38" s="1"/>
      <c r="K38" s="1"/>
      <c r="L38" s="1"/>
      <c r="M38" s="1"/>
      <c r="N38" s="1"/>
      <c r="O38" s="1"/>
      <c r="P38" s="1"/>
      <c r="Q38" s="1"/>
      <c r="R38" s="1"/>
      <c r="S38" s="1"/>
      <c r="T38" s="1"/>
      <c r="U38" s="1"/>
      <c r="V38" s="1"/>
      <c r="W38" s="1"/>
      <c r="X38" s="1"/>
      <c r="Y38" s="1"/>
      <c r="Z38" s="1"/>
      <c r="AA38" s="1"/>
      <c r="AB38" s="1"/>
      <c r="AC38" s="1"/>
      <c r="AD38" s="1"/>
      <c r="AE38" s="1"/>
      <c r="AF38" s="1" t="str">
        <f>IFERROR(__xludf.DUMMYFUNCTION("""COMPUTED_VALUE"""),"++You may add mobility to your attack rolls as long as you are attacking with a bow. +-Cannot be forged")</f>
        <v>++You may add mobility to your attack rolls as long as you are attacking with a bow. +-Cannot be forged</v>
      </c>
      <c r="AG38" s="1" t="str">
        <f>IFERROR(__xludf.DUMMYFUNCTION("""COMPUTED_VALUE"""),"Abstara")</f>
        <v>Abstara</v>
      </c>
      <c r="AH38" s="1" t="b">
        <f>IFERROR(__xludf.DUMMYFUNCTION("""COMPUTED_VALUE"""),FALSE)</f>
        <v>0</v>
      </c>
    </row>
    <row r="39">
      <c r="A39" s="1" t="str">
        <f>IFERROR(__xludf.DUMMYFUNCTION("""COMPUTED_VALUE"""),"Bow of The Sacred Druids")</f>
        <v>Bow of The Sacred Druids</v>
      </c>
      <c r="B39" s="1" t="str">
        <f>IFERROR(__xludf.DUMMYFUNCTION("""COMPUTED_VALUE"""),"Hand")</f>
        <v>Hand</v>
      </c>
      <c r="C39" s="1"/>
      <c r="D39" s="1" t="str">
        <f>IFERROR(__xludf.DUMMYFUNCTION("""COMPUTED_VALUE"""),"Bow")</f>
        <v>Bow</v>
      </c>
      <c r="E39" s="1">
        <f>IFERROR(__xludf.DUMMYFUNCTION("""COMPUTED_VALUE"""),200.0)</f>
        <v>200</v>
      </c>
      <c r="F39" s="2">
        <f>IFERROR(__xludf.DUMMYFUNCTION("""COMPUTED_VALUE"""),1900000.0)</f>
        <v>1900000</v>
      </c>
      <c r="G39" s="1" t="str">
        <f>IFERROR(__xludf.DUMMYFUNCTION("""COMPUTED_VALUE"""),"DMG")</f>
        <v>DMG</v>
      </c>
      <c r="H39" s="1">
        <f>IFERROR(__xludf.DUMMYFUNCTION("""COMPUTED_VALUE"""),5000.0)</f>
        <v>5000</v>
      </c>
      <c r="I39" s="1"/>
      <c r="J39" s="1"/>
      <c r="K39" s="1"/>
      <c r="L39" s="1"/>
      <c r="M39" s="1"/>
      <c r="N39" s="1"/>
      <c r="O39" s="1"/>
      <c r="P39" s="1"/>
      <c r="Q39" s="1"/>
      <c r="R39" s="1"/>
      <c r="S39" s="1">
        <f>IFERROR(__xludf.DUMMYFUNCTION("""COMPUTED_VALUE"""),5000.0)</f>
        <v>5000</v>
      </c>
      <c r="T39" s="1"/>
      <c r="U39" s="1"/>
      <c r="V39" s="1"/>
      <c r="W39" s="1"/>
      <c r="X39" s="1"/>
      <c r="Y39" s="1"/>
      <c r="Z39" s="1"/>
      <c r="AA39" s="1"/>
      <c r="AB39" s="1"/>
      <c r="AC39" s="1"/>
      <c r="AD39" s="1"/>
      <c r="AE39" s="1"/>
      <c r="AF39" s="1" t="str">
        <f>IFERROR(__xludf.DUMMYFUNCTION("""COMPUTED_VALUE"""),"++Druids Call - X4 additional damage for ranged weapons.")</f>
        <v>++Druids Call - X4 additional damage for ranged weapons.</v>
      </c>
      <c r="AG39" s="1" t="str">
        <f>IFERROR(__xludf.DUMMYFUNCTION("""COMPUTED_VALUE"""),"Land of Spira")</f>
        <v>Land of Spira</v>
      </c>
      <c r="AH39" s="1" t="b">
        <f>IFERROR(__xludf.DUMMYFUNCTION("""COMPUTED_VALUE"""),FALSE)</f>
        <v>0</v>
      </c>
    </row>
    <row r="40">
      <c r="A40" s="1" t="str">
        <f>IFERROR(__xludf.DUMMYFUNCTION("""COMPUTED_VALUE"""),"Bo Staff Of Zhenmay")</f>
        <v>Bo Staff Of Zhenmay</v>
      </c>
      <c r="B40" s="1" t="str">
        <f>IFERROR(__xludf.DUMMYFUNCTION("""COMPUTED_VALUE"""),"Hand")</f>
        <v>Hand</v>
      </c>
      <c r="C40" s="1"/>
      <c r="D40" s="1" t="str">
        <f>IFERROR(__xludf.DUMMYFUNCTION("""COMPUTED_VALUE"""),"Club")</f>
        <v>Club</v>
      </c>
      <c r="E40" s="1">
        <f>IFERROR(__xludf.DUMMYFUNCTION("""COMPUTED_VALUE"""),3000.0)</f>
        <v>3000</v>
      </c>
      <c r="F40" s="2">
        <f>IFERROR(__xludf.DUMMYFUNCTION("""COMPUTED_VALUE"""),4.485E8)</f>
        <v>448500000</v>
      </c>
      <c r="G40" s="1" t="str">
        <f>IFERROR(__xludf.DUMMYFUNCTION("""COMPUTED_VALUE"""),"DMG")</f>
        <v>DMG</v>
      </c>
      <c r="H40" s="3">
        <f>IFERROR(__xludf.DUMMYFUNCTION("""COMPUTED_VALUE"""),100000.0)</f>
        <v>100000</v>
      </c>
      <c r="I40" s="1"/>
      <c r="J40" s="1"/>
      <c r="K40" s="1"/>
      <c r="L40" s="1"/>
      <c r="M40" s="1"/>
      <c r="N40" s="1"/>
      <c r="O40" s="1"/>
      <c r="P40" s="1"/>
      <c r="Q40" s="1"/>
      <c r="R40" s="1"/>
      <c r="S40" s="1"/>
      <c r="T40" s="1"/>
      <c r="U40" s="1"/>
      <c r="V40" s="1"/>
      <c r="W40" s="1"/>
      <c r="X40" s="1"/>
      <c r="Y40" s="1"/>
      <c r="Z40" s="1"/>
      <c r="AA40" s="3">
        <f>IFERROR(__xludf.DUMMYFUNCTION("""COMPUTED_VALUE"""),50000.0)</f>
        <v>50000</v>
      </c>
      <c r="AB40" s="1"/>
      <c r="AC40" s="1"/>
      <c r="AD40" s="1"/>
      <c r="AE40" s="1"/>
      <c r="AF40" s="1" t="str">
        <f>IFERROR(__xludf.DUMMYFUNCTION("""COMPUTED_VALUE"""),"++Blindness 2. ")</f>
        <v>++Blindness 2. </v>
      </c>
      <c r="AG40" s="1" t="str">
        <f>IFERROR(__xludf.DUMMYFUNCTION("""COMPUTED_VALUE"""),"Land of Spira")</f>
        <v>Land of Spira</v>
      </c>
      <c r="AH40" s="1" t="b">
        <f>IFERROR(__xludf.DUMMYFUNCTION("""COMPUTED_VALUE"""),FALSE)</f>
        <v>0</v>
      </c>
    </row>
    <row r="41">
      <c r="A41" s="1" t="str">
        <f>IFERROR(__xludf.DUMMYFUNCTION("""COMPUTED_VALUE"""),"Breezy Clothes")</f>
        <v>Breezy Clothes</v>
      </c>
      <c r="B41" s="1" t="str">
        <f>IFERROR(__xludf.DUMMYFUNCTION("""COMPUTED_VALUE"""),"Torso")</f>
        <v>Torso</v>
      </c>
      <c r="C41" s="1"/>
      <c r="D41" s="1"/>
      <c r="E41" s="1">
        <f>IFERROR(__xludf.DUMMYFUNCTION("""COMPUTED_VALUE"""),1.0)</f>
        <v>1</v>
      </c>
      <c r="F41" s="2">
        <f>IFERROR(__xludf.DUMMYFUNCTION("""COMPUTED_VALUE"""),0.0)</f>
        <v>0</v>
      </c>
      <c r="G41" s="1"/>
      <c r="H41" s="1"/>
      <c r="I41" s="1"/>
      <c r="J41" s="1"/>
      <c r="K41" s="1"/>
      <c r="L41" s="1"/>
      <c r="M41" s="1"/>
      <c r="N41" s="1"/>
      <c r="O41" s="1"/>
      <c r="P41" s="1"/>
      <c r="Q41" s="1"/>
      <c r="R41" s="1"/>
      <c r="S41" s="1"/>
      <c r="T41" s="1"/>
      <c r="U41" s="1"/>
      <c r="V41" s="1"/>
      <c r="W41" s="1"/>
      <c r="X41" s="1"/>
      <c r="Y41" s="1"/>
      <c r="Z41" s="1"/>
      <c r="AA41" s="1"/>
      <c r="AB41" s="1"/>
      <c r="AC41" s="1"/>
      <c r="AD41" s="1"/>
      <c r="AE41" s="1"/>
      <c r="AF41" s="1" t="str">
        <f>IFERROR(__xludf.DUMMYFUNCTION("""COMPUTED_VALUE"""),"++While equipped, Take half damage from fire damage, But decrease water damage you deal by half. ")</f>
        <v>++While equipped, Take half damage from fire damage, But decrease water damage you deal by half. </v>
      </c>
      <c r="AG41" s="1" t="str">
        <f>IFERROR(__xludf.DUMMYFUNCTION("""COMPUTED_VALUE"""),"Land of Spira")</f>
        <v>Land of Spira</v>
      </c>
      <c r="AH41" s="1" t="b">
        <f>IFERROR(__xludf.DUMMYFUNCTION("""COMPUTED_VALUE"""),FALSE)</f>
        <v>0</v>
      </c>
    </row>
    <row r="42">
      <c r="A42" s="1" t="str">
        <f>IFERROR(__xludf.DUMMYFUNCTION("""COMPUTED_VALUE"""),"Bright Flame Sword")</f>
        <v>Bright Flame Sword</v>
      </c>
      <c r="B42" s="1" t="str">
        <f>IFERROR(__xludf.DUMMYFUNCTION("""COMPUTED_VALUE"""),"Hand")</f>
        <v>Hand</v>
      </c>
      <c r="C42" s="1"/>
      <c r="D42" s="1" t="str">
        <f>IFERROR(__xludf.DUMMYFUNCTION("""COMPUTED_VALUE"""),"Sword")</f>
        <v>Sword</v>
      </c>
      <c r="E42" s="1">
        <f>IFERROR(__xludf.DUMMYFUNCTION("""COMPUTED_VALUE"""),300.0)</f>
        <v>300</v>
      </c>
      <c r="F42" s="2">
        <f>IFERROR(__xludf.DUMMYFUNCTION("""COMPUTED_VALUE"""),4350000.0)</f>
        <v>4350000</v>
      </c>
      <c r="G42" s="1" t="str">
        <f>IFERROR(__xludf.DUMMYFUNCTION("""COMPUTED_VALUE"""),"DMG")</f>
        <v>DMG</v>
      </c>
      <c r="H42" s="1">
        <f>IFERROR(__xludf.DUMMYFUNCTION("""COMPUTED_VALUE"""),10000.0)</f>
        <v>10000</v>
      </c>
      <c r="I42" s="1">
        <f>IFERROR(__xludf.DUMMYFUNCTION("""COMPUTED_VALUE"""),5000.0)</f>
        <v>5000</v>
      </c>
      <c r="J42" s="1"/>
      <c r="K42" s="1"/>
      <c r="L42" s="1"/>
      <c r="M42" s="1"/>
      <c r="N42" s="1"/>
      <c r="O42" s="1"/>
      <c r="P42" s="1"/>
      <c r="Q42" s="1"/>
      <c r="R42" s="1"/>
      <c r="S42" s="1"/>
      <c r="T42" s="1"/>
      <c r="U42" s="1"/>
      <c r="V42" s="1"/>
      <c r="W42" s="1"/>
      <c r="X42" s="1"/>
      <c r="Y42" s="1"/>
      <c r="Z42" s="1"/>
      <c r="AA42" s="1"/>
      <c r="AB42" s="1"/>
      <c r="AC42" s="1"/>
      <c r="AD42" s="1"/>
      <c r="AE42" s="1"/>
      <c r="AF42" s="1"/>
      <c r="AG42" s="1" t="str">
        <f>IFERROR(__xludf.DUMMYFUNCTION("""COMPUTED_VALUE"""),"Land of Spira")</f>
        <v>Land of Spira</v>
      </c>
      <c r="AH42" s="1" t="b">
        <f>IFERROR(__xludf.DUMMYFUNCTION("""COMPUTED_VALUE"""),FALSE)</f>
        <v>0</v>
      </c>
    </row>
    <row r="43">
      <c r="A43" s="1" t="str">
        <f>IFERROR(__xludf.DUMMYFUNCTION("""COMPUTED_VALUE"""),"Broken Sword")</f>
        <v>Broken Sword</v>
      </c>
      <c r="B43" s="1" t="str">
        <f>IFERROR(__xludf.DUMMYFUNCTION("""COMPUTED_VALUE"""),"Hand")</f>
        <v>Hand</v>
      </c>
      <c r="C43" s="1"/>
      <c r="D43" s="1" t="str">
        <f>IFERROR(__xludf.DUMMYFUNCTION("""COMPUTED_VALUE"""),"Knife")</f>
        <v>Knife</v>
      </c>
      <c r="E43" s="1">
        <f>IFERROR(__xludf.DUMMYFUNCTION("""COMPUTED_VALUE"""),1.0)</f>
        <v>1</v>
      </c>
      <c r="F43" s="2">
        <f>IFERROR(__xludf.DUMMYFUNCTION("""COMPUTED_VALUE"""),0.0)</f>
        <v>0</v>
      </c>
      <c r="G43" s="1" t="str">
        <f>IFERROR(__xludf.DUMMYFUNCTION("""COMPUTED_VALUE"""),"DMG")</f>
        <v>DMG</v>
      </c>
      <c r="H43" s="1">
        <f>IFERROR(__xludf.DUMMYFUNCTION("""COMPUTED_VALUE"""),1.0)</f>
        <v>1</v>
      </c>
      <c r="I43" s="1"/>
      <c r="J43" s="1"/>
      <c r="K43" s="1"/>
      <c r="L43" s="1"/>
      <c r="M43" s="1"/>
      <c r="N43" s="1"/>
      <c r="O43" s="1"/>
      <c r="P43" s="1"/>
      <c r="Q43" s="1"/>
      <c r="R43" s="1"/>
      <c r="S43" s="1"/>
      <c r="T43" s="1"/>
      <c r="U43" s="1"/>
      <c r="V43" s="1"/>
      <c r="W43" s="1"/>
      <c r="X43" s="1"/>
      <c r="Y43" s="1"/>
      <c r="Z43" s="1"/>
      <c r="AA43" s="1"/>
      <c r="AB43" s="1"/>
      <c r="AC43" s="1"/>
      <c r="AD43" s="1"/>
      <c r="AE43" s="1"/>
      <c r="AF43" s="1" t="str">
        <f>IFERROR(__xludf.DUMMYFUNCTION("""COMPUTED_VALUE"""),"++ -1 evasion")</f>
        <v>++ -1 evasion</v>
      </c>
      <c r="AG43" s="1" t="str">
        <f>IFERROR(__xludf.DUMMYFUNCTION("""COMPUTED_VALUE"""),"Land of Spira")</f>
        <v>Land of Spira</v>
      </c>
      <c r="AH43" s="1" t="b">
        <f>IFERROR(__xludf.DUMMYFUNCTION("""COMPUTED_VALUE"""),FALSE)</f>
        <v>0</v>
      </c>
    </row>
    <row r="44">
      <c r="A44" s="1" t="str">
        <f>IFERROR(__xludf.DUMMYFUNCTION("""COMPUTED_VALUE"""),"Burning Broadsword")</f>
        <v>Burning Broadsword</v>
      </c>
      <c r="B44" s="1" t="str">
        <f>IFERROR(__xludf.DUMMYFUNCTION("""COMPUTED_VALUE"""),"Hand")</f>
        <v>Hand</v>
      </c>
      <c r="C44" s="1"/>
      <c r="D44" s="1" t="str">
        <f>IFERROR(__xludf.DUMMYFUNCTION("""COMPUTED_VALUE"""),"Sword")</f>
        <v>Sword</v>
      </c>
      <c r="E44" s="1">
        <f>IFERROR(__xludf.DUMMYFUNCTION("""COMPUTED_VALUE"""),200.0)</f>
        <v>200</v>
      </c>
      <c r="F44" s="2">
        <f>IFERROR(__xludf.DUMMYFUNCTION("""COMPUTED_VALUE"""),1900000.0)</f>
        <v>1900000</v>
      </c>
      <c r="G44" s="1" t="str">
        <f>IFERROR(__xludf.DUMMYFUNCTION("""COMPUTED_VALUE"""),"DMG")</f>
        <v>DMG</v>
      </c>
      <c r="H44" s="1">
        <f>IFERROR(__xludf.DUMMYFUNCTION("""COMPUTED_VALUE"""),5000.0)</f>
        <v>5000</v>
      </c>
      <c r="I44" s="1">
        <f>IFERROR(__xludf.DUMMYFUNCTION("""COMPUTED_VALUE"""),5000.0)</f>
        <v>5000</v>
      </c>
      <c r="J44" s="1"/>
      <c r="K44" s="1"/>
      <c r="L44" s="1"/>
      <c r="M44" s="1"/>
      <c r="N44" s="1"/>
      <c r="O44" s="1"/>
      <c r="P44" s="1"/>
      <c r="Q44" s="1"/>
      <c r="R44" s="1"/>
      <c r="S44" s="1"/>
      <c r="T44" s="1"/>
      <c r="U44" s="1"/>
      <c r="V44" s="1"/>
      <c r="W44" s="1"/>
      <c r="X44" s="1"/>
      <c r="Y44" s="1"/>
      <c r="Z44" s="1"/>
      <c r="AA44" s="1"/>
      <c r="AB44" s="1"/>
      <c r="AC44" s="1"/>
      <c r="AD44" s="1"/>
      <c r="AE44" s="1"/>
      <c r="AF44" s="1" t="str">
        <f>IFERROR(__xludf.DUMMYFUNCTION("""COMPUTED_VALUE"""),"++10,000 fire damage per round for 3 rounds.")</f>
        <v>++10,000 fire damage per round for 3 rounds.</v>
      </c>
      <c r="AG44" s="1" t="str">
        <f>IFERROR(__xludf.DUMMYFUNCTION("""COMPUTED_VALUE"""),"Land of Spira")</f>
        <v>Land of Spira</v>
      </c>
      <c r="AH44" s="1" t="b">
        <f>IFERROR(__xludf.DUMMYFUNCTION("""COMPUTED_VALUE"""),FALSE)</f>
        <v>0</v>
      </c>
    </row>
    <row r="45">
      <c r="A45" s="1" t="str">
        <f>IFERROR(__xludf.DUMMYFUNCTION("""COMPUTED_VALUE"""),"Candy Corn Necklace")</f>
        <v>Candy Corn Necklace</v>
      </c>
      <c r="B45" s="1" t="str">
        <f>IFERROR(__xludf.DUMMYFUNCTION("""COMPUTED_VALUE"""),"Neck")</f>
        <v>Neck</v>
      </c>
      <c r="C45" s="1" t="str">
        <f>IFERROR(__xludf.DUMMYFUNCTION("""COMPUTED_VALUE"""),"Halloween Exclusive")</f>
        <v>Halloween Exclusive</v>
      </c>
      <c r="D45" s="1"/>
      <c r="E45" s="1">
        <f>IFERROR(__xludf.DUMMYFUNCTION("""COMPUTED_VALUE"""),1.0)</f>
        <v>1</v>
      </c>
      <c r="F45" s="2">
        <f>IFERROR(__xludf.DUMMYFUNCTION("""COMPUTED_VALUE"""),0.0)</f>
        <v>0</v>
      </c>
      <c r="G45" s="1"/>
      <c r="H45" s="1"/>
      <c r="I45" s="1"/>
      <c r="J45" s="1"/>
      <c r="K45" s="1"/>
      <c r="L45" s="1"/>
      <c r="M45" s="1"/>
      <c r="N45" s="1"/>
      <c r="O45" s="1"/>
      <c r="P45" s="1"/>
      <c r="Q45" s="1"/>
      <c r="R45" s="1"/>
      <c r="S45" s="1"/>
      <c r="T45" s="1"/>
      <c r="U45" s="1"/>
      <c r="V45" s="1"/>
      <c r="W45" s="1"/>
      <c r="X45" s="1"/>
      <c r="Y45" s="1"/>
      <c r="Z45" s="1"/>
      <c r="AA45" s="1"/>
      <c r="AB45" s="1"/>
      <c r="AC45" s="1"/>
      <c r="AD45" s="1"/>
      <c r="AE45" s="1"/>
      <c r="AF45" s="1" t="str">
        <f>IFERROR(__xludf.DUMMYFUNCTION("""COMPUTED_VALUE"""),"++Gives Immunity to Dark and Chaos Damage, ++ +2 Intimidation.")</f>
        <v>++Gives Immunity to Dark and Chaos Damage, ++ +2 Intimidation.</v>
      </c>
      <c r="AG45" s="1" t="str">
        <f>IFERROR(__xludf.DUMMYFUNCTION("""COMPUTED_VALUE"""),"Halloween Kingdom")</f>
        <v>Halloween Kingdom</v>
      </c>
      <c r="AH45" s="1" t="b">
        <f>IFERROR(__xludf.DUMMYFUNCTION("""COMPUTED_VALUE"""),FALSE)</f>
        <v>0</v>
      </c>
    </row>
    <row r="46">
      <c r="A46" s="1" t="str">
        <f>IFERROR(__xludf.DUMMYFUNCTION("""COMPUTED_VALUE"""),"Candy Corn Rifle")</f>
        <v>Candy Corn Rifle</v>
      </c>
      <c r="B46" s="1" t="str">
        <f>IFERROR(__xludf.DUMMYFUNCTION("""COMPUTED_VALUE"""),"Hand")</f>
        <v>Hand</v>
      </c>
      <c r="C46" s="1" t="str">
        <f>IFERROR(__xludf.DUMMYFUNCTION("""COMPUTED_VALUE"""),"Halloween Exclusive")</f>
        <v>Halloween Exclusive</v>
      </c>
      <c r="D46" s="1" t="str">
        <f>IFERROR(__xludf.DUMMYFUNCTION("""COMPUTED_VALUE"""),"Firearm")</f>
        <v>Firearm</v>
      </c>
      <c r="E46" s="1">
        <f>IFERROR(__xludf.DUMMYFUNCTION("""COMPUTED_VALUE"""),200.0)</f>
        <v>200</v>
      </c>
      <c r="F46" s="2">
        <f>IFERROR(__xludf.DUMMYFUNCTION("""COMPUTED_VALUE"""),1.272E8)</f>
        <v>127200000</v>
      </c>
      <c r="G46" s="1" t="str">
        <f>IFERROR(__xludf.DUMMYFUNCTION("""COMPUTED_VALUE"""),"DMG")</f>
        <v>DMG</v>
      </c>
      <c r="H46" s="3">
        <f>IFERROR(__xludf.DUMMYFUNCTION("""COMPUTED_VALUE"""),10000.0)</f>
        <v>10000</v>
      </c>
      <c r="I46" s="3">
        <f>IFERROR(__xludf.DUMMYFUNCTION("""COMPUTED_VALUE"""),10000.0)</f>
        <v>10000</v>
      </c>
      <c r="J46" s="1"/>
      <c r="K46" s="1"/>
      <c r="L46" s="1"/>
      <c r="M46" s="1"/>
      <c r="N46" s="1"/>
      <c r="O46" s="3">
        <f>IFERROR(__xludf.DUMMYFUNCTION("""COMPUTED_VALUE"""),10000.0)</f>
        <v>10000</v>
      </c>
      <c r="P46" s="3">
        <f>IFERROR(__xludf.DUMMYFUNCTION("""COMPUTED_VALUE"""),10000.0)</f>
        <v>10000</v>
      </c>
      <c r="Q46" s="1"/>
      <c r="R46" s="3">
        <f>IFERROR(__xludf.DUMMYFUNCTION("""COMPUTED_VALUE"""),10000.0)</f>
        <v>10000</v>
      </c>
      <c r="S46" s="1"/>
      <c r="T46" s="1"/>
      <c r="U46" s="1"/>
      <c r="V46" s="1"/>
      <c r="W46" s="1"/>
      <c r="X46" s="3">
        <f>IFERROR(__xludf.DUMMYFUNCTION("""COMPUTED_VALUE"""),10000.0)</f>
        <v>10000</v>
      </c>
      <c r="Y46" s="3">
        <f>IFERROR(__xludf.DUMMYFUNCTION("""COMPUTED_VALUE"""),10000.0)</f>
        <v>10000</v>
      </c>
      <c r="Z46" s="1"/>
      <c r="AA46" s="1"/>
      <c r="AB46" s="1"/>
      <c r="AC46" s="3">
        <f>IFERROR(__xludf.DUMMYFUNCTION("""COMPUTED_VALUE"""),10000.0)</f>
        <v>10000</v>
      </c>
      <c r="AD46" s="1"/>
      <c r="AE46" s="1"/>
      <c r="AF46" s="1" t="str">
        <f>IFERROR(__xludf.DUMMYFUNCTION("""COMPUTED_VALUE"""),"++Uses Candy Corn as Ammunition. ++Can use mobility when attacking with this weapon. +-Cannot be forged or duplicated. ")</f>
        <v>++Uses Candy Corn as Ammunition. ++Can use mobility when attacking with this weapon. +-Cannot be forged or duplicated. </v>
      </c>
      <c r="AG46" s="1" t="str">
        <f>IFERROR(__xludf.DUMMYFUNCTION("""COMPUTED_VALUE"""),"Halloween Kingdom")</f>
        <v>Halloween Kingdom</v>
      </c>
      <c r="AH46" s="1" t="b">
        <f>IFERROR(__xludf.DUMMYFUNCTION("""COMPUTED_VALUE"""),FALSE)</f>
        <v>0</v>
      </c>
    </row>
    <row r="47">
      <c r="A47" s="1" t="str">
        <f>IFERROR(__xludf.DUMMYFUNCTION("""COMPUTED_VALUE"""),"Cap of Metal Harmony's")</f>
        <v>Cap of Metal Harmony's</v>
      </c>
      <c r="B47" s="1" t="str">
        <f>IFERROR(__xludf.DUMMYFUNCTION("""COMPUTED_VALUE"""),"Head")</f>
        <v>Head</v>
      </c>
      <c r="C47" s="1"/>
      <c r="D47" s="1"/>
      <c r="E47" s="1">
        <f>IFERROR(__xludf.DUMMYFUNCTION("""COMPUTED_VALUE"""),200.0)</f>
        <v>200</v>
      </c>
      <c r="F47" s="2">
        <f>IFERROR(__xludf.DUMMYFUNCTION("""COMPUTED_VALUE"""),1900000.0)</f>
        <v>1900000</v>
      </c>
      <c r="G47" s="1" t="str">
        <f>IFERROR(__xludf.DUMMYFUNCTION("""COMPUTED_VALUE"""),"DEF")</f>
        <v>DEF</v>
      </c>
      <c r="H47" s="3">
        <f>IFERROR(__xludf.DUMMYFUNCTION("""COMPUTED_VALUE"""),10000.0)</f>
        <v>10000</v>
      </c>
      <c r="I47" s="1"/>
      <c r="J47" s="1"/>
      <c r="K47" s="1"/>
      <c r="L47" s="1"/>
      <c r="M47" s="1"/>
      <c r="N47" s="1"/>
      <c r="O47" s="1"/>
      <c r="P47" s="1"/>
      <c r="Q47" s="1"/>
      <c r="R47" s="1"/>
      <c r="S47" s="1"/>
      <c r="T47" s="1"/>
      <c r="U47" s="1"/>
      <c r="V47" s="1"/>
      <c r="W47" s="1"/>
      <c r="X47" s="1"/>
      <c r="Y47" s="1"/>
      <c r="Z47" s="1"/>
      <c r="AA47" s="1"/>
      <c r="AB47" s="1"/>
      <c r="AC47" s="1"/>
      <c r="AD47" s="1"/>
      <c r="AE47" s="1"/>
      <c r="AF47" s="1" t="str">
        <f>IFERROR(__xludf.DUMMYFUNCTION("""COMPUTED_VALUE"""),"++Half the SP cost for Fire, Water, Storm, Earth, and Nature spells.")</f>
        <v>++Half the SP cost for Fire, Water, Storm, Earth, and Nature spells.</v>
      </c>
      <c r="AG47" s="1" t="str">
        <f>IFERROR(__xludf.DUMMYFUNCTION("""COMPUTED_VALUE"""),"Land of Spira")</f>
        <v>Land of Spira</v>
      </c>
      <c r="AH47" s="1" t="b">
        <f>IFERROR(__xludf.DUMMYFUNCTION("""COMPUTED_VALUE"""),FALSE)</f>
        <v>0</v>
      </c>
    </row>
    <row r="48">
      <c r="A48" s="1" t="str">
        <f>IFERROR(__xludf.DUMMYFUNCTION("""COMPUTED_VALUE"""),"Celestian Royal Shield")</f>
        <v>Celestian Royal Shield</v>
      </c>
      <c r="B48" s="1" t="str">
        <f>IFERROR(__xludf.DUMMYFUNCTION("""COMPUTED_VALUE"""),"Hand")</f>
        <v>Hand</v>
      </c>
      <c r="C48" s="1" t="str">
        <f>IFERROR(__xludf.DUMMYFUNCTION("""COMPUTED_VALUE"""),"Quest Item")</f>
        <v>Quest Item</v>
      </c>
      <c r="D48" s="1" t="str">
        <f>IFERROR(__xludf.DUMMYFUNCTION("""COMPUTED_VALUE"""),"Towershield")</f>
        <v>Towershield</v>
      </c>
      <c r="E48" s="1">
        <f>IFERROR(__xludf.DUMMYFUNCTION("""COMPUTED_VALUE"""),200.0)</f>
        <v>200</v>
      </c>
      <c r="F48" s="2">
        <f>IFERROR(__xludf.DUMMYFUNCTION("""COMPUTED_VALUE"""),3.196E9)</f>
        <v>3196000000</v>
      </c>
      <c r="G48" s="1" t="str">
        <f>IFERROR(__xludf.DUMMYFUNCTION("""COMPUTED_VALUE"""),"DEF")</f>
        <v>DEF</v>
      </c>
      <c r="H48" s="3">
        <f>IFERROR(__xludf.DUMMYFUNCTION("""COMPUTED_VALUE"""),100000.0)</f>
        <v>100000</v>
      </c>
      <c r="I48" s="1"/>
      <c r="J48" s="1"/>
      <c r="K48" s="1"/>
      <c r="L48" s="1"/>
      <c r="M48" s="1"/>
      <c r="N48" s="3">
        <f>IFERROR(__xludf.DUMMYFUNCTION("""COMPUTED_VALUE"""),100000.0)</f>
        <v>100000</v>
      </c>
      <c r="O48" s="3">
        <f>IFERROR(__xludf.DUMMYFUNCTION("""COMPUTED_VALUE"""),100000.0)</f>
        <v>100000</v>
      </c>
      <c r="P48" s="1"/>
      <c r="Q48" s="1"/>
      <c r="R48" s="1"/>
      <c r="S48" s="1"/>
      <c r="T48" s="1"/>
      <c r="U48" s="1"/>
      <c r="V48" s="1"/>
      <c r="W48" s="1"/>
      <c r="X48" s="1"/>
      <c r="Y48" s="1"/>
      <c r="Z48" s="1"/>
      <c r="AA48" s="1"/>
      <c r="AB48" s="1"/>
      <c r="AC48" s="3">
        <f>IFERROR(__xludf.DUMMYFUNCTION("""COMPUTED_VALUE"""),100000.0)</f>
        <v>100000</v>
      </c>
      <c r="AD48" s="1"/>
      <c r="AE48" s="1"/>
      <c r="AF48" s="1" t="str">
        <f>IFERROR(__xludf.DUMMYFUNCTION("""COMPUTED_VALUE"""),"++Royal Protection: Immunity to Celestial. +-Cannot be forged or duplicated.")</f>
        <v>++Royal Protection: Immunity to Celestial. +-Cannot be forged or duplicated.</v>
      </c>
      <c r="AG48" s="1" t="str">
        <f>IFERROR(__xludf.DUMMYFUNCTION("""COMPUTED_VALUE"""),"Land of Spira")</f>
        <v>Land of Spira</v>
      </c>
      <c r="AH48" s="1" t="b">
        <f>IFERROR(__xludf.DUMMYFUNCTION("""COMPUTED_VALUE"""),FALSE)</f>
        <v>0</v>
      </c>
    </row>
    <row r="49">
      <c r="A49" s="1" t="str">
        <f>IFERROR(__xludf.DUMMYFUNCTION("""COMPUTED_VALUE"""),"Celestian Royal Sword")</f>
        <v>Celestian Royal Sword</v>
      </c>
      <c r="B49" s="1" t="str">
        <f>IFERROR(__xludf.DUMMYFUNCTION("""COMPUTED_VALUE"""),"Hand")</f>
        <v>Hand</v>
      </c>
      <c r="C49" s="1" t="str">
        <f>IFERROR(__xludf.DUMMYFUNCTION("""COMPUTED_VALUE"""),"Quest Item")</f>
        <v>Quest Item</v>
      </c>
      <c r="D49" s="1" t="str">
        <f>IFERROR(__xludf.DUMMYFUNCTION("""COMPUTED_VALUE"""),"Sword")</f>
        <v>Sword</v>
      </c>
      <c r="E49" s="1">
        <f>IFERROR(__xludf.DUMMYFUNCTION("""COMPUTED_VALUE"""),200.0)</f>
        <v>200</v>
      </c>
      <c r="F49" s="2">
        <f>IFERROR(__xludf.DUMMYFUNCTION("""COMPUTED_VALUE"""),3.196E9)</f>
        <v>3196000000</v>
      </c>
      <c r="G49" s="1" t="str">
        <f>IFERROR(__xludf.DUMMYFUNCTION("""COMPUTED_VALUE"""),"DMG")</f>
        <v>DMG</v>
      </c>
      <c r="H49" s="3">
        <f>IFERROR(__xludf.DUMMYFUNCTION("""COMPUTED_VALUE"""),100000.0)</f>
        <v>100000</v>
      </c>
      <c r="I49" s="1"/>
      <c r="J49" s="1"/>
      <c r="K49" s="1"/>
      <c r="L49" s="1"/>
      <c r="M49" s="1"/>
      <c r="N49" s="3">
        <f>IFERROR(__xludf.DUMMYFUNCTION("""COMPUTED_VALUE"""),100000.0)</f>
        <v>100000</v>
      </c>
      <c r="O49" s="3">
        <f>IFERROR(__xludf.DUMMYFUNCTION("""COMPUTED_VALUE"""),100000.0)</f>
        <v>100000</v>
      </c>
      <c r="P49" s="1"/>
      <c r="Q49" s="1"/>
      <c r="R49" s="1"/>
      <c r="S49" s="1"/>
      <c r="T49" s="1"/>
      <c r="U49" s="1"/>
      <c r="V49" s="1"/>
      <c r="W49" s="1"/>
      <c r="X49" s="1"/>
      <c r="Y49" s="1"/>
      <c r="Z49" s="1"/>
      <c r="AA49" s="1"/>
      <c r="AB49" s="1"/>
      <c r="AC49" s="3">
        <f>IFERROR(__xludf.DUMMYFUNCTION("""COMPUTED_VALUE"""),100000.0)</f>
        <v>100000</v>
      </c>
      <c r="AD49" s="1"/>
      <c r="AE49" s="1"/>
      <c r="AF49" s="1" t="str">
        <f>IFERROR(__xludf.DUMMYFUNCTION("""COMPUTED_VALUE"""),"++X8 Celestial Damage. +-Cannot be forged or duplicated.")</f>
        <v>++X8 Celestial Damage. +-Cannot be forged or duplicated.</v>
      </c>
      <c r="AG49" s="1" t="str">
        <f>IFERROR(__xludf.DUMMYFUNCTION("""COMPUTED_VALUE"""),"Land of Spira")</f>
        <v>Land of Spira</v>
      </c>
      <c r="AH49" s="1" t="b">
        <f>IFERROR(__xludf.DUMMYFUNCTION("""COMPUTED_VALUE"""),FALSE)</f>
        <v>0</v>
      </c>
    </row>
    <row r="50">
      <c r="A50" s="1" t="str">
        <f>IFERROR(__xludf.DUMMYFUNCTION("""COMPUTED_VALUE"""),"Chain Link Armor")</f>
        <v>Chain Link Armor</v>
      </c>
      <c r="B50" s="1" t="str">
        <f>IFERROR(__xludf.DUMMYFUNCTION("""COMPUTED_VALUE"""),"Torso")</f>
        <v>Torso</v>
      </c>
      <c r="C50" s="1"/>
      <c r="D50" s="1"/>
      <c r="E50" s="1">
        <f>IFERROR(__xludf.DUMMYFUNCTION("""COMPUTED_VALUE"""),40.0)</f>
        <v>40</v>
      </c>
      <c r="F50" s="2">
        <f>IFERROR(__xludf.DUMMYFUNCTION("""COMPUTED_VALUE"""),60000.0)</f>
        <v>60000</v>
      </c>
      <c r="G50" s="1" t="str">
        <f>IFERROR(__xludf.DUMMYFUNCTION("""COMPUTED_VALUE"""),"DEF")</f>
        <v>DEF</v>
      </c>
      <c r="H50" s="1">
        <f>IFERROR(__xludf.DUMMYFUNCTION("""COMPUTED_VALUE"""),2000.0)</f>
        <v>2000</v>
      </c>
      <c r="I50" s="1"/>
      <c r="J50" s="1"/>
      <c r="K50" s="1"/>
      <c r="L50" s="1"/>
      <c r="M50" s="1"/>
      <c r="N50" s="1"/>
      <c r="O50" s="1"/>
      <c r="P50" s="1"/>
      <c r="Q50" s="1"/>
      <c r="R50" s="1"/>
      <c r="S50" s="1"/>
      <c r="T50" s="1"/>
      <c r="U50" s="1"/>
      <c r="V50" s="1"/>
      <c r="W50" s="1"/>
      <c r="X50" s="1"/>
      <c r="Y50" s="1"/>
      <c r="Z50" s="1"/>
      <c r="AA50" s="1"/>
      <c r="AB50" s="1"/>
      <c r="AC50" s="1"/>
      <c r="AD50" s="1"/>
      <c r="AE50" s="1"/>
      <c r="AF50" s="1" t="str">
        <f>IFERROR(__xludf.DUMMYFUNCTION("""COMPUTED_VALUE"""),"++Wrapped in Chains - When the wearer is attacked with a weapon; 25% chance to make the attacker drop it's weapon.")</f>
        <v>++Wrapped in Chains - When the wearer is attacked with a weapon; 25% chance to make the attacker drop it's weapon.</v>
      </c>
      <c r="AG50" s="1" t="str">
        <f>IFERROR(__xludf.DUMMYFUNCTION("""COMPUTED_VALUE"""),"Land of Spira")</f>
        <v>Land of Spira</v>
      </c>
      <c r="AH50" s="1" t="b">
        <f>IFERROR(__xludf.DUMMYFUNCTION("""COMPUTED_VALUE"""),FALSE)</f>
        <v>0</v>
      </c>
    </row>
    <row r="51">
      <c r="A51" s="1" t="str">
        <f>IFERROR(__xludf.DUMMYFUNCTION("""COMPUTED_VALUE"""),"Chaos Sword")</f>
        <v>Chaos Sword</v>
      </c>
      <c r="B51" s="1" t="str">
        <f>IFERROR(__xludf.DUMMYFUNCTION("""COMPUTED_VALUE"""),"Hand")</f>
        <v>Hand</v>
      </c>
      <c r="C51" s="1"/>
      <c r="D51" s="1" t="str">
        <f>IFERROR(__xludf.DUMMYFUNCTION("""COMPUTED_VALUE"""),"Sword")</f>
        <v>Sword</v>
      </c>
      <c r="E51" s="1">
        <f>IFERROR(__xludf.DUMMYFUNCTION("""COMPUTED_VALUE"""),90.0)</f>
        <v>90</v>
      </c>
      <c r="F51" s="2">
        <f>IFERROR(__xludf.DUMMYFUNCTION("""COMPUTED_VALUE"""),360000.0)</f>
        <v>360000</v>
      </c>
      <c r="G51" s="1" t="str">
        <f>IFERROR(__xludf.DUMMYFUNCTION("""COMPUTED_VALUE"""),"DMG")</f>
        <v>DMG</v>
      </c>
      <c r="H51" s="1">
        <f>IFERROR(__xludf.DUMMYFUNCTION("""COMPUTED_VALUE"""),2500.0)</f>
        <v>2500</v>
      </c>
      <c r="I51" s="1"/>
      <c r="J51" s="1"/>
      <c r="K51" s="1"/>
      <c r="L51" s="1"/>
      <c r="M51" s="1"/>
      <c r="N51" s="1"/>
      <c r="O51" s="1"/>
      <c r="P51" s="1"/>
      <c r="Q51" s="1"/>
      <c r="R51" s="1">
        <f>IFERROR(__xludf.DUMMYFUNCTION("""COMPUTED_VALUE"""),2000.0)</f>
        <v>2000</v>
      </c>
      <c r="S51" s="1"/>
      <c r="T51" s="1"/>
      <c r="U51" s="1"/>
      <c r="V51" s="1"/>
      <c r="W51" s="1"/>
      <c r="X51" s="1"/>
      <c r="Y51" s="1"/>
      <c r="Z51" s="1"/>
      <c r="AA51" s="1"/>
      <c r="AB51" s="1"/>
      <c r="AC51" s="1"/>
      <c r="AD51" s="1"/>
      <c r="AE51" s="1"/>
      <c r="AF51" s="1" t="str">
        <f>IFERROR(__xludf.DUMMYFUNCTION("""COMPUTED_VALUE"""),"++ +2 Intimidation. +-Cannot be duplicated. +-Can only equip one.")</f>
        <v>++ +2 Intimidation. +-Cannot be duplicated. +-Can only equip one.</v>
      </c>
      <c r="AG51" s="1" t="str">
        <f>IFERROR(__xludf.DUMMYFUNCTION("""COMPUTED_VALUE"""),"Land of Spira")</f>
        <v>Land of Spira</v>
      </c>
      <c r="AH51" s="1" t="b">
        <f>IFERROR(__xludf.DUMMYFUNCTION("""COMPUTED_VALUE"""),FALSE)</f>
        <v>0</v>
      </c>
    </row>
    <row r="52">
      <c r="A52" s="1" t="str">
        <f>IFERROR(__xludf.DUMMYFUNCTION("""COMPUTED_VALUE"""),"Chaotic Amulet")</f>
        <v>Chaotic Amulet</v>
      </c>
      <c r="B52" s="1" t="str">
        <f>IFERROR(__xludf.DUMMYFUNCTION("""COMPUTED_VALUE"""),"Neck")</f>
        <v>Neck</v>
      </c>
      <c r="C52" s="1"/>
      <c r="D52" s="1"/>
      <c r="E52" s="1">
        <f>IFERROR(__xludf.DUMMYFUNCTION("""COMPUTED_VALUE"""),1.0)</f>
        <v>1</v>
      </c>
      <c r="F52" s="2">
        <f>IFERROR(__xludf.DUMMYFUNCTION("""COMPUTED_VALUE"""),0.0)</f>
        <v>0</v>
      </c>
      <c r="G52" s="1"/>
      <c r="H52" s="1"/>
      <c r="I52" s="1"/>
      <c r="J52" s="1"/>
      <c r="K52" s="1"/>
      <c r="L52" s="1"/>
      <c r="M52" s="1"/>
      <c r="N52" s="1"/>
      <c r="O52" s="1"/>
      <c r="P52" s="1"/>
      <c r="Q52" s="1"/>
      <c r="R52" s="1"/>
      <c r="S52" s="1"/>
      <c r="T52" s="1"/>
      <c r="U52" s="1"/>
      <c r="V52" s="1"/>
      <c r="W52" s="1"/>
      <c r="X52" s="1"/>
      <c r="Y52" s="1"/>
      <c r="Z52" s="1"/>
      <c r="AA52" s="1"/>
      <c r="AB52" s="1"/>
      <c r="AC52" s="1"/>
      <c r="AD52" s="1"/>
      <c r="AE52" s="1"/>
      <c r="AF52" s="1" t="str">
        <f>IFERROR(__xludf.DUMMYFUNCTION("""COMPUTED_VALUE"""),"++Immunity to all Chaos Dmg, ++Deal 2x more Chaos Dmg.")</f>
        <v>++Immunity to all Chaos Dmg, ++Deal 2x more Chaos Dmg.</v>
      </c>
      <c r="AG52" s="1" t="str">
        <f>IFERROR(__xludf.DUMMYFUNCTION("""COMPUTED_VALUE"""),"Land of The Forgotten")</f>
        <v>Land of The Forgotten</v>
      </c>
      <c r="AH52" s="1" t="b">
        <f>IFERROR(__xludf.DUMMYFUNCTION("""COMPUTED_VALUE"""),FALSE)</f>
        <v>0</v>
      </c>
    </row>
    <row r="53">
      <c r="A53" s="1" t="str">
        <f>IFERROR(__xludf.DUMMYFUNCTION("""COMPUTED_VALUE"""),"Ring")</f>
        <v>Ring</v>
      </c>
      <c r="B53" s="1" t="str">
        <f>IFERROR(__xludf.DUMMYFUNCTION("""COMPUTED_VALUE"""),"Ring")</f>
        <v>Ring</v>
      </c>
      <c r="C53" s="1"/>
      <c r="D53" s="1"/>
      <c r="E53" s="1">
        <f>IFERROR(__xludf.DUMMYFUNCTION("""COMPUTED_VALUE"""),1.0)</f>
        <v>1</v>
      </c>
      <c r="F53" s="2">
        <f>IFERROR(__xludf.DUMMYFUNCTION("""COMPUTED_VALUE"""),0.0)</f>
        <v>0</v>
      </c>
      <c r="G53" s="1" t="str">
        <f>IFERROR(__xludf.DUMMYFUNCTION("""COMPUTED_VALUE"""),"DMG")</f>
        <v>DMG</v>
      </c>
      <c r="H53" s="1"/>
      <c r="I53" s="1"/>
      <c r="J53" s="1"/>
      <c r="K53" s="1"/>
      <c r="L53" s="1"/>
      <c r="M53" s="1"/>
      <c r="N53" s="1"/>
      <c r="O53" s="1"/>
      <c r="P53" s="1"/>
      <c r="Q53" s="1"/>
      <c r="R53" s="1"/>
      <c r="S53" s="1"/>
      <c r="T53" s="1"/>
      <c r="U53" s="1"/>
      <c r="V53" s="1"/>
      <c r="W53" s="1"/>
      <c r="X53" s="1"/>
      <c r="Y53" s="1"/>
      <c r="Z53" s="1"/>
      <c r="AA53" s="1"/>
      <c r="AB53" s="1"/>
      <c r="AC53" s="1"/>
      <c r="AD53" s="1"/>
      <c r="AE53" s="1"/>
      <c r="AF53" s="1" t="str">
        <f>IFERROR(__xludf.DUMMYFUNCTION("""COMPUTED_VALUE"""),"++X2 additional Chaos and Blood damage")</f>
        <v>++X2 additional Chaos and Blood damage</v>
      </c>
      <c r="AG53" s="1" t="str">
        <f>IFERROR(__xludf.DUMMYFUNCTION("""COMPUTED_VALUE"""),"Land of Spira")</f>
        <v>Land of Spira</v>
      </c>
      <c r="AH53" s="1" t="b">
        <f>IFERROR(__xludf.DUMMYFUNCTION("""COMPUTED_VALUE"""),FALSE)</f>
        <v>0</v>
      </c>
    </row>
    <row r="54">
      <c r="A54" s="1" t="str">
        <f>IFERROR(__xludf.DUMMYFUNCTION("""COMPUTED_VALUE"""),"Chaotic Shadow Life Orb")</f>
        <v>Chaotic Shadow Life Orb</v>
      </c>
      <c r="B54" s="1" t="str">
        <f>IFERROR(__xludf.DUMMYFUNCTION("""COMPUTED_VALUE"""),"Hand")</f>
        <v>Hand</v>
      </c>
      <c r="C54" s="1"/>
      <c r="D54" s="1"/>
      <c r="E54" s="1">
        <f>IFERROR(__xludf.DUMMYFUNCTION("""COMPUTED_VALUE"""),1.0)</f>
        <v>1</v>
      </c>
      <c r="F54" s="2">
        <f>IFERROR(__xludf.DUMMYFUNCTION("""COMPUTED_VALUE"""),0.0)</f>
        <v>0</v>
      </c>
      <c r="G54" s="1"/>
      <c r="H54" s="1"/>
      <c r="I54" s="1"/>
      <c r="J54" s="1"/>
      <c r="K54" s="1"/>
      <c r="L54" s="1"/>
      <c r="M54" s="1"/>
      <c r="N54" s="1"/>
      <c r="O54" s="1"/>
      <c r="P54" s="1"/>
      <c r="Q54" s="1"/>
      <c r="R54" s="1"/>
      <c r="S54" s="1"/>
      <c r="T54" s="1"/>
      <c r="U54" s="1"/>
      <c r="V54" s="1"/>
      <c r="W54" s="1"/>
      <c r="X54" s="1"/>
      <c r="Y54" s="1"/>
      <c r="Z54" s="1"/>
      <c r="AA54" s="1"/>
      <c r="AB54" s="1"/>
      <c r="AC54" s="1"/>
      <c r="AD54" s="1"/>
      <c r="AE54" s="1"/>
      <c r="AF54" s="1" t="str">
        <f>IFERROR(__xludf.DUMMYFUNCTION("""COMPUTED_VALUE"""),"++Last Chance - Protected from death once per battle, can only use the effect of ""Last Chance"" once per battle.  +-Can only have one equipped. +- Cannot be duplicated.")</f>
        <v>++Last Chance - Protected from death once per battle, can only use the effect of "Last Chance" once per battle.  +-Can only have one equipped. +- Cannot be duplicated.</v>
      </c>
      <c r="AG54" s="1" t="str">
        <f>IFERROR(__xludf.DUMMYFUNCTION("""COMPUTED_VALUE"""),"Land of Spira")</f>
        <v>Land of Spira</v>
      </c>
      <c r="AH54" s="1" t="b">
        <f>IFERROR(__xludf.DUMMYFUNCTION("""COMPUTED_VALUE"""),FALSE)</f>
        <v>0</v>
      </c>
    </row>
    <row r="55">
      <c r="A55" s="1" t="str">
        <f>IFERROR(__xludf.DUMMYFUNCTION("""COMPUTED_VALUE"""),"Charm of Awaken")</f>
        <v>Charm of Awaken</v>
      </c>
      <c r="B55" s="1" t="str">
        <f>IFERROR(__xludf.DUMMYFUNCTION("""COMPUTED_VALUE"""),"Neck")</f>
        <v>Neck</v>
      </c>
      <c r="C55" s="1"/>
      <c r="D55" s="1"/>
      <c r="E55" s="1">
        <f>IFERROR(__xludf.DUMMYFUNCTION("""COMPUTED_VALUE"""),1.0)</f>
        <v>1</v>
      </c>
      <c r="F55" s="2">
        <f>IFERROR(__xludf.DUMMYFUNCTION("""COMPUTED_VALUE"""),0.0)</f>
        <v>0</v>
      </c>
      <c r="G55" s="1" t="str">
        <f>IFERROR(__xludf.DUMMYFUNCTION("""COMPUTED_VALUE"""),"DMG")</f>
        <v>DMG</v>
      </c>
      <c r="H55" s="1"/>
      <c r="I55" s="1"/>
      <c r="J55" s="1"/>
      <c r="K55" s="1"/>
      <c r="L55" s="1"/>
      <c r="M55" s="1"/>
      <c r="N55" s="1"/>
      <c r="O55" s="1"/>
      <c r="P55" s="1"/>
      <c r="Q55" s="1"/>
      <c r="R55" s="1"/>
      <c r="S55" s="1"/>
      <c r="T55" s="1"/>
      <c r="U55" s="1"/>
      <c r="V55" s="1"/>
      <c r="W55" s="1"/>
      <c r="X55" s="1"/>
      <c r="Y55" s="1"/>
      <c r="Z55" s="1"/>
      <c r="AA55" s="1"/>
      <c r="AB55" s="1"/>
      <c r="AC55" s="1"/>
      <c r="AD55" s="1"/>
      <c r="AE55" s="1"/>
      <c r="AF55" s="1" t="str">
        <f>IFERROR(__xludf.DUMMYFUNCTION("""COMPUTED_VALUE"""),"++Immunity to sleep.")</f>
        <v>++Immunity to sleep.</v>
      </c>
      <c r="AG55" s="1" t="str">
        <f>IFERROR(__xludf.DUMMYFUNCTION("""COMPUTED_VALUE"""),"Abstara")</f>
        <v>Abstara</v>
      </c>
      <c r="AH55" s="1" t="b">
        <f>IFERROR(__xludf.DUMMYFUNCTION("""COMPUTED_VALUE"""),FALSE)</f>
        <v>0</v>
      </c>
    </row>
    <row r="56">
      <c r="A56" s="1" t="str">
        <f>IFERROR(__xludf.DUMMYFUNCTION("""COMPUTED_VALUE"""),"Chestplate of Foul Night")</f>
        <v>Chestplate of Foul Night</v>
      </c>
      <c r="B56" s="1" t="str">
        <f>IFERROR(__xludf.DUMMYFUNCTION("""COMPUTED_VALUE"""),"Torso")</f>
        <v>Torso</v>
      </c>
      <c r="C56" s="1"/>
      <c r="D56" s="1"/>
      <c r="E56" s="1">
        <f>IFERROR(__xludf.DUMMYFUNCTION("""COMPUTED_VALUE"""),200.0)</f>
        <v>200</v>
      </c>
      <c r="F56" s="2">
        <f>IFERROR(__xludf.DUMMYFUNCTION("""COMPUTED_VALUE"""),1900000.0)</f>
        <v>1900000</v>
      </c>
      <c r="G56" s="1" t="str">
        <f>IFERROR(__xludf.DUMMYFUNCTION("""COMPUTED_VALUE"""),"DEF")</f>
        <v>DEF</v>
      </c>
      <c r="H56" s="1">
        <f>IFERROR(__xludf.DUMMYFUNCTION("""COMPUTED_VALUE"""),5000.0)</f>
        <v>5000</v>
      </c>
      <c r="I56" s="1"/>
      <c r="J56" s="1"/>
      <c r="K56" s="1"/>
      <c r="L56" s="1"/>
      <c r="M56" s="1"/>
      <c r="N56" s="1"/>
      <c r="O56" s="1"/>
      <c r="P56" s="1"/>
      <c r="Q56" s="1"/>
      <c r="R56" s="1"/>
      <c r="S56" s="1">
        <f>IFERROR(__xludf.DUMMYFUNCTION("""COMPUTED_VALUE"""),5000.0)</f>
        <v>5000</v>
      </c>
      <c r="T56" s="1"/>
      <c r="U56" s="1"/>
      <c r="V56" s="1"/>
      <c r="W56" s="1"/>
      <c r="X56" s="1"/>
      <c r="Y56" s="1"/>
      <c r="Z56" s="1"/>
      <c r="AA56" s="1"/>
      <c r="AB56" s="1"/>
      <c r="AC56" s="1"/>
      <c r="AD56" s="1"/>
      <c r="AE56" s="1"/>
      <c r="AF56" s="1" t="str">
        <f>IFERROR(__xludf.DUMMYFUNCTION("""COMPUTED_VALUE"""),"(Foul Night Set) ++X2 Nature and Poison damage, ++Poison Immunity.")</f>
        <v>(Foul Night Set) ++X2 Nature and Poison damage, ++Poison Immunity.</v>
      </c>
      <c r="AG56" s="1" t="str">
        <f>IFERROR(__xludf.DUMMYFUNCTION("""COMPUTED_VALUE"""),"Land of Spira")</f>
        <v>Land of Spira</v>
      </c>
      <c r="AH56" s="1" t="b">
        <f>IFERROR(__xludf.DUMMYFUNCTION("""COMPUTED_VALUE"""),FALSE)</f>
        <v>0</v>
      </c>
    </row>
    <row r="57">
      <c r="A57" s="1" t="str">
        <f>IFERROR(__xludf.DUMMYFUNCTION("""COMPUTED_VALUE"""),"Chestplate of Waking Waters")</f>
        <v>Chestplate of Waking Waters</v>
      </c>
      <c r="B57" s="1" t="str">
        <f>IFERROR(__xludf.DUMMYFUNCTION("""COMPUTED_VALUE"""),"Torso")</f>
        <v>Torso</v>
      </c>
      <c r="C57" s="1"/>
      <c r="D57" s="1"/>
      <c r="E57" s="1">
        <f>IFERROR(__xludf.DUMMYFUNCTION("""COMPUTED_VALUE"""),400.0)</f>
        <v>400</v>
      </c>
      <c r="F57" s="2">
        <f>IFERROR(__xludf.DUMMYFUNCTION("""COMPUTED_VALUE"""),7800000.0)</f>
        <v>7800000</v>
      </c>
      <c r="G57" s="1" t="str">
        <f>IFERROR(__xludf.DUMMYFUNCTION("""COMPUTED_VALUE"""),"DEF")</f>
        <v>DEF</v>
      </c>
      <c r="H57" s="3">
        <f>IFERROR(__xludf.DUMMYFUNCTION("""COMPUTED_VALUE"""),10000.0)</f>
        <v>10000</v>
      </c>
      <c r="I57" s="1"/>
      <c r="J57" s="1"/>
      <c r="K57" s="3">
        <f>IFERROR(__xludf.DUMMYFUNCTION("""COMPUTED_VALUE"""),10000.0)</f>
        <v>10000</v>
      </c>
      <c r="L57" s="1"/>
      <c r="M57" s="1"/>
      <c r="N57" s="1"/>
      <c r="O57" s="1"/>
      <c r="P57" s="1"/>
      <c r="Q57" s="1"/>
      <c r="R57" s="1"/>
      <c r="S57" s="1"/>
      <c r="T57" s="1"/>
      <c r="U57" s="1"/>
      <c r="V57" s="1"/>
      <c r="W57" s="1"/>
      <c r="X57" s="1"/>
      <c r="Y57" s="1"/>
      <c r="Z57" s="1"/>
      <c r="AA57" s="1"/>
      <c r="AB57" s="1"/>
      <c r="AC57" s="1"/>
      <c r="AD57" s="1"/>
      <c r="AE57" s="1"/>
      <c r="AF57" s="1" t="str">
        <f>IFERROR(__xludf.DUMMYFUNCTION("""COMPUTED_VALUE"""),"++X4 additional water damage for self.")</f>
        <v>++X4 additional water damage for self.</v>
      </c>
      <c r="AG57" s="1" t="str">
        <f>IFERROR(__xludf.DUMMYFUNCTION("""COMPUTED_VALUE"""),"Land of Spira")</f>
        <v>Land of Spira</v>
      </c>
      <c r="AH57" s="1" t="b">
        <f>IFERROR(__xludf.DUMMYFUNCTION("""COMPUTED_VALUE"""),FALSE)</f>
        <v>0</v>
      </c>
    </row>
    <row r="58">
      <c r="A58" s="1" t="str">
        <f>IFERROR(__xludf.DUMMYFUNCTION("""COMPUTED_VALUE"""),"Cloth Cap")</f>
        <v>Cloth Cap</v>
      </c>
      <c r="B58" s="1" t="str">
        <f>IFERROR(__xludf.DUMMYFUNCTION("""COMPUTED_VALUE"""),"Head")</f>
        <v>Head</v>
      </c>
      <c r="C58" s="1"/>
      <c r="D58" s="1"/>
      <c r="E58" s="1">
        <f>IFERROR(__xludf.DUMMYFUNCTION("""COMPUTED_VALUE"""),50.0)</f>
        <v>50</v>
      </c>
      <c r="F58" s="2">
        <f>IFERROR(__xludf.DUMMYFUNCTION("""COMPUTED_VALUE"""),100000.0)</f>
        <v>100000</v>
      </c>
      <c r="G58" s="1" t="str">
        <f>IFERROR(__xludf.DUMMYFUNCTION("""COMPUTED_VALUE"""),"DEF")</f>
        <v>DEF</v>
      </c>
      <c r="H58" s="1">
        <f>IFERROR(__xludf.DUMMYFUNCTION("""COMPUTED_VALUE"""),2500.0)</f>
        <v>2500</v>
      </c>
      <c r="I58" s="1"/>
      <c r="J58" s="1"/>
      <c r="K58" s="1"/>
      <c r="L58" s="1"/>
      <c r="M58" s="1"/>
      <c r="N58" s="1"/>
      <c r="O58" s="1"/>
      <c r="P58" s="1"/>
      <c r="Q58" s="1"/>
      <c r="R58" s="1"/>
      <c r="S58" s="1"/>
      <c r="T58" s="1"/>
      <c r="U58" s="1"/>
      <c r="V58" s="1"/>
      <c r="W58" s="1"/>
      <c r="X58" s="1"/>
      <c r="Y58" s="1"/>
      <c r="Z58" s="1"/>
      <c r="AA58" s="1"/>
      <c r="AB58" s="1"/>
      <c r="AC58" s="1"/>
      <c r="AD58" s="1"/>
      <c r="AE58" s="1"/>
      <c r="AF58" s="1"/>
      <c r="AG58" s="1" t="str">
        <f>IFERROR(__xludf.DUMMYFUNCTION("""COMPUTED_VALUE"""),"Land of Spira")</f>
        <v>Land of Spira</v>
      </c>
      <c r="AH58" s="1" t="b">
        <f>IFERROR(__xludf.DUMMYFUNCTION("""COMPUTED_VALUE"""),FALSE)</f>
        <v>0</v>
      </c>
    </row>
    <row r="59">
      <c r="A59" s="1" t="str">
        <f>IFERROR(__xludf.DUMMYFUNCTION("""COMPUTED_VALUE"""),"Colossus Bone Sword")</f>
        <v>Colossus Bone Sword</v>
      </c>
      <c r="B59" s="1" t="str">
        <f>IFERROR(__xludf.DUMMYFUNCTION("""COMPUTED_VALUE"""),"Hand")</f>
        <v>Hand</v>
      </c>
      <c r="C59" s="1" t="str">
        <f>IFERROR(__xludf.DUMMYFUNCTION("""COMPUTED_VALUE"""),"Mob Exclusive")</f>
        <v>Mob Exclusive</v>
      </c>
      <c r="D59" s="1" t="str">
        <f>IFERROR(__xludf.DUMMYFUNCTION("""COMPUTED_VALUE"""),"Sword")</f>
        <v>Sword</v>
      </c>
      <c r="E59" s="1">
        <f>IFERROR(__xludf.DUMMYFUNCTION("""COMPUTED_VALUE"""),1500.0)</f>
        <v>1500</v>
      </c>
      <c r="F59" s="2">
        <f>IFERROR(__xludf.DUMMYFUNCTION("""COMPUTED_VALUE"""),1.1175E8)</f>
        <v>111750000</v>
      </c>
      <c r="G59" s="1" t="str">
        <f>IFERROR(__xludf.DUMMYFUNCTION("""COMPUTED_VALUE"""),"DMG")</f>
        <v>DMG</v>
      </c>
      <c r="H59" s="1">
        <f>IFERROR(__xludf.DUMMYFUNCTION("""COMPUTED_VALUE"""),25000.0)</f>
        <v>25000</v>
      </c>
      <c r="I59" s="1"/>
      <c r="J59" s="1"/>
      <c r="K59" s="1"/>
      <c r="L59" s="1"/>
      <c r="M59" s="3">
        <f>IFERROR(__xludf.DUMMYFUNCTION("""COMPUTED_VALUE"""),25000.0)</f>
        <v>25000</v>
      </c>
      <c r="N59" s="1"/>
      <c r="O59" s="3">
        <f>IFERROR(__xludf.DUMMYFUNCTION("""COMPUTED_VALUE"""),25000.0)</f>
        <v>25000</v>
      </c>
      <c r="P59" s="1"/>
      <c r="Q59" s="1"/>
      <c r="R59" s="1"/>
      <c r="S59" s="1"/>
      <c r="T59" s="1"/>
      <c r="U59" s="1"/>
      <c r="V59" s="1"/>
      <c r="W59" s="1"/>
      <c r="X59" s="1"/>
      <c r="Y59" s="1"/>
      <c r="Z59" s="1"/>
      <c r="AA59" s="1"/>
      <c r="AB59" s="1"/>
      <c r="AC59" s="1"/>
      <c r="AD59" s="1"/>
      <c r="AE59" s="1"/>
      <c r="AF59" s="1" t="str">
        <f>IFERROR(__xludf.DUMMYFUNCTION("""COMPUTED_VALUE"""),"++X2 additional damage for the user.")</f>
        <v>++X2 additional damage for the user.</v>
      </c>
      <c r="AG59" s="1" t="str">
        <f>IFERROR(__xludf.DUMMYFUNCTION("""COMPUTED_VALUE"""),"Land of Spira")</f>
        <v>Land of Spira</v>
      </c>
      <c r="AH59" s="1" t="b">
        <f>IFERROR(__xludf.DUMMYFUNCTION("""COMPUTED_VALUE"""),FALSE)</f>
        <v>0</v>
      </c>
    </row>
    <row r="60">
      <c r="A60" s="1" t="str">
        <f>IFERROR(__xludf.DUMMYFUNCTION("""COMPUTED_VALUE"""),"Coral Hat")</f>
        <v>Coral Hat</v>
      </c>
      <c r="B60" s="1" t="str">
        <f>IFERROR(__xludf.DUMMYFUNCTION("""COMPUTED_VALUE"""),"Head")</f>
        <v>Head</v>
      </c>
      <c r="C60" s="1"/>
      <c r="D60" s="1"/>
      <c r="E60" s="1">
        <f>IFERROR(__xludf.DUMMYFUNCTION("""COMPUTED_VALUE"""),20.0)</f>
        <v>20</v>
      </c>
      <c r="F60" s="2">
        <f>IFERROR(__xludf.DUMMYFUNCTION("""COMPUTED_VALUE"""),1000.0)</f>
        <v>1000</v>
      </c>
      <c r="G60" s="1" t="str">
        <f>IFERROR(__xludf.DUMMYFUNCTION("""COMPUTED_VALUE"""),"DEF")</f>
        <v>DEF</v>
      </c>
      <c r="H60" s="1">
        <f>IFERROR(__xludf.DUMMYFUNCTION("""COMPUTED_VALUE"""),800.0)</f>
        <v>800</v>
      </c>
      <c r="I60" s="1"/>
      <c r="J60" s="1"/>
      <c r="K60" s="1"/>
      <c r="L60" s="1"/>
      <c r="M60" s="1"/>
      <c r="N60" s="1"/>
      <c r="O60" s="1"/>
      <c r="P60" s="1"/>
      <c r="Q60" s="1"/>
      <c r="R60" s="1"/>
      <c r="S60" s="1"/>
      <c r="T60" s="1"/>
      <c r="U60" s="1"/>
      <c r="V60" s="1"/>
      <c r="W60" s="1"/>
      <c r="X60" s="1"/>
      <c r="Y60" s="1"/>
      <c r="Z60" s="1"/>
      <c r="AA60" s="1"/>
      <c r="AB60" s="1"/>
      <c r="AC60" s="1"/>
      <c r="AD60" s="1"/>
      <c r="AE60" s="1"/>
      <c r="AF60" s="1" t="str">
        <f>IFERROR(__xludf.DUMMYFUNCTION("""COMPUTED_VALUE"""),"++Immunity to water damage.")</f>
        <v>++Immunity to water damage.</v>
      </c>
      <c r="AG60" s="1" t="str">
        <f>IFERROR(__xludf.DUMMYFUNCTION("""COMPUTED_VALUE"""),"Land of Spira")</f>
        <v>Land of Spira</v>
      </c>
      <c r="AH60" s="1" t="b">
        <f>IFERROR(__xludf.DUMMYFUNCTION("""COMPUTED_VALUE"""),FALSE)</f>
        <v>0</v>
      </c>
    </row>
    <row r="61">
      <c r="A61" s="1" t="str">
        <f>IFERROR(__xludf.DUMMYFUNCTION("""COMPUTED_VALUE"""),"Critical Vanish Armor")</f>
        <v>Critical Vanish Armor</v>
      </c>
      <c r="B61" s="1" t="str">
        <f>IFERROR(__xludf.DUMMYFUNCTION("""COMPUTED_VALUE"""),"Torso")</f>
        <v>Torso</v>
      </c>
      <c r="C61" s="1"/>
      <c r="D61" s="1"/>
      <c r="E61" s="1">
        <f>IFERROR(__xludf.DUMMYFUNCTION("""COMPUTED_VALUE"""),10.0)</f>
        <v>10</v>
      </c>
      <c r="F61" s="2">
        <f>IFERROR(__xludf.DUMMYFUNCTION("""COMPUTED_VALUE"""),1000.0)</f>
        <v>1000</v>
      </c>
      <c r="G61" s="1" t="str">
        <f>IFERROR(__xludf.DUMMYFUNCTION("""COMPUTED_VALUE"""),"DEF")</f>
        <v>DEF</v>
      </c>
      <c r="H61" s="1">
        <f>IFERROR(__xludf.DUMMYFUNCTION("""COMPUTED_VALUE"""),500.0)</f>
        <v>500</v>
      </c>
      <c r="I61" s="1"/>
      <c r="J61" s="1"/>
      <c r="K61" s="1"/>
      <c r="L61" s="1"/>
      <c r="M61" s="1"/>
      <c r="N61" s="1"/>
      <c r="O61" s="1"/>
      <c r="P61" s="1"/>
      <c r="Q61" s="1"/>
      <c r="R61" s="1"/>
      <c r="S61" s="1"/>
      <c r="T61" s="1"/>
      <c r="U61" s="1"/>
      <c r="V61" s="1"/>
      <c r="W61" s="1"/>
      <c r="X61" s="1"/>
      <c r="Y61" s="1"/>
      <c r="Z61" s="1"/>
      <c r="AA61" s="1"/>
      <c r="AB61" s="1"/>
      <c r="AC61" s="1"/>
      <c r="AD61" s="1"/>
      <c r="AE61" s="1"/>
      <c r="AF61" s="1" t="str">
        <f>IFERROR(__xludf.DUMMYFUNCTION("""COMPUTED_VALUE"""),"++will negate a critical hit to the wearer")</f>
        <v>++will negate a critical hit to the wearer</v>
      </c>
      <c r="AG61" s="1" t="str">
        <f>IFERROR(__xludf.DUMMYFUNCTION("""COMPUTED_VALUE"""),"Land of Spira")</f>
        <v>Land of Spira</v>
      </c>
      <c r="AH61" s="1" t="b">
        <f>IFERROR(__xludf.DUMMYFUNCTION("""COMPUTED_VALUE"""),FALSE)</f>
        <v>0</v>
      </c>
    </row>
    <row r="62">
      <c r="A62" s="1" t="str">
        <f>IFERROR(__xludf.DUMMYFUNCTION("""COMPUTED_VALUE"""),"Crow Staff")</f>
        <v>Crow Staff</v>
      </c>
      <c r="B62" s="1" t="str">
        <f>IFERROR(__xludf.DUMMYFUNCTION("""COMPUTED_VALUE"""),"Hand")</f>
        <v>Hand</v>
      </c>
      <c r="C62" s="1"/>
      <c r="D62" s="1" t="str">
        <f>IFERROR(__xludf.DUMMYFUNCTION("""COMPUTED_VALUE"""),"Staff")</f>
        <v>Staff</v>
      </c>
      <c r="E62" s="1">
        <f>IFERROR(__xludf.DUMMYFUNCTION("""COMPUTED_VALUE"""),400.0)</f>
        <v>400</v>
      </c>
      <c r="F62" s="2">
        <f>IFERROR(__xludf.DUMMYFUNCTION("""COMPUTED_VALUE"""),7800000.0)</f>
        <v>7800000</v>
      </c>
      <c r="G62" s="1" t="str">
        <f>IFERROR(__xludf.DUMMYFUNCTION("""COMPUTED_VALUE"""),"DMG")</f>
        <v>DMG</v>
      </c>
      <c r="H62" s="1">
        <f>IFERROR(__xludf.DUMMYFUNCTION("""COMPUTED_VALUE"""),10000.0)</f>
        <v>10000</v>
      </c>
      <c r="I62" s="1"/>
      <c r="J62" s="1"/>
      <c r="K62" s="1"/>
      <c r="L62" s="1"/>
      <c r="M62" s="1"/>
      <c r="N62" s="1"/>
      <c r="O62" s="1">
        <f>IFERROR(__xludf.DUMMYFUNCTION("""COMPUTED_VALUE"""),10000.0)</f>
        <v>10000</v>
      </c>
      <c r="P62" s="1"/>
      <c r="Q62" s="1"/>
      <c r="R62" s="1"/>
      <c r="S62" s="1"/>
      <c r="T62" s="1"/>
      <c r="U62" s="1"/>
      <c r="V62" s="1"/>
      <c r="W62" s="1"/>
      <c r="X62" s="1"/>
      <c r="Y62" s="1"/>
      <c r="Z62" s="1"/>
      <c r="AA62" s="1"/>
      <c r="AB62" s="1"/>
      <c r="AC62" s="1"/>
      <c r="AD62" s="1"/>
      <c r="AE62" s="1"/>
      <c r="AF62" s="1" t="str">
        <f>IFERROR(__xludf.DUMMYFUNCTION("""COMPUTED_VALUE"""),"++Swarm: inflicts 10000 bleed to all enemies. +- 300SP")</f>
        <v>++Swarm: inflicts 10000 bleed to all enemies. +- 300SP</v>
      </c>
      <c r="AG62" s="1" t="str">
        <f>IFERROR(__xludf.DUMMYFUNCTION("""COMPUTED_VALUE"""),"Land of Spira")</f>
        <v>Land of Spira</v>
      </c>
      <c r="AH62" s="1" t="b">
        <f>IFERROR(__xludf.DUMMYFUNCTION("""COMPUTED_VALUE"""),FALSE)</f>
        <v>0</v>
      </c>
    </row>
    <row r="63">
      <c r="A63" s="1" t="str">
        <f>IFERROR(__xludf.DUMMYFUNCTION("""COMPUTED_VALUE"""),"Crown of Control")</f>
        <v>Crown of Control</v>
      </c>
      <c r="B63" s="1" t="str">
        <f>IFERROR(__xludf.DUMMYFUNCTION("""COMPUTED_VALUE"""),"Head")</f>
        <v>Head</v>
      </c>
      <c r="C63" s="1"/>
      <c r="D63" s="1"/>
      <c r="E63" s="1">
        <f>IFERROR(__xludf.DUMMYFUNCTION("""COMPUTED_VALUE"""),300.0)</f>
        <v>300</v>
      </c>
      <c r="F63" s="2">
        <f>IFERROR(__xludf.DUMMYFUNCTION("""COMPUTED_VALUE"""),4350000.0)</f>
        <v>4350000</v>
      </c>
      <c r="G63" s="3" t="str">
        <f>IFERROR(__xludf.DUMMYFUNCTION("""COMPUTED_VALUE"""),"DEF")</f>
        <v>DEF</v>
      </c>
      <c r="H63" s="3">
        <f>IFERROR(__xludf.DUMMYFUNCTION("""COMPUTED_VALUE"""),15000.0)</f>
        <v>15000</v>
      </c>
      <c r="I63" s="1"/>
      <c r="J63" s="1"/>
      <c r="K63" s="1"/>
      <c r="L63" s="1"/>
      <c r="M63" s="1"/>
      <c r="N63" s="1"/>
      <c r="O63" s="1"/>
      <c r="P63" s="1"/>
      <c r="Q63" s="1"/>
      <c r="R63" s="1"/>
      <c r="S63" s="1"/>
      <c r="T63" s="1"/>
      <c r="U63" s="1"/>
      <c r="V63" s="1"/>
      <c r="W63" s="1"/>
      <c r="X63" s="1"/>
      <c r="Y63" s="1"/>
      <c r="Z63" s="1"/>
      <c r="AA63" s="1"/>
      <c r="AB63" s="1"/>
      <c r="AC63" s="1"/>
      <c r="AD63" s="1"/>
      <c r="AE63" s="1"/>
      <c r="AF63" s="1" t="str">
        <f>IFERROR(__xludf.DUMMYFUNCTION("""COMPUTED_VALUE"""),"++Select one target and choose an action for them during your turn (This counts as a form of possession) Fail/Succeed. +-Cannot be duplicated. ")</f>
        <v>++Select one target and choose an action for them during your turn (This counts as a form of possession) Fail/Succeed. +-Cannot be duplicated. </v>
      </c>
      <c r="AG63" s="1" t="str">
        <f>IFERROR(__xludf.DUMMYFUNCTION("""COMPUTED_VALUE"""),"Land of The Forgotten")</f>
        <v>Land of The Forgotten</v>
      </c>
      <c r="AH63" s="1" t="b">
        <f>IFERROR(__xludf.DUMMYFUNCTION("""COMPUTED_VALUE"""),FALSE)</f>
        <v>0</v>
      </c>
    </row>
    <row r="64">
      <c r="A64" s="1" t="str">
        <f>IFERROR(__xludf.DUMMYFUNCTION("""COMPUTED_VALUE"""),"Crown of Ice Spears")</f>
        <v>Crown of Ice Spears</v>
      </c>
      <c r="B64" s="1" t="str">
        <f>IFERROR(__xludf.DUMMYFUNCTION("""COMPUTED_VALUE"""),"Head")</f>
        <v>Head</v>
      </c>
      <c r="C64" s="1"/>
      <c r="D64" s="1"/>
      <c r="E64" s="1">
        <f>IFERROR(__xludf.DUMMYFUNCTION("""COMPUTED_VALUE"""),200.0)</f>
        <v>200</v>
      </c>
      <c r="F64" s="2">
        <f>IFERROR(__xludf.DUMMYFUNCTION("""COMPUTED_VALUE"""),1900000.0)</f>
        <v>1900000</v>
      </c>
      <c r="G64" s="1" t="str">
        <f>IFERROR(__xludf.DUMMYFUNCTION("""COMPUTED_VALUE"""),"DEF")</f>
        <v>DEF</v>
      </c>
      <c r="H64" s="3">
        <f>IFERROR(__xludf.DUMMYFUNCTION("""COMPUTED_VALUE"""),10000.0)</f>
        <v>10000</v>
      </c>
      <c r="I64" s="1"/>
      <c r="J64" s="1"/>
      <c r="K64" s="1"/>
      <c r="L64" s="1"/>
      <c r="M64" s="1"/>
      <c r="N64" s="1"/>
      <c r="O64" s="1"/>
      <c r="P64" s="1"/>
      <c r="Q64" s="1"/>
      <c r="R64" s="1"/>
      <c r="S64" s="1"/>
      <c r="T64" s="1"/>
      <c r="U64" s="1"/>
      <c r="V64" s="1"/>
      <c r="W64" s="1"/>
      <c r="X64" s="1"/>
      <c r="Y64" s="1"/>
      <c r="Z64" s="1"/>
      <c r="AA64" s="1"/>
      <c r="AB64" s="1"/>
      <c r="AC64" s="1"/>
      <c r="AD64" s="1"/>
      <c r="AE64" s="1"/>
      <c r="AF64" s="1" t="str">
        <f>IFERROR(__xludf.DUMMYFUNCTION("""COMPUTED_VALUE"""),"(The Frozen Spear Master Set) ++Frost Boost- X2 Storm damage. ++All weapon attacks have a 25% chance to freeze whoever you hit")</f>
        <v>(The Frozen Spear Master Set) ++Frost Boost- X2 Storm damage. ++All weapon attacks have a 25% chance to freeze whoever you hit</v>
      </c>
      <c r="AG64" s="1" t="str">
        <f>IFERROR(__xludf.DUMMYFUNCTION("""COMPUTED_VALUE"""),"Land of Spira")</f>
        <v>Land of Spira</v>
      </c>
      <c r="AH64" s="1" t="b">
        <f>IFERROR(__xludf.DUMMYFUNCTION("""COMPUTED_VALUE"""),FALSE)</f>
        <v>0</v>
      </c>
    </row>
    <row r="65">
      <c r="A65" s="1" t="str">
        <f>IFERROR(__xludf.DUMMYFUNCTION("""COMPUTED_VALUE"""),"Crown of the Forgotten")</f>
        <v>Crown of the Forgotten</v>
      </c>
      <c r="B65" s="1" t="str">
        <f>IFERROR(__xludf.DUMMYFUNCTION("""COMPUTED_VALUE"""),"Head")</f>
        <v>Head</v>
      </c>
      <c r="C65" s="1"/>
      <c r="D65" s="1"/>
      <c r="E65" s="1">
        <f>IFERROR(__xludf.DUMMYFUNCTION("""COMPUTED_VALUE"""),20.0)</f>
        <v>20</v>
      </c>
      <c r="F65" s="2">
        <f>IFERROR(__xludf.DUMMYFUNCTION("""COMPUTED_VALUE"""),10000.0)</f>
        <v>10000</v>
      </c>
      <c r="G65" s="1" t="str">
        <f>IFERROR(__xludf.DUMMYFUNCTION("""COMPUTED_VALUE"""),"DEF")</f>
        <v>DEF</v>
      </c>
      <c r="H65" s="1">
        <f>IFERROR(__xludf.DUMMYFUNCTION("""COMPUTED_VALUE"""),1000.0)</f>
        <v>1000</v>
      </c>
      <c r="I65" s="1"/>
      <c r="J65" s="1"/>
      <c r="K65" s="1"/>
      <c r="L65" s="1"/>
      <c r="M65" s="1"/>
      <c r="N65" s="1"/>
      <c r="O65" s="1"/>
      <c r="P65" s="1"/>
      <c r="Q65" s="1"/>
      <c r="R65" s="1"/>
      <c r="S65" s="1"/>
      <c r="T65" s="1"/>
      <c r="U65" s="1"/>
      <c r="V65" s="1"/>
      <c r="W65" s="1"/>
      <c r="X65" s="1"/>
      <c r="Y65" s="1"/>
      <c r="Z65" s="1"/>
      <c r="AA65" s="1"/>
      <c r="AB65" s="1"/>
      <c r="AC65" s="1"/>
      <c r="AD65" s="1"/>
      <c r="AE65" s="1"/>
      <c r="AF65" s="1" t="str">
        <f>IFERROR(__xludf.DUMMYFUNCTION("""COMPUTED_VALUE"""),"++Immunity to Dark, Chaos, Fire, and Nature damage. ++Only Undead can equip. ++This item effect bypasses the Undead race ability. +-Cannot be duplicated.")</f>
        <v>++Immunity to Dark, Chaos, Fire, and Nature damage. ++Only Undead can equip. ++This item effect bypasses the Undead race ability. +-Cannot be duplicated.</v>
      </c>
      <c r="AG65" s="1" t="str">
        <f>IFERROR(__xludf.DUMMYFUNCTION("""COMPUTED_VALUE"""),"Land of The Forgotten")</f>
        <v>Land of The Forgotten</v>
      </c>
      <c r="AH65" s="1" t="b">
        <f>IFERROR(__xludf.DUMMYFUNCTION("""COMPUTED_VALUE"""),FALSE)</f>
        <v>0</v>
      </c>
    </row>
    <row r="66">
      <c r="A66" s="1" t="str">
        <f>IFERROR(__xludf.DUMMYFUNCTION("""COMPUTED_VALUE"""),"Crown Of The Sea Serpent")</f>
        <v>Crown Of The Sea Serpent</v>
      </c>
      <c r="B66" s="1" t="str">
        <f>IFERROR(__xludf.DUMMYFUNCTION("""COMPUTED_VALUE"""),"Head")</f>
        <v>Head</v>
      </c>
      <c r="C66" s="1"/>
      <c r="D66" s="1"/>
      <c r="E66" s="1">
        <f>IFERROR(__xludf.DUMMYFUNCTION("""COMPUTED_VALUE"""),1.0)</f>
        <v>1</v>
      </c>
      <c r="F66" s="2">
        <f>IFERROR(__xludf.DUMMYFUNCTION("""COMPUTED_VALUE"""),0.0)</f>
        <v>0</v>
      </c>
      <c r="G66" s="1"/>
      <c r="H66" s="1"/>
      <c r="I66" s="1"/>
      <c r="J66" s="1"/>
      <c r="K66" s="1"/>
      <c r="L66" s="1"/>
      <c r="M66" s="1"/>
      <c r="N66" s="1"/>
      <c r="O66" s="1"/>
      <c r="P66" s="1"/>
      <c r="Q66" s="1"/>
      <c r="R66" s="1"/>
      <c r="S66" s="1"/>
      <c r="T66" s="1"/>
      <c r="U66" s="1"/>
      <c r="V66" s="1"/>
      <c r="W66" s="1"/>
      <c r="X66" s="1"/>
      <c r="Y66" s="1"/>
      <c r="Z66" s="1"/>
      <c r="AA66" s="1"/>
      <c r="AB66" s="1"/>
      <c r="AC66" s="1"/>
      <c r="AD66" s="1"/>
      <c r="AE66" s="1"/>
      <c r="AF66" s="1" t="str">
        <f>IFERROR(__xludf.DUMMYFUNCTION("""COMPUTED_VALUE"""),"++X4 additional water damage for the user, ++Water spells cost half sp, +-Cannot be duplicated.")</f>
        <v>++X4 additional water damage for the user, ++Water spells cost half sp, +-Cannot be duplicated.</v>
      </c>
      <c r="AG66" s="1" t="str">
        <f>IFERROR(__xludf.DUMMYFUNCTION("""COMPUTED_VALUE"""),"Land of Spira")</f>
        <v>Land of Spira</v>
      </c>
      <c r="AH66" s="1" t="b">
        <f>IFERROR(__xludf.DUMMYFUNCTION("""COMPUTED_VALUE"""),FALSE)</f>
        <v>0</v>
      </c>
    </row>
    <row r="67">
      <c r="A67" s="1" t="str">
        <f>IFERROR(__xludf.DUMMYFUNCTION("""COMPUTED_VALUE"""),"Crown Of Tritonoch")</f>
        <v>Crown Of Tritonoch</v>
      </c>
      <c r="B67" s="1" t="str">
        <f>IFERROR(__xludf.DUMMYFUNCTION("""COMPUTED_VALUE"""),"Head")</f>
        <v>Head</v>
      </c>
      <c r="C67" s="1"/>
      <c r="D67" s="1"/>
      <c r="E67" s="1">
        <f>IFERROR(__xludf.DUMMYFUNCTION("""COMPUTED_VALUE"""),400.0)</f>
        <v>400</v>
      </c>
      <c r="F67" s="2">
        <f>IFERROR(__xludf.DUMMYFUNCTION("""COMPUTED_VALUE"""),7800000.0)</f>
        <v>7800000</v>
      </c>
      <c r="G67" s="1" t="str">
        <f>IFERROR(__xludf.DUMMYFUNCTION("""COMPUTED_VALUE"""),"DEF")</f>
        <v>DEF</v>
      </c>
      <c r="H67" s="1">
        <f>IFERROR(__xludf.DUMMYFUNCTION("""COMPUTED_VALUE"""),20000.0)</f>
        <v>20000</v>
      </c>
      <c r="I67" s="1"/>
      <c r="J67" s="1"/>
      <c r="K67" s="1"/>
      <c r="L67" s="1"/>
      <c r="M67" s="1"/>
      <c r="N67" s="1"/>
      <c r="O67" s="1"/>
      <c r="P67" s="1"/>
      <c r="Q67" s="1"/>
      <c r="R67" s="1"/>
      <c r="S67" s="1"/>
      <c r="T67" s="1"/>
      <c r="U67" s="1"/>
      <c r="V67" s="1"/>
      <c r="W67" s="1"/>
      <c r="X67" s="1"/>
      <c r="Y67" s="1"/>
      <c r="Z67" s="1"/>
      <c r="AA67" s="1"/>
      <c r="AB67" s="1"/>
      <c r="AC67" s="1"/>
      <c r="AD67" s="1"/>
      <c r="AE67" s="1"/>
      <c r="AF67" s="1" t="str">
        <f>IFERROR(__xludf.DUMMYFUNCTION("""COMPUTED_VALUE"""),"++Waves of Entitlement - x5 additional Water damage")</f>
        <v>++Waves of Entitlement - x5 additional Water damage</v>
      </c>
      <c r="AG67" s="1" t="str">
        <f>IFERROR(__xludf.DUMMYFUNCTION("""COMPUTED_VALUE"""),"Land of Spira")</f>
        <v>Land of Spira</v>
      </c>
      <c r="AH67" s="1" t="b">
        <f>IFERROR(__xludf.DUMMYFUNCTION("""COMPUTED_VALUE"""),FALSE)</f>
        <v>0</v>
      </c>
    </row>
    <row r="68">
      <c r="A68" s="1" t="str">
        <f>IFERROR(__xludf.DUMMYFUNCTION("""COMPUTED_VALUE"""),"Cryogenic Claymore")</f>
        <v>Cryogenic Claymore</v>
      </c>
      <c r="B68" s="1" t="str">
        <f>IFERROR(__xludf.DUMMYFUNCTION("""COMPUTED_VALUE"""),"Hand")</f>
        <v>Hand</v>
      </c>
      <c r="C68" s="1" t="str">
        <f>IFERROR(__xludf.DUMMYFUNCTION("""COMPUTED_VALUE"""),"(The Frozen Blade Master Set)")</f>
        <v>(The Frozen Blade Master Set)</v>
      </c>
      <c r="D68" s="1" t="str">
        <f>IFERROR(__xludf.DUMMYFUNCTION("""COMPUTED_VALUE"""),"Sword")</f>
        <v>Sword</v>
      </c>
      <c r="E68" s="1">
        <f>IFERROR(__xludf.DUMMYFUNCTION("""COMPUTED_VALUE"""),400.0)</f>
        <v>400</v>
      </c>
      <c r="F68" s="2">
        <f>IFERROR(__xludf.DUMMYFUNCTION("""COMPUTED_VALUE"""),7800000.0)</f>
        <v>7800000</v>
      </c>
      <c r="G68" s="1" t="str">
        <f>IFERROR(__xludf.DUMMYFUNCTION("""COMPUTED_VALUE"""),"DMG")</f>
        <v>DMG</v>
      </c>
      <c r="H68" s="3">
        <f>IFERROR(__xludf.DUMMYFUNCTION("""COMPUTED_VALUE"""),10000.0)</f>
        <v>10000</v>
      </c>
      <c r="I68" s="1"/>
      <c r="J68" s="1"/>
      <c r="K68" s="3">
        <f>IFERROR(__xludf.DUMMYFUNCTION("""COMPUTED_VALUE"""),10000.0)</f>
        <v>10000</v>
      </c>
      <c r="L68" s="1"/>
      <c r="M68" s="1"/>
      <c r="N68" s="1"/>
      <c r="O68" s="1"/>
      <c r="P68" s="1"/>
      <c r="Q68" s="1"/>
      <c r="R68" s="1"/>
      <c r="S68" s="1"/>
      <c r="T68" s="1"/>
      <c r="U68" s="1"/>
      <c r="V68" s="1"/>
      <c r="W68" s="1"/>
      <c r="X68" s="1"/>
      <c r="Y68" s="1"/>
      <c r="Z68" s="1"/>
      <c r="AA68" s="1"/>
      <c r="AB68" s="1"/>
      <c r="AC68" s="1"/>
      <c r="AD68" s="1"/>
      <c r="AE68" s="1"/>
      <c r="AF68" s="1" t="str">
        <f>IFERROR(__xludf.DUMMYFUNCTION("""COMPUTED_VALUE"""),"++10% chance to freeze all enemies.")</f>
        <v>++10% chance to freeze all enemies.</v>
      </c>
      <c r="AG68" s="1" t="str">
        <f>IFERROR(__xludf.DUMMYFUNCTION("""COMPUTED_VALUE"""),"Land of Spira")</f>
        <v>Land of Spira</v>
      </c>
      <c r="AH68" s="1" t="b">
        <f>IFERROR(__xludf.DUMMYFUNCTION("""COMPUTED_VALUE"""),FALSE)</f>
        <v>0</v>
      </c>
    </row>
    <row r="69">
      <c r="A69" s="1" t="str">
        <f>IFERROR(__xludf.DUMMYFUNCTION("""COMPUTED_VALUE"""),"Crystal Forged Helmet")</f>
        <v>Crystal Forged Helmet</v>
      </c>
      <c r="B69" s="1" t="str">
        <f>IFERROR(__xludf.DUMMYFUNCTION("""COMPUTED_VALUE"""),"Head")</f>
        <v>Head</v>
      </c>
      <c r="C69" s="1"/>
      <c r="D69" s="1"/>
      <c r="E69" s="1">
        <f>IFERROR(__xludf.DUMMYFUNCTION("""COMPUTED_VALUE"""),200.0)</f>
        <v>200</v>
      </c>
      <c r="F69" s="2">
        <f>IFERROR(__xludf.DUMMYFUNCTION("""COMPUTED_VALUE"""),1900000.0)</f>
        <v>1900000</v>
      </c>
      <c r="G69" s="1" t="str">
        <f>IFERROR(__xludf.DUMMYFUNCTION("""COMPUTED_VALUE"""),"DEF")</f>
        <v>DEF</v>
      </c>
      <c r="H69" s="1">
        <f>IFERROR(__xludf.DUMMYFUNCTION("""COMPUTED_VALUE"""),10000.0)</f>
        <v>10000</v>
      </c>
      <c r="I69" s="1"/>
      <c r="J69" s="1"/>
      <c r="K69" s="1"/>
      <c r="L69" s="1"/>
      <c r="M69" s="1"/>
      <c r="N69" s="1"/>
      <c r="O69" s="1"/>
      <c r="P69" s="1"/>
      <c r="Q69" s="1"/>
      <c r="R69" s="1"/>
      <c r="S69" s="1"/>
      <c r="T69" s="1"/>
      <c r="U69" s="1"/>
      <c r="V69" s="1"/>
      <c r="W69" s="1"/>
      <c r="X69" s="1"/>
      <c r="Y69" s="1"/>
      <c r="Z69" s="1"/>
      <c r="AA69" s="1"/>
      <c r="AB69" s="1"/>
      <c r="AC69" s="1"/>
      <c r="AD69" s="1"/>
      <c r="AE69" s="1"/>
      <c r="AF69" s="1" t="str">
        <f>IFERROR(__xludf.DUMMYFUNCTION("""COMPUTED_VALUE"""),"++When equipped, Gem and Crystal related weapons deal an additional X2 damage for the user.")</f>
        <v>++When equipped, Gem and Crystal related weapons deal an additional X2 damage for the user.</v>
      </c>
      <c r="AG69" s="1" t="str">
        <f>IFERROR(__xludf.DUMMYFUNCTION("""COMPUTED_VALUE"""),"Land of Spira")</f>
        <v>Land of Spira</v>
      </c>
      <c r="AH69" s="1" t="b">
        <f>IFERROR(__xludf.DUMMYFUNCTION("""COMPUTED_VALUE"""),FALSE)</f>
        <v>0</v>
      </c>
    </row>
    <row r="70">
      <c r="A70" s="1" t="str">
        <f>IFERROR(__xludf.DUMMYFUNCTION("""COMPUTED_VALUE"""),"Crystal Forged Axe")</f>
        <v>Crystal Forged Axe</v>
      </c>
      <c r="B70" s="1" t="str">
        <f>IFERROR(__xludf.DUMMYFUNCTION("""COMPUTED_VALUE"""),"Hand")</f>
        <v>Hand</v>
      </c>
      <c r="C70" s="1"/>
      <c r="D70" s="1"/>
      <c r="E70" s="1">
        <f>IFERROR(__xludf.DUMMYFUNCTION("""COMPUTED_VALUE"""),400.0)</f>
        <v>400</v>
      </c>
      <c r="F70" s="2">
        <f>IFERROR(__xludf.DUMMYFUNCTION("""COMPUTED_VALUE"""),7800000.0)</f>
        <v>7800000</v>
      </c>
      <c r="G70" s="1" t="str">
        <f>IFERROR(__xludf.DUMMYFUNCTION("""COMPUTED_VALUE"""),"DMG")</f>
        <v>DMG</v>
      </c>
      <c r="H70" s="3">
        <f>IFERROR(__xludf.DUMMYFUNCTION("""COMPUTED_VALUE"""),10000.0)</f>
        <v>10000</v>
      </c>
      <c r="I70" s="1"/>
      <c r="J70" s="1"/>
      <c r="K70" s="1"/>
      <c r="L70" s="1"/>
      <c r="M70" s="3">
        <f>IFERROR(__xludf.DUMMYFUNCTION("""COMPUTED_VALUE"""),10000.0)</f>
        <v>10000</v>
      </c>
      <c r="N70" s="1"/>
      <c r="O70" s="1"/>
      <c r="P70" s="1"/>
      <c r="Q70" s="1"/>
      <c r="R70" s="1"/>
      <c r="S70" s="1"/>
      <c r="T70" s="1"/>
      <c r="U70" s="1"/>
      <c r="V70" s="1"/>
      <c r="W70" s="1"/>
      <c r="X70" s="1"/>
      <c r="Y70" s="1"/>
      <c r="Z70" s="1"/>
      <c r="AA70" s="1"/>
      <c r="AB70" s="1"/>
      <c r="AC70" s="1"/>
      <c r="AD70" s="1"/>
      <c r="AE70" s="1"/>
      <c r="AF70" s="1" t="str">
        <f>IFERROR(__xludf.DUMMYFUNCTION("""COMPUTED_VALUE"""),"++When equipped, Gem and Crystal related weapons deal an additional X6 damage for the user.")</f>
        <v>++When equipped, Gem and Crystal related weapons deal an additional X6 damage for the user.</v>
      </c>
      <c r="AG70" s="1" t="str">
        <f>IFERROR(__xludf.DUMMYFUNCTION("""COMPUTED_VALUE"""),"Land of Spira")</f>
        <v>Land of Spira</v>
      </c>
      <c r="AH70" s="1" t="b">
        <f>IFERROR(__xludf.DUMMYFUNCTION("""COMPUTED_VALUE"""),FALSE)</f>
        <v>0</v>
      </c>
    </row>
    <row r="71">
      <c r="A71" s="1" t="str">
        <f>IFERROR(__xludf.DUMMYFUNCTION("""COMPUTED_VALUE"""),"Crystal Forged Chestplate")</f>
        <v>Crystal Forged Chestplate</v>
      </c>
      <c r="B71" s="1" t="str">
        <f>IFERROR(__xludf.DUMMYFUNCTION("""COMPUTED_VALUE"""),"Torso")</f>
        <v>Torso</v>
      </c>
      <c r="C71" s="1"/>
      <c r="D71" s="1"/>
      <c r="E71" s="1">
        <f>IFERROR(__xludf.DUMMYFUNCTION("""COMPUTED_VALUE"""),200.0)</f>
        <v>200</v>
      </c>
      <c r="F71" s="2">
        <f>IFERROR(__xludf.DUMMYFUNCTION("""COMPUTED_VALUE"""),1900000.0)</f>
        <v>1900000</v>
      </c>
      <c r="G71" s="1" t="str">
        <f>IFERROR(__xludf.DUMMYFUNCTION("""COMPUTED_VALUE"""),"DEF")</f>
        <v>DEF</v>
      </c>
      <c r="H71" s="3">
        <f>IFERROR(__xludf.DUMMYFUNCTION("""COMPUTED_VALUE"""),5000.0)</f>
        <v>5000</v>
      </c>
      <c r="I71" s="1"/>
      <c r="J71" s="1"/>
      <c r="K71" s="1"/>
      <c r="L71" s="1"/>
      <c r="M71" s="3">
        <f>IFERROR(__xludf.DUMMYFUNCTION("""COMPUTED_VALUE"""),5000.0)</f>
        <v>5000</v>
      </c>
      <c r="N71" s="1"/>
      <c r="O71" s="1"/>
      <c r="P71" s="1"/>
      <c r="Q71" s="1"/>
      <c r="R71" s="1"/>
      <c r="S71" s="1"/>
      <c r="T71" s="1"/>
      <c r="U71" s="1"/>
      <c r="V71" s="1"/>
      <c r="W71" s="1"/>
      <c r="X71" s="1"/>
      <c r="Y71" s="1"/>
      <c r="Z71" s="1"/>
      <c r="AA71" s="1"/>
      <c r="AB71" s="1"/>
      <c r="AC71" s="1"/>
      <c r="AD71" s="1"/>
      <c r="AE71" s="1"/>
      <c r="AF71" s="1" t="str">
        <f>IFERROR(__xludf.DUMMYFUNCTION("""COMPUTED_VALUE"""),"++When equipped, Gem and Crystal related weapons deal an additional X2 damage for the user.")</f>
        <v>++When equipped, Gem and Crystal related weapons deal an additional X2 damage for the user.</v>
      </c>
      <c r="AG71" s="1" t="str">
        <f>IFERROR(__xludf.DUMMYFUNCTION("""COMPUTED_VALUE"""),"Land of Spira")</f>
        <v>Land of Spira</v>
      </c>
      <c r="AH71" s="1" t="b">
        <f>IFERROR(__xludf.DUMMYFUNCTION("""COMPUTED_VALUE"""),FALSE)</f>
        <v>0</v>
      </c>
    </row>
    <row r="72">
      <c r="A72" s="1" t="str">
        <f>IFERROR(__xludf.DUMMYFUNCTION("""COMPUTED_VALUE"""),"Crystal Healing Amulet")</f>
        <v>Crystal Healing Amulet</v>
      </c>
      <c r="B72" s="1" t="str">
        <f>IFERROR(__xludf.DUMMYFUNCTION("""COMPUTED_VALUE"""),"Neck")</f>
        <v>Neck</v>
      </c>
      <c r="C72" s="1"/>
      <c r="D72" s="1"/>
      <c r="E72" s="1">
        <f>IFERROR(__xludf.DUMMYFUNCTION("""COMPUTED_VALUE"""),1.0)</f>
        <v>1</v>
      </c>
      <c r="F72" s="2">
        <f>IFERROR(__xludf.DUMMYFUNCTION("""COMPUTED_VALUE"""),0.0)</f>
        <v>0</v>
      </c>
      <c r="G72" s="1"/>
      <c r="H72" s="1"/>
      <c r="I72" s="1"/>
      <c r="J72" s="1"/>
      <c r="K72" s="1"/>
      <c r="L72" s="1"/>
      <c r="M72" s="1"/>
      <c r="N72" s="1"/>
      <c r="O72" s="1"/>
      <c r="P72" s="1"/>
      <c r="Q72" s="1"/>
      <c r="R72" s="1"/>
      <c r="S72" s="1"/>
      <c r="T72" s="1"/>
      <c r="U72" s="1"/>
      <c r="V72" s="1"/>
      <c r="W72" s="1"/>
      <c r="X72" s="1"/>
      <c r="Y72" s="1"/>
      <c r="Z72" s="1"/>
      <c r="AA72" s="1"/>
      <c r="AB72" s="1"/>
      <c r="AC72" s="1"/>
      <c r="AD72" s="1"/>
      <c r="AE72" s="1"/>
      <c r="AF72" s="1" t="str">
        <f>IFERROR(__xludf.DUMMYFUNCTION("""COMPUTED_VALUE"""),"++Crystal Aura - Protected from death once per battle, can only use the effect of ""Crystal Aura"" once per battle. +-Can only have one equipped.    +-Cannot be duplicated.")</f>
        <v>++Crystal Aura - Protected from death once per battle, can only use the effect of "Crystal Aura" once per battle. +-Can only have one equipped.    +-Cannot be duplicated.</v>
      </c>
      <c r="AG72" s="1" t="str">
        <f>IFERROR(__xludf.DUMMYFUNCTION("""COMPUTED_VALUE"""),"Land of Spira")</f>
        <v>Land of Spira</v>
      </c>
      <c r="AH72" s="1" t="b">
        <f>IFERROR(__xludf.DUMMYFUNCTION("""COMPUTED_VALUE"""),FALSE)</f>
        <v>0</v>
      </c>
    </row>
    <row r="73">
      <c r="A73" s="1" t="str">
        <f>IFERROR(__xludf.DUMMYFUNCTION("""COMPUTED_VALUE"""),"Crystal Longsword")</f>
        <v>Crystal Longsword</v>
      </c>
      <c r="B73" s="1" t="str">
        <f>IFERROR(__xludf.DUMMYFUNCTION("""COMPUTED_VALUE"""),"Hand")</f>
        <v>Hand</v>
      </c>
      <c r="C73" s="1"/>
      <c r="D73" s="1" t="str">
        <f>IFERROR(__xludf.DUMMYFUNCTION("""COMPUTED_VALUE"""),"Sword")</f>
        <v>Sword</v>
      </c>
      <c r="E73" s="1">
        <f>IFERROR(__xludf.DUMMYFUNCTION("""COMPUTED_VALUE"""),200.0)</f>
        <v>200</v>
      </c>
      <c r="F73" s="2">
        <f>IFERROR(__xludf.DUMMYFUNCTION("""COMPUTED_VALUE"""),1900000.0)</f>
        <v>1900000</v>
      </c>
      <c r="G73" s="1" t="str">
        <f>IFERROR(__xludf.DUMMYFUNCTION("""COMPUTED_VALUE"""),"DMG")</f>
        <v>DMG</v>
      </c>
      <c r="H73" s="3">
        <f>IFERROR(__xludf.DUMMYFUNCTION("""COMPUTED_VALUE"""),5000.0)</f>
        <v>5000</v>
      </c>
      <c r="I73" s="1"/>
      <c r="J73" s="1"/>
      <c r="K73" s="1"/>
      <c r="L73" s="1"/>
      <c r="M73" s="3">
        <f>IFERROR(__xludf.DUMMYFUNCTION("""COMPUTED_VALUE"""),5000.0)</f>
        <v>5000</v>
      </c>
      <c r="N73" s="1"/>
      <c r="O73" s="1"/>
      <c r="P73" s="1"/>
      <c r="Q73" s="1"/>
      <c r="R73" s="1"/>
      <c r="S73" s="1"/>
      <c r="T73" s="1"/>
      <c r="U73" s="1"/>
      <c r="V73" s="1"/>
      <c r="W73" s="1"/>
      <c r="X73" s="1"/>
      <c r="Y73" s="1"/>
      <c r="Z73" s="1"/>
      <c r="AA73" s="1"/>
      <c r="AB73" s="1"/>
      <c r="AC73" s="1"/>
      <c r="AD73" s="1"/>
      <c r="AE73" s="1"/>
      <c r="AF73" s="1" t="str">
        <f>IFERROR(__xludf.DUMMYFUNCTION("""COMPUTED_VALUE"""),"++When equipped, Gem and Crystal related weapons deal an additional X4 damage for the user.")</f>
        <v>++When equipped, Gem and Crystal related weapons deal an additional X4 damage for the user.</v>
      </c>
      <c r="AG73" s="1" t="str">
        <f>IFERROR(__xludf.DUMMYFUNCTION("""COMPUTED_VALUE"""),"Land of Spira")</f>
        <v>Land of Spira</v>
      </c>
      <c r="AH73" s="1" t="b">
        <f>IFERROR(__xludf.DUMMYFUNCTION("""COMPUTED_VALUE"""),FALSE)</f>
        <v>0</v>
      </c>
    </row>
    <row r="74">
      <c r="A74" s="1" t="str">
        <f>IFERROR(__xludf.DUMMYFUNCTION("""COMPUTED_VALUE"""),"Crystal Ring")</f>
        <v>Crystal Ring</v>
      </c>
      <c r="B74" s="1" t="str">
        <f>IFERROR(__xludf.DUMMYFUNCTION("""COMPUTED_VALUE"""),"Ring")</f>
        <v>Ring</v>
      </c>
      <c r="C74" s="1"/>
      <c r="D74" s="1"/>
      <c r="E74" s="1">
        <f>IFERROR(__xludf.DUMMYFUNCTION("""COMPUTED_VALUE"""),1.0)</f>
        <v>1</v>
      </c>
      <c r="F74" s="2">
        <f>IFERROR(__xludf.DUMMYFUNCTION("""COMPUTED_VALUE"""),0.0)</f>
        <v>0</v>
      </c>
      <c r="G74" s="1"/>
      <c r="H74" s="1"/>
      <c r="I74" s="1"/>
      <c r="J74" s="1"/>
      <c r="K74" s="1"/>
      <c r="L74" s="1"/>
      <c r="M74" s="1"/>
      <c r="N74" s="1"/>
      <c r="O74" s="1"/>
      <c r="P74" s="1"/>
      <c r="Q74" s="1"/>
      <c r="R74" s="1"/>
      <c r="S74" s="1"/>
      <c r="T74" s="1"/>
      <c r="U74" s="1"/>
      <c r="V74" s="1"/>
      <c r="W74" s="1"/>
      <c r="X74" s="1"/>
      <c r="Y74" s="1"/>
      <c r="Z74" s="1"/>
      <c r="AA74" s="1"/>
      <c r="AB74" s="1"/>
      <c r="AC74" s="1"/>
      <c r="AD74" s="1"/>
      <c r="AE74" s="1"/>
      <c r="AF74" s="1" t="str">
        <f>IFERROR(__xludf.DUMMYFUNCTION("""COMPUTED_VALUE"""),"++When equipped, Gem and Crystal related weapons deal an additional X2 damage for the user.")</f>
        <v>++When equipped, Gem and Crystal related weapons deal an additional X2 damage for the user.</v>
      </c>
      <c r="AG74" s="1" t="str">
        <f>IFERROR(__xludf.DUMMYFUNCTION("""COMPUTED_VALUE"""),"Land of Spira")</f>
        <v>Land of Spira</v>
      </c>
      <c r="AH74" s="1" t="b">
        <f>IFERROR(__xludf.DUMMYFUNCTION("""COMPUTED_VALUE"""),FALSE)</f>
        <v>0</v>
      </c>
    </row>
    <row r="75">
      <c r="A75" s="1" t="str">
        <f>IFERROR(__xludf.DUMMYFUNCTION("""COMPUTED_VALUE"""),"Crystal Shield")</f>
        <v>Crystal Shield</v>
      </c>
      <c r="B75" s="1" t="str">
        <f>IFERROR(__xludf.DUMMYFUNCTION("""COMPUTED_VALUE"""),"Hand")</f>
        <v>Hand</v>
      </c>
      <c r="C75" s="1"/>
      <c r="D75" s="1" t="str">
        <f>IFERROR(__xludf.DUMMYFUNCTION("""COMPUTED_VALUE"""),"Buckler")</f>
        <v>Buckler</v>
      </c>
      <c r="E75" s="1">
        <f>IFERROR(__xludf.DUMMYFUNCTION("""COMPUTED_VALUE"""),200.0)</f>
        <v>200</v>
      </c>
      <c r="F75" s="2">
        <f>IFERROR(__xludf.DUMMYFUNCTION("""COMPUTED_VALUE"""),1900000.0)</f>
        <v>1900000</v>
      </c>
      <c r="G75" s="1" t="str">
        <f>IFERROR(__xludf.DUMMYFUNCTION("""COMPUTED_VALUE"""),"DEF")</f>
        <v>DEF</v>
      </c>
      <c r="H75" s="1">
        <f>IFERROR(__xludf.DUMMYFUNCTION("""COMPUTED_VALUE"""),10000.0)</f>
        <v>10000</v>
      </c>
      <c r="I75" s="1"/>
      <c r="J75" s="1"/>
      <c r="K75" s="1"/>
      <c r="L75" s="1"/>
      <c r="M75" s="1"/>
      <c r="N75" s="1"/>
      <c r="O75" s="1"/>
      <c r="P75" s="1"/>
      <c r="Q75" s="1"/>
      <c r="R75" s="1"/>
      <c r="S75" s="1"/>
      <c r="T75" s="1"/>
      <c r="U75" s="1"/>
      <c r="V75" s="1"/>
      <c r="W75" s="1"/>
      <c r="X75" s="1"/>
      <c r="Y75" s="1"/>
      <c r="Z75" s="1"/>
      <c r="AA75" s="1"/>
      <c r="AB75" s="1"/>
      <c r="AC75" s="1"/>
      <c r="AD75" s="1"/>
      <c r="AE75" s="1"/>
      <c r="AF75" s="1" t="str">
        <f>IFERROR(__xludf.DUMMYFUNCTION("""COMPUTED_VALUE"""),"++Take half damage from Gem and Crystal related weapons.")</f>
        <v>++Take half damage from Gem and Crystal related weapons.</v>
      </c>
      <c r="AG75" s="1" t="str">
        <f>IFERROR(__xludf.DUMMYFUNCTION("""COMPUTED_VALUE"""),"Land of Spira")</f>
        <v>Land of Spira</v>
      </c>
      <c r="AH75" s="1" t="b">
        <f>IFERROR(__xludf.DUMMYFUNCTION("""COMPUTED_VALUE"""),FALSE)</f>
        <v>0</v>
      </c>
    </row>
    <row r="76">
      <c r="A76" s="1" t="str">
        <f>IFERROR(__xludf.DUMMYFUNCTION("""COMPUTED_VALUE"""),"Crystal Staff")</f>
        <v>Crystal Staff</v>
      </c>
      <c r="B76" s="1" t="str">
        <f>IFERROR(__xludf.DUMMYFUNCTION("""COMPUTED_VALUE"""),"Hand")</f>
        <v>Hand</v>
      </c>
      <c r="C76" s="1"/>
      <c r="D76" s="1" t="str">
        <f>IFERROR(__xludf.DUMMYFUNCTION("""COMPUTED_VALUE"""),"Staff")</f>
        <v>Staff</v>
      </c>
      <c r="E76" s="1">
        <f>IFERROR(__xludf.DUMMYFUNCTION("""COMPUTED_VALUE"""),1.0)</f>
        <v>1</v>
      </c>
      <c r="F76" s="2">
        <f>IFERROR(__xludf.DUMMYFUNCTION("""COMPUTED_VALUE"""),0.0)</f>
        <v>0</v>
      </c>
      <c r="G76" s="1"/>
      <c r="H76" s="1"/>
      <c r="I76" s="1"/>
      <c r="J76" s="1"/>
      <c r="K76" s="1"/>
      <c r="L76" s="1"/>
      <c r="M76" s="1"/>
      <c r="N76" s="1"/>
      <c r="O76" s="1"/>
      <c r="P76" s="1"/>
      <c r="Q76" s="1"/>
      <c r="R76" s="1"/>
      <c r="S76" s="1"/>
      <c r="T76" s="1"/>
      <c r="U76" s="1"/>
      <c r="V76" s="1"/>
      <c r="W76" s="1"/>
      <c r="X76" s="1"/>
      <c r="Y76" s="1"/>
      <c r="Z76" s="1"/>
      <c r="AA76" s="1"/>
      <c r="AB76" s="1"/>
      <c r="AC76" s="1"/>
      <c r="AD76" s="1"/>
      <c r="AE76" s="1"/>
      <c r="AF76" s="1" t="str">
        <f>IFERROR(__xludf.DUMMYFUNCTION("""COMPUTED_VALUE"""),"++Creates a Crystal like barrier around you making it so weapons deal no damage to you for 3 rounds, 500SP. ++1000 Additional HP and SP while equipped.")</f>
        <v>++Creates a Crystal like barrier around you making it so weapons deal no damage to you for 3 rounds, 500SP. ++1000 Additional HP and SP while equipped.</v>
      </c>
      <c r="AG76" s="1" t="str">
        <f>IFERROR(__xludf.DUMMYFUNCTION("""COMPUTED_VALUE"""),"Land of Spira")</f>
        <v>Land of Spira</v>
      </c>
      <c r="AH76" s="1" t="b">
        <f>IFERROR(__xludf.DUMMYFUNCTION("""COMPUTED_VALUE"""),FALSE)</f>
        <v>0</v>
      </c>
    </row>
    <row r="77">
      <c r="A77" s="1" t="str">
        <f>IFERROR(__xludf.DUMMYFUNCTION("""COMPUTED_VALUE"""),"Crystal Sword")</f>
        <v>Crystal Sword</v>
      </c>
      <c r="B77" s="1" t="str">
        <f>IFERROR(__xludf.DUMMYFUNCTION("""COMPUTED_VALUE"""),"Hand")</f>
        <v>Hand</v>
      </c>
      <c r="C77" s="1"/>
      <c r="D77" s="1" t="str">
        <f>IFERROR(__xludf.DUMMYFUNCTION("""COMPUTED_VALUE"""),"Sword")</f>
        <v>Sword</v>
      </c>
      <c r="E77" s="1">
        <f>IFERROR(__xludf.DUMMYFUNCTION("""COMPUTED_VALUE"""),80.0)</f>
        <v>80</v>
      </c>
      <c r="F77" s="2">
        <f>IFERROR(__xludf.DUMMYFUNCTION("""COMPUTED_VALUE"""),280000.0)</f>
        <v>280000</v>
      </c>
      <c r="G77" s="1" t="str">
        <f>IFERROR(__xludf.DUMMYFUNCTION("""COMPUTED_VALUE"""),"DMG")</f>
        <v>DMG</v>
      </c>
      <c r="H77" s="1">
        <f>IFERROR(__xludf.DUMMYFUNCTION("""COMPUTED_VALUE"""),2000.0)</f>
        <v>2000</v>
      </c>
      <c r="I77" s="1"/>
      <c r="J77" s="1"/>
      <c r="K77" s="1"/>
      <c r="L77" s="1"/>
      <c r="M77" s="1">
        <f>IFERROR(__xludf.DUMMYFUNCTION("""COMPUTED_VALUE"""),2000.0)</f>
        <v>2000</v>
      </c>
      <c r="N77" s="1"/>
      <c r="O77" s="1"/>
      <c r="P77" s="1"/>
      <c r="Q77" s="1"/>
      <c r="R77" s="1"/>
      <c r="S77" s="1"/>
      <c r="T77" s="1"/>
      <c r="U77" s="1"/>
      <c r="V77" s="1"/>
      <c r="W77" s="1"/>
      <c r="X77" s="1"/>
      <c r="Y77" s="1"/>
      <c r="Z77" s="1"/>
      <c r="AA77" s="1"/>
      <c r="AB77" s="1"/>
      <c r="AC77" s="1"/>
      <c r="AD77" s="1"/>
      <c r="AE77" s="1"/>
      <c r="AF77" s="1" t="str">
        <f>IFERROR(__xludf.DUMMYFUNCTION("""COMPUTED_VALUE"""),"++When equipped, Gem and Crystal related weapons deal an additional X2 damage for the user.")</f>
        <v>++When equipped, Gem and Crystal related weapons deal an additional X2 damage for the user.</v>
      </c>
      <c r="AG77" s="1" t="str">
        <f>IFERROR(__xludf.DUMMYFUNCTION("""COMPUTED_VALUE"""),"Land of Spira")</f>
        <v>Land of Spira</v>
      </c>
      <c r="AH77" s="1" t="b">
        <f>IFERROR(__xludf.DUMMYFUNCTION("""COMPUTED_VALUE"""),FALSE)</f>
        <v>0</v>
      </c>
    </row>
    <row r="78">
      <c r="A78" s="1" t="str">
        <f>IFERROR(__xludf.DUMMYFUNCTION("""COMPUTED_VALUE"""),"Cursed Blade")</f>
        <v>Cursed Blade</v>
      </c>
      <c r="B78" s="1" t="str">
        <f>IFERROR(__xludf.DUMMYFUNCTION("""COMPUTED_VALUE"""),"Hand")</f>
        <v>Hand</v>
      </c>
      <c r="C78" s="1"/>
      <c r="D78" s="1" t="str">
        <f>IFERROR(__xludf.DUMMYFUNCTION("""COMPUTED_VALUE"""),"Sword")</f>
        <v>Sword</v>
      </c>
      <c r="E78" s="1">
        <f>IFERROR(__xludf.DUMMYFUNCTION("""COMPUTED_VALUE"""),620.0)</f>
        <v>620</v>
      </c>
      <c r="F78" s="2">
        <f>IFERROR(__xludf.DUMMYFUNCTION("""COMPUTED_VALUE"""),1.891E7)</f>
        <v>18910000</v>
      </c>
      <c r="G78" s="1" t="str">
        <f>IFERROR(__xludf.DUMMYFUNCTION("""COMPUTED_VALUE"""),"DMG")</f>
        <v>DMG</v>
      </c>
      <c r="H78" s="3">
        <f>IFERROR(__xludf.DUMMYFUNCTION("""COMPUTED_VALUE"""),30000.0)</f>
        <v>30000</v>
      </c>
      <c r="I78" s="1"/>
      <c r="J78" s="1"/>
      <c r="K78" s="1"/>
      <c r="L78" s="1"/>
      <c r="M78" s="1"/>
      <c r="N78" s="1"/>
      <c r="O78" s="1">
        <f>IFERROR(__xludf.DUMMYFUNCTION("""COMPUTED_VALUE"""),1000.0)</f>
        <v>1000</v>
      </c>
      <c r="P78" s="1"/>
      <c r="Q78" s="1"/>
      <c r="R78" s="1"/>
      <c r="S78" s="1"/>
      <c r="T78" s="1"/>
      <c r="U78" s="1"/>
      <c r="V78" s="1"/>
      <c r="W78" s="1"/>
      <c r="X78" s="1"/>
      <c r="Y78" s="1"/>
      <c r="Z78" s="1"/>
      <c r="AA78" s="1"/>
      <c r="AB78" s="1"/>
      <c r="AC78" s="1"/>
      <c r="AD78" s="1"/>
      <c r="AE78" s="1"/>
      <c r="AF78" s="1" t="str">
        <f>IFERROR(__xludf.DUMMYFUNCTION("""COMPUTED_VALUE"""),"+- -5 evasion and mobility while equipped.")</f>
        <v>+- -5 evasion and mobility while equipped.</v>
      </c>
      <c r="AG78" s="1" t="str">
        <f>IFERROR(__xludf.DUMMYFUNCTION("""COMPUTED_VALUE"""),"Land of Spira")</f>
        <v>Land of Spira</v>
      </c>
      <c r="AH78" s="1" t="b">
        <f>IFERROR(__xludf.DUMMYFUNCTION("""COMPUTED_VALUE"""),FALSE)</f>
        <v>0</v>
      </c>
    </row>
    <row r="79">
      <c r="A79" s="1" t="str">
        <f>IFERROR(__xludf.DUMMYFUNCTION("""COMPUTED_VALUE"""),"Cursed Blade of The Void Realm")</f>
        <v>Cursed Blade of The Void Realm</v>
      </c>
      <c r="B79" s="1" t="str">
        <f>IFERROR(__xludf.DUMMYFUNCTION("""COMPUTED_VALUE"""),"Hand")</f>
        <v>Hand</v>
      </c>
      <c r="C79" s="1"/>
      <c r="D79" s="1" t="str">
        <f>IFERROR(__xludf.DUMMYFUNCTION("""COMPUTED_VALUE"""),"Sword")</f>
        <v>Sword</v>
      </c>
      <c r="E79" s="1">
        <f>IFERROR(__xludf.DUMMYFUNCTION("""COMPUTED_VALUE"""),1.0)</f>
        <v>1</v>
      </c>
      <c r="F79" s="2">
        <f>IFERROR(__xludf.DUMMYFUNCTION("""COMPUTED_VALUE"""),0.0)</f>
        <v>0</v>
      </c>
      <c r="G79" s="1"/>
      <c r="H79" s="1"/>
      <c r="I79" s="1"/>
      <c r="J79" s="1"/>
      <c r="K79" s="1"/>
      <c r="L79" s="1"/>
      <c r="M79" s="1"/>
      <c r="N79" s="1"/>
      <c r="O79" s="1"/>
      <c r="P79" s="1"/>
      <c r="Q79" s="1"/>
      <c r="R79" s="1"/>
      <c r="S79" s="1"/>
      <c r="T79" s="1"/>
      <c r="U79" s="1"/>
      <c r="V79" s="1"/>
      <c r="W79" s="1"/>
      <c r="X79" s="1"/>
      <c r="Y79" s="1"/>
      <c r="Z79" s="1"/>
      <c r="AA79" s="1"/>
      <c r="AB79" s="1"/>
      <c r="AC79" s="1"/>
      <c r="AD79" s="1"/>
      <c r="AE79" s="1"/>
      <c r="AF79" s="1" t="str">
        <f>IFERROR(__xludf.DUMMYFUNCTION("""COMPUTED_VALUE"""),"+-When equipped this item cannot be unequipped for 3 rounds, +-Depletes 1000 SP per round.")</f>
        <v>+-When equipped this item cannot be unequipped for 3 rounds, +-Depletes 1000 SP per round.</v>
      </c>
      <c r="AG79" s="1" t="str">
        <f>IFERROR(__xludf.DUMMYFUNCTION("""COMPUTED_VALUE"""),"Land of Spira")</f>
        <v>Land of Spira</v>
      </c>
      <c r="AH79" s="1" t="b">
        <f>IFERROR(__xludf.DUMMYFUNCTION("""COMPUTED_VALUE"""),FALSE)</f>
        <v>0</v>
      </c>
    </row>
    <row r="80">
      <c r="A80" s="1" t="str">
        <f>IFERROR(__xludf.DUMMYFUNCTION("""COMPUTED_VALUE"""),"Dagger")</f>
        <v>Dagger</v>
      </c>
      <c r="B80" s="1" t="str">
        <f>IFERROR(__xludf.DUMMYFUNCTION("""COMPUTED_VALUE"""),"Hand")</f>
        <v>Hand</v>
      </c>
      <c r="C80" s="1" t="str">
        <f>IFERROR(__xludf.DUMMYFUNCTION("""COMPUTED_VALUE"""),"The first weapon ")</f>
        <v>The first weapon </v>
      </c>
      <c r="D80" s="1" t="str">
        <f>IFERROR(__xludf.DUMMYFUNCTION("""COMPUTED_VALUE"""),"Knife")</f>
        <v>Knife</v>
      </c>
      <c r="E80" s="1">
        <f>IFERROR(__xludf.DUMMYFUNCTION("""COMPUTED_VALUE"""),20.0)</f>
        <v>20</v>
      </c>
      <c r="F80" s="2">
        <f>IFERROR(__xludf.DUMMYFUNCTION("""COMPUTED_VALUE"""),10000.0)</f>
        <v>10000</v>
      </c>
      <c r="G80" s="1" t="str">
        <f>IFERROR(__xludf.DUMMYFUNCTION("""COMPUTED_VALUE"""),"DMG")</f>
        <v>DMG</v>
      </c>
      <c r="H80" s="1">
        <f>IFERROR(__xludf.DUMMYFUNCTION("""COMPUTED_VALUE"""),1000.0)</f>
        <v>1000</v>
      </c>
      <c r="I80" s="1"/>
      <c r="J80" s="1"/>
      <c r="K80" s="1"/>
      <c r="L80" s="1"/>
      <c r="M80" s="1"/>
      <c r="N80" s="1"/>
      <c r="O80" s="1"/>
      <c r="P80" s="1"/>
      <c r="Q80" s="1"/>
      <c r="R80" s="1"/>
      <c r="S80" s="1"/>
      <c r="T80" s="1"/>
      <c r="U80" s="1"/>
      <c r="V80" s="1"/>
      <c r="W80" s="1"/>
      <c r="X80" s="1"/>
      <c r="Y80" s="1"/>
      <c r="Z80" s="1"/>
      <c r="AA80" s="1"/>
      <c r="AB80" s="1"/>
      <c r="AC80" s="1"/>
      <c r="AD80" s="1"/>
      <c r="AE80" s="1"/>
      <c r="AF80" s="1"/>
      <c r="AG80" s="1" t="str">
        <f>IFERROR(__xludf.DUMMYFUNCTION("""COMPUTED_VALUE"""),"Land of Spira")</f>
        <v>Land of Spira</v>
      </c>
      <c r="AH80" s="1" t="b">
        <f>IFERROR(__xludf.DUMMYFUNCTION("""COMPUTED_VALUE"""),FALSE)</f>
        <v>0</v>
      </c>
    </row>
    <row r="81">
      <c r="A81" s="1" t="str">
        <f>IFERROR(__xludf.DUMMYFUNCTION("""COMPUTED_VALUE"""),"Dagger of Flowers")</f>
        <v>Dagger of Flowers</v>
      </c>
      <c r="B81" s="1" t="str">
        <f>IFERROR(__xludf.DUMMYFUNCTION("""COMPUTED_VALUE"""),"Hand")</f>
        <v>Hand</v>
      </c>
      <c r="C81" s="1" t="str">
        <f>IFERROR(__xludf.DUMMYFUNCTION("""COMPUTED_VALUE"""),"(Event Exclusive)")</f>
        <v>(Event Exclusive)</v>
      </c>
      <c r="D81" s="1" t="str">
        <f>IFERROR(__xludf.DUMMYFUNCTION("""COMPUTED_VALUE"""),"Knife")</f>
        <v>Knife</v>
      </c>
      <c r="E81" s="1">
        <f>IFERROR(__xludf.DUMMYFUNCTION("""COMPUTED_VALUE"""),90.0)</f>
        <v>90</v>
      </c>
      <c r="F81" s="2">
        <f>IFERROR(__xludf.DUMMYFUNCTION("""COMPUTED_VALUE"""),360000.0)</f>
        <v>360000</v>
      </c>
      <c r="G81" s="1" t="str">
        <f>IFERROR(__xludf.DUMMYFUNCTION("""COMPUTED_VALUE"""),"DMG")</f>
        <v>DMG</v>
      </c>
      <c r="H81" s="1">
        <f>IFERROR(__xludf.DUMMYFUNCTION("""COMPUTED_VALUE"""),3000.0)</f>
        <v>3000</v>
      </c>
      <c r="I81" s="1"/>
      <c r="J81" s="1"/>
      <c r="K81" s="1"/>
      <c r="L81" s="1"/>
      <c r="M81" s="1"/>
      <c r="N81" s="1"/>
      <c r="O81" s="1"/>
      <c r="P81" s="1"/>
      <c r="Q81" s="1"/>
      <c r="R81" s="1"/>
      <c r="S81" s="1">
        <f>IFERROR(__xludf.DUMMYFUNCTION("""COMPUTED_VALUE"""),1500.0)</f>
        <v>1500</v>
      </c>
      <c r="T81" s="1"/>
      <c r="U81" s="1"/>
      <c r="V81" s="1"/>
      <c r="W81" s="1"/>
      <c r="X81" s="1"/>
      <c r="Y81" s="1"/>
      <c r="Z81" s="1"/>
      <c r="AA81" s="1"/>
      <c r="AB81" s="1"/>
      <c r="AC81" s="1"/>
      <c r="AD81" s="1"/>
      <c r="AE81" s="1"/>
      <c r="AF81" s="1"/>
      <c r="AG81" s="1" t="str">
        <f>IFERROR(__xludf.DUMMYFUNCTION("""COMPUTED_VALUE"""),"Land of Spira")</f>
        <v>Land of Spira</v>
      </c>
      <c r="AH81" s="1" t="b">
        <f>IFERROR(__xludf.DUMMYFUNCTION("""COMPUTED_VALUE"""),TRUE)</f>
        <v>1</v>
      </c>
    </row>
    <row r="82">
      <c r="A82" s="1" t="str">
        <f>IFERROR(__xludf.DUMMYFUNCTION("""COMPUTED_VALUE"""),"Dagger of The Cultist")</f>
        <v>Dagger of The Cultist</v>
      </c>
      <c r="B82" s="1" t="str">
        <f>IFERROR(__xludf.DUMMYFUNCTION("""COMPUTED_VALUE"""),"Hand")</f>
        <v>Hand</v>
      </c>
      <c r="C82" s="1"/>
      <c r="D82" s="1" t="str">
        <f>IFERROR(__xludf.DUMMYFUNCTION("""COMPUTED_VALUE"""),"Knife")</f>
        <v>Knife</v>
      </c>
      <c r="E82" s="1">
        <f>IFERROR(__xludf.DUMMYFUNCTION("""COMPUTED_VALUE"""),120.0)</f>
        <v>120</v>
      </c>
      <c r="F82" s="2">
        <f>IFERROR(__xludf.DUMMYFUNCTION("""COMPUTED_VALUE"""),660000.0)</f>
        <v>660000</v>
      </c>
      <c r="G82" s="1" t="str">
        <f>IFERROR(__xludf.DUMMYFUNCTION("""COMPUTED_VALUE"""),"DMG")</f>
        <v>DMG</v>
      </c>
      <c r="H82" s="1">
        <f>IFERROR(__xludf.DUMMYFUNCTION("""COMPUTED_VALUE"""),2000.0)</f>
        <v>2000</v>
      </c>
      <c r="I82" s="1"/>
      <c r="J82" s="1"/>
      <c r="K82" s="1"/>
      <c r="L82" s="1"/>
      <c r="M82" s="1"/>
      <c r="N82" s="1"/>
      <c r="O82" s="1">
        <f>IFERROR(__xludf.DUMMYFUNCTION("""COMPUTED_VALUE"""),2000.0)</f>
        <v>2000</v>
      </c>
      <c r="P82" s="1"/>
      <c r="Q82" s="1"/>
      <c r="R82" s="1">
        <f>IFERROR(__xludf.DUMMYFUNCTION("""COMPUTED_VALUE"""),2000.0)</f>
        <v>2000</v>
      </c>
      <c r="S82" s="1"/>
      <c r="T82" s="1"/>
      <c r="U82" s="1"/>
      <c r="V82" s="1"/>
      <c r="W82" s="1"/>
      <c r="X82" s="1"/>
      <c r="Y82" s="1"/>
      <c r="Z82" s="1"/>
      <c r="AA82" s="1"/>
      <c r="AB82" s="1"/>
      <c r="AC82" s="1"/>
      <c r="AD82" s="1"/>
      <c r="AE82" s="1"/>
      <c r="AF82" s="1" t="str">
        <f>IFERROR(__xludf.DUMMYFUNCTION("""COMPUTED_VALUE"""),"(Cultist Set) ++25% chance of instant death to the target.")</f>
        <v>(Cultist Set) ++25% chance of instant death to the target.</v>
      </c>
      <c r="AG82" s="1" t="str">
        <f>IFERROR(__xludf.DUMMYFUNCTION("""COMPUTED_VALUE"""),"Land of Spira")</f>
        <v>Land of Spira</v>
      </c>
      <c r="AH82" s="1" t="b">
        <f>IFERROR(__xludf.DUMMYFUNCTION("""COMPUTED_VALUE"""),FALSE)</f>
        <v>0</v>
      </c>
    </row>
    <row r="83">
      <c r="A83" s="1" t="str">
        <f>IFERROR(__xludf.DUMMYFUNCTION("""COMPUTED_VALUE"""),"Dark Ice Sword")</f>
        <v>Dark Ice Sword</v>
      </c>
      <c r="B83" s="1" t="str">
        <f>IFERROR(__xludf.DUMMYFUNCTION("""COMPUTED_VALUE"""),"Hand")</f>
        <v>Hand</v>
      </c>
      <c r="C83" s="1"/>
      <c r="D83" s="1" t="str">
        <f>IFERROR(__xludf.DUMMYFUNCTION("""COMPUTED_VALUE"""),"Sword")</f>
        <v>Sword</v>
      </c>
      <c r="E83" s="1">
        <f>IFERROR(__xludf.DUMMYFUNCTION("""COMPUTED_VALUE"""),20.0)</f>
        <v>20</v>
      </c>
      <c r="F83" s="2">
        <f>IFERROR(__xludf.DUMMYFUNCTION("""COMPUTED_VALUE"""),1000.0)</f>
        <v>1000</v>
      </c>
      <c r="G83" s="1" t="str">
        <f>IFERROR(__xludf.DUMMYFUNCTION("""COMPUTED_VALUE"""),"DMG")</f>
        <v>DMG</v>
      </c>
      <c r="H83" s="1">
        <f>IFERROR(__xludf.DUMMYFUNCTION("""COMPUTED_VALUE"""),600.0)</f>
        <v>600</v>
      </c>
      <c r="I83" s="1"/>
      <c r="J83" s="1"/>
      <c r="K83" s="1"/>
      <c r="L83" s="1"/>
      <c r="M83" s="1"/>
      <c r="N83" s="1"/>
      <c r="O83" s="1"/>
      <c r="P83" s="1"/>
      <c r="Q83" s="1"/>
      <c r="R83" s="1"/>
      <c r="S83" s="1"/>
      <c r="T83" s="1"/>
      <c r="U83" s="1"/>
      <c r="V83" s="1"/>
      <c r="W83" s="1"/>
      <c r="X83" s="1"/>
      <c r="Y83" s="1"/>
      <c r="Z83" s="1"/>
      <c r="AA83" s="1"/>
      <c r="AB83" s="1"/>
      <c r="AC83" s="1"/>
      <c r="AD83" s="1"/>
      <c r="AE83" s="1"/>
      <c r="AF83" s="1" t="str">
        <f>IFERROR(__xludf.DUMMYFUNCTION("""COMPUTED_VALUE"""),"++25% Chance to freeze target.")</f>
        <v>++25% Chance to freeze target.</v>
      </c>
      <c r="AG83" s="1" t="str">
        <f>IFERROR(__xludf.DUMMYFUNCTION("""COMPUTED_VALUE"""),"Land of Spira")</f>
        <v>Land of Spira</v>
      </c>
      <c r="AH83" s="1" t="b">
        <f>IFERROR(__xludf.DUMMYFUNCTION("""COMPUTED_VALUE"""),FALSE)</f>
        <v>0</v>
      </c>
    </row>
    <row r="84">
      <c r="A84" s="1" t="str">
        <f>IFERROR(__xludf.DUMMYFUNCTION("""COMPUTED_VALUE"""),"Dark Knight Helm")</f>
        <v>Dark Knight Helm</v>
      </c>
      <c r="B84" s="1" t="str">
        <f>IFERROR(__xludf.DUMMYFUNCTION("""COMPUTED_VALUE"""),"Head")</f>
        <v>Head</v>
      </c>
      <c r="C84" s="1"/>
      <c r="D84" s="1"/>
      <c r="E84" s="1">
        <f>IFERROR(__xludf.DUMMYFUNCTION("""COMPUTED_VALUE"""),10.0)</f>
        <v>10</v>
      </c>
      <c r="F84" s="2">
        <f>IFERROR(__xludf.DUMMYFUNCTION("""COMPUTED_VALUE"""),1000.0)</f>
        <v>1000</v>
      </c>
      <c r="G84" s="1" t="str">
        <f>IFERROR(__xludf.DUMMYFUNCTION("""COMPUTED_VALUE"""),"DEF")</f>
        <v>DEF</v>
      </c>
      <c r="H84" s="1">
        <f>IFERROR(__xludf.DUMMYFUNCTION("""COMPUTED_VALUE"""),500.0)</f>
        <v>500</v>
      </c>
      <c r="I84" s="1"/>
      <c r="J84" s="1"/>
      <c r="K84" s="1"/>
      <c r="L84" s="1"/>
      <c r="M84" s="1"/>
      <c r="N84" s="1"/>
      <c r="O84" s="1"/>
      <c r="P84" s="1"/>
      <c r="Q84" s="1"/>
      <c r="R84" s="1"/>
      <c r="S84" s="1"/>
      <c r="T84" s="1"/>
      <c r="U84" s="1"/>
      <c r="V84" s="1"/>
      <c r="W84" s="1"/>
      <c r="X84" s="1"/>
      <c r="Y84" s="1"/>
      <c r="Z84" s="1"/>
      <c r="AA84" s="1"/>
      <c r="AB84" s="1"/>
      <c r="AC84" s="1"/>
      <c r="AD84" s="1"/>
      <c r="AE84" s="1"/>
      <c r="AF84" s="1" t="str">
        <f>IFERROR(__xludf.DUMMYFUNCTION("""COMPUTED_VALUE"""),"++Immune to dark damage")</f>
        <v>++Immune to dark damage</v>
      </c>
      <c r="AG84" s="1" t="str">
        <f>IFERROR(__xludf.DUMMYFUNCTION("""COMPUTED_VALUE"""),"Land of Spira")</f>
        <v>Land of Spira</v>
      </c>
      <c r="AH84" s="1" t="b">
        <f>IFERROR(__xludf.DUMMYFUNCTION("""COMPUTED_VALUE"""),FALSE)</f>
        <v>0</v>
      </c>
    </row>
    <row r="85">
      <c r="A85" s="1" t="str">
        <f>IFERROR(__xludf.DUMMYFUNCTION("""COMPUTED_VALUE"""),"Dark Wand")</f>
        <v>Dark Wand</v>
      </c>
      <c r="B85" s="1" t="str">
        <f>IFERROR(__xludf.DUMMYFUNCTION("""COMPUTED_VALUE"""),"Hand")</f>
        <v>Hand</v>
      </c>
      <c r="C85" s="1"/>
      <c r="D85" s="1" t="str">
        <f>IFERROR(__xludf.DUMMYFUNCTION("""COMPUTED_VALUE"""),"Wand")</f>
        <v>Wand</v>
      </c>
      <c r="E85" s="1">
        <f>IFERROR(__xludf.DUMMYFUNCTION("""COMPUTED_VALUE"""),1.0)</f>
        <v>1</v>
      </c>
      <c r="F85" s="2">
        <f>IFERROR(__xludf.DUMMYFUNCTION("""COMPUTED_VALUE"""),0.0)</f>
        <v>0</v>
      </c>
      <c r="G85" s="1"/>
      <c r="H85" s="1"/>
      <c r="I85" s="1"/>
      <c r="J85" s="1"/>
      <c r="K85" s="1"/>
      <c r="L85" s="1"/>
      <c r="M85" s="1"/>
      <c r="N85" s="1"/>
      <c r="O85" s="1"/>
      <c r="P85" s="1"/>
      <c r="Q85" s="1"/>
      <c r="R85" s="1"/>
      <c r="S85" s="1"/>
      <c r="T85" s="1"/>
      <c r="U85" s="1"/>
      <c r="V85" s="1"/>
      <c r="W85" s="1"/>
      <c r="X85" s="1"/>
      <c r="Y85" s="1"/>
      <c r="Z85" s="1"/>
      <c r="AA85" s="1"/>
      <c r="AB85" s="1"/>
      <c r="AC85" s="1"/>
      <c r="AD85" s="1"/>
      <c r="AE85" s="1"/>
      <c r="AF85" s="1" t="str">
        <f>IFERROR(__xludf.DUMMYFUNCTION("""COMPUTED_VALUE"""),"++Half the SP cost of dark spells")</f>
        <v>++Half the SP cost of dark spells</v>
      </c>
      <c r="AG85" s="1" t="str">
        <f>IFERROR(__xludf.DUMMYFUNCTION("""COMPUTED_VALUE"""),"Land of Spira")</f>
        <v>Land of Spira</v>
      </c>
      <c r="AH85" s="1" t="b">
        <f>IFERROR(__xludf.DUMMYFUNCTION("""COMPUTED_VALUE"""),FALSE)</f>
        <v>0</v>
      </c>
    </row>
    <row r="86">
      <c r="A86" s="1" t="str">
        <f>IFERROR(__xludf.DUMMYFUNCTION("""COMPUTED_VALUE"""),"Dead Forest Blade")</f>
        <v>Dead Forest Blade</v>
      </c>
      <c r="B86" s="1" t="str">
        <f>IFERROR(__xludf.DUMMYFUNCTION("""COMPUTED_VALUE"""),"Hand")</f>
        <v>Hand</v>
      </c>
      <c r="C86" s="1"/>
      <c r="D86" s="1" t="str">
        <f>IFERROR(__xludf.DUMMYFUNCTION("""COMPUTED_VALUE"""),"Sword")</f>
        <v>Sword</v>
      </c>
      <c r="E86" s="1">
        <f>IFERROR(__xludf.DUMMYFUNCTION("""COMPUTED_VALUE"""),180.0)</f>
        <v>180</v>
      </c>
      <c r="F86" s="2">
        <f>IFERROR(__xludf.DUMMYFUNCTION("""COMPUTED_VALUE"""),1530000.0)</f>
        <v>1530000</v>
      </c>
      <c r="G86" s="1" t="str">
        <f>IFERROR(__xludf.DUMMYFUNCTION("""COMPUTED_VALUE"""),"DMG")</f>
        <v>DMG</v>
      </c>
      <c r="H86" s="1">
        <f>IFERROR(__xludf.DUMMYFUNCTION("""COMPUTED_VALUE"""),5000.0)</f>
        <v>5000</v>
      </c>
      <c r="I86" s="1"/>
      <c r="J86" s="1"/>
      <c r="K86" s="1"/>
      <c r="L86" s="1"/>
      <c r="M86" s="1"/>
      <c r="N86" s="1"/>
      <c r="O86" s="1">
        <f>IFERROR(__xludf.DUMMYFUNCTION("""COMPUTED_VALUE"""),4000.0)</f>
        <v>4000</v>
      </c>
      <c r="P86" s="1"/>
      <c r="Q86" s="1"/>
      <c r="R86" s="1"/>
      <c r="S86" s="1"/>
      <c r="T86" s="1"/>
      <c r="U86" s="1"/>
      <c r="V86" s="1"/>
      <c r="W86" s="1"/>
      <c r="X86" s="1"/>
      <c r="Y86" s="1"/>
      <c r="Z86" s="1"/>
      <c r="AA86" s="1"/>
      <c r="AB86" s="1"/>
      <c r="AC86" s="1"/>
      <c r="AD86" s="1"/>
      <c r="AE86" s="1"/>
      <c r="AF86" s="1" t="str">
        <f>IFERROR(__xludf.DUMMYFUNCTION("""COMPUTED_VALUE"""),"++Darkness Embodiment - When Equipped Any dark and chaos weapons and dark and chaos spells will deal an additional X2 damage.")</f>
        <v>++Darkness Embodiment - When Equipped Any dark and chaos weapons and dark and chaos spells will deal an additional X2 damage.</v>
      </c>
      <c r="AG86" s="1" t="str">
        <f>IFERROR(__xludf.DUMMYFUNCTION("""COMPUTED_VALUE"""),"Land of Spira")</f>
        <v>Land of Spira</v>
      </c>
      <c r="AH86" s="1" t="b">
        <f>IFERROR(__xludf.DUMMYFUNCTION("""COMPUTED_VALUE"""),FALSE)</f>
        <v>0</v>
      </c>
    </row>
    <row r="87">
      <c r="A87" s="1" t="str">
        <f>IFERROR(__xludf.DUMMYFUNCTION("""COMPUTED_VALUE"""),"Dead Forest Branch")</f>
        <v>Dead Forest Branch</v>
      </c>
      <c r="B87" s="1" t="str">
        <f>IFERROR(__xludf.DUMMYFUNCTION("""COMPUTED_VALUE"""),"Hand")</f>
        <v>Hand</v>
      </c>
      <c r="C87" s="1"/>
      <c r="D87" s="1" t="str">
        <f>IFERROR(__xludf.DUMMYFUNCTION("""COMPUTED_VALUE"""),"Club")</f>
        <v>Club</v>
      </c>
      <c r="E87" s="1">
        <f>IFERROR(__xludf.DUMMYFUNCTION("""COMPUTED_VALUE"""),200.0)</f>
        <v>200</v>
      </c>
      <c r="F87" s="2">
        <f>IFERROR(__xludf.DUMMYFUNCTION("""COMPUTED_VALUE"""),2.8788E10)</f>
        <v>28788000000</v>
      </c>
      <c r="G87" s="1" t="str">
        <f>IFERROR(__xludf.DUMMYFUNCTION("""COMPUTED_VALUE"""),"DMG")</f>
        <v>DMG</v>
      </c>
      <c r="H87" s="1"/>
      <c r="I87" s="1"/>
      <c r="J87" s="1"/>
      <c r="K87" s="1"/>
      <c r="L87" s="1"/>
      <c r="M87" s="1"/>
      <c r="N87" s="1"/>
      <c r="O87" s="1"/>
      <c r="P87" s="1"/>
      <c r="Q87" s="1"/>
      <c r="R87" s="1"/>
      <c r="S87" s="1"/>
      <c r="T87" s="1"/>
      <c r="U87" s="1"/>
      <c r="V87" s="1"/>
      <c r="W87" s="1"/>
      <c r="X87" s="1"/>
      <c r="Y87" s="1"/>
      <c r="Z87" s="1"/>
      <c r="AA87" s="1"/>
      <c r="AB87" s="1"/>
      <c r="AC87" s="3">
        <f>IFERROR(__xludf.DUMMYFUNCTION("""COMPUTED_VALUE"""),1.0E7)</f>
        <v>10000000</v>
      </c>
      <c r="AD87" s="1"/>
      <c r="AE87" s="1"/>
      <c r="AF87" s="1" t="str">
        <f>IFERROR(__xludf.DUMMYFUNCTION("""COMPUTED_VALUE"""),"++This Branch will deal 10,000,000 celestial damage but it has a 95% chance to break")</f>
        <v>++This Branch will deal 10,000,000 celestial damage but it has a 95% chance to break</v>
      </c>
      <c r="AG87" s="1" t="str">
        <f>IFERROR(__xludf.DUMMYFUNCTION("""COMPUTED_VALUE"""),"Land of Spira")</f>
        <v>Land of Spira</v>
      </c>
      <c r="AH87" s="1" t="b">
        <f>IFERROR(__xludf.DUMMYFUNCTION("""COMPUTED_VALUE"""),FALSE)</f>
        <v>0</v>
      </c>
    </row>
    <row r="88">
      <c r="A88" s="1" t="str">
        <f>IFERROR(__xludf.DUMMYFUNCTION("""COMPUTED_VALUE"""),"Death's Scythe")</f>
        <v>Death's Scythe</v>
      </c>
      <c r="B88" s="1" t="str">
        <f>IFERROR(__xludf.DUMMYFUNCTION("""COMPUTED_VALUE"""),"Hand")</f>
        <v>Hand</v>
      </c>
      <c r="C88" s="1"/>
      <c r="D88" s="1" t="str">
        <f>IFERROR(__xludf.DUMMYFUNCTION("""COMPUTED_VALUE"""),"Scythe")</f>
        <v>Scythe</v>
      </c>
      <c r="E88" s="1">
        <f>IFERROR(__xludf.DUMMYFUNCTION("""COMPUTED_VALUE"""),600.0)</f>
        <v>600</v>
      </c>
      <c r="F88" s="2">
        <f>IFERROR(__xludf.DUMMYFUNCTION("""COMPUTED_VALUE"""),1.77E7)</f>
        <v>17700000</v>
      </c>
      <c r="G88" s="1" t="str">
        <f>IFERROR(__xludf.DUMMYFUNCTION("""COMPUTED_VALUE"""),"DMG")</f>
        <v>DMG</v>
      </c>
      <c r="H88" s="3">
        <f>IFERROR(__xludf.DUMMYFUNCTION("""COMPUTED_VALUE"""),10000.0)</f>
        <v>10000</v>
      </c>
      <c r="I88" s="1"/>
      <c r="J88" s="1"/>
      <c r="K88" s="1"/>
      <c r="L88" s="1"/>
      <c r="M88" s="1"/>
      <c r="N88" s="1"/>
      <c r="O88" s="3">
        <f>IFERROR(__xludf.DUMMYFUNCTION("""COMPUTED_VALUE"""),10000.0)</f>
        <v>10000</v>
      </c>
      <c r="P88" s="1"/>
      <c r="Q88" s="1"/>
      <c r="R88" s="3">
        <f>IFERROR(__xludf.DUMMYFUNCTION("""COMPUTED_VALUE"""),10000.0)</f>
        <v>10000</v>
      </c>
      <c r="S88" s="1"/>
      <c r="T88" s="1"/>
      <c r="U88" s="1"/>
      <c r="V88" s="1"/>
      <c r="W88" s="1"/>
      <c r="X88" s="1"/>
      <c r="Y88" s="1"/>
      <c r="Z88" s="1"/>
      <c r="AA88" s="1"/>
      <c r="AB88" s="1"/>
      <c r="AC88" s="1"/>
      <c r="AD88" s="1"/>
      <c r="AE88" s="1"/>
      <c r="AF88" s="1" t="str">
        <f>IFERROR(__xludf.DUMMYFUNCTION("""COMPUTED_VALUE"""),"++ +2 Intimidation, ++ +2 Wisdom when rolling a wisdom check for traps. +-Cannot be duplicated, +-Can only equip one.")</f>
        <v>++ +2 Intimidation, ++ +2 Wisdom when rolling a wisdom check for traps. +-Cannot be duplicated, +-Can only equip one.</v>
      </c>
      <c r="AG88" s="1" t="str">
        <f>IFERROR(__xludf.DUMMYFUNCTION("""COMPUTED_VALUE"""),"Land of Spira")</f>
        <v>Land of Spira</v>
      </c>
      <c r="AH88" s="1" t="b">
        <f>IFERROR(__xludf.DUMMYFUNCTION("""COMPUTED_VALUE"""),FALSE)</f>
        <v>0</v>
      </c>
    </row>
    <row r="89">
      <c r="A89" s="1" t="str">
        <f>IFERROR(__xludf.DUMMYFUNCTION("""COMPUTED_VALUE"""),"Demonic Scythe of Chaos ")</f>
        <v>Demonic Scythe of Chaos </v>
      </c>
      <c r="B89" s="1" t="str">
        <f>IFERROR(__xludf.DUMMYFUNCTION("""COMPUTED_VALUE"""),"Hand")</f>
        <v>Hand</v>
      </c>
      <c r="C89" s="1"/>
      <c r="D89" s="1" t="str">
        <f>IFERROR(__xludf.DUMMYFUNCTION("""COMPUTED_VALUE"""),"Scythe")</f>
        <v>Scythe</v>
      </c>
      <c r="E89" s="1">
        <f>IFERROR(__xludf.DUMMYFUNCTION("""COMPUTED_VALUE"""),3000.0)</f>
        <v>3000</v>
      </c>
      <c r="F89" s="2">
        <f>IFERROR(__xludf.DUMMYFUNCTION("""COMPUTED_VALUE"""),4.485E8)</f>
        <v>448500000</v>
      </c>
      <c r="G89" s="1" t="str">
        <f>IFERROR(__xludf.DUMMYFUNCTION("""COMPUTED_VALUE"""),"DMG")</f>
        <v>DMG</v>
      </c>
      <c r="H89" s="3">
        <f>IFERROR(__xludf.DUMMYFUNCTION("""COMPUTED_VALUE"""),50000.0)</f>
        <v>50000</v>
      </c>
      <c r="I89" s="3">
        <f>IFERROR(__xludf.DUMMYFUNCTION("""COMPUTED_VALUE"""),50000.0)</f>
        <v>50000</v>
      </c>
      <c r="J89" s="1"/>
      <c r="K89" s="1"/>
      <c r="L89" s="1"/>
      <c r="M89" s="1"/>
      <c r="N89" s="1"/>
      <c r="O89" s="1"/>
      <c r="P89" s="1"/>
      <c r="Q89" s="1"/>
      <c r="R89" s="3">
        <f>IFERROR(__xludf.DUMMYFUNCTION("""COMPUTED_VALUE"""),50000.0)</f>
        <v>50000</v>
      </c>
      <c r="S89" s="1"/>
      <c r="T89" s="1"/>
      <c r="U89" s="1"/>
      <c r="V89" s="1"/>
      <c r="W89" s="1"/>
      <c r="X89" s="1"/>
      <c r="Y89" s="1"/>
      <c r="Z89" s="1"/>
      <c r="AA89" s="1"/>
      <c r="AB89" s="1"/>
      <c r="AC89" s="1"/>
      <c r="AD89" s="1"/>
      <c r="AE89" s="1"/>
      <c r="AF89" s="1" t="str">
        <f>IFERROR(__xludf.DUMMYFUNCTION("""COMPUTED_VALUE"""),"++X2  Additional Fire and Chaos damage. +-Cannot be duplicated.")</f>
        <v>++X2  Additional Fire and Chaos damage. +-Cannot be duplicated.</v>
      </c>
      <c r="AG89" s="1" t="str">
        <f>IFERROR(__xludf.DUMMYFUNCTION("""COMPUTED_VALUE"""),"Abstara")</f>
        <v>Abstara</v>
      </c>
      <c r="AH89" s="1" t="b">
        <f>IFERROR(__xludf.DUMMYFUNCTION("""COMPUTED_VALUE"""),FALSE)</f>
        <v>0</v>
      </c>
    </row>
    <row r="90">
      <c r="A90" s="1" t="str">
        <f>IFERROR(__xludf.DUMMYFUNCTION("""COMPUTED_VALUE"""),"Demonic Sword of The King")</f>
        <v>Demonic Sword of The King</v>
      </c>
      <c r="B90" s="1" t="str">
        <f>IFERROR(__xludf.DUMMYFUNCTION("""COMPUTED_VALUE"""),"Hand")</f>
        <v>Hand</v>
      </c>
      <c r="C90" s="1"/>
      <c r="D90" s="1" t="str">
        <f>IFERROR(__xludf.DUMMYFUNCTION("""COMPUTED_VALUE"""),"Sword")</f>
        <v>Sword</v>
      </c>
      <c r="E90" s="1">
        <f>IFERROR(__xludf.DUMMYFUNCTION("""COMPUTED_VALUE"""),200.0)</f>
        <v>200</v>
      </c>
      <c r="F90" s="2">
        <f>IFERROR(__xludf.DUMMYFUNCTION("""COMPUTED_VALUE"""),3.196E9)</f>
        <v>3196000000</v>
      </c>
      <c r="G90" s="1" t="str">
        <f>IFERROR(__xludf.DUMMYFUNCTION("""COMPUTED_VALUE"""),"DMG")</f>
        <v>DMG</v>
      </c>
      <c r="H90" s="3">
        <f>IFERROR(__xludf.DUMMYFUNCTION("""COMPUTED_VALUE"""),100000.0)</f>
        <v>100000</v>
      </c>
      <c r="I90" s="3">
        <f>IFERROR(__xludf.DUMMYFUNCTION("""COMPUTED_VALUE"""),100000.0)</f>
        <v>100000</v>
      </c>
      <c r="J90" s="1"/>
      <c r="K90" s="1"/>
      <c r="L90" s="1"/>
      <c r="M90" s="1"/>
      <c r="N90" s="1"/>
      <c r="O90" s="3">
        <f>IFERROR(__xludf.DUMMYFUNCTION("""COMPUTED_VALUE"""),50000.0)</f>
        <v>50000</v>
      </c>
      <c r="P90" s="1"/>
      <c r="Q90" s="1"/>
      <c r="R90" s="3">
        <f>IFERROR(__xludf.DUMMYFUNCTION("""COMPUTED_VALUE"""),50000.0)</f>
        <v>50000</v>
      </c>
      <c r="S90" s="1"/>
      <c r="T90" s="1"/>
      <c r="U90" s="1"/>
      <c r="V90" s="1"/>
      <c r="W90" s="1"/>
      <c r="X90" s="1"/>
      <c r="Y90" s="3">
        <f>IFERROR(__xludf.DUMMYFUNCTION("""COMPUTED_VALUE"""),50000.0)</f>
        <v>50000</v>
      </c>
      <c r="Z90" s="1"/>
      <c r="AA90" s="1"/>
      <c r="AB90" s="1"/>
      <c r="AC90" s="3">
        <f>IFERROR(__xludf.DUMMYFUNCTION("""COMPUTED_VALUE"""),50000.0)</f>
        <v>50000</v>
      </c>
      <c r="AD90" s="1"/>
      <c r="AE90" s="1"/>
      <c r="AF90" s="1" t="str">
        <f>IFERROR(__xludf.DUMMYFUNCTION("""COMPUTED_VALUE"""),"++When targeted for an attack you can choose a party member to take the damage instead. +-Cannot be duplicated.")</f>
        <v>++When targeted for an attack you can choose a party member to take the damage instead. +-Cannot be duplicated.</v>
      </c>
      <c r="AG90" s="1" t="str">
        <f>IFERROR(__xludf.DUMMYFUNCTION("""COMPUTED_VALUE"""),"Abstara")</f>
        <v>Abstara</v>
      </c>
      <c r="AH90" s="1" t="b">
        <f>IFERROR(__xludf.DUMMYFUNCTION("""COMPUTED_VALUE"""),FALSE)</f>
        <v>0</v>
      </c>
    </row>
    <row r="91">
      <c r="A91" s="1" t="str">
        <f>IFERROR(__xludf.DUMMYFUNCTION("""COMPUTED_VALUE"""),"Dimensional Dagger")</f>
        <v>Dimensional Dagger</v>
      </c>
      <c r="B91" s="1" t="str">
        <f>IFERROR(__xludf.DUMMYFUNCTION("""COMPUTED_VALUE"""),"Hand")</f>
        <v>Hand</v>
      </c>
      <c r="C91" s="1"/>
      <c r="D91" s="1" t="str">
        <f>IFERROR(__xludf.DUMMYFUNCTION("""COMPUTED_VALUE"""),"Knife")</f>
        <v>Knife</v>
      </c>
      <c r="E91" s="1">
        <f>IFERROR(__xludf.DUMMYFUNCTION("""COMPUTED_VALUE"""),200.0)</f>
        <v>200</v>
      </c>
      <c r="F91" s="2">
        <f>IFERROR(__xludf.DUMMYFUNCTION("""COMPUTED_VALUE"""),1900000.0)</f>
        <v>1900000</v>
      </c>
      <c r="G91" s="1" t="str">
        <f>IFERROR(__xludf.DUMMYFUNCTION("""COMPUTED_VALUE"""),"DMG")</f>
        <v>DMG</v>
      </c>
      <c r="H91" s="1">
        <f>IFERROR(__xludf.DUMMYFUNCTION("""COMPUTED_VALUE"""),5000.0)</f>
        <v>5000</v>
      </c>
      <c r="I91" s="1"/>
      <c r="J91" s="1"/>
      <c r="K91" s="1"/>
      <c r="L91" s="1"/>
      <c r="M91" s="1"/>
      <c r="N91" s="1"/>
      <c r="O91" s="1"/>
      <c r="P91" s="1"/>
      <c r="Q91" s="1"/>
      <c r="R91" s="3">
        <f>IFERROR(__xludf.DUMMYFUNCTION("""COMPUTED_VALUE"""),5000.0)</f>
        <v>5000</v>
      </c>
      <c r="S91" s="1"/>
      <c r="T91" s="1"/>
      <c r="U91" s="1"/>
      <c r="V91" s="1"/>
      <c r="W91" s="1"/>
      <c r="X91" s="1"/>
      <c r="Y91" s="1"/>
      <c r="Z91" s="1"/>
      <c r="AA91" s="1"/>
      <c r="AB91" s="1"/>
      <c r="AC91" s="1"/>
      <c r="AD91" s="1"/>
      <c r="AE91" s="1"/>
      <c r="AF91" s="1" t="str">
        <f>IFERROR(__xludf.DUMMYFUNCTION("""COMPUTED_VALUE"""),"++25% chance to teleport the target being attacked to a random location.")</f>
        <v>++25% chance to teleport the target being attacked to a random location.</v>
      </c>
      <c r="AG91" s="1" t="str">
        <f>IFERROR(__xludf.DUMMYFUNCTION("""COMPUTED_VALUE"""),"Land of Spira")</f>
        <v>Land of Spira</v>
      </c>
      <c r="AH91" s="1" t="b">
        <f>IFERROR(__xludf.DUMMYFUNCTION("""COMPUTED_VALUE"""),FALSE)</f>
        <v>0</v>
      </c>
    </row>
    <row r="92">
      <c r="A92" s="1" t="str">
        <f>IFERROR(__xludf.DUMMYFUNCTION("""COMPUTED_VALUE"""),"Draconic Shield")</f>
        <v>Draconic Shield</v>
      </c>
      <c r="B92" s="1" t="str">
        <f>IFERROR(__xludf.DUMMYFUNCTION("""COMPUTED_VALUE"""),"Hand")</f>
        <v>Hand</v>
      </c>
      <c r="C92" s="1"/>
      <c r="D92" s="1" t="str">
        <f>IFERROR(__xludf.DUMMYFUNCTION("""COMPUTED_VALUE"""),"Towershield")</f>
        <v>Towershield</v>
      </c>
      <c r="E92" s="1">
        <f>IFERROR(__xludf.DUMMYFUNCTION("""COMPUTED_VALUE"""),5000.0)</f>
        <v>5000</v>
      </c>
      <c r="F92" s="2">
        <f>IFERROR(__xludf.DUMMYFUNCTION("""COMPUTED_VALUE"""),1.2475E9)</f>
        <v>1247500000</v>
      </c>
      <c r="G92" s="1" t="str">
        <f>IFERROR(__xludf.DUMMYFUNCTION("""COMPUTED_VALUE"""),"DEF")</f>
        <v>DEF</v>
      </c>
      <c r="H92" s="3">
        <f>IFERROR(__xludf.DUMMYFUNCTION("""COMPUTED_VALUE"""),50000.0)</f>
        <v>50000</v>
      </c>
      <c r="I92" s="3">
        <f>IFERROR(__xludf.DUMMYFUNCTION("""COMPUTED_VALUE"""),50000.0)</f>
        <v>50000</v>
      </c>
      <c r="J92" s="1"/>
      <c r="K92" s="1"/>
      <c r="L92" s="1"/>
      <c r="M92" s="1"/>
      <c r="N92" s="1"/>
      <c r="O92" s="3">
        <f>IFERROR(__xludf.DUMMYFUNCTION("""COMPUTED_VALUE"""),50000.0)</f>
        <v>50000</v>
      </c>
      <c r="P92" s="1"/>
      <c r="Q92" s="1"/>
      <c r="R92" s="3">
        <f>IFERROR(__xludf.DUMMYFUNCTION("""COMPUTED_VALUE"""),50000.0)</f>
        <v>50000</v>
      </c>
      <c r="S92" s="1"/>
      <c r="T92" s="1"/>
      <c r="U92" s="1"/>
      <c r="V92" s="1"/>
      <c r="W92" s="1"/>
      <c r="X92" s="1"/>
      <c r="Y92" s="3">
        <f>IFERROR(__xludf.DUMMYFUNCTION("""COMPUTED_VALUE"""),50000.0)</f>
        <v>50000</v>
      </c>
      <c r="Z92" s="1"/>
      <c r="AA92" s="1"/>
      <c r="AB92" s="1"/>
      <c r="AC92" s="1"/>
      <c r="AD92" s="1"/>
      <c r="AE92" s="1"/>
      <c r="AF92" s="1" t="str">
        <f>IFERROR(__xludf.DUMMYFUNCTION("""COMPUTED_VALUE"""),"++Draconic Block - Any damage you take in battle is now reduced to 1 for for the first round of battle.")</f>
        <v>++Draconic Block - Any damage you take in battle is now reduced to 1 for for the first round of battle.</v>
      </c>
      <c r="AG92" s="1" t="str">
        <f>IFERROR(__xludf.DUMMYFUNCTION("""COMPUTED_VALUE"""),"Abstara")</f>
        <v>Abstara</v>
      </c>
      <c r="AH92" s="1" t="b">
        <f>IFERROR(__xludf.DUMMYFUNCTION("""COMPUTED_VALUE"""),FALSE)</f>
        <v>0</v>
      </c>
    </row>
    <row r="93">
      <c r="A93" s="1" t="str">
        <f>IFERROR(__xludf.DUMMYFUNCTION("""COMPUTED_VALUE"""),"Dragon's Skull")</f>
        <v>Dragon's Skull</v>
      </c>
      <c r="B93" s="1" t="str">
        <f>IFERROR(__xludf.DUMMYFUNCTION("""COMPUTED_VALUE"""),"Head")</f>
        <v>Head</v>
      </c>
      <c r="C93" s="1"/>
      <c r="D93" s="1"/>
      <c r="E93" s="1">
        <f>IFERROR(__xludf.DUMMYFUNCTION("""COMPUTED_VALUE"""),200.0)</f>
        <v>200</v>
      </c>
      <c r="F93" s="2">
        <f>IFERROR(__xludf.DUMMYFUNCTION("""COMPUTED_VALUE"""),1900000.0)</f>
        <v>1900000</v>
      </c>
      <c r="G93" s="1" t="str">
        <f>IFERROR(__xludf.DUMMYFUNCTION("""COMPUTED_VALUE"""),"DEF")</f>
        <v>DEF</v>
      </c>
      <c r="H93" s="3">
        <f>IFERROR(__xludf.DUMMYFUNCTION("""COMPUTED_VALUE"""),10000.0)</f>
        <v>10000</v>
      </c>
      <c r="I93" s="1"/>
      <c r="J93" s="1"/>
      <c r="K93" s="1"/>
      <c r="L93" s="1"/>
      <c r="M93" s="1"/>
      <c r="N93" s="1"/>
      <c r="O93" s="1"/>
      <c r="P93" s="1"/>
      <c r="Q93" s="1"/>
      <c r="R93" s="1"/>
      <c r="S93" s="1"/>
      <c r="T93" s="1"/>
      <c r="U93" s="1"/>
      <c r="V93" s="1"/>
      <c r="W93" s="1"/>
      <c r="X93" s="1"/>
      <c r="Y93" s="1"/>
      <c r="Z93" s="1"/>
      <c r="AA93" s="1"/>
      <c r="AB93" s="1"/>
      <c r="AC93" s="1"/>
      <c r="AD93" s="1"/>
      <c r="AE93" s="1"/>
      <c r="AF93" s="1" t="str">
        <f>IFERROR(__xludf.DUMMYFUNCTION("""COMPUTED_VALUE"""),"++Any damage that is dealt to the wearer by a dragon is negated. ++(Dragon Tamers Cannot Wear This)")</f>
        <v>++Any damage that is dealt to the wearer by a dragon is negated. ++(Dragon Tamers Cannot Wear This)</v>
      </c>
      <c r="AG93" s="1" t="str">
        <f>IFERROR(__xludf.DUMMYFUNCTION("""COMPUTED_VALUE"""),"Land of Spira")</f>
        <v>Land of Spira</v>
      </c>
      <c r="AH93" s="1" t="b">
        <f>IFERROR(__xludf.DUMMYFUNCTION("""COMPUTED_VALUE"""),FALSE)</f>
        <v>0</v>
      </c>
    </row>
    <row r="94">
      <c r="A94" s="1" t="str">
        <f>IFERROR(__xludf.DUMMYFUNCTION("""COMPUTED_VALUE"""),"Dragonbone Greatsword")</f>
        <v>Dragonbone Greatsword</v>
      </c>
      <c r="B94" s="1" t="str">
        <f>IFERROR(__xludf.DUMMYFUNCTION("""COMPUTED_VALUE"""),"Hand")</f>
        <v>Hand</v>
      </c>
      <c r="C94" s="1"/>
      <c r="D94" s="1" t="str">
        <f>IFERROR(__xludf.DUMMYFUNCTION("""COMPUTED_VALUE"""),"Sword")</f>
        <v>Sword</v>
      </c>
      <c r="E94" s="1">
        <f>IFERROR(__xludf.DUMMYFUNCTION("""COMPUTED_VALUE"""),200.0)</f>
        <v>200</v>
      </c>
      <c r="F94" s="2">
        <f>IFERROR(__xludf.DUMMYFUNCTION("""COMPUTED_VALUE"""),7.194E9)</f>
        <v>7194000000</v>
      </c>
      <c r="G94" s="1" t="str">
        <f>IFERROR(__xludf.DUMMYFUNCTION("""COMPUTED_VALUE"""),"DMG")</f>
        <v>DMG</v>
      </c>
      <c r="H94" s="3">
        <f>IFERROR(__xludf.DUMMYFUNCTION("""COMPUTED_VALUE"""),100000.0)</f>
        <v>100000</v>
      </c>
      <c r="I94" s="3">
        <f>IFERROR(__xludf.DUMMYFUNCTION("""COMPUTED_VALUE"""),100000.0)</f>
        <v>100000</v>
      </c>
      <c r="J94" s="1"/>
      <c r="K94" s="1"/>
      <c r="L94" s="1"/>
      <c r="M94" s="3">
        <f>IFERROR(__xludf.DUMMYFUNCTION("""COMPUTED_VALUE"""),100000.0)</f>
        <v>100000</v>
      </c>
      <c r="N94" s="1"/>
      <c r="O94" s="3">
        <f>IFERROR(__xludf.DUMMYFUNCTION("""COMPUTED_VALUE"""),100000.0)</f>
        <v>100000</v>
      </c>
      <c r="P94" s="1"/>
      <c r="Q94" s="1"/>
      <c r="R94" s="1"/>
      <c r="S94" s="1"/>
      <c r="T94" s="1"/>
      <c r="U94" s="1"/>
      <c r="V94" s="1"/>
      <c r="W94" s="1"/>
      <c r="X94" s="1"/>
      <c r="Y94" s="3">
        <f>IFERROR(__xludf.DUMMYFUNCTION("""COMPUTED_VALUE"""),100000.0)</f>
        <v>100000</v>
      </c>
      <c r="Z94" s="1"/>
      <c r="AA94" s="1"/>
      <c r="AB94" s="1"/>
      <c r="AC94" s="3">
        <f>IFERROR(__xludf.DUMMYFUNCTION("""COMPUTED_VALUE"""),100000.0)</f>
        <v>100000</v>
      </c>
      <c r="AD94" s="1"/>
      <c r="AE94" s="1"/>
      <c r="AF94" s="1" t="str">
        <f>IFERROR(__xludf.DUMMYFUNCTION("""COMPUTED_VALUE"""),"++If you have a dragon as a companion in the current battle this sword will deal x4 additional fire, earth, dark, blood, and celestial damage.")</f>
        <v>++If you have a dragon as a companion in the current battle this sword will deal x4 additional fire, earth, dark, blood, and celestial damage.</v>
      </c>
      <c r="AG94" s="1" t="str">
        <f>IFERROR(__xludf.DUMMYFUNCTION("""COMPUTED_VALUE"""),"Abstara")</f>
        <v>Abstara</v>
      </c>
      <c r="AH94" s="1" t="b">
        <f>IFERROR(__xludf.DUMMYFUNCTION("""COMPUTED_VALUE"""),FALSE)</f>
        <v>0</v>
      </c>
    </row>
    <row r="95">
      <c r="A95" s="1" t="str">
        <f>IFERROR(__xludf.DUMMYFUNCTION("""COMPUTED_VALUE"""),"Dreading Wand Of Fire")</f>
        <v>Dreading Wand Of Fire</v>
      </c>
      <c r="B95" s="1" t="str">
        <f>IFERROR(__xludf.DUMMYFUNCTION("""COMPUTED_VALUE"""),"Hand")</f>
        <v>Hand</v>
      </c>
      <c r="C95" s="1"/>
      <c r="D95" s="1" t="str">
        <f>IFERROR(__xludf.DUMMYFUNCTION("""COMPUTED_VALUE"""),"Wand")</f>
        <v>Wand</v>
      </c>
      <c r="E95" s="1">
        <f>IFERROR(__xludf.DUMMYFUNCTION("""COMPUTED_VALUE"""),1.0)</f>
        <v>1</v>
      </c>
      <c r="F95" s="2">
        <f>IFERROR(__xludf.DUMMYFUNCTION("""COMPUTED_VALUE"""),0.0)</f>
        <v>0</v>
      </c>
      <c r="G95" s="1"/>
      <c r="H95" s="1"/>
      <c r="I95" s="1"/>
      <c r="J95" s="1"/>
      <c r="K95" s="1"/>
      <c r="L95" s="1"/>
      <c r="M95" s="1"/>
      <c r="N95" s="1"/>
      <c r="O95" s="1"/>
      <c r="P95" s="1"/>
      <c r="Q95" s="1"/>
      <c r="R95" s="1"/>
      <c r="S95" s="1"/>
      <c r="T95" s="1"/>
      <c r="U95" s="1"/>
      <c r="V95" s="1"/>
      <c r="W95" s="1"/>
      <c r="X95" s="1"/>
      <c r="Y95" s="1"/>
      <c r="Z95" s="1"/>
      <c r="AA95" s="1"/>
      <c r="AB95" s="1"/>
      <c r="AC95" s="1"/>
      <c r="AD95" s="1"/>
      <c r="AE95" s="1"/>
      <c r="AF95" s="1" t="str">
        <f>IFERROR(__xludf.DUMMYFUNCTION("""COMPUTED_VALUE"""),"++Half SP costs for fire spells")</f>
        <v>++Half SP costs for fire spells</v>
      </c>
      <c r="AG95" s="1" t="str">
        <f>IFERROR(__xludf.DUMMYFUNCTION("""COMPUTED_VALUE"""),"Land of Spira")</f>
        <v>Land of Spira</v>
      </c>
      <c r="AH95" s="1" t="b">
        <f>IFERROR(__xludf.DUMMYFUNCTION("""COMPUTED_VALUE"""),FALSE)</f>
        <v>0</v>
      </c>
    </row>
    <row r="96">
      <c r="A96" s="1" t="str">
        <f>IFERROR(__xludf.DUMMYFUNCTION("""COMPUTED_VALUE"""),"Dy Yu’s Plated Armor")</f>
        <v>Dy Yu’s Plated Armor</v>
      </c>
      <c r="B96" s="1" t="str">
        <f>IFERROR(__xludf.DUMMYFUNCTION("""COMPUTED_VALUE"""),"Torso")</f>
        <v>Torso</v>
      </c>
      <c r="C96" s="1"/>
      <c r="D96" s="1"/>
      <c r="E96" s="1">
        <f>IFERROR(__xludf.DUMMYFUNCTION("""COMPUTED_VALUE"""),4000.0)</f>
        <v>4000</v>
      </c>
      <c r="F96" s="2">
        <f>IFERROR(__xludf.DUMMYFUNCTION("""COMPUTED_VALUE"""),7.98E8)</f>
        <v>798000000</v>
      </c>
      <c r="G96" s="1" t="str">
        <f>IFERROR(__xludf.DUMMYFUNCTION("""COMPUTED_VALUE"""),"DEF")</f>
        <v>DEF</v>
      </c>
      <c r="H96" s="3">
        <f>IFERROR(__xludf.DUMMYFUNCTION("""COMPUTED_VALUE"""),50000.0)</f>
        <v>50000</v>
      </c>
      <c r="I96" s="3">
        <f>IFERROR(__xludf.DUMMYFUNCTION("""COMPUTED_VALUE"""),50000.0)</f>
        <v>50000</v>
      </c>
      <c r="J96" s="1"/>
      <c r="K96" s="1"/>
      <c r="L96" s="1"/>
      <c r="M96" s="3">
        <f>IFERROR(__xludf.DUMMYFUNCTION("""COMPUTED_VALUE"""),50000.0)</f>
        <v>50000</v>
      </c>
      <c r="N96" s="1"/>
      <c r="O96" s="1"/>
      <c r="P96" s="3">
        <f>IFERROR(__xludf.DUMMYFUNCTION("""COMPUTED_VALUE"""),50000.0)</f>
        <v>50000</v>
      </c>
      <c r="Q96" s="1"/>
      <c r="R96" s="1"/>
      <c r="S96" s="1"/>
      <c r="T96" s="1"/>
      <c r="U96" s="1"/>
      <c r="V96" s="1"/>
      <c r="W96" s="1"/>
      <c r="X96" s="1"/>
      <c r="Y96" s="1"/>
      <c r="Z96" s="1"/>
      <c r="AA96" s="1"/>
      <c r="AB96" s="1"/>
      <c r="AC96" s="1"/>
      <c r="AD96" s="1"/>
      <c r="AE96" s="1"/>
      <c r="AF96" s="1" t="str">
        <f>IFERROR(__xludf.DUMMYFUNCTION("""COMPUTED_VALUE"""),"++Roll a d20 at the beginning of battle, 11 or higher = half the damage taken from the first attack, 10 or lower = take double the damage from the first attack.")</f>
        <v>++Roll a d20 at the beginning of battle, 11 or higher = half the damage taken from the first attack, 10 or lower = take double the damage from the first attack.</v>
      </c>
      <c r="AG96" s="1" t="str">
        <f>IFERROR(__xludf.DUMMYFUNCTION("""COMPUTED_VALUE"""),"Land of Spira")</f>
        <v>Land of Spira</v>
      </c>
      <c r="AH96" s="1" t="b">
        <f>IFERROR(__xludf.DUMMYFUNCTION("""COMPUTED_VALUE"""),FALSE)</f>
        <v>0</v>
      </c>
    </row>
    <row r="97">
      <c r="A97" s="1" t="str">
        <f>IFERROR(__xludf.DUMMYFUNCTION("""COMPUTED_VALUE"""),"Easters Ring (Exclusive)")</f>
        <v>Easters Ring (Exclusive)</v>
      </c>
      <c r="B97" s="1" t="str">
        <f>IFERROR(__xludf.DUMMYFUNCTION("""COMPUTED_VALUE"""),"Ring")</f>
        <v>Ring</v>
      </c>
      <c r="C97" s="1"/>
      <c r="D97" s="1"/>
      <c r="E97" s="1">
        <f>IFERROR(__xludf.DUMMYFUNCTION("""COMPUTED_VALUE"""),1.0)</f>
        <v>1</v>
      </c>
      <c r="F97" s="2">
        <f>IFERROR(__xludf.DUMMYFUNCTION("""COMPUTED_VALUE"""),0.0)</f>
        <v>0</v>
      </c>
      <c r="G97" s="1"/>
      <c r="H97" s="1"/>
      <c r="I97" s="1"/>
      <c r="J97" s="1"/>
      <c r="K97" s="1"/>
      <c r="L97" s="1"/>
      <c r="M97" s="1"/>
      <c r="N97" s="1"/>
      <c r="O97" s="1"/>
      <c r="P97" s="1"/>
      <c r="Q97" s="1"/>
      <c r="R97" s="1"/>
      <c r="S97" s="1"/>
      <c r="T97" s="1"/>
      <c r="U97" s="1"/>
      <c r="V97" s="1"/>
      <c r="W97" s="1"/>
      <c r="X97" s="1"/>
      <c r="Y97" s="1"/>
      <c r="Z97" s="1"/>
      <c r="AA97" s="1"/>
      <c r="AB97" s="1"/>
      <c r="AC97" s="1"/>
      <c r="AD97" s="1"/>
      <c r="AE97" s="1"/>
      <c r="AF97" s="1" t="str">
        <f>IFERROR(__xludf.DUMMYFUNCTION("""COMPUTED_VALUE"""),"++Can turn one bad day of travel into a good day of travel. +-Cannot be forged")</f>
        <v>++Can turn one bad day of travel into a good day of travel. +-Cannot be forged</v>
      </c>
      <c r="AG97" s="1" t="str">
        <f>IFERROR(__xludf.DUMMYFUNCTION("""COMPUTED_VALUE"""),"Land of Spira")</f>
        <v>Land of Spira</v>
      </c>
      <c r="AH97" s="1" t="b">
        <f>IFERROR(__xludf.DUMMYFUNCTION("""COMPUTED_VALUE"""),FALSE)</f>
        <v>0</v>
      </c>
    </row>
    <row r="98">
      <c r="A98" s="1" t="str">
        <f>IFERROR(__xludf.DUMMYFUNCTION("""COMPUTED_VALUE"""),"Enchanted Chestplate of Defense")</f>
        <v>Enchanted Chestplate of Defense</v>
      </c>
      <c r="B98" s="1" t="str">
        <f>IFERROR(__xludf.DUMMYFUNCTION("""COMPUTED_VALUE"""),"Torso")</f>
        <v>Torso</v>
      </c>
      <c r="C98" s="1"/>
      <c r="D98" s="1"/>
      <c r="E98" s="1">
        <f>IFERROR(__xludf.DUMMYFUNCTION("""COMPUTED_VALUE"""),100.0)</f>
        <v>100</v>
      </c>
      <c r="F98" s="2">
        <f>IFERROR(__xludf.DUMMYFUNCTION("""COMPUTED_VALUE"""),450000.0)</f>
        <v>450000</v>
      </c>
      <c r="G98" s="1" t="str">
        <f>IFERROR(__xludf.DUMMYFUNCTION("""COMPUTED_VALUE"""),"DEF")</f>
        <v>DEF</v>
      </c>
      <c r="H98" s="1">
        <f>IFERROR(__xludf.DUMMYFUNCTION("""COMPUTED_VALUE"""),5000.0)</f>
        <v>5000</v>
      </c>
      <c r="I98" s="1"/>
      <c r="J98" s="1"/>
      <c r="K98" s="1"/>
      <c r="L98" s="1"/>
      <c r="M98" s="1"/>
      <c r="N98" s="1"/>
      <c r="O98" s="1"/>
      <c r="P98" s="1"/>
      <c r="Q98" s="1"/>
      <c r="R98" s="1"/>
      <c r="S98" s="1"/>
      <c r="T98" s="1"/>
      <c r="U98" s="1"/>
      <c r="V98" s="1"/>
      <c r="W98" s="1"/>
      <c r="X98" s="1"/>
      <c r="Y98" s="1"/>
      <c r="Z98" s="1"/>
      <c r="AA98" s="1"/>
      <c r="AB98" s="1"/>
      <c r="AC98" s="1"/>
      <c r="AD98" s="1"/>
      <c r="AE98" s="1"/>
      <c r="AF98" s="1" t="str">
        <f>IFERROR(__xludf.DUMMYFUNCTION("""COMPUTED_VALUE"""),"++Damage received by Spells and Weapons are reduced to half when wearing this.")</f>
        <v>++Damage received by Spells and Weapons are reduced to half when wearing this.</v>
      </c>
      <c r="AG98" s="1" t="str">
        <f>IFERROR(__xludf.DUMMYFUNCTION("""COMPUTED_VALUE"""),"Land of Spira")</f>
        <v>Land of Spira</v>
      </c>
      <c r="AH98" s="1" t="b">
        <f>IFERROR(__xludf.DUMMYFUNCTION("""COMPUTED_VALUE"""),FALSE)</f>
        <v>0</v>
      </c>
    </row>
    <row r="99">
      <c r="A99" s="1" t="str">
        <f>IFERROR(__xludf.DUMMYFUNCTION("""COMPUTED_VALUE"""),"Enchanted Dagger")</f>
        <v>Enchanted Dagger</v>
      </c>
      <c r="B99" s="1" t="str">
        <f>IFERROR(__xludf.DUMMYFUNCTION("""COMPUTED_VALUE"""),"Hand")</f>
        <v>Hand</v>
      </c>
      <c r="C99" s="1"/>
      <c r="D99" s="1" t="str">
        <f>IFERROR(__xludf.DUMMYFUNCTION("""COMPUTED_VALUE"""),"Knife")</f>
        <v>Knife</v>
      </c>
      <c r="E99" s="1">
        <f>IFERROR(__xludf.DUMMYFUNCTION("""COMPUTED_VALUE"""),1.0)</f>
        <v>1</v>
      </c>
      <c r="F99" s="2">
        <f>IFERROR(__xludf.DUMMYFUNCTION("""COMPUTED_VALUE"""),0.0)</f>
        <v>0</v>
      </c>
      <c r="G99" s="1"/>
      <c r="H99" s="1">
        <f>IFERROR(__xludf.DUMMYFUNCTION("""COMPUTED_VALUE"""),1.0)</f>
        <v>1</v>
      </c>
      <c r="I99" s="1"/>
      <c r="J99" s="1"/>
      <c r="K99" s="1"/>
      <c r="L99" s="1"/>
      <c r="M99" s="1"/>
      <c r="N99" s="1"/>
      <c r="O99" s="1"/>
      <c r="P99" s="1"/>
      <c r="Q99" s="1"/>
      <c r="R99" s="1"/>
      <c r="S99" s="1"/>
      <c r="T99" s="1"/>
      <c r="U99" s="1"/>
      <c r="V99" s="1"/>
      <c r="W99" s="1"/>
      <c r="X99" s="1"/>
      <c r="Y99" s="1"/>
      <c r="Z99" s="1"/>
      <c r="AA99" s="1"/>
      <c r="AB99" s="1"/>
      <c r="AC99" s="1"/>
      <c r="AD99" s="1"/>
      <c r="AE99" s="1"/>
      <c r="AF99" s="1" t="str">
        <f>IFERROR(__xludf.DUMMYFUNCTION("""COMPUTED_VALUE"""),"++100% of instantly killing the target.")</f>
        <v>++100% of instantly killing the target.</v>
      </c>
      <c r="AG99" s="1" t="str">
        <f>IFERROR(__xludf.DUMMYFUNCTION("""COMPUTED_VALUE"""),"Land of Spira")</f>
        <v>Land of Spira</v>
      </c>
      <c r="AH99" s="1" t="b">
        <f>IFERROR(__xludf.DUMMYFUNCTION("""COMPUTED_VALUE"""),FALSE)</f>
        <v>0</v>
      </c>
    </row>
    <row r="100">
      <c r="A100" s="1" t="str">
        <f>IFERROR(__xludf.DUMMYFUNCTION("""COMPUTED_VALUE"""),"Enchanted Falcon Blade")</f>
        <v>Enchanted Falcon Blade</v>
      </c>
      <c r="B100" s="1" t="str">
        <f>IFERROR(__xludf.DUMMYFUNCTION("""COMPUTED_VALUE"""),"Hand")</f>
        <v>Hand</v>
      </c>
      <c r="C100" s="1"/>
      <c r="D100" s="1" t="str">
        <f>IFERROR(__xludf.DUMMYFUNCTION("""COMPUTED_VALUE"""),"Sword")</f>
        <v>Sword</v>
      </c>
      <c r="E100" s="1">
        <f>IFERROR(__xludf.DUMMYFUNCTION("""COMPUTED_VALUE"""),60.0)</f>
        <v>60</v>
      </c>
      <c r="F100" s="2">
        <f>IFERROR(__xludf.DUMMYFUNCTION("""COMPUTED_VALUE"""),100000.0)</f>
        <v>100000</v>
      </c>
      <c r="G100" s="1" t="str">
        <f>IFERROR(__xludf.DUMMYFUNCTION("""COMPUTED_VALUE"""),"DMG")</f>
        <v>DMG</v>
      </c>
      <c r="H100" s="3">
        <f>IFERROR(__xludf.DUMMYFUNCTION("""COMPUTED_VALUE"""),2000.0)</f>
        <v>2000</v>
      </c>
      <c r="I100" s="1"/>
      <c r="J100" s="1"/>
      <c r="K100" s="1"/>
      <c r="L100" s="1"/>
      <c r="M100" s="1"/>
      <c r="N100" s="1"/>
      <c r="O100" s="1"/>
      <c r="P100" s="1"/>
      <c r="Q100" s="1">
        <f>IFERROR(__xludf.DUMMYFUNCTION("""COMPUTED_VALUE"""),600.0)</f>
        <v>600</v>
      </c>
      <c r="R100" s="1"/>
      <c r="S100" s="1"/>
      <c r="T100" s="1"/>
      <c r="U100" s="1"/>
      <c r="V100" s="1"/>
      <c r="W100" s="1"/>
      <c r="X100" s="1"/>
      <c r="Y100" s="1"/>
      <c r="Z100" s="1"/>
      <c r="AA100" s="1"/>
      <c r="AB100" s="1"/>
      <c r="AC100" s="1"/>
      <c r="AD100" s="1"/>
      <c r="AE100" s="1"/>
      <c r="AF100" s="1" t="str">
        <f>IFERROR(__xludf.DUMMYFUNCTION("""COMPUTED_VALUE"""),"++Falcon’s Power - All attacks dealt by your weapons will deal double in damage for 3 of your turns when equipped.")</f>
        <v>++Falcon’s Power - All attacks dealt by your weapons will deal double in damage for 3 of your turns when equipped.</v>
      </c>
      <c r="AG100" s="1" t="str">
        <f>IFERROR(__xludf.DUMMYFUNCTION("""COMPUTED_VALUE"""),"Land of Spira")</f>
        <v>Land of Spira</v>
      </c>
      <c r="AH100" s="1" t="b">
        <f>IFERROR(__xludf.DUMMYFUNCTION("""COMPUTED_VALUE"""),FALSE)</f>
        <v>0</v>
      </c>
    </row>
    <row r="101">
      <c r="A101" s="1" t="str">
        <f>IFERROR(__xludf.DUMMYFUNCTION("""COMPUTED_VALUE"""),"Energy Prong")</f>
        <v>Energy Prong</v>
      </c>
      <c r="B101" s="1" t="str">
        <f>IFERROR(__xludf.DUMMYFUNCTION("""COMPUTED_VALUE"""),"Hand")</f>
        <v>Hand</v>
      </c>
      <c r="C101" s="1"/>
      <c r="D101" s="1" t="str">
        <f>IFERROR(__xludf.DUMMYFUNCTION("""COMPUTED_VALUE"""),"Spear")</f>
        <v>Spear</v>
      </c>
      <c r="E101" s="1">
        <f>IFERROR(__xludf.DUMMYFUNCTION("""COMPUTED_VALUE"""),10.0)</f>
        <v>10</v>
      </c>
      <c r="F101" s="2">
        <f>IFERROR(__xludf.DUMMYFUNCTION("""COMPUTED_VALUE"""),1000.0)</f>
        <v>1000</v>
      </c>
      <c r="G101" s="1" t="str">
        <f>IFERROR(__xludf.DUMMYFUNCTION("""COMPUTED_VALUE"""),"DMG")</f>
        <v>DMG</v>
      </c>
      <c r="H101" s="1">
        <f>IFERROR(__xludf.DUMMYFUNCTION("""COMPUTED_VALUE"""),500.0)</f>
        <v>500</v>
      </c>
      <c r="I101" s="1"/>
      <c r="J101" s="1"/>
      <c r="K101" s="1"/>
      <c r="L101" s="1"/>
      <c r="M101" s="1"/>
      <c r="N101" s="1"/>
      <c r="O101" s="1"/>
      <c r="P101" s="1"/>
      <c r="Q101" s="1"/>
      <c r="R101" s="1"/>
      <c r="S101" s="1"/>
      <c r="T101" s="1"/>
      <c r="U101" s="1"/>
      <c r="V101" s="1"/>
      <c r="W101" s="1"/>
      <c r="X101" s="1"/>
      <c r="Y101" s="1"/>
      <c r="Z101" s="1"/>
      <c r="AA101" s="1"/>
      <c r="AB101" s="1"/>
      <c r="AC101" s="1"/>
      <c r="AD101" s="1"/>
      <c r="AE101" s="1"/>
      <c r="AF101" s="1" t="str">
        <f>IFERROR(__xludf.DUMMYFUNCTION("""COMPUTED_VALUE"""),"++50% chance of stun 3.")</f>
        <v>++50% chance of stun 3.</v>
      </c>
      <c r="AG101" s="1" t="str">
        <f>IFERROR(__xludf.DUMMYFUNCTION("""COMPUTED_VALUE"""),"Land of Spira")</f>
        <v>Land of Spira</v>
      </c>
      <c r="AH101" s="1" t="b">
        <f>IFERROR(__xludf.DUMMYFUNCTION("""COMPUTED_VALUE"""),FALSE)</f>
        <v>0</v>
      </c>
    </row>
    <row r="102">
      <c r="A102" s="1" t="str">
        <f>IFERROR(__xludf.DUMMYFUNCTION("""COMPUTED_VALUE"""),"Faery Kings Sword")</f>
        <v>Faery Kings Sword</v>
      </c>
      <c r="B102" s="1" t="str">
        <f>IFERROR(__xludf.DUMMYFUNCTION("""COMPUTED_VALUE"""),"Hand")</f>
        <v>Hand</v>
      </c>
      <c r="C102" s="1"/>
      <c r="D102" s="1" t="str">
        <f>IFERROR(__xludf.DUMMYFUNCTION("""COMPUTED_VALUE"""),"Sword")</f>
        <v>Sword</v>
      </c>
      <c r="E102" s="1">
        <f>IFERROR(__xludf.DUMMYFUNCTION("""COMPUTED_VALUE"""),200.0)</f>
        <v>200</v>
      </c>
      <c r="F102" s="2">
        <f>IFERROR(__xludf.DUMMYFUNCTION("""COMPUTED_VALUE"""),6.0445E9)</f>
        <v>6044500000</v>
      </c>
      <c r="G102" s="1" t="str">
        <f>IFERROR(__xludf.DUMMYFUNCTION("""COMPUTED_VALUE"""),"DMG")</f>
        <v>DMG</v>
      </c>
      <c r="H102" s="1">
        <f>IFERROR(__xludf.DUMMYFUNCTION("""COMPUTED_VALUE"""),500000.0)</f>
        <v>500000</v>
      </c>
      <c r="I102" s="1"/>
      <c r="J102" s="1"/>
      <c r="K102" s="1"/>
      <c r="L102" s="1"/>
      <c r="M102" s="1"/>
      <c r="N102" s="1"/>
      <c r="O102" s="1"/>
      <c r="P102" s="1"/>
      <c r="Q102" s="1"/>
      <c r="R102" s="1"/>
      <c r="S102" s="1">
        <f>IFERROR(__xludf.DUMMYFUNCTION("""COMPUTED_VALUE"""),25000.0)</f>
        <v>25000</v>
      </c>
      <c r="T102" s="1"/>
      <c r="U102" s="1"/>
      <c r="V102" s="1"/>
      <c r="W102" s="1"/>
      <c r="X102" s="1"/>
      <c r="Y102" s="1"/>
      <c r="Z102" s="1"/>
      <c r="AA102" s="1"/>
      <c r="AB102" s="1"/>
      <c r="AC102" s="1">
        <f>IFERROR(__xludf.DUMMYFUNCTION("""COMPUTED_VALUE"""),25000.0)</f>
        <v>25000</v>
      </c>
      <c r="AD102" s="1"/>
      <c r="AE102" s="1"/>
      <c r="AF102" s="1"/>
      <c r="AG102" s="1" t="str">
        <f>IFERROR(__xludf.DUMMYFUNCTION("""COMPUTED_VALUE"""),"Land of Spira")</f>
        <v>Land of Spira</v>
      </c>
      <c r="AH102" s="1" t="b">
        <f>IFERROR(__xludf.DUMMYFUNCTION("""COMPUTED_VALUE"""),TRUE)</f>
        <v>1</v>
      </c>
    </row>
    <row r="103">
      <c r="A103" s="1" t="str">
        <f>IFERROR(__xludf.DUMMYFUNCTION("""COMPUTED_VALUE"""),"False Helmet")</f>
        <v>False Helmet</v>
      </c>
      <c r="B103" s="1" t="str">
        <f>IFERROR(__xludf.DUMMYFUNCTION("""COMPUTED_VALUE"""),"Head")</f>
        <v>Head</v>
      </c>
      <c r="C103" s="1"/>
      <c r="D103" s="1"/>
      <c r="E103" s="1">
        <f>IFERROR(__xludf.DUMMYFUNCTION("""COMPUTED_VALUE"""),1.0)</f>
        <v>1</v>
      </c>
      <c r="F103" s="2">
        <f>IFERROR(__xludf.DUMMYFUNCTION("""COMPUTED_VALUE"""),0.0)</f>
        <v>0</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t="str">
        <f>IFERROR(__xludf.DUMMYFUNCTION("""COMPUTED_VALUE"""),"++ ++5 Intimidation, ++ - 2 Charisma. +-Cannot be forged +-Cannot be duplicated.")</f>
        <v>++ ++5 Intimidation, ++ - 2 Charisma. +-Cannot be forged +-Cannot be duplicated.</v>
      </c>
      <c r="AG103" s="1" t="str">
        <f>IFERROR(__xludf.DUMMYFUNCTION("""COMPUTED_VALUE"""),"Land of Spira")</f>
        <v>Land of Spira</v>
      </c>
      <c r="AH103" s="1" t="b">
        <f>IFERROR(__xludf.DUMMYFUNCTION("""COMPUTED_VALUE"""),FALSE)</f>
        <v>0</v>
      </c>
    </row>
    <row r="104">
      <c r="A104" s="1" t="str">
        <f>IFERROR(__xludf.DUMMYFUNCTION("""COMPUTED_VALUE"""),"Felt Cap")</f>
        <v>Felt Cap</v>
      </c>
      <c r="B104" s="1" t="str">
        <f>IFERROR(__xludf.DUMMYFUNCTION("""COMPUTED_VALUE"""),"Head")</f>
        <v>Head</v>
      </c>
      <c r="C104" s="1"/>
      <c r="D104" s="1"/>
      <c r="E104" s="1">
        <f>IFERROR(__xludf.DUMMYFUNCTION("""COMPUTED_VALUE"""),1.0)</f>
        <v>1</v>
      </c>
      <c r="F104" s="2">
        <f>IFERROR(__xludf.DUMMYFUNCTION("""COMPUTED_VALUE"""),0.0)</f>
        <v>0</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t="str">
        <f>IFERROR(__xludf.DUMMYFUNCTION("""COMPUTED_VALUE"""),"++ -1 Evasion ++ +2 Intimidation, +-Can only wear one, +-Cannot be duplicated.")</f>
        <v>++ -1 Evasion ++ +2 Intimidation, +-Can only wear one, +-Cannot be duplicated.</v>
      </c>
      <c r="AG104" s="1" t="str">
        <f>IFERROR(__xludf.DUMMYFUNCTION("""COMPUTED_VALUE"""),"Land of Spira")</f>
        <v>Land of Spira</v>
      </c>
      <c r="AH104" s="1" t="b">
        <f>IFERROR(__xludf.DUMMYFUNCTION("""COMPUTED_VALUE"""),FALSE)</f>
        <v>0</v>
      </c>
    </row>
    <row r="105">
      <c r="A105" s="1" t="str">
        <f>IFERROR(__xludf.DUMMYFUNCTION("""COMPUTED_VALUE"""),"Fire Resistant Boots")</f>
        <v>Fire Resistant Boots</v>
      </c>
      <c r="B105" s="1" t="str">
        <f>IFERROR(__xludf.DUMMYFUNCTION("""COMPUTED_VALUE"""),"Feet")</f>
        <v>Feet</v>
      </c>
      <c r="C105" s="1"/>
      <c r="D105" s="1"/>
      <c r="E105" s="1">
        <f>IFERROR(__xludf.DUMMYFUNCTION("""COMPUTED_VALUE"""),200.0)</f>
        <v>200</v>
      </c>
      <c r="F105" s="2">
        <f>IFERROR(__xludf.DUMMYFUNCTION("""COMPUTED_VALUE"""),1900000.0)</f>
        <v>1900000</v>
      </c>
      <c r="G105" s="1" t="str">
        <f>IFERROR(__xludf.DUMMYFUNCTION("""COMPUTED_VALUE"""),"DEF")</f>
        <v>DEF</v>
      </c>
      <c r="H105" s="1"/>
      <c r="I105" s="3">
        <f>IFERROR(__xludf.DUMMYFUNCTION("""COMPUTED_VALUE"""),10000.0)</f>
        <v>10000</v>
      </c>
      <c r="J105" s="1"/>
      <c r="K105" s="1"/>
      <c r="L105" s="1"/>
      <c r="M105" s="1"/>
      <c r="N105" s="1"/>
      <c r="O105" s="1"/>
      <c r="P105" s="1"/>
      <c r="Q105" s="1"/>
      <c r="R105" s="1"/>
      <c r="S105" s="1"/>
      <c r="T105" s="1"/>
      <c r="U105" s="1"/>
      <c r="V105" s="1"/>
      <c r="W105" s="1"/>
      <c r="X105" s="1"/>
      <c r="Y105" s="1"/>
      <c r="Z105" s="1"/>
      <c r="AA105" s="1"/>
      <c r="AB105" s="1"/>
      <c r="AC105" s="1"/>
      <c r="AD105" s="1"/>
      <c r="AE105" s="1"/>
      <c r="AF105" s="1" t="str">
        <f>IFERROR(__xludf.DUMMYFUNCTION("""COMPUTED_VALUE"""),"++Fire Immune, ++X2 Additional fire damage. +-Cannot be duplicated.")</f>
        <v>++Fire Immune, ++X2 Additional fire damage. +-Cannot be duplicated.</v>
      </c>
      <c r="AG105" s="1" t="str">
        <f>IFERROR(__xludf.DUMMYFUNCTION("""COMPUTED_VALUE"""),"Land of Spira")</f>
        <v>Land of Spira</v>
      </c>
      <c r="AH105" s="1" t="b">
        <f>IFERROR(__xludf.DUMMYFUNCTION("""COMPUTED_VALUE"""),FALSE)</f>
        <v>0</v>
      </c>
    </row>
    <row r="106">
      <c r="A106" s="1" t="str">
        <f>IFERROR(__xludf.DUMMYFUNCTION("""COMPUTED_VALUE"""),"Fire Ring")</f>
        <v>Fire Ring</v>
      </c>
      <c r="B106" s="1" t="str">
        <f>IFERROR(__xludf.DUMMYFUNCTION("""COMPUTED_VALUE"""),"Ring")</f>
        <v>Ring</v>
      </c>
      <c r="C106" s="1"/>
      <c r="D106" s="1"/>
      <c r="E106" s="1">
        <f>IFERROR(__xludf.DUMMYFUNCTION("""COMPUTED_VALUE"""),1.0)</f>
        <v>1</v>
      </c>
      <c r="F106" s="2">
        <f>IFERROR(__xludf.DUMMYFUNCTION("""COMPUTED_VALUE"""),0.0)</f>
        <v>0</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t="str">
        <f>IFERROR(__xludf.DUMMYFUNCTION("""COMPUTED_VALUE"""),"++Fire Immune, ++X2 Additional fire damage. +-Cannot be duplicated.")</f>
        <v>++Fire Immune, ++X2 Additional fire damage. +-Cannot be duplicated.</v>
      </c>
      <c r="AG106" s="1" t="str">
        <f>IFERROR(__xludf.DUMMYFUNCTION("""COMPUTED_VALUE"""),"Land of Spira")</f>
        <v>Land of Spira</v>
      </c>
      <c r="AH106" s="1" t="b">
        <f>IFERROR(__xludf.DUMMYFUNCTION("""COMPUTED_VALUE"""),FALSE)</f>
        <v>0</v>
      </c>
    </row>
    <row r="107">
      <c r="A107" s="1" t="str">
        <f>IFERROR(__xludf.DUMMYFUNCTION("""COMPUTED_VALUE"""),"Fire Shield")</f>
        <v>Fire Shield</v>
      </c>
      <c r="B107" s="1" t="str">
        <f>IFERROR(__xludf.DUMMYFUNCTION("""COMPUTED_VALUE"""),"Hand")</f>
        <v>Hand</v>
      </c>
      <c r="C107" s="1"/>
      <c r="D107" s="1" t="str">
        <f>IFERROR(__xludf.DUMMYFUNCTION("""COMPUTED_VALUE"""),"Towershield")</f>
        <v>Towershield</v>
      </c>
      <c r="E107" s="1">
        <f>IFERROR(__xludf.DUMMYFUNCTION("""COMPUTED_VALUE"""),200.0)</f>
        <v>200</v>
      </c>
      <c r="F107" s="2">
        <f>IFERROR(__xludf.DUMMYFUNCTION("""COMPUTED_VALUE"""),1900000.0)</f>
        <v>1900000</v>
      </c>
      <c r="G107" s="1" t="str">
        <f>IFERROR(__xludf.DUMMYFUNCTION("""COMPUTED_VALUE"""),"DEF")</f>
        <v>DEF</v>
      </c>
      <c r="H107" s="1">
        <f>IFERROR(__xludf.DUMMYFUNCTION("""COMPUTED_VALUE"""),5000.0)</f>
        <v>5000</v>
      </c>
      <c r="I107" s="1">
        <f>IFERROR(__xludf.DUMMYFUNCTION("""COMPUTED_VALUE"""),5000.0)</f>
        <v>5000</v>
      </c>
      <c r="J107" s="1"/>
      <c r="K107" s="1"/>
      <c r="L107" s="1"/>
      <c r="M107" s="1"/>
      <c r="N107" s="1"/>
      <c r="O107" s="1"/>
      <c r="P107" s="1"/>
      <c r="Q107" s="1"/>
      <c r="R107" s="1"/>
      <c r="S107" s="1"/>
      <c r="T107" s="1"/>
      <c r="U107" s="1"/>
      <c r="V107" s="1"/>
      <c r="W107" s="1"/>
      <c r="X107" s="1"/>
      <c r="Y107" s="1"/>
      <c r="Z107" s="1"/>
      <c r="AA107" s="1"/>
      <c r="AB107" s="1"/>
      <c r="AC107" s="1"/>
      <c r="AD107" s="1"/>
      <c r="AE107" s="1"/>
      <c r="AF107" s="1" t="str">
        <f>IFERROR(__xludf.DUMMYFUNCTION("""COMPUTED_VALUE"""),"++ Immunity to Fire, ++X2 Additional fire resistance. +-Cannot be duplicated.")</f>
        <v>++ Immunity to Fire, ++X2 Additional fire resistance. +-Cannot be duplicated.</v>
      </c>
      <c r="AG107" s="1" t="str">
        <f>IFERROR(__xludf.DUMMYFUNCTION("""COMPUTED_VALUE"""),"Land of Spira")</f>
        <v>Land of Spira</v>
      </c>
      <c r="AH107" s="1" t="b">
        <f>IFERROR(__xludf.DUMMYFUNCTION("""COMPUTED_VALUE"""),FALSE)</f>
        <v>0</v>
      </c>
    </row>
    <row r="108">
      <c r="A108" s="1" t="str">
        <f>IFERROR(__xludf.DUMMYFUNCTION("""COMPUTED_VALUE"""),"Fire Sword")</f>
        <v>Fire Sword</v>
      </c>
      <c r="B108" s="1" t="str">
        <f>IFERROR(__xludf.DUMMYFUNCTION("""COMPUTED_VALUE"""),"Hand")</f>
        <v>Hand</v>
      </c>
      <c r="C108" s="1"/>
      <c r="D108" s="1" t="str">
        <f>IFERROR(__xludf.DUMMYFUNCTION("""COMPUTED_VALUE"""),"Sword")</f>
        <v>Sword</v>
      </c>
      <c r="E108" s="1">
        <f>IFERROR(__xludf.DUMMYFUNCTION("""COMPUTED_VALUE"""),200.0)</f>
        <v>200</v>
      </c>
      <c r="F108" s="2">
        <f>IFERROR(__xludf.DUMMYFUNCTION("""COMPUTED_VALUE"""),1900000.0)</f>
        <v>1900000</v>
      </c>
      <c r="G108" s="1" t="str">
        <f>IFERROR(__xludf.DUMMYFUNCTION("""COMPUTED_VALUE"""),"DMG")</f>
        <v>DMG</v>
      </c>
      <c r="H108" s="1">
        <f>IFERROR(__xludf.DUMMYFUNCTION("""COMPUTED_VALUE"""),5000.0)</f>
        <v>5000</v>
      </c>
      <c r="I108" s="1">
        <f>IFERROR(__xludf.DUMMYFUNCTION("""COMPUTED_VALUE"""),5000.0)</f>
        <v>5000</v>
      </c>
      <c r="J108" s="1"/>
      <c r="K108" s="1"/>
      <c r="L108" s="1"/>
      <c r="M108" s="1"/>
      <c r="N108" s="1"/>
      <c r="O108" s="1"/>
      <c r="P108" s="1"/>
      <c r="Q108" s="1"/>
      <c r="R108" s="1"/>
      <c r="S108" s="1"/>
      <c r="T108" s="1"/>
      <c r="U108" s="1"/>
      <c r="V108" s="1"/>
      <c r="W108" s="1"/>
      <c r="X108" s="1"/>
      <c r="Y108" s="1"/>
      <c r="Z108" s="1"/>
      <c r="AA108" s="1"/>
      <c r="AB108" s="1"/>
      <c r="AC108" s="1"/>
      <c r="AD108" s="1"/>
      <c r="AE108" s="1"/>
      <c r="AF108" s="1" t="str">
        <f>IFERROR(__xludf.DUMMYFUNCTION("""COMPUTED_VALUE"""),"++X2 Additional Fire damage. Burn 2500. Cannot be duplicated.")</f>
        <v>++X2 Additional Fire damage. Burn 2500. Cannot be duplicated.</v>
      </c>
      <c r="AG108" s="1" t="str">
        <f>IFERROR(__xludf.DUMMYFUNCTION("""COMPUTED_VALUE"""),"Land of Spira")</f>
        <v>Land of Spira</v>
      </c>
      <c r="AH108" s="1" t="b">
        <f>IFERROR(__xludf.DUMMYFUNCTION("""COMPUTED_VALUE"""),FALSE)</f>
        <v>0</v>
      </c>
    </row>
    <row r="109">
      <c r="A109" s="1" t="str">
        <f>IFERROR(__xludf.DUMMYFUNCTION("""COMPUTED_VALUE"""),"Fireproof Suit")</f>
        <v>Fireproof Suit</v>
      </c>
      <c r="B109" s="1" t="str">
        <f>IFERROR(__xludf.DUMMYFUNCTION("""COMPUTED_VALUE"""),"Torso")</f>
        <v>Torso</v>
      </c>
      <c r="C109" s="1"/>
      <c r="D109" s="1"/>
      <c r="E109" s="1">
        <f>IFERROR(__xludf.DUMMYFUNCTION("""COMPUTED_VALUE"""),400.0)</f>
        <v>400</v>
      </c>
      <c r="F109" s="2">
        <f>IFERROR(__xludf.DUMMYFUNCTION("""COMPUTED_VALUE"""),7800000.0)</f>
        <v>7800000</v>
      </c>
      <c r="G109" s="1" t="str">
        <f>IFERROR(__xludf.DUMMYFUNCTION("""COMPUTED_VALUE"""),"DEF")</f>
        <v>DEF</v>
      </c>
      <c r="H109" s="1">
        <f>IFERROR(__xludf.DUMMYFUNCTION("""COMPUTED_VALUE"""),5000.0)</f>
        <v>5000</v>
      </c>
      <c r="I109" s="3">
        <f>IFERROR(__xludf.DUMMYFUNCTION("""COMPUTED_VALUE"""),15000.0)</f>
        <v>15000</v>
      </c>
      <c r="J109" s="1"/>
      <c r="K109" s="1"/>
      <c r="L109" s="1"/>
      <c r="M109" s="1"/>
      <c r="N109" s="1"/>
      <c r="O109" s="1"/>
      <c r="P109" s="1"/>
      <c r="Q109" s="1"/>
      <c r="R109" s="1"/>
      <c r="S109" s="1"/>
      <c r="T109" s="1"/>
      <c r="U109" s="1"/>
      <c r="V109" s="1"/>
      <c r="W109" s="1"/>
      <c r="X109" s="1"/>
      <c r="Y109" s="1"/>
      <c r="Z109" s="1"/>
      <c r="AA109" s="1"/>
      <c r="AB109" s="1"/>
      <c r="AC109" s="1"/>
      <c r="AD109" s="1"/>
      <c r="AE109" s="1"/>
      <c r="AF109" s="1" t="str">
        <f>IFERROR(__xludf.DUMMYFUNCTION("""COMPUTED_VALUE"""),"Fire Immune, X2 Additional fire resistance. Cannot be duplicated.")</f>
        <v>Fire Immune, X2 Additional fire resistance. Cannot be duplicated.</v>
      </c>
      <c r="AG109" s="1" t="str">
        <f>IFERROR(__xludf.DUMMYFUNCTION("""COMPUTED_VALUE"""),"Land of Spira")</f>
        <v>Land of Spira</v>
      </c>
      <c r="AH109" s="1" t="b">
        <f>IFERROR(__xludf.DUMMYFUNCTION("""COMPUTED_VALUE"""),FALSE)</f>
        <v>0</v>
      </c>
    </row>
    <row r="110">
      <c r="A110" s="1" t="str">
        <f>IFERROR(__xludf.DUMMYFUNCTION("""COMPUTED_VALUE"""),"Fish Pendant")</f>
        <v>Fish Pendant</v>
      </c>
      <c r="B110" s="1" t="str">
        <f>IFERROR(__xludf.DUMMYFUNCTION("""COMPUTED_VALUE"""),"Neck")</f>
        <v>Neck</v>
      </c>
      <c r="C110" s="1"/>
      <c r="D110" s="1"/>
      <c r="E110" s="1">
        <f>IFERROR(__xludf.DUMMYFUNCTION("""COMPUTED_VALUE"""),1.0)</f>
        <v>1</v>
      </c>
      <c r="F110" s="2">
        <f>IFERROR(__xludf.DUMMYFUNCTION("""COMPUTED_VALUE"""),0.0)</f>
        <v>0</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t="str">
        <f>IFERROR(__xludf.DUMMYFUNCTION("""COMPUTED_VALUE"""),"++Choose the rarity of the fish when fishing +-Cannot be forged +-Cannot be duplicated +-Can only equip one")</f>
        <v>++Choose the rarity of the fish when fishing +-Cannot be forged +-Cannot be duplicated +-Can only equip one</v>
      </c>
      <c r="AG110" s="1" t="str">
        <f>IFERROR(__xludf.DUMMYFUNCTION("""COMPUTED_VALUE"""),"Land of Spira")</f>
        <v>Land of Spira</v>
      </c>
      <c r="AH110" s="1" t="b">
        <f>IFERROR(__xludf.DUMMYFUNCTION("""COMPUTED_VALUE"""),FALSE)</f>
        <v>0</v>
      </c>
    </row>
    <row r="111">
      <c r="A111" s="1" t="str">
        <f>IFERROR(__xludf.DUMMYFUNCTION("""COMPUTED_VALUE"""),"Flame Band")</f>
        <v>Flame Band</v>
      </c>
      <c r="B111" s="1" t="str">
        <f>IFERROR(__xludf.DUMMYFUNCTION("""COMPUTED_VALUE"""),"Arms")</f>
        <v>Arms</v>
      </c>
      <c r="C111" s="1"/>
      <c r="D111" s="1"/>
      <c r="E111" s="1">
        <f>IFERROR(__xludf.DUMMYFUNCTION("""COMPUTED_VALUE"""),1.0)</f>
        <v>1</v>
      </c>
      <c r="F111" s="2">
        <f>IFERROR(__xludf.DUMMYFUNCTION("""COMPUTED_VALUE"""),0.0)</f>
        <v>0</v>
      </c>
      <c r="G111" s="1" t="str">
        <f>IFERROR(__xludf.DUMMYFUNCTION("""COMPUTED_VALUE"""),"DMG")</f>
        <v>DMG</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t="str">
        <f>IFERROR(__xludf.DUMMYFUNCTION("""COMPUTED_VALUE"""),"Fire Immune, X2 Additional fire damage. +-Cannot be duplicated")</f>
        <v>Fire Immune, X2 Additional fire damage. +-Cannot be duplicated</v>
      </c>
      <c r="AG111" s="1" t="str">
        <f>IFERROR(__xludf.DUMMYFUNCTION("""COMPUTED_VALUE"""),"Land of Spira")</f>
        <v>Land of Spira</v>
      </c>
      <c r="AH111" s="1" t="b">
        <f>IFERROR(__xludf.DUMMYFUNCTION("""COMPUTED_VALUE"""),FALSE)</f>
        <v>0</v>
      </c>
    </row>
    <row r="112">
      <c r="A112" s="1" t="str">
        <f>IFERROR(__xludf.DUMMYFUNCTION("""COMPUTED_VALUE"""),"Flame Mask")</f>
        <v>Flame Mask</v>
      </c>
      <c r="B112" s="1" t="str">
        <f>IFERROR(__xludf.DUMMYFUNCTION("""COMPUTED_VALUE"""),"Head")</f>
        <v>Head</v>
      </c>
      <c r="C112" s="1"/>
      <c r="D112" s="1"/>
      <c r="E112" s="1">
        <f>IFERROR(__xludf.DUMMYFUNCTION("""COMPUTED_VALUE"""),130.0)</f>
        <v>130</v>
      </c>
      <c r="F112" s="2">
        <f>IFERROR(__xludf.DUMMYFUNCTION("""COMPUTED_VALUE"""),780000.0)</f>
        <v>780000</v>
      </c>
      <c r="G112" s="1" t="str">
        <f>IFERROR(__xludf.DUMMYFUNCTION("""COMPUTED_VALUE"""),"DEF")</f>
        <v>DEF</v>
      </c>
      <c r="H112" s="1">
        <f>IFERROR(__xludf.DUMMYFUNCTION("""COMPUTED_VALUE"""),5000.0)</f>
        <v>5000</v>
      </c>
      <c r="I112" s="3">
        <f>IFERROR(__xludf.DUMMYFUNCTION("""COMPUTED_VALUE"""),1500.0)</f>
        <v>1500</v>
      </c>
      <c r="J112" s="1"/>
      <c r="K112" s="1"/>
      <c r="L112" s="1"/>
      <c r="M112" s="1"/>
      <c r="N112" s="1"/>
      <c r="O112" s="1"/>
      <c r="P112" s="1"/>
      <c r="Q112" s="1"/>
      <c r="R112" s="1"/>
      <c r="S112" s="1"/>
      <c r="T112" s="1"/>
      <c r="U112" s="1"/>
      <c r="V112" s="1"/>
      <c r="W112" s="1"/>
      <c r="X112" s="1"/>
      <c r="Y112" s="1"/>
      <c r="Z112" s="1"/>
      <c r="AA112" s="1"/>
      <c r="AB112" s="1"/>
      <c r="AC112" s="1"/>
      <c r="AD112" s="1"/>
      <c r="AE112" s="1"/>
      <c r="AF112" s="1" t="str">
        <f>IFERROR(__xludf.DUMMYFUNCTION("""COMPUTED_VALUE"""),"++Fire Immunity, ++X2 Additional fire resistance. +-Cannot be duplicated.")</f>
        <v>++Fire Immunity, ++X2 Additional fire resistance. +-Cannot be duplicated.</v>
      </c>
      <c r="AG112" s="1" t="str">
        <f>IFERROR(__xludf.DUMMYFUNCTION("""COMPUTED_VALUE"""),"Land of Spira")</f>
        <v>Land of Spira</v>
      </c>
      <c r="AH112" s="1" t="b">
        <f>IFERROR(__xludf.DUMMYFUNCTION("""COMPUTED_VALUE"""),FALSE)</f>
        <v>0</v>
      </c>
    </row>
    <row r="113">
      <c r="A113" s="1" t="str">
        <f>IFERROR(__xludf.DUMMYFUNCTION("""COMPUTED_VALUE"""),"Flamethrower")</f>
        <v>Flamethrower</v>
      </c>
      <c r="B113" s="1" t="str">
        <f>IFERROR(__xludf.DUMMYFUNCTION("""COMPUTED_VALUE"""),"Hand")</f>
        <v>Hand</v>
      </c>
      <c r="C113" s="1"/>
      <c r="D113" s="1" t="str">
        <f>IFERROR(__xludf.DUMMYFUNCTION("""COMPUTED_VALUE"""),"Firearm")</f>
        <v>Firearm</v>
      </c>
      <c r="E113" s="1">
        <f>IFERROR(__xludf.DUMMYFUNCTION("""COMPUTED_VALUE"""),700.0)</f>
        <v>700</v>
      </c>
      <c r="F113" s="2">
        <f>IFERROR(__xludf.DUMMYFUNCTION("""COMPUTED_VALUE"""),2.415E7)</f>
        <v>24150000</v>
      </c>
      <c r="G113" s="1" t="str">
        <f>IFERROR(__xludf.DUMMYFUNCTION("""COMPUTED_VALUE"""),"DMG")</f>
        <v>DMG</v>
      </c>
      <c r="H113" s="1"/>
      <c r="I113" s="3">
        <f>IFERROR(__xludf.DUMMYFUNCTION("""COMPUTED_VALUE"""),35000.0)</f>
        <v>35000</v>
      </c>
      <c r="J113" s="1"/>
      <c r="K113" s="1"/>
      <c r="L113" s="1"/>
      <c r="M113" s="1"/>
      <c r="N113" s="1"/>
      <c r="O113" s="1"/>
      <c r="P113" s="1"/>
      <c r="Q113" s="1"/>
      <c r="R113" s="1"/>
      <c r="S113" s="1"/>
      <c r="T113" s="1"/>
      <c r="U113" s="1"/>
      <c r="V113" s="1"/>
      <c r="W113" s="1"/>
      <c r="X113" s="1"/>
      <c r="Y113" s="1"/>
      <c r="Z113" s="1"/>
      <c r="AA113" s="1"/>
      <c r="AB113" s="1"/>
      <c r="AC113" s="1"/>
      <c r="AD113" s="1"/>
      <c r="AE113" s="1"/>
      <c r="AF113" s="1" t="str">
        <f>IFERROR(__xludf.DUMMYFUNCTION("""COMPUTED_VALUE"""),"++20% chance of hitting all enemies")</f>
        <v>++20% chance of hitting all enemies</v>
      </c>
      <c r="AG113" s="1" t="str">
        <f>IFERROR(__xludf.DUMMYFUNCTION("""COMPUTED_VALUE"""),"Land of Spira")</f>
        <v>Land of Spira</v>
      </c>
      <c r="AH113" s="1" t="b">
        <f>IFERROR(__xludf.DUMMYFUNCTION("""COMPUTED_VALUE"""),FALSE)</f>
        <v>0</v>
      </c>
    </row>
    <row r="114">
      <c r="A114" s="1" t="str">
        <f>IFERROR(__xludf.DUMMYFUNCTION("""COMPUTED_VALUE"""),"Flaming Sword")</f>
        <v>Flaming Sword</v>
      </c>
      <c r="B114" s="1" t="str">
        <f>IFERROR(__xludf.DUMMYFUNCTION("""COMPUTED_VALUE"""),"Hand")</f>
        <v>Hand</v>
      </c>
      <c r="C114" s="1"/>
      <c r="D114" s="1" t="str">
        <f>IFERROR(__xludf.DUMMYFUNCTION("""COMPUTED_VALUE"""),"Sword")</f>
        <v>Sword</v>
      </c>
      <c r="E114" s="1">
        <f>IFERROR(__xludf.DUMMYFUNCTION("""COMPUTED_VALUE"""),300.0)</f>
        <v>300</v>
      </c>
      <c r="F114" s="2">
        <f>IFERROR(__xludf.DUMMYFUNCTION("""COMPUTED_VALUE"""),4350000.0)</f>
        <v>4350000</v>
      </c>
      <c r="G114" s="1" t="str">
        <f>IFERROR(__xludf.DUMMYFUNCTION("""COMPUTED_VALUE"""),"DMG")</f>
        <v>DMG</v>
      </c>
      <c r="H114" s="1">
        <f>IFERROR(__xludf.DUMMYFUNCTION("""COMPUTED_VALUE"""),5000.0)</f>
        <v>5000</v>
      </c>
      <c r="I114" s="1">
        <f>IFERROR(__xludf.DUMMYFUNCTION("""COMPUTED_VALUE"""),5000.0)</f>
        <v>5000</v>
      </c>
      <c r="J114" s="1"/>
      <c r="K114" s="1"/>
      <c r="L114" s="1"/>
      <c r="M114" s="1"/>
      <c r="N114" s="1"/>
      <c r="O114" s="1"/>
      <c r="P114" s="1"/>
      <c r="Q114" s="1"/>
      <c r="R114" s="1"/>
      <c r="S114" s="1">
        <f>IFERROR(__xludf.DUMMYFUNCTION("""COMPUTED_VALUE"""),5000.0)</f>
        <v>5000</v>
      </c>
      <c r="T114" s="1"/>
      <c r="U114" s="1"/>
      <c r="V114" s="1"/>
      <c r="W114" s="1"/>
      <c r="X114" s="1"/>
      <c r="Y114" s="1"/>
      <c r="Z114" s="1"/>
      <c r="AA114" s="1"/>
      <c r="AB114" s="1"/>
      <c r="AC114" s="1"/>
      <c r="AD114" s="1"/>
      <c r="AE114" s="1"/>
      <c r="AF114" s="1" t="str">
        <f>IFERROR(__xludf.DUMMYFUNCTION("""COMPUTED_VALUE"""),"++Burn 1000")</f>
        <v>++Burn 1000</v>
      </c>
      <c r="AG114" s="1" t="str">
        <f>IFERROR(__xludf.DUMMYFUNCTION("""COMPUTED_VALUE"""),"Land of Spira")</f>
        <v>Land of Spira</v>
      </c>
      <c r="AH114" s="1" t="b">
        <f>IFERROR(__xludf.DUMMYFUNCTION("""COMPUTED_VALUE"""),FALSE)</f>
        <v>0</v>
      </c>
    </row>
    <row r="115">
      <c r="A115" s="1" t="str">
        <f>IFERROR(__xludf.DUMMYFUNCTION("""COMPUTED_VALUE"""),"Foul Night Blade")</f>
        <v>Foul Night Blade</v>
      </c>
      <c r="B115" s="1" t="str">
        <f>IFERROR(__xludf.DUMMYFUNCTION("""COMPUTED_VALUE"""),"Hand")</f>
        <v>Hand</v>
      </c>
      <c r="C115" s="1"/>
      <c r="D115" s="1" t="str">
        <f>IFERROR(__xludf.DUMMYFUNCTION("""COMPUTED_VALUE"""),"Sword")</f>
        <v>Sword</v>
      </c>
      <c r="E115" s="1">
        <f>IFERROR(__xludf.DUMMYFUNCTION("""COMPUTED_VALUE"""),200.0)</f>
        <v>200</v>
      </c>
      <c r="F115" s="2">
        <f>IFERROR(__xludf.DUMMYFUNCTION("""COMPUTED_VALUE"""),1900000.0)</f>
        <v>1900000</v>
      </c>
      <c r="G115" s="1" t="str">
        <f>IFERROR(__xludf.DUMMYFUNCTION("""COMPUTED_VALUE"""),"DMG")</f>
        <v>DMG</v>
      </c>
      <c r="H115" s="1">
        <f>IFERROR(__xludf.DUMMYFUNCTION("""COMPUTED_VALUE"""),5000.0)</f>
        <v>5000</v>
      </c>
      <c r="I115" s="1"/>
      <c r="J115" s="1"/>
      <c r="K115" s="1"/>
      <c r="L115" s="1"/>
      <c r="M115" s="1"/>
      <c r="N115" s="1"/>
      <c r="O115" s="1"/>
      <c r="P115" s="1"/>
      <c r="Q115" s="1"/>
      <c r="R115" s="1"/>
      <c r="S115" s="1">
        <f>IFERROR(__xludf.DUMMYFUNCTION("""COMPUTED_VALUE"""),5000.0)</f>
        <v>5000</v>
      </c>
      <c r="T115" s="1"/>
      <c r="U115" s="1"/>
      <c r="V115" s="1"/>
      <c r="W115" s="1"/>
      <c r="X115" s="1"/>
      <c r="Y115" s="1"/>
      <c r="Z115" s="1"/>
      <c r="AA115" s="1"/>
      <c r="AB115" s="1"/>
      <c r="AC115" s="1"/>
      <c r="AD115" s="1"/>
      <c r="AE115" s="1"/>
      <c r="AF115" s="1" t="str">
        <f>IFERROR(__xludf.DUMMYFUNCTION("""COMPUTED_VALUE"""),"(Foul Night Set) ++Poison 5000 for 3 rounds. ++Foul Night Embodiment - When Equipped  Any Dark, Nature or Poison damage is X4.")</f>
        <v>(Foul Night Set) ++Poison 5000 for 3 rounds. ++Foul Night Embodiment - When Equipped  Any Dark, Nature or Poison damage is X4.</v>
      </c>
      <c r="AG115" s="1" t="str">
        <f>IFERROR(__xludf.DUMMYFUNCTION("""COMPUTED_VALUE"""),"Land of Spira")</f>
        <v>Land of Spira</v>
      </c>
      <c r="AH115" s="1" t="b">
        <f>IFERROR(__xludf.DUMMYFUNCTION("""COMPUTED_VALUE"""),FALSE)</f>
        <v>0</v>
      </c>
    </row>
    <row r="116">
      <c r="A116" s="1" t="str">
        <f>IFERROR(__xludf.DUMMYFUNCTION("""COMPUTED_VALUE"""),"Freezing Chains")</f>
        <v>Freezing Chains</v>
      </c>
      <c r="B116" s="1" t="str">
        <f>IFERROR(__xludf.DUMMYFUNCTION("""COMPUTED_VALUE"""),"Hand")</f>
        <v>Hand</v>
      </c>
      <c r="C116" s="1"/>
      <c r="D116" s="1" t="str">
        <f>IFERROR(__xludf.DUMMYFUNCTION("""COMPUTED_VALUE"""),"Club")</f>
        <v>Club</v>
      </c>
      <c r="E116" s="1">
        <f>IFERROR(__xludf.DUMMYFUNCTION("""COMPUTED_VALUE"""),200.0)</f>
        <v>200</v>
      </c>
      <c r="F116" s="2">
        <f>IFERROR(__xludf.DUMMYFUNCTION("""COMPUTED_VALUE"""),1900000.0)</f>
        <v>1900000</v>
      </c>
      <c r="G116" s="1" t="str">
        <f>IFERROR(__xludf.DUMMYFUNCTION("""COMPUTED_VALUE"""),"DMG")</f>
        <v>DMG</v>
      </c>
      <c r="H116" s="1">
        <f>IFERROR(__xludf.DUMMYFUNCTION("""COMPUTED_VALUE"""),5000.0)</f>
        <v>5000</v>
      </c>
      <c r="I116" s="1"/>
      <c r="J116" s="1"/>
      <c r="K116" s="1">
        <f>IFERROR(__xludf.DUMMYFUNCTION("""COMPUTED_VALUE"""),5000.0)</f>
        <v>5000</v>
      </c>
      <c r="L116" s="1"/>
      <c r="M116" s="1"/>
      <c r="N116" s="1"/>
      <c r="O116" s="1"/>
      <c r="P116" s="1"/>
      <c r="Q116" s="1"/>
      <c r="R116" s="1"/>
      <c r="S116" s="1"/>
      <c r="T116" s="1"/>
      <c r="U116" s="1"/>
      <c r="V116" s="1"/>
      <c r="W116" s="1"/>
      <c r="X116" s="1"/>
      <c r="Y116" s="1"/>
      <c r="Z116" s="1"/>
      <c r="AA116" s="1"/>
      <c r="AB116" s="1"/>
      <c r="AC116" s="1"/>
      <c r="AD116" s="1"/>
      <c r="AE116" s="1"/>
      <c r="AF116" s="1" t="str">
        <f>IFERROR(__xludf.DUMMYFUNCTION("""COMPUTED_VALUE"""),"++Frost Bind- binds the target freezing them until the end of their next turn")</f>
        <v>++Frost Bind- binds the target freezing them until the end of their next turn</v>
      </c>
      <c r="AG116" s="1" t="str">
        <f>IFERROR(__xludf.DUMMYFUNCTION("""COMPUTED_VALUE"""),"Land of Spira")</f>
        <v>Land of Spira</v>
      </c>
      <c r="AH116" s="1" t="b">
        <f>IFERROR(__xludf.DUMMYFUNCTION("""COMPUTED_VALUE"""),FALSE)</f>
        <v>0</v>
      </c>
    </row>
    <row r="117">
      <c r="A117" s="1" t="str">
        <f>IFERROR(__xludf.DUMMYFUNCTION("""COMPUTED_VALUE"""),"Frost Bow")</f>
        <v>Frost Bow</v>
      </c>
      <c r="B117" s="1" t="str">
        <f>IFERROR(__xludf.DUMMYFUNCTION("""COMPUTED_VALUE"""),"Hand")</f>
        <v>Hand</v>
      </c>
      <c r="C117" s="1"/>
      <c r="D117" s="1" t="str">
        <f>IFERROR(__xludf.DUMMYFUNCTION("""COMPUTED_VALUE"""),"Bow")</f>
        <v>Bow</v>
      </c>
      <c r="E117" s="1">
        <f>IFERROR(__xludf.DUMMYFUNCTION("""COMPUTED_VALUE"""),180.0)</f>
        <v>180</v>
      </c>
      <c r="F117" s="2">
        <f>IFERROR(__xludf.DUMMYFUNCTION("""COMPUTED_VALUE"""),1530000.0)</f>
        <v>1530000</v>
      </c>
      <c r="G117" s="1" t="str">
        <f>IFERROR(__xludf.DUMMYFUNCTION("""COMPUTED_VALUE"""),"DMG")</f>
        <v>DMG</v>
      </c>
      <c r="H117" s="1">
        <f>IFERROR(__xludf.DUMMYFUNCTION("""COMPUTED_VALUE"""),5000.0)</f>
        <v>5000</v>
      </c>
      <c r="I117" s="1"/>
      <c r="J117" s="1"/>
      <c r="K117" s="1">
        <f>IFERROR(__xludf.DUMMYFUNCTION("""COMPUTED_VALUE"""),4000.0)</f>
        <v>4000</v>
      </c>
      <c r="L117" s="1"/>
      <c r="M117" s="1"/>
      <c r="N117" s="1"/>
      <c r="O117" s="1"/>
      <c r="P117" s="1"/>
      <c r="Q117" s="1"/>
      <c r="R117" s="1"/>
      <c r="S117" s="1"/>
      <c r="T117" s="1"/>
      <c r="U117" s="1"/>
      <c r="V117" s="1"/>
      <c r="W117" s="1"/>
      <c r="X117" s="1"/>
      <c r="Y117" s="1"/>
      <c r="Z117" s="1"/>
      <c r="AA117" s="1"/>
      <c r="AB117" s="1"/>
      <c r="AC117" s="1"/>
      <c r="AD117" s="1"/>
      <c r="AE117" s="1"/>
      <c r="AF117" s="1" t="str">
        <f>IFERROR(__xludf.DUMMYFUNCTION("""COMPUTED_VALUE"""),"++Arrows Used with this bow have a 50% chance to freeze the target(s)")</f>
        <v>++Arrows Used with this bow have a 50% chance to freeze the target(s)</v>
      </c>
      <c r="AG117" s="1" t="str">
        <f>IFERROR(__xludf.DUMMYFUNCTION("""COMPUTED_VALUE"""),"Land of Spira")</f>
        <v>Land of Spira</v>
      </c>
      <c r="AH117" s="1" t="b">
        <f>IFERROR(__xludf.DUMMYFUNCTION("""COMPUTED_VALUE"""),FALSE)</f>
        <v>0</v>
      </c>
    </row>
    <row r="118">
      <c r="A118" s="1" t="str">
        <f>IFERROR(__xludf.DUMMYFUNCTION("""COMPUTED_VALUE"""),"Frost Cloak")</f>
        <v>Frost Cloak</v>
      </c>
      <c r="B118" s="1" t="str">
        <f>IFERROR(__xludf.DUMMYFUNCTION("""COMPUTED_VALUE"""),"Torso")</f>
        <v>Torso</v>
      </c>
      <c r="C118" s="1"/>
      <c r="D118" s="1"/>
      <c r="E118" s="1">
        <f>IFERROR(__xludf.DUMMYFUNCTION("""COMPUTED_VALUE"""),1.0)</f>
        <v>1</v>
      </c>
      <c r="F118" s="2">
        <f>IFERROR(__xludf.DUMMYFUNCTION("""COMPUTED_VALUE"""),0.0)</f>
        <v>0</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t="str">
        <f>IFERROR(__xludf.DUMMYFUNCTION("""COMPUTED_VALUE"""),"(Frost Mage Set) ++When caster is hit by an enemy,the enemy is frozen for 5r/s caster,s cloak last for 3 r/s 90 sp")</f>
        <v>(Frost Mage Set) ++When caster is hit by an enemy,the enemy is frozen for 5r/s caster,s cloak last for 3 r/s 90 sp</v>
      </c>
      <c r="AG118" s="1" t="str">
        <f>IFERROR(__xludf.DUMMYFUNCTION("""COMPUTED_VALUE"""),"Land of Spira")</f>
        <v>Land of Spira</v>
      </c>
      <c r="AH118" s="1" t="b">
        <f>IFERROR(__xludf.DUMMYFUNCTION("""COMPUTED_VALUE"""),FALSE)</f>
        <v>0</v>
      </c>
    </row>
    <row r="119">
      <c r="A119" s="1" t="str">
        <f>IFERROR(__xludf.DUMMYFUNCTION("""COMPUTED_VALUE"""),"Frost Spear")</f>
        <v>Frost Spear</v>
      </c>
      <c r="B119" s="1" t="str">
        <f>IFERROR(__xludf.DUMMYFUNCTION("""COMPUTED_VALUE"""),"Hand")</f>
        <v>Hand</v>
      </c>
      <c r="C119" s="1" t="str">
        <f>IFERROR(__xludf.DUMMYFUNCTION("""COMPUTED_VALUE"""),"Event Exclusive")</f>
        <v>Event Exclusive</v>
      </c>
      <c r="D119" s="1" t="str">
        <f>IFERROR(__xludf.DUMMYFUNCTION("""COMPUTED_VALUE"""),"Spear")</f>
        <v>Spear</v>
      </c>
      <c r="E119" s="1">
        <f>IFERROR(__xludf.DUMMYFUNCTION("""COMPUTED_VALUE"""),1000.0)</f>
        <v>1000</v>
      </c>
      <c r="F119" s="2">
        <f>IFERROR(__xludf.DUMMYFUNCTION("""COMPUTED_VALUE"""),4.95E7)</f>
        <v>49500000</v>
      </c>
      <c r="G119" s="1" t="str">
        <f>IFERROR(__xludf.DUMMYFUNCTION("""COMPUTED_VALUE"""),"DMG")</f>
        <v>DMG</v>
      </c>
      <c r="H119" s="1">
        <f>IFERROR(__xludf.DUMMYFUNCTION("""COMPUTED_VALUE"""),25000.0)</f>
        <v>25000</v>
      </c>
      <c r="I119" s="1"/>
      <c r="J119" s="1"/>
      <c r="K119" s="1"/>
      <c r="L119" s="1">
        <f>IFERROR(__xludf.DUMMYFUNCTION("""COMPUTED_VALUE"""),25000.0)</f>
        <v>25000</v>
      </c>
      <c r="M119" s="1"/>
      <c r="N119" s="1"/>
      <c r="O119" s="1"/>
      <c r="P119" s="1"/>
      <c r="Q119" s="1"/>
      <c r="R119" s="1"/>
      <c r="S119" s="1"/>
      <c r="T119" s="1"/>
      <c r="U119" s="1"/>
      <c r="V119" s="1"/>
      <c r="W119" s="1"/>
      <c r="X119" s="1"/>
      <c r="Y119" s="1"/>
      <c r="Z119" s="1"/>
      <c r="AA119" s="1"/>
      <c r="AB119" s="1"/>
      <c r="AC119" s="1"/>
      <c r="AD119" s="1"/>
      <c r="AE119" s="1"/>
      <c r="AF119" s="1" t="str">
        <f>IFERROR(__xludf.DUMMYFUNCTION("""COMPUTED_VALUE"""),"(The Frozen Spear Master Set) ++50% chance to freeze any enemies hit with this weapon")</f>
        <v>(The Frozen Spear Master Set) ++50% chance to freeze any enemies hit with this weapon</v>
      </c>
      <c r="AG119" s="1" t="str">
        <f>IFERROR(__xludf.DUMMYFUNCTION("""COMPUTED_VALUE"""),"Land of Spira")</f>
        <v>Land of Spira</v>
      </c>
      <c r="AH119" s="1" t="b">
        <f>IFERROR(__xludf.DUMMYFUNCTION("""COMPUTED_VALUE"""),TRUE)</f>
        <v>1</v>
      </c>
    </row>
    <row r="120">
      <c r="A120" s="1" t="str">
        <f>IFERROR(__xludf.DUMMYFUNCTION("""COMPUTED_VALUE"""),"Frozen Carrot Dagger")</f>
        <v>Frozen Carrot Dagger</v>
      </c>
      <c r="B120" s="1" t="str">
        <f>IFERROR(__xludf.DUMMYFUNCTION("""COMPUTED_VALUE"""),"Hand")</f>
        <v>Hand</v>
      </c>
      <c r="C120" s="1" t="str">
        <f>IFERROR(__xludf.DUMMYFUNCTION("""COMPUTED_VALUE"""),"Event Exclusive")</f>
        <v>Event Exclusive</v>
      </c>
      <c r="D120" s="1" t="str">
        <f>IFERROR(__xludf.DUMMYFUNCTION("""COMPUTED_VALUE"""),"Knife")</f>
        <v>Knife</v>
      </c>
      <c r="E120" s="1">
        <f>IFERROR(__xludf.DUMMYFUNCTION("""COMPUTED_VALUE"""),200.0)</f>
        <v>200</v>
      </c>
      <c r="F120" s="2">
        <f>IFERROR(__xludf.DUMMYFUNCTION("""COMPUTED_VALUE"""),1900000.0)</f>
        <v>1900000</v>
      </c>
      <c r="G120" s="1" t="str">
        <f>IFERROR(__xludf.DUMMYFUNCTION("""COMPUTED_VALUE"""),"DMG")</f>
        <v>DMG</v>
      </c>
      <c r="H120" s="1">
        <f>IFERROR(__xludf.DUMMYFUNCTION("""COMPUTED_VALUE"""),5000.0)</f>
        <v>5000</v>
      </c>
      <c r="I120" s="1"/>
      <c r="J120" s="1"/>
      <c r="K120" s="1">
        <f>IFERROR(__xludf.DUMMYFUNCTION("""COMPUTED_VALUE"""),5000.0)</f>
        <v>5000</v>
      </c>
      <c r="L120" s="1"/>
      <c r="M120" s="1"/>
      <c r="N120" s="1"/>
      <c r="O120" s="1"/>
      <c r="P120" s="1"/>
      <c r="Q120" s="1"/>
      <c r="R120" s="1"/>
      <c r="S120" s="1"/>
      <c r="T120" s="1"/>
      <c r="U120" s="1"/>
      <c r="V120" s="1"/>
      <c r="W120" s="1"/>
      <c r="X120" s="1"/>
      <c r="Y120" s="1"/>
      <c r="Z120" s="1"/>
      <c r="AA120" s="1"/>
      <c r="AB120" s="1"/>
      <c r="AC120" s="1"/>
      <c r="AD120" s="1"/>
      <c r="AE120" s="1"/>
      <c r="AF120" s="1"/>
      <c r="AG120" s="1" t="str">
        <f>IFERROR(__xludf.DUMMYFUNCTION("""COMPUTED_VALUE"""),"Land of Spira")</f>
        <v>Land of Spira</v>
      </c>
      <c r="AH120" s="1" t="b">
        <f>IFERROR(__xludf.DUMMYFUNCTION("""COMPUTED_VALUE"""),TRUE)</f>
        <v>1</v>
      </c>
    </row>
    <row r="121">
      <c r="A121" s="1" t="str">
        <f>IFERROR(__xludf.DUMMYFUNCTION("""COMPUTED_VALUE"""),"Frozen Falchion")</f>
        <v>Frozen Falchion</v>
      </c>
      <c r="B121" s="1" t="str">
        <f>IFERROR(__xludf.DUMMYFUNCTION("""COMPUTED_VALUE"""),"Hand")</f>
        <v>Hand</v>
      </c>
      <c r="C121" s="1"/>
      <c r="D121" s="1" t="str">
        <f>IFERROR(__xludf.DUMMYFUNCTION("""COMPUTED_VALUE"""),"Sword")</f>
        <v>Sword</v>
      </c>
      <c r="E121" s="1">
        <f>IFERROR(__xludf.DUMMYFUNCTION("""COMPUTED_VALUE"""),400.0)</f>
        <v>400</v>
      </c>
      <c r="F121" s="2">
        <f>IFERROR(__xludf.DUMMYFUNCTION("""COMPUTED_VALUE"""),7800000.0)</f>
        <v>7800000</v>
      </c>
      <c r="G121" s="1" t="str">
        <f>IFERROR(__xludf.DUMMYFUNCTION("""COMPUTED_VALUE"""),"DMG")</f>
        <v>DMG</v>
      </c>
      <c r="H121" s="3">
        <f>IFERROR(__xludf.DUMMYFUNCTION("""COMPUTED_VALUE"""),10000.0)</f>
        <v>10000</v>
      </c>
      <c r="I121" s="1"/>
      <c r="J121" s="1"/>
      <c r="K121" s="3">
        <f>IFERROR(__xludf.DUMMYFUNCTION("""COMPUTED_VALUE"""),10000.0)</f>
        <v>10000</v>
      </c>
      <c r="L121" s="1"/>
      <c r="M121" s="1"/>
      <c r="N121" s="1"/>
      <c r="O121" s="1"/>
      <c r="P121" s="1"/>
      <c r="Q121" s="1"/>
      <c r="R121" s="1"/>
      <c r="S121" s="1"/>
      <c r="T121" s="1"/>
      <c r="U121" s="1"/>
      <c r="V121" s="1"/>
      <c r="W121" s="1"/>
      <c r="X121" s="1"/>
      <c r="Y121" s="1"/>
      <c r="Z121" s="1"/>
      <c r="AA121" s="1"/>
      <c r="AB121" s="1"/>
      <c r="AC121" s="1"/>
      <c r="AD121" s="1"/>
      <c r="AE121" s="1"/>
      <c r="AF121" s="1" t="str">
        <f>IFERROR(__xludf.DUMMYFUNCTION("""COMPUTED_VALUE"""),"++40% chance to freeze the target. ++While enemies are frozen in battle they will take 20,000 Water damage per round. +-Cannot be duplicated.")</f>
        <v>++40% chance to freeze the target. ++While enemies are frozen in battle they will take 20,000 Water damage per round. +-Cannot be duplicated.</v>
      </c>
      <c r="AG121" s="1" t="str">
        <f>IFERROR(__xludf.DUMMYFUNCTION("""COMPUTED_VALUE"""),"Land of Spira")</f>
        <v>Land of Spira</v>
      </c>
      <c r="AH121" s="1" t="b">
        <f>IFERROR(__xludf.DUMMYFUNCTION("""COMPUTED_VALUE"""),FALSE)</f>
        <v>0</v>
      </c>
    </row>
    <row r="122">
      <c r="A122" s="1" t="str">
        <f>IFERROR(__xludf.DUMMYFUNCTION("""COMPUTED_VALUE"""),"Frozen Soul Lantern")</f>
        <v>Frozen Soul Lantern</v>
      </c>
      <c r="B122" s="1" t="str">
        <f>IFERROR(__xludf.DUMMYFUNCTION("""COMPUTED_VALUE"""),"Hand")</f>
        <v>Hand</v>
      </c>
      <c r="C122" s="1"/>
      <c r="D122" s="1" t="str">
        <f>IFERROR(__xludf.DUMMYFUNCTION("""COMPUTED_VALUE"""),"Wand")</f>
        <v>Wand</v>
      </c>
      <c r="E122" s="1">
        <f>IFERROR(__xludf.DUMMYFUNCTION("""COMPUTED_VALUE"""),1.0)</f>
        <v>1</v>
      </c>
      <c r="F122" s="2">
        <f>IFERROR(__xludf.DUMMYFUNCTION("""COMPUTED_VALUE"""),0.0)</f>
        <v>0</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t="str">
        <f>IFERROR(__xludf.DUMMYFUNCTION("""COMPUTED_VALUE"""),"++When a spell that deals damage is casted by an enemy this item will inflict the effect Frostburn. ++Frostburn - The Targets spell damage is halved.")</f>
        <v>++When a spell that deals damage is casted by an enemy this item will inflict the effect Frostburn. ++Frostburn - The Targets spell damage is halved.</v>
      </c>
      <c r="AG122" s="1" t="str">
        <f>IFERROR(__xludf.DUMMYFUNCTION("""COMPUTED_VALUE"""),"Land of Spira")</f>
        <v>Land of Spira</v>
      </c>
      <c r="AH122" s="1" t="b">
        <f>IFERROR(__xludf.DUMMYFUNCTION("""COMPUTED_VALUE"""),FALSE)</f>
        <v>0</v>
      </c>
    </row>
    <row r="123">
      <c r="A123" s="1" t="str">
        <f>IFERROR(__xludf.DUMMYFUNCTION("""COMPUTED_VALUE"""),"Gargoyle War Horn")</f>
        <v>Gargoyle War Horn</v>
      </c>
      <c r="B123" s="1" t="str">
        <f>IFERROR(__xludf.DUMMYFUNCTION("""COMPUTED_VALUE"""),"Hand")</f>
        <v>Hand</v>
      </c>
      <c r="C123" s="1"/>
      <c r="D123" s="1" t="str">
        <f>IFERROR(__xludf.DUMMYFUNCTION("""COMPUTED_VALUE"""),"Wand")</f>
        <v>Wand</v>
      </c>
      <c r="E123" s="1">
        <f>IFERROR(__xludf.DUMMYFUNCTION("""COMPUTED_VALUE"""),1.0)</f>
        <v>1</v>
      </c>
      <c r="F123" s="2">
        <f>IFERROR(__xludf.DUMMYFUNCTION("""COMPUTED_VALUE"""),0.0)</f>
        <v>0</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t="str">
        <f>IFERROR(__xludf.DUMMYFUNCTION("""COMPUTED_VALUE"""),"++Summons a d2 of Gargoyles to help you in battle. +-Can only be used once per battle.")</f>
        <v>++Summons a d2 of Gargoyles to help you in battle. +-Can only be used once per battle.</v>
      </c>
      <c r="AG123" s="1" t="str">
        <f>IFERROR(__xludf.DUMMYFUNCTION("""COMPUTED_VALUE"""),"Abstara")</f>
        <v>Abstara</v>
      </c>
      <c r="AH123" s="1" t="b">
        <f>IFERROR(__xludf.DUMMYFUNCTION("""COMPUTED_VALUE"""),FALSE)</f>
        <v>0</v>
      </c>
    </row>
    <row r="124">
      <c r="A124" s="1" t="str">
        <f>IFERROR(__xludf.DUMMYFUNCTION("""COMPUTED_VALUE"""),"Gargoyle’s Heavy Enchanted Bow")</f>
        <v>Gargoyle’s Heavy Enchanted Bow</v>
      </c>
      <c r="B124" s="1" t="str">
        <f>IFERROR(__xludf.DUMMYFUNCTION("""COMPUTED_VALUE"""),"Hand")</f>
        <v>Hand</v>
      </c>
      <c r="C124" s="1"/>
      <c r="D124" s="1" t="str">
        <f>IFERROR(__xludf.DUMMYFUNCTION("""COMPUTED_VALUE"""),"Bow")</f>
        <v>Bow</v>
      </c>
      <c r="E124" s="1">
        <f>IFERROR(__xludf.DUMMYFUNCTION("""COMPUTED_VALUE"""),3000.0)</f>
        <v>3000</v>
      </c>
      <c r="F124" s="2">
        <f>IFERROR(__xludf.DUMMYFUNCTION("""COMPUTED_VALUE"""),4.485E8)</f>
        <v>448500000</v>
      </c>
      <c r="G124" s="1" t="str">
        <f>IFERROR(__xludf.DUMMYFUNCTION("""COMPUTED_VALUE"""),"DMG")</f>
        <v>DMG</v>
      </c>
      <c r="H124" s="3">
        <f>IFERROR(__xludf.DUMMYFUNCTION("""COMPUTED_VALUE"""),100000.0)</f>
        <v>100000</v>
      </c>
      <c r="I124" s="1"/>
      <c r="J124" s="1"/>
      <c r="K124" s="1"/>
      <c r="L124" s="1"/>
      <c r="M124" s="3">
        <f>IFERROR(__xludf.DUMMYFUNCTION("""COMPUTED_VALUE"""),50000.0)</f>
        <v>50000</v>
      </c>
      <c r="N124" s="1"/>
      <c r="O124" s="1"/>
      <c r="P124" s="1"/>
      <c r="Q124" s="1"/>
      <c r="R124" s="1"/>
      <c r="S124" s="1"/>
      <c r="T124" s="1"/>
      <c r="U124" s="1"/>
      <c r="V124" s="1"/>
      <c r="W124" s="1"/>
      <c r="X124" s="1"/>
      <c r="Y124" s="1"/>
      <c r="Z124" s="1"/>
      <c r="AA124" s="1"/>
      <c r="AB124" s="1"/>
      <c r="AC124" s="1"/>
      <c r="AD124" s="1"/>
      <c r="AE124" s="1"/>
      <c r="AF124" s="1" t="str">
        <f>IFERROR(__xludf.DUMMYFUNCTION("""COMPUTED_VALUE"""),"++Damage dealt with this bow gives you hp back equal to the damage you dealt. ")</f>
        <v>++Damage dealt with this bow gives you hp back equal to the damage you dealt. </v>
      </c>
      <c r="AG124" s="1" t="str">
        <f>IFERROR(__xludf.DUMMYFUNCTION("""COMPUTED_VALUE"""),"Abstara")</f>
        <v>Abstara</v>
      </c>
      <c r="AH124" s="1" t="b">
        <f>IFERROR(__xludf.DUMMYFUNCTION("""COMPUTED_VALUE"""),FALSE)</f>
        <v>0</v>
      </c>
    </row>
    <row r="125">
      <c r="A125" s="1" t="str">
        <f>IFERROR(__xludf.DUMMYFUNCTION("""COMPUTED_VALUE"""),"Gargoyle’s Necklace of Luck ")</f>
        <v>Gargoyle’s Necklace of Luck </v>
      </c>
      <c r="B125" s="1" t="str">
        <f>IFERROR(__xludf.DUMMYFUNCTION("""COMPUTED_VALUE"""),"Neck")</f>
        <v>Neck</v>
      </c>
      <c r="C125" s="1"/>
      <c r="D125" s="1"/>
      <c r="E125" s="1">
        <f>IFERROR(__xludf.DUMMYFUNCTION("""COMPUTED_VALUE"""),1.0)</f>
        <v>1</v>
      </c>
      <c r="F125" s="2">
        <f>IFERROR(__xludf.DUMMYFUNCTION("""COMPUTED_VALUE"""),0.0)</f>
        <v>0</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t="str">
        <f>IFERROR(__xludf.DUMMYFUNCTION("""COMPUTED_VALUE"""),"++Allows 1 d20 roll to be a 20 once per battle or 1 rp action per day of travel. +-Cannot be forged +-Cannot be duplicated +-Can only equip one")</f>
        <v>++Allows 1 d20 roll to be a 20 once per battle or 1 rp action per day of travel. +-Cannot be forged +-Cannot be duplicated +-Can only equip one</v>
      </c>
      <c r="AG125" s="1" t="str">
        <f>IFERROR(__xludf.DUMMYFUNCTION("""COMPUTED_VALUE"""),"Abstara")</f>
        <v>Abstara</v>
      </c>
      <c r="AH125" s="1" t="b">
        <f>IFERROR(__xludf.DUMMYFUNCTION("""COMPUTED_VALUE"""),FALSE)</f>
        <v>0</v>
      </c>
    </row>
    <row r="126">
      <c r="A126" s="1" t="str">
        <f>IFERROR(__xludf.DUMMYFUNCTION("""COMPUTED_VALUE"""),"Gargoyle’s Ring")</f>
        <v>Gargoyle’s Ring</v>
      </c>
      <c r="B126" s="1" t="str">
        <f>IFERROR(__xludf.DUMMYFUNCTION("""COMPUTED_VALUE"""),"Ring")</f>
        <v>Ring</v>
      </c>
      <c r="C126" s="1"/>
      <c r="D126" s="1"/>
      <c r="E126" s="1">
        <f>IFERROR(__xludf.DUMMYFUNCTION("""COMPUTED_VALUE"""),1.0)</f>
        <v>1</v>
      </c>
      <c r="F126" s="2">
        <f>IFERROR(__xludf.DUMMYFUNCTION("""COMPUTED_VALUE"""),0.0)</f>
        <v>0</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t="str">
        <f>IFERROR(__xludf.DUMMYFUNCTION("""COMPUTED_VALUE"""),"++If you chose the gargoyle race as your main starting race this ring will make it so you will not become hardened.")</f>
        <v>++If you chose the gargoyle race as your main starting race this ring will make it so you will not become hardened.</v>
      </c>
      <c r="AG126" s="1" t="str">
        <f>IFERROR(__xludf.DUMMYFUNCTION("""COMPUTED_VALUE"""),"Abstara")</f>
        <v>Abstara</v>
      </c>
      <c r="AH126" s="1" t="b">
        <f>IFERROR(__xludf.DUMMYFUNCTION("""COMPUTED_VALUE"""),FALSE)</f>
        <v>0</v>
      </c>
    </row>
    <row r="127">
      <c r="A127" s="1" t="str">
        <f>IFERROR(__xludf.DUMMYFUNCTION("""COMPUTED_VALUE"""),"Giant Spider Leg")</f>
        <v>Giant Spider Leg</v>
      </c>
      <c r="B127" s="1" t="str">
        <f>IFERROR(__xludf.DUMMYFUNCTION("""COMPUTED_VALUE"""),"Hand")</f>
        <v>Hand</v>
      </c>
      <c r="C127" s="1"/>
      <c r="D127" s="1" t="str">
        <f>IFERROR(__xludf.DUMMYFUNCTION("""COMPUTED_VALUE"""),"Knife")</f>
        <v>Knife</v>
      </c>
      <c r="E127" s="1">
        <f>IFERROR(__xludf.DUMMYFUNCTION("""COMPUTED_VALUE"""),200.0)</f>
        <v>200</v>
      </c>
      <c r="F127" s="2">
        <f>IFERROR(__xludf.DUMMYFUNCTION("""COMPUTED_VALUE"""),1900000.0)</f>
        <v>1900000</v>
      </c>
      <c r="G127" s="1" t="str">
        <f>IFERROR(__xludf.DUMMYFUNCTION("""COMPUTED_VALUE"""),"ATK")</f>
        <v>ATK</v>
      </c>
      <c r="H127" s="1">
        <f>IFERROR(__xludf.DUMMYFUNCTION("""COMPUTED_VALUE"""),10000.0)</f>
        <v>10000</v>
      </c>
      <c r="I127" s="1"/>
      <c r="J127" s="1"/>
      <c r="K127" s="1"/>
      <c r="L127" s="1"/>
      <c r="M127" s="1"/>
      <c r="N127" s="1"/>
      <c r="O127" s="1"/>
      <c r="P127" s="1"/>
      <c r="Q127" s="1"/>
      <c r="R127" s="1"/>
      <c r="S127" s="1"/>
      <c r="T127" s="1"/>
      <c r="U127" s="1"/>
      <c r="V127" s="1"/>
      <c r="W127" s="1"/>
      <c r="X127" s="1"/>
      <c r="Y127" s="1"/>
      <c r="Z127" s="1"/>
      <c r="AA127" s="1"/>
      <c r="AB127" s="1"/>
      <c r="AC127" s="1"/>
      <c r="AD127" s="1"/>
      <c r="AE127" s="1"/>
      <c r="AF127" s="1" t="str">
        <f>IFERROR(__xludf.DUMMYFUNCTION("""COMPUTED_VALUE"""),"++When hitting an enemy inflict them with poison 500")</f>
        <v>++When hitting an enemy inflict them with poison 500</v>
      </c>
      <c r="AG127" s="1" t="str">
        <f>IFERROR(__xludf.DUMMYFUNCTION("""COMPUTED_VALUE"""),"Land of Spira")</f>
        <v>Land of Spira</v>
      </c>
      <c r="AH127" s="1" t="b">
        <f>IFERROR(__xludf.DUMMYFUNCTION("""COMPUTED_VALUE"""),FALSE)</f>
        <v>0</v>
      </c>
    </row>
    <row r="128">
      <c r="A128" s="1" t="str">
        <f>IFERROR(__xludf.DUMMYFUNCTION("""COMPUTED_VALUE"""),"Glass Shield")</f>
        <v>Glass Shield</v>
      </c>
      <c r="B128" s="1" t="str">
        <f>IFERROR(__xludf.DUMMYFUNCTION("""COMPUTED_VALUE"""),"Hand")</f>
        <v>Hand</v>
      </c>
      <c r="C128" s="1"/>
      <c r="D128" s="1" t="str">
        <f>IFERROR(__xludf.DUMMYFUNCTION("""COMPUTED_VALUE"""),"Towershield")</f>
        <v>Towershield</v>
      </c>
      <c r="E128" s="1">
        <f>IFERROR(__xludf.DUMMYFUNCTION("""COMPUTED_VALUE"""),1000.0)</f>
        <v>1000</v>
      </c>
      <c r="F128" s="2">
        <f>IFERROR(__xludf.DUMMYFUNCTION("""COMPUTED_VALUE"""),4.95E7)</f>
        <v>49500000</v>
      </c>
      <c r="G128" s="1" t="str">
        <f>IFERROR(__xludf.DUMMYFUNCTION("""COMPUTED_VALUE"""),"DEF")</f>
        <v>DEF</v>
      </c>
      <c r="H128" s="3">
        <f>IFERROR(__xludf.DUMMYFUNCTION("""COMPUTED_VALUE"""),50000.0)</f>
        <v>50000</v>
      </c>
      <c r="I128" s="1"/>
      <c r="J128" s="1"/>
      <c r="K128" s="1"/>
      <c r="L128" s="1"/>
      <c r="M128" s="1"/>
      <c r="N128" s="1"/>
      <c r="O128" s="1"/>
      <c r="P128" s="1"/>
      <c r="Q128" s="1"/>
      <c r="R128" s="1"/>
      <c r="S128" s="1"/>
      <c r="T128" s="1"/>
      <c r="U128" s="1"/>
      <c r="V128" s="1"/>
      <c r="W128" s="1"/>
      <c r="X128" s="1"/>
      <c r="Y128" s="1"/>
      <c r="Z128" s="1"/>
      <c r="AA128" s="1"/>
      <c r="AB128" s="1"/>
      <c r="AC128" s="1"/>
      <c r="AD128" s="1"/>
      <c r="AE128" s="1"/>
      <c r="AF128" s="1" t="str">
        <f>IFERROR(__xludf.DUMMYFUNCTION("""COMPUTED_VALUE"""),"+-has a 50% chance of breaking upon taking damage")</f>
        <v>+-has a 50% chance of breaking upon taking damage</v>
      </c>
      <c r="AG128" s="1" t="str">
        <f>IFERROR(__xludf.DUMMYFUNCTION("""COMPUTED_VALUE"""),"Land of Spira")</f>
        <v>Land of Spira</v>
      </c>
      <c r="AH128" s="1" t="b">
        <f>IFERROR(__xludf.DUMMYFUNCTION("""COMPUTED_VALUE"""),FALSE)</f>
        <v>0</v>
      </c>
    </row>
    <row r="129">
      <c r="A129" s="1" t="str">
        <f>IFERROR(__xludf.DUMMYFUNCTION("""COMPUTED_VALUE"""),"Goose Staff")</f>
        <v>Goose Staff</v>
      </c>
      <c r="B129" s="1" t="str">
        <f>IFERROR(__xludf.DUMMYFUNCTION("""COMPUTED_VALUE"""),"Hand")</f>
        <v>Hand</v>
      </c>
      <c r="C129" s="1"/>
      <c r="D129" s="1" t="str">
        <f>IFERROR(__xludf.DUMMYFUNCTION("""COMPUTED_VALUE"""),"Staff")</f>
        <v>Staff</v>
      </c>
      <c r="E129" s="1">
        <f>IFERROR(__xludf.DUMMYFUNCTION("""COMPUTED_VALUE"""),1.0)</f>
        <v>1</v>
      </c>
      <c r="F129" s="2">
        <f>IFERROR(__xludf.DUMMYFUNCTION("""COMPUTED_VALUE"""),0.0)</f>
        <v>0</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t="str">
        <f>IFERROR(__xludf.DUMMYFUNCTION("""COMPUTED_VALUE"""),"++Summons Lord Goose to aid you in battle, 1000 SP.")</f>
        <v>++Summons Lord Goose to aid you in battle, 1000 SP.</v>
      </c>
      <c r="AG129" s="1" t="str">
        <f>IFERROR(__xludf.DUMMYFUNCTION("""COMPUTED_VALUE"""),"Land of Spira")</f>
        <v>Land of Spira</v>
      </c>
      <c r="AH129" s="1" t="b">
        <f>IFERROR(__xludf.DUMMYFUNCTION("""COMPUTED_VALUE"""),FALSE)</f>
        <v>0</v>
      </c>
    </row>
    <row r="130">
      <c r="A130" s="1" t="str">
        <f>IFERROR(__xludf.DUMMYFUNCTION("""COMPUTED_VALUE"""),"Grand Hellfire Sword")</f>
        <v>Grand Hellfire Sword</v>
      </c>
      <c r="B130" s="1" t="str">
        <f>IFERROR(__xludf.DUMMYFUNCTION("""COMPUTED_VALUE"""),"Hand")</f>
        <v>Hand</v>
      </c>
      <c r="C130" s="1"/>
      <c r="D130" s="1" t="str">
        <f>IFERROR(__xludf.DUMMYFUNCTION("""COMPUTED_VALUE"""),"Sword")</f>
        <v>Sword</v>
      </c>
      <c r="E130" s="1">
        <f>IFERROR(__xludf.DUMMYFUNCTION("""COMPUTED_VALUE"""),200.0)</f>
        <v>200</v>
      </c>
      <c r="F130" s="2">
        <f>IFERROR(__xludf.DUMMYFUNCTION("""COMPUTED_VALUE"""),1.797E9)</f>
        <v>1797000000</v>
      </c>
      <c r="G130" s="1" t="str">
        <f>IFERROR(__xludf.DUMMYFUNCTION("""COMPUTED_VALUE"""),"DMG")</f>
        <v>DMG</v>
      </c>
      <c r="H130" s="3">
        <f>IFERROR(__xludf.DUMMYFUNCTION("""COMPUTED_VALUE"""),50000.0)</f>
        <v>50000</v>
      </c>
      <c r="I130" s="3">
        <f>IFERROR(__xludf.DUMMYFUNCTION("""COMPUTED_VALUE"""),100000.0)</f>
        <v>100000</v>
      </c>
      <c r="J130" s="1"/>
      <c r="K130" s="1"/>
      <c r="L130" s="1"/>
      <c r="M130" s="1"/>
      <c r="N130" s="1"/>
      <c r="O130" s="3">
        <f>IFERROR(__xludf.DUMMYFUNCTION("""COMPUTED_VALUE"""),50000.0)</f>
        <v>50000</v>
      </c>
      <c r="P130" s="1"/>
      <c r="Q130" s="1"/>
      <c r="R130" s="3">
        <f>IFERROR(__xludf.DUMMYFUNCTION("""COMPUTED_VALUE"""),50000.0)</f>
        <v>50000</v>
      </c>
      <c r="S130" s="1"/>
      <c r="T130" s="1"/>
      <c r="U130" s="1"/>
      <c r="V130" s="1"/>
      <c r="W130" s="1"/>
      <c r="X130" s="1"/>
      <c r="Y130" s="1"/>
      <c r="Z130" s="1"/>
      <c r="AA130" s="1"/>
      <c r="AB130" s="1"/>
      <c r="AC130" s="3">
        <f>IFERROR(__xludf.DUMMYFUNCTION("""COMPUTED_VALUE"""),50000.0)</f>
        <v>50000</v>
      </c>
      <c r="AD130" s="1"/>
      <c r="AE130" s="1"/>
      <c r="AF130" s="1" t="str">
        <f>IFERROR(__xludf.DUMMYFUNCTION("""COMPUTED_VALUE"""),"++Upon a successful hit this weapon will have a 20% chance to summon a Grand Dark and Fire Mage, Level is determined by DM/GM. +-Cannot be Duplicated.")</f>
        <v>++Upon a successful hit this weapon will have a 20% chance to summon a Grand Dark and Fire Mage, Level is determined by DM/GM. +-Cannot be Duplicated.</v>
      </c>
      <c r="AG130" s="1" t="str">
        <f>IFERROR(__xludf.DUMMYFUNCTION("""COMPUTED_VALUE"""),"Abstara")</f>
        <v>Abstara</v>
      </c>
      <c r="AH130" s="1" t="b">
        <f>IFERROR(__xludf.DUMMYFUNCTION("""COMPUTED_VALUE"""),FALSE)</f>
        <v>0</v>
      </c>
    </row>
    <row r="131">
      <c r="A131" s="1" t="str">
        <f>IFERROR(__xludf.DUMMYFUNCTION("""COMPUTED_VALUE"""),"Grand Master Bow")</f>
        <v>Grand Master Bow</v>
      </c>
      <c r="B131" s="1" t="str">
        <f>IFERROR(__xludf.DUMMYFUNCTION("""COMPUTED_VALUE"""),"Hand")</f>
        <v>Hand</v>
      </c>
      <c r="C131" s="1"/>
      <c r="D131" s="1" t="str">
        <f>IFERROR(__xludf.DUMMYFUNCTION("""COMPUTED_VALUE"""),"Bow")</f>
        <v>Bow</v>
      </c>
      <c r="E131" s="1">
        <f>IFERROR(__xludf.DUMMYFUNCTION("""COMPUTED_VALUE"""),20.0)</f>
        <v>20</v>
      </c>
      <c r="F131" s="2">
        <f>IFERROR(__xludf.DUMMYFUNCTION("""COMPUTED_VALUE"""),10000.0)</f>
        <v>10000</v>
      </c>
      <c r="G131" s="1" t="str">
        <f>IFERROR(__xludf.DUMMYFUNCTION("""COMPUTED_VALUE"""),"DMG")</f>
        <v>DMG</v>
      </c>
      <c r="H131" s="1">
        <f>IFERROR(__xludf.DUMMYFUNCTION("""COMPUTED_VALUE"""),1000.0)</f>
        <v>1000</v>
      </c>
      <c r="I131" s="1"/>
      <c r="J131" s="1"/>
      <c r="K131" s="1"/>
      <c r="L131" s="1"/>
      <c r="M131" s="1"/>
      <c r="N131" s="1"/>
      <c r="O131" s="1"/>
      <c r="P131" s="1"/>
      <c r="Q131" s="1"/>
      <c r="R131" s="1"/>
      <c r="S131" s="1"/>
      <c r="T131" s="1"/>
      <c r="U131" s="1"/>
      <c r="V131" s="1"/>
      <c r="W131" s="1"/>
      <c r="X131" s="1"/>
      <c r="Y131" s="1"/>
      <c r="Z131" s="1"/>
      <c r="AA131" s="1"/>
      <c r="AB131" s="1"/>
      <c r="AC131" s="1"/>
      <c r="AD131" s="1"/>
      <c r="AE131" s="1"/>
      <c r="AF131" s="1" t="str">
        <f>IFERROR(__xludf.DUMMYFUNCTION("""COMPUTED_VALUE"""),"++X4 additional damage towards ranged attacks. +-Only Archers can equip. +-Cannot be duplicated. ")</f>
        <v>++X4 additional damage towards ranged attacks. +-Only Archers can equip. +-Cannot be duplicated. </v>
      </c>
      <c r="AG131" s="1" t="str">
        <f>IFERROR(__xludf.DUMMYFUNCTION("""COMPUTED_VALUE"""),"Land of Spira")</f>
        <v>Land of Spira</v>
      </c>
      <c r="AH131" s="1" t="b">
        <f>IFERROR(__xludf.DUMMYFUNCTION("""COMPUTED_VALUE"""),FALSE)</f>
        <v>0</v>
      </c>
    </row>
    <row r="132">
      <c r="A132" s="1" t="str">
        <f>IFERROR(__xludf.DUMMYFUNCTION("""COMPUTED_VALUE"""),"Grass Sword")</f>
        <v>Grass Sword</v>
      </c>
      <c r="B132" s="1" t="str">
        <f>IFERROR(__xludf.DUMMYFUNCTION("""COMPUTED_VALUE"""),"Hand")</f>
        <v>Hand</v>
      </c>
      <c r="C132" s="1" t="str">
        <f>IFERROR(__xludf.DUMMYFUNCTION("""COMPUTED_VALUE"""),"A strong grass entity in the form of a sword")</f>
        <v>A strong grass entity in the form of a sword</v>
      </c>
      <c r="D132" s="1" t="str">
        <f>IFERROR(__xludf.DUMMYFUNCTION("""COMPUTED_VALUE"""),"Sword")</f>
        <v>Sword</v>
      </c>
      <c r="E132" s="1">
        <f>IFERROR(__xludf.DUMMYFUNCTION("""COMPUTED_VALUE"""),1.0)</f>
        <v>1</v>
      </c>
      <c r="F132" s="2">
        <f>IFERROR(__xludf.DUMMYFUNCTION("""COMPUTED_VALUE"""),0.0)</f>
        <v>0</v>
      </c>
      <c r="G132" s="1" t="str">
        <f>IFERROR(__xludf.DUMMYFUNCTION("""COMPUTED_VALUE"""),"DMG")</f>
        <v>DMG</v>
      </c>
      <c r="H132" s="1">
        <f>IFERROR(__xludf.DUMMYFUNCTION("""COMPUTED_VALUE"""),250.0)</f>
        <v>250</v>
      </c>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t="str">
        <f>IFERROR(__xludf.DUMMYFUNCTION("""COMPUTED_VALUE"""),"Land of Spira")</f>
        <v>Land of Spira</v>
      </c>
      <c r="AH132" s="1" t="b">
        <f>IFERROR(__xludf.DUMMYFUNCTION("""COMPUTED_VALUE"""),FALSE)</f>
        <v>0</v>
      </c>
    </row>
    <row r="133">
      <c r="A133" s="1" t="str">
        <f>IFERROR(__xludf.DUMMYFUNCTION("""COMPUTED_VALUE"""),"Great Stone Gargoyle Sword")</f>
        <v>Great Stone Gargoyle Sword</v>
      </c>
      <c r="B133" s="1" t="str">
        <f>IFERROR(__xludf.DUMMYFUNCTION("""COMPUTED_VALUE"""),"Hand")</f>
        <v>Hand</v>
      </c>
      <c r="C133" s="1"/>
      <c r="D133" s="1" t="str">
        <f>IFERROR(__xludf.DUMMYFUNCTION("""COMPUTED_VALUE"""),"Sword")</f>
        <v>Sword</v>
      </c>
      <c r="E133" s="1">
        <f>IFERROR(__xludf.DUMMYFUNCTION("""COMPUTED_VALUE"""),4000.0)</f>
        <v>4000</v>
      </c>
      <c r="F133" s="2">
        <f>IFERROR(__xludf.DUMMYFUNCTION("""COMPUTED_VALUE"""),7.98E8)</f>
        <v>798000000</v>
      </c>
      <c r="G133" s="1" t="str">
        <f>IFERROR(__xludf.DUMMYFUNCTION("""COMPUTED_VALUE"""),"DMG")</f>
        <v>DMG</v>
      </c>
      <c r="H133" s="3">
        <f>IFERROR(__xludf.DUMMYFUNCTION("""COMPUTED_VALUE"""),100000.0)</f>
        <v>100000</v>
      </c>
      <c r="I133" s="1"/>
      <c r="J133" s="1"/>
      <c r="K133" s="1"/>
      <c r="L133" s="1"/>
      <c r="M133" s="3">
        <f>IFERROR(__xludf.DUMMYFUNCTION("""COMPUTED_VALUE"""),100000.0)</f>
        <v>100000</v>
      </c>
      <c r="N133" s="1"/>
      <c r="O133" s="1"/>
      <c r="P133" s="1"/>
      <c r="Q133" s="1"/>
      <c r="R133" s="1"/>
      <c r="S133" s="1"/>
      <c r="T133" s="1"/>
      <c r="U133" s="1"/>
      <c r="V133" s="1"/>
      <c r="W133" s="1"/>
      <c r="X133" s="1"/>
      <c r="Y133" s="1"/>
      <c r="Z133" s="1"/>
      <c r="AA133" s="1"/>
      <c r="AB133" s="1"/>
      <c r="AC133" s="1"/>
      <c r="AD133" s="1"/>
      <c r="AE133" s="1"/>
      <c r="AF133" s="1" t="str">
        <f>IFERROR(__xludf.DUMMYFUNCTION("""COMPUTED_VALUE"""),"++When this weapon is equipped the wielder gets X2 Attack and Defence, +-Cannot be duplicated.")</f>
        <v>++When this weapon is equipped the wielder gets X2 Attack and Defence, +-Cannot be duplicated.</v>
      </c>
      <c r="AG133" s="1" t="str">
        <f>IFERROR(__xludf.DUMMYFUNCTION("""COMPUTED_VALUE"""),"Abstara")</f>
        <v>Abstara</v>
      </c>
      <c r="AH133" s="1" t="b">
        <f>IFERROR(__xludf.DUMMYFUNCTION("""COMPUTED_VALUE"""),FALSE)</f>
        <v>0</v>
      </c>
    </row>
    <row r="134">
      <c r="A134" s="1" t="str">
        <f>IFERROR(__xludf.DUMMYFUNCTION("""COMPUTED_VALUE"""),"Greaves of The Sea Serpent")</f>
        <v>Greaves of The Sea Serpent</v>
      </c>
      <c r="B134" s="1" t="str">
        <f>IFERROR(__xludf.DUMMYFUNCTION("""COMPUTED_VALUE"""),"Legs")</f>
        <v>Legs</v>
      </c>
      <c r="C134" s="1"/>
      <c r="D134" s="1"/>
      <c r="E134" s="1">
        <f>IFERROR(__xludf.DUMMYFUNCTION("""COMPUTED_VALUE"""),100.0)</f>
        <v>100</v>
      </c>
      <c r="F134" s="2">
        <f>IFERROR(__xludf.DUMMYFUNCTION("""COMPUTED_VALUE"""),450000.0)</f>
        <v>450000</v>
      </c>
      <c r="G134" s="1" t="str">
        <f>IFERROR(__xludf.DUMMYFUNCTION("""COMPUTED_VALUE"""),"DEF")</f>
        <v>DEF</v>
      </c>
      <c r="H134" s="1">
        <f>IFERROR(__xludf.DUMMYFUNCTION("""COMPUTED_VALUE"""),2500.0)</f>
        <v>2500</v>
      </c>
      <c r="I134" s="1"/>
      <c r="J134" s="1"/>
      <c r="K134" s="1">
        <f>IFERROR(__xludf.DUMMYFUNCTION("""COMPUTED_VALUE"""),2500.0)</f>
        <v>2500</v>
      </c>
      <c r="L134" s="1"/>
      <c r="M134" s="1"/>
      <c r="N134" s="1"/>
      <c r="O134" s="1"/>
      <c r="P134" s="1"/>
      <c r="Q134" s="1"/>
      <c r="R134" s="1"/>
      <c r="S134" s="1"/>
      <c r="T134" s="1"/>
      <c r="U134" s="1"/>
      <c r="V134" s="1"/>
      <c r="W134" s="1"/>
      <c r="X134" s="1"/>
      <c r="Y134" s="1"/>
      <c r="Z134" s="1"/>
      <c r="AA134" s="1"/>
      <c r="AB134" s="1"/>
      <c r="AC134" s="1"/>
      <c r="AD134" s="1"/>
      <c r="AE134" s="1"/>
      <c r="AF134" s="1" t="str">
        <f>IFERROR(__xludf.DUMMYFUNCTION("""COMPUTED_VALUE"""),"++X2 additional water damage for self.")</f>
        <v>++X2 additional water damage for self.</v>
      </c>
      <c r="AG134" s="1"/>
      <c r="AH134" s="1" t="b">
        <f>IFERROR(__xludf.DUMMYFUNCTION("""COMPUTED_VALUE"""),FALSE)</f>
        <v>0</v>
      </c>
    </row>
    <row r="135">
      <c r="A135" s="1" t="str">
        <f>IFERROR(__xludf.DUMMYFUNCTION("""COMPUTED_VALUE"""),"Greaves of Waking Waters")</f>
        <v>Greaves of Waking Waters</v>
      </c>
      <c r="B135" s="1" t="str">
        <f>IFERROR(__xludf.DUMMYFUNCTION("""COMPUTED_VALUE"""),"Legs")</f>
        <v>Legs</v>
      </c>
      <c r="C135" s="1"/>
      <c r="D135" s="1"/>
      <c r="E135" s="1">
        <f>IFERROR(__xludf.DUMMYFUNCTION("""COMPUTED_VALUE"""),200.0)</f>
        <v>200</v>
      </c>
      <c r="F135" s="2">
        <f>IFERROR(__xludf.DUMMYFUNCTION("""COMPUTED_VALUE"""),1900000.0)</f>
        <v>1900000</v>
      </c>
      <c r="G135" s="1" t="str">
        <f>IFERROR(__xludf.DUMMYFUNCTION("""COMPUTED_VALUE"""),"DEF")</f>
        <v>DEF</v>
      </c>
      <c r="H135" s="1">
        <f>IFERROR(__xludf.DUMMYFUNCTION("""COMPUTED_VALUE"""),5000.0)</f>
        <v>5000</v>
      </c>
      <c r="I135" s="1"/>
      <c r="J135" s="1"/>
      <c r="K135" s="1">
        <f>IFERROR(__xludf.DUMMYFUNCTION("""COMPUTED_VALUE"""),5000.0)</f>
        <v>5000</v>
      </c>
      <c r="L135" s="1"/>
      <c r="M135" s="1"/>
      <c r="N135" s="1"/>
      <c r="O135" s="1"/>
      <c r="P135" s="1"/>
      <c r="Q135" s="1"/>
      <c r="R135" s="1"/>
      <c r="S135" s="1"/>
      <c r="T135" s="1"/>
      <c r="U135" s="1"/>
      <c r="V135" s="1"/>
      <c r="W135" s="1"/>
      <c r="X135" s="1"/>
      <c r="Y135" s="1"/>
      <c r="Z135" s="1"/>
      <c r="AA135" s="1"/>
      <c r="AB135" s="1"/>
      <c r="AC135" s="1"/>
      <c r="AD135" s="1"/>
      <c r="AE135" s="1"/>
      <c r="AF135" s="1" t="str">
        <f>IFERROR(__xludf.DUMMYFUNCTION("""COMPUTED_VALUE"""),"++X4 additional water damage for self.")</f>
        <v>++X4 additional water damage for self.</v>
      </c>
      <c r="AG135" s="1"/>
      <c r="AH135" s="1" t="b">
        <f>IFERROR(__xludf.DUMMYFUNCTION("""COMPUTED_VALUE"""),FALSE)</f>
        <v>0</v>
      </c>
    </row>
    <row r="136">
      <c r="A136" s="1" t="str">
        <f>IFERROR(__xludf.DUMMYFUNCTION("""COMPUTED_VALUE"""),"Halloween Staff")</f>
        <v>Halloween Staff</v>
      </c>
      <c r="B136" s="1" t="str">
        <f>IFERROR(__xludf.DUMMYFUNCTION("""COMPUTED_VALUE"""),"Hand")</f>
        <v>Hand</v>
      </c>
      <c r="C136" s="1" t="str">
        <f>IFERROR(__xludf.DUMMYFUNCTION("""COMPUTED_VALUE"""),"Halloween exclusive")</f>
        <v>Halloween exclusive</v>
      </c>
      <c r="D136" s="1" t="str">
        <f>IFERROR(__xludf.DUMMYFUNCTION("""COMPUTED_VALUE"""),"Staff")</f>
        <v>Staff</v>
      </c>
      <c r="E136" s="1">
        <f>IFERROR(__xludf.DUMMYFUNCTION("""COMPUTED_VALUE"""),1.0)</f>
        <v>1</v>
      </c>
      <c r="F136" s="2">
        <f>IFERROR(__xludf.DUMMYFUNCTION("""COMPUTED_VALUE"""),0.0)</f>
        <v>0</v>
      </c>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t="str">
        <f>IFERROR(__xludf.DUMMYFUNCTION("""COMPUTED_VALUE"""),"++Transform into the Headless Horseman for 3 rounds.")</f>
        <v>++Transform into the Headless Horseman for 3 rounds.</v>
      </c>
      <c r="AG136" s="1" t="str">
        <f>IFERROR(__xludf.DUMMYFUNCTION("""COMPUTED_VALUE"""),"Halloween Kingdom")</f>
        <v>Halloween Kingdom</v>
      </c>
      <c r="AH136" s="1" t="b">
        <f>IFERROR(__xludf.DUMMYFUNCTION("""COMPUTED_VALUE"""),FALSE)</f>
        <v>0</v>
      </c>
    </row>
    <row r="137">
      <c r="A137" s="1" t="str">
        <f>IFERROR(__xludf.DUMMYFUNCTION("""COMPUTED_VALUE"""),"Hammer of Chaotic Shadows")</f>
        <v>Hammer of Chaotic Shadows</v>
      </c>
      <c r="B137" s="1" t="str">
        <f>IFERROR(__xludf.DUMMYFUNCTION("""COMPUTED_VALUE"""),"Hand")</f>
        <v>Hand</v>
      </c>
      <c r="C137" s="1"/>
      <c r="D137" s="1" t="str">
        <f>IFERROR(__xludf.DUMMYFUNCTION("""COMPUTED_VALUE"""),"Club")</f>
        <v>Club</v>
      </c>
      <c r="E137" s="1">
        <f>IFERROR(__xludf.DUMMYFUNCTION("""COMPUTED_VALUE"""),300.0)</f>
        <v>300</v>
      </c>
      <c r="F137" s="2">
        <f>IFERROR(__xludf.DUMMYFUNCTION("""COMPUTED_VALUE"""),4350000.0)</f>
        <v>4350000</v>
      </c>
      <c r="G137" s="1" t="str">
        <f>IFERROR(__xludf.DUMMYFUNCTION("""COMPUTED_VALUE"""),"DMG")</f>
        <v>DMG</v>
      </c>
      <c r="H137" s="1">
        <f>IFERROR(__xludf.DUMMYFUNCTION("""COMPUTED_VALUE"""),5000.0)</f>
        <v>5000</v>
      </c>
      <c r="I137" s="1"/>
      <c r="J137" s="1"/>
      <c r="K137" s="1"/>
      <c r="L137" s="1"/>
      <c r="M137" s="1"/>
      <c r="N137" s="1"/>
      <c r="O137" s="1">
        <f>IFERROR(__xludf.DUMMYFUNCTION("""COMPUTED_VALUE"""),5000.0)</f>
        <v>5000</v>
      </c>
      <c r="P137" s="1"/>
      <c r="Q137" s="1"/>
      <c r="R137" s="1">
        <f>IFERROR(__xludf.DUMMYFUNCTION("""COMPUTED_VALUE"""),5000.0)</f>
        <v>5000</v>
      </c>
      <c r="S137" s="1"/>
      <c r="T137" s="1"/>
      <c r="U137" s="1"/>
      <c r="V137" s="1"/>
      <c r="W137" s="1"/>
      <c r="X137" s="1"/>
      <c r="Y137" s="1"/>
      <c r="Z137" s="1"/>
      <c r="AA137" s="1"/>
      <c r="AB137" s="1"/>
      <c r="AC137" s="1"/>
      <c r="AD137" s="1"/>
      <c r="AE137" s="1"/>
      <c r="AF137" s="1" t="str">
        <f>IFERROR(__xludf.DUMMYFUNCTION("""COMPUTED_VALUE"""),"++X2 Additional Dark and Chaos Damage. ")</f>
        <v>++X2 Additional Dark and Chaos Damage. </v>
      </c>
      <c r="AG137" s="1" t="str">
        <f>IFERROR(__xludf.DUMMYFUNCTION("""COMPUTED_VALUE"""),"Land of Spira")</f>
        <v>Land of Spira</v>
      </c>
      <c r="AH137" s="1" t="b">
        <f>IFERROR(__xludf.DUMMYFUNCTION("""COMPUTED_VALUE"""),FALSE)</f>
        <v>0</v>
      </c>
    </row>
    <row r="138">
      <c r="A138" s="1" t="str">
        <f>IFERROR(__xludf.DUMMYFUNCTION("""COMPUTED_VALUE"""),"Hardened Ice Sickle")</f>
        <v>Hardened Ice Sickle</v>
      </c>
      <c r="B138" s="1" t="str">
        <f>IFERROR(__xludf.DUMMYFUNCTION("""COMPUTED_VALUE"""),"Hand")</f>
        <v>Hand</v>
      </c>
      <c r="C138" s="1" t="str">
        <f>IFERROR(__xludf.DUMMYFUNCTION("""COMPUTED_VALUE"""),"Event Exclusive")</f>
        <v>Event Exclusive</v>
      </c>
      <c r="D138" s="1" t="str">
        <f>IFERROR(__xludf.DUMMYFUNCTION("""COMPUTED_VALUE"""),"Knife")</f>
        <v>Knife</v>
      </c>
      <c r="E138" s="1">
        <f>IFERROR(__xludf.DUMMYFUNCTION("""COMPUTED_VALUE"""),200.0)</f>
        <v>200</v>
      </c>
      <c r="F138" s="2">
        <f>IFERROR(__xludf.DUMMYFUNCTION("""COMPUTED_VALUE"""),1900000.0)</f>
        <v>1900000</v>
      </c>
      <c r="G138" s="1" t="str">
        <f>IFERROR(__xludf.DUMMYFUNCTION("""COMPUTED_VALUE"""),"DMG")</f>
        <v>DMG</v>
      </c>
      <c r="H138" s="1">
        <f>IFERROR(__xludf.DUMMYFUNCTION("""COMPUTED_VALUE"""),5000.0)</f>
        <v>5000</v>
      </c>
      <c r="I138" s="1"/>
      <c r="J138" s="1"/>
      <c r="K138" s="1">
        <f>IFERROR(__xludf.DUMMYFUNCTION("""COMPUTED_VALUE"""),5000.0)</f>
        <v>5000</v>
      </c>
      <c r="L138" s="1"/>
      <c r="M138" s="1"/>
      <c r="N138" s="1"/>
      <c r="O138" s="1"/>
      <c r="P138" s="1"/>
      <c r="Q138" s="1"/>
      <c r="R138" s="1"/>
      <c r="S138" s="1"/>
      <c r="T138" s="1"/>
      <c r="U138" s="1"/>
      <c r="V138" s="1"/>
      <c r="W138" s="1"/>
      <c r="X138" s="1"/>
      <c r="Y138" s="1"/>
      <c r="Z138" s="1"/>
      <c r="AA138" s="1"/>
      <c r="AB138" s="1"/>
      <c r="AC138" s="1"/>
      <c r="AD138" s="1"/>
      <c r="AE138" s="1"/>
      <c r="AF138" s="1" t="str">
        <f>IFERROR(__xludf.DUMMYFUNCTION("""COMPUTED_VALUE"""),"++75% chance to freeze the target.")</f>
        <v>++75% chance to freeze the target.</v>
      </c>
      <c r="AG138" s="1" t="str">
        <f>IFERROR(__xludf.DUMMYFUNCTION("""COMPUTED_VALUE"""),"Land of Spira")</f>
        <v>Land of Spira</v>
      </c>
      <c r="AH138" s="1" t="b">
        <f>IFERROR(__xludf.DUMMYFUNCTION("""COMPUTED_VALUE"""),TRUE)</f>
        <v>1</v>
      </c>
    </row>
    <row r="139">
      <c r="A139" s="1" t="str">
        <f>IFERROR(__xludf.DUMMYFUNCTION("""COMPUTED_VALUE"""),"Haunted Katana")</f>
        <v>Haunted Katana</v>
      </c>
      <c r="B139" s="1" t="str">
        <f>IFERROR(__xludf.DUMMYFUNCTION("""COMPUTED_VALUE"""),"Hand")</f>
        <v>Hand</v>
      </c>
      <c r="C139" s="1"/>
      <c r="D139" s="1" t="str">
        <f>IFERROR(__xludf.DUMMYFUNCTION("""COMPUTED_VALUE"""),"Sword")</f>
        <v>Sword</v>
      </c>
      <c r="E139" s="1">
        <f>IFERROR(__xludf.DUMMYFUNCTION("""COMPUTED_VALUE"""),600.0)</f>
        <v>600</v>
      </c>
      <c r="F139" s="2">
        <f>IFERROR(__xludf.DUMMYFUNCTION("""COMPUTED_VALUE"""),1.77E7)</f>
        <v>17700000</v>
      </c>
      <c r="G139" s="1" t="str">
        <f>IFERROR(__xludf.DUMMYFUNCTION("""COMPUTED_VALUE"""),"DMG")</f>
        <v>DMG</v>
      </c>
      <c r="H139" s="3">
        <f>IFERROR(__xludf.DUMMYFUNCTION("""COMPUTED_VALUE"""),10000.0)</f>
        <v>10000</v>
      </c>
      <c r="I139" s="1"/>
      <c r="J139" s="1"/>
      <c r="K139" s="1"/>
      <c r="L139" s="1"/>
      <c r="M139" s="1"/>
      <c r="N139" s="1"/>
      <c r="O139" s="3">
        <f>IFERROR(__xludf.DUMMYFUNCTION("""COMPUTED_VALUE"""),10000.0)</f>
        <v>10000</v>
      </c>
      <c r="P139" s="3">
        <f>IFERROR(__xludf.DUMMYFUNCTION("""COMPUTED_VALUE"""),10000.0)</f>
        <v>10000</v>
      </c>
      <c r="Q139" s="1"/>
      <c r="R139" s="1"/>
      <c r="S139" s="1"/>
      <c r="T139" s="1"/>
      <c r="U139" s="1"/>
      <c r="V139" s="1"/>
      <c r="W139" s="1"/>
      <c r="X139" s="1"/>
      <c r="Y139" s="1"/>
      <c r="Z139" s="1"/>
      <c r="AA139" s="1"/>
      <c r="AB139" s="1"/>
      <c r="AC139" s="1"/>
      <c r="AD139" s="1"/>
      <c r="AE139" s="1"/>
      <c r="AF139" s="1" t="str">
        <f>IFERROR(__xludf.DUMMYFUNCTION("""COMPUTED_VALUE"""),"+-You go last during the turn order in battle.. ")</f>
        <v>+-You go last during the turn order in battle.. </v>
      </c>
      <c r="AG139" s="1" t="str">
        <f>IFERROR(__xludf.DUMMYFUNCTION("""COMPUTED_VALUE"""),"Land of Spira")</f>
        <v>Land of Spira</v>
      </c>
      <c r="AH139" s="1" t="b">
        <f>IFERROR(__xludf.DUMMYFUNCTION("""COMPUTED_VALUE"""),FALSE)</f>
        <v>0</v>
      </c>
    </row>
    <row r="140">
      <c r="A140" s="1" t="str">
        <f>IFERROR(__xludf.DUMMYFUNCTION("""COMPUTED_VALUE"""),"Haunted King's Favorite Shield")</f>
        <v>Haunted King's Favorite Shield</v>
      </c>
      <c r="B140" s="1" t="str">
        <f>IFERROR(__xludf.DUMMYFUNCTION("""COMPUTED_VALUE"""),"Hand")</f>
        <v>Hand</v>
      </c>
      <c r="C140" s="1" t="str">
        <f>IFERROR(__xludf.DUMMYFUNCTION("""COMPUTED_VALUE"""),"Halloween exclusive")</f>
        <v>Halloween exclusive</v>
      </c>
      <c r="D140" s="1" t="str">
        <f>IFERROR(__xludf.DUMMYFUNCTION("""COMPUTED_VALUE"""),"Towershield")</f>
        <v>Towershield</v>
      </c>
      <c r="E140" s="1">
        <f>IFERROR(__xludf.DUMMYFUNCTION("""COMPUTED_VALUE"""),20.0)</f>
        <v>20</v>
      </c>
      <c r="F140" s="2">
        <f>IFERROR(__xludf.DUMMYFUNCTION("""COMPUTED_VALUE"""),10000.0)</f>
        <v>10000</v>
      </c>
      <c r="G140" s="1" t="str">
        <f>IFERROR(__xludf.DUMMYFUNCTION("""COMPUTED_VALUE"""),"DEF")</f>
        <v>DEF</v>
      </c>
      <c r="H140" s="1">
        <f>IFERROR(__xludf.DUMMYFUNCTION("""COMPUTED_VALUE"""),1000.0)</f>
        <v>1000</v>
      </c>
      <c r="I140" s="1"/>
      <c r="J140" s="1"/>
      <c r="K140" s="1"/>
      <c r="L140" s="1"/>
      <c r="M140" s="1"/>
      <c r="N140" s="1"/>
      <c r="O140" s="1"/>
      <c r="P140" s="1"/>
      <c r="Q140" s="1"/>
      <c r="R140" s="1"/>
      <c r="S140" s="1"/>
      <c r="T140" s="1"/>
      <c r="U140" s="1"/>
      <c r="V140" s="1"/>
      <c r="W140" s="1"/>
      <c r="X140" s="1"/>
      <c r="Y140" s="1"/>
      <c r="Z140" s="1"/>
      <c r="AA140" s="1"/>
      <c r="AB140" s="1"/>
      <c r="AC140" s="1"/>
      <c r="AD140" s="1"/>
      <c r="AE140" s="1"/>
      <c r="AF140" s="1" t="str">
        <f>IFERROR(__xludf.DUMMYFUNCTION("""COMPUTED_VALUE"""),"++Great Block - When attacked you will take no damage until your next turn, Costs All SP and sets Users HP to 1.")</f>
        <v>++Great Block - When attacked you will take no damage until your next turn, Costs All SP and sets Users HP to 1.</v>
      </c>
      <c r="AG140" s="1" t="str">
        <f>IFERROR(__xludf.DUMMYFUNCTION("""COMPUTED_VALUE"""),"Land of Spira")</f>
        <v>Land of Spira</v>
      </c>
      <c r="AH140" s="1" t="b">
        <f>IFERROR(__xludf.DUMMYFUNCTION("""COMPUTED_VALUE"""),FALSE)</f>
        <v>0</v>
      </c>
    </row>
    <row r="141">
      <c r="A141" s="1" t="str">
        <f>IFERROR(__xludf.DUMMYFUNCTION("""COMPUTED_VALUE"""),"Haunted King's Favorite Sword")</f>
        <v>Haunted King's Favorite Sword</v>
      </c>
      <c r="B141" s="1" t="str">
        <f>IFERROR(__xludf.DUMMYFUNCTION("""COMPUTED_VALUE"""),"Hand")</f>
        <v>Hand</v>
      </c>
      <c r="C141" s="1" t="str">
        <f>IFERROR(__xludf.DUMMYFUNCTION("""COMPUTED_VALUE"""),"Halloween exclusive")</f>
        <v>Halloween exclusive</v>
      </c>
      <c r="D141" s="1" t="str">
        <f>IFERROR(__xludf.DUMMYFUNCTION("""COMPUTED_VALUE"""),"Sword")</f>
        <v>Sword</v>
      </c>
      <c r="E141" s="1">
        <f>IFERROR(__xludf.DUMMYFUNCTION("""COMPUTED_VALUE"""),60.0)</f>
        <v>60</v>
      </c>
      <c r="F141" s="2">
        <f>IFERROR(__xludf.DUMMYFUNCTION("""COMPUTED_VALUE"""),150000.0)</f>
        <v>150000</v>
      </c>
      <c r="G141" s="1" t="str">
        <f>IFERROR(__xludf.DUMMYFUNCTION("""COMPUTED_VALUE"""),"DMG")</f>
        <v>DMG</v>
      </c>
      <c r="H141" s="1">
        <f>IFERROR(__xludf.DUMMYFUNCTION("""COMPUTED_VALUE"""),3000.0)</f>
        <v>3000</v>
      </c>
      <c r="I141" s="1"/>
      <c r="J141" s="1"/>
      <c r="K141" s="1"/>
      <c r="L141" s="1"/>
      <c r="M141" s="1"/>
      <c r="N141" s="1"/>
      <c r="O141" s="1"/>
      <c r="P141" s="1"/>
      <c r="Q141" s="1"/>
      <c r="R141" s="1"/>
      <c r="S141" s="1"/>
      <c r="T141" s="1"/>
      <c r="U141" s="1"/>
      <c r="V141" s="1"/>
      <c r="W141" s="1"/>
      <c r="X141" s="1"/>
      <c r="Y141" s="1"/>
      <c r="Z141" s="1"/>
      <c r="AA141" s="1"/>
      <c r="AB141" s="1"/>
      <c r="AC141" s="1"/>
      <c r="AD141" s="1"/>
      <c r="AE141" s="1"/>
      <c r="AF141" s="1" t="str">
        <f>IFERROR(__xludf.DUMMYFUNCTION("""COMPUTED_VALUE"""),"++Piercing Strike - Ignores all Def when attacking with this weapon ++gain 1000 SP upon a successful hit. +-Cannot be duplicated")</f>
        <v>++Piercing Strike - Ignores all Def when attacking with this weapon ++gain 1000 SP upon a successful hit. +-Cannot be duplicated</v>
      </c>
      <c r="AG141" s="1" t="str">
        <f>IFERROR(__xludf.DUMMYFUNCTION("""COMPUTED_VALUE"""),"Land of Spira")</f>
        <v>Land of Spira</v>
      </c>
      <c r="AH141" s="1" t="b">
        <f>IFERROR(__xludf.DUMMYFUNCTION("""COMPUTED_VALUE"""),FALSE)</f>
        <v>0</v>
      </c>
    </row>
    <row r="142">
      <c r="A142" s="1" t="str">
        <f>IFERROR(__xludf.DUMMYFUNCTION("""COMPUTED_VALUE"""),"Heatmore Flame Golem Head")</f>
        <v>Heatmore Flame Golem Head</v>
      </c>
      <c r="B142" s="1" t="str">
        <f>IFERROR(__xludf.DUMMYFUNCTION("""COMPUTED_VALUE"""),"Head")</f>
        <v>Head</v>
      </c>
      <c r="C142" s="1"/>
      <c r="D142" s="1"/>
      <c r="E142" s="1">
        <f>IFERROR(__xludf.DUMMYFUNCTION("""COMPUTED_VALUE"""),300.0)</f>
        <v>300</v>
      </c>
      <c r="F142" s="2">
        <f>IFERROR(__xludf.DUMMYFUNCTION("""COMPUTED_VALUE"""),4350000.0)</f>
        <v>4350000</v>
      </c>
      <c r="G142" s="1" t="str">
        <f>IFERROR(__xludf.DUMMYFUNCTION("""COMPUTED_VALUE"""),"DEF")</f>
        <v>DEF</v>
      </c>
      <c r="H142" s="1">
        <f>IFERROR(__xludf.DUMMYFUNCTION("""COMPUTED_VALUE"""),5000.0)</f>
        <v>5000</v>
      </c>
      <c r="I142" s="1">
        <f>IFERROR(__xludf.DUMMYFUNCTION("""COMPUTED_VALUE"""),5000.0)</f>
        <v>5000</v>
      </c>
      <c r="J142" s="1"/>
      <c r="K142" s="1"/>
      <c r="L142" s="1"/>
      <c r="M142" s="1">
        <f>IFERROR(__xludf.DUMMYFUNCTION("""COMPUTED_VALUE"""),5000.0)</f>
        <v>5000</v>
      </c>
      <c r="N142" s="1"/>
      <c r="O142" s="1"/>
      <c r="P142" s="1"/>
      <c r="Q142" s="1"/>
      <c r="R142" s="1"/>
      <c r="S142" s="1"/>
      <c r="T142" s="1"/>
      <c r="U142" s="1"/>
      <c r="V142" s="1"/>
      <c r="W142" s="1"/>
      <c r="X142" s="1"/>
      <c r="Y142" s="1"/>
      <c r="Z142" s="1"/>
      <c r="AA142" s="1"/>
      <c r="AB142" s="1"/>
      <c r="AC142" s="1"/>
      <c r="AD142" s="1"/>
      <c r="AE142" s="1"/>
      <c r="AF142" s="1" t="str">
        <f>IFERROR(__xludf.DUMMYFUNCTION("""COMPUTED_VALUE"""),"++X2 additional Earth and Fire Resistance.")</f>
        <v>++X2 additional Earth and Fire Resistance.</v>
      </c>
      <c r="AG142" s="1" t="str">
        <f>IFERROR(__xludf.DUMMYFUNCTION("""COMPUTED_VALUE"""),"Land of Spira")</f>
        <v>Land of Spira</v>
      </c>
      <c r="AH142" s="1" t="b">
        <f>IFERROR(__xludf.DUMMYFUNCTION("""COMPUTED_VALUE"""),FALSE)</f>
        <v>0</v>
      </c>
    </row>
    <row r="143">
      <c r="A143" s="1" t="str">
        <f>IFERROR(__xludf.DUMMYFUNCTION("""COMPUTED_VALUE"""),"Helmet of Darkness")</f>
        <v>Helmet of Darkness</v>
      </c>
      <c r="B143" s="1" t="str">
        <f>IFERROR(__xludf.DUMMYFUNCTION("""COMPUTED_VALUE"""),"Head")</f>
        <v>Head</v>
      </c>
      <c r="C143" s="1"/>
      <c r="D143" s="1"/>
      <c r="E143" s="1">
        <f>IFERROR(__xludf.DUMMYFUNCTION("""COMPUTED_VALUE"""),400.0)</f>
        <v>400</v>
      </c>
      <c r="F143" s="2">
        <f>IFERROR(__xludf.DUMMYFUNCTION("""COMPUTED_VALUE"""),7800000.0)</f>
        <v>7800000</v>
      </c>
      <c r="G143" s="1" t="str">
        <f>IFERROR(__xludf.DUMMYFUNCTION("""COMPUTED_VALUE"""),"DEF")</f>
        <v>DEF</v>
      </c>
      <c r="H143" s="3">
        <f>IFERROR(__xludf.DUMMYFUNCTION("""COMPUTED_VALUE"""),10000.0)</f>
        <v>10000</v>
      </c>
      <c r="I143" s="1"/>
      <c r="J143" s="1"/>
      <c r="K143" s="1"/>
      <c r="L143" s="1"/>
      <c r="M143" s="1"/>
      <c r="N143" s="1"/>
      <c r="O143" s="3">
        <f>IFERROR(__xludf.DUMMYFUNCTION("""COMPUTED_VALUE"""),10000.0)</f>
        <v>10000</v>
      </c>
      <c r="P143" s="1"/>
      <c r="Q143" s="1"/>
      <c r="R143" s="1"/>
      <c r="S143" s="1"/>
      <c r="T143" s="1"/>
      <c r="U143" s="1"/>
      <c r="V143" s="1"/>
      <c r="W143" s="1"/>
      <c r="X143" s="1"/>
      <c r="Y143" s="1"/>
      <c r="Z143" s="1"/>
      <c r="AA143" s="1"/>
      <c r="AB143" s="1"/>
      <c r="AC143" s="1"/>
      <c r="AD143" s="1"/>
      <c r="AE143" s="1"/>
      <c r="AF143" s="1" t="str">
        <f>IFERROR(__xludf.DUMMYFUNCTION("""COMPUTED_VALUE"""),"++Immunity to Dark damage.")</f>
        <v>++Immunity to Dark damage.</v>
      </c>
      <c r="AG143" s="1" t="str">
        <f>IFERROR(__xludf.DUMMYFUNCTION("""COMPUTED_VALUE"""),"Land of Spira")</f>
        <v>Land of Spira</v>
      </c>
      <c r="AH143" s="1" t="b">
        <f>IFERROR(__xludf.DUMMYFUNCTION("""COMPUTED_VALUE"""),FALSE)</f>
        <v>0</v>
      </c>
    </row>
    <row r="144">
      <c r="A144" s="1" t="str">
        <f>IFERROR(__xludf.DUMMYFUNCTION("""COMPUTED_VALUE"""),"Helmet of Waking Waters")</f>
        <v>Helmet of Waking Waters</v>
      </c>
      <c r="B144" s="1" t="str">
        <f>IFERROR(__xludf.DUMMYFUNCTION("""COMPUTED_VALUE"""),"Head")</f>
        <v>Head</v>
      </c>
      <c r="C144" s="1"/>
      <c r="D144" s="1"/>
      <c r="E144" s="1">
        <f>IFERROR(__xludf.DUMMYFUNCTION("""COMPUTED_VALUE"""),200.0)</f>
        <v>200</v>
      </c>
      <c r="F144" s="2">
        <f>IFERROR(__xludf.DUMMYFUNCTION("""COMPUTED_VALUE"""),1900000.0)</f>
        <v>1900000</v>
      </c>
      <c r="G144" s="1" t="str">
        <f>IFERROR(__xludf.DUMMYFUNCTION("""COMPUTED_VALUE"""),"DEF")</f>
        <v>DEF</v>
      </c>
      <c r="H144" s="1">
        <f>IFERROR(__xludf.DUMMYFUNCTION("""COMPUTED_VALUE"""),5000.0)</f>
        <v>5000</v>
      </c>
      <c r="I144" s="1"/>
      <c r="J144" s="1"/>
      <c r="K144" s="1">
        <f>IFERROR(__xludf.DUMMYFUNCTION("""COMPUTED_VALUE"""),5000.0)</f>
        <v>5000</v>
      </c>
      <c r="L144" s="1"/>
      <c r="M144" s="1"/>
      <c r="N144" s="1"/>
      <c r="O144" s="1"/>
      <c r="P144" s="1"/>
      <c r="Q144" s="1"/>
      <c r="R144" s="1"/>
      <c r="S144" s="1"/>
      <c r="T144" s="1"/>
      <c r="U144" s="1"/>
      <c r="V144" s="1"/>
      <c r="W144" s="1"/>
      <c r="X144" s="1"/>
      <c r="Y144" s="1"/>
      <c r="Z144" s="1"/>
      <c r="AA144" s="1"/>
      <c r="AB144" s="1"/>
      <c r="AC144" s="1"/>
      <c r="AD144" s="1"/>
      <c r="AE144" s="1"/>
      <c r="AF144" s="1" t="str">
        <f>IFERROR(__xludf.DUMMYFUNCTION("""COMPUTED_VALUE"""),"++X4 additional water damage.")</f>
        <v>++X4 additional water damage.</v>
      </c>
      <c r="AG144" s="1" t="str">
        <f>IFERROR(__xludf.DUMMYFUNCTION("""COMPUTED_VALUE"""),"Land of Spira")</f>
        <v>Land of Spira</v>
      </c>
      <c r="AH144" s="1" t="b">
        <f>IFERROR(__xludf.DUMMYFUNCTION("""COMPUTED_VALUE"""),FALSE)</f>
        <v>0</v>
      </c>
    </row>
    <row r="145">
      <c r="A145" s="1" t="str">
        <f>IFERROR(__xludf.DUMMYFUNCTION("""COMPUTED_VALUE"""),"High Range Bow")</f>
        <v>High Range Bow</v>
      </c>
      <c r="B145" s="1" t="str">
        <f>IFERROR(__xludf.DUMMYFUNCTION("""COMPUTED_VALUE"""),"Hand")</f>
        <v>Hand</v>
      </c>
      <c r="C145" s="1"/>
      <c r="D145" s="1" t="str">
        <f>IFERROR(__xludf.DUMMYFUNCTION("""COMPUTED_VALUE"""),"Bow")</f>
        <v>Bow</v>
      </c>
      <c r="E145" s="1">
        <f>IFERROR(__xludf.DUMMYFUNCTION("""COMPUTED_VALUE"""),10.0)</f>
        <v>10</v>
      </c>
      <c r="F145" s="2">
        <f>IFERROR(__xludf.DUMMYFUNCTION("""COMPUTED_VALUE"""),1000.0)</f>
        <v>1000</v>
      </c>
      <c r="G145" s="1" t="str">
        <f>IFERROR(__xludf.DUMMYFUNCTION("""COMPUTED_VALUE"""),"DMG")</f>
        <v>DMG</v>
      </c>
      <c r="H145" s="1">
        <f>IFERROR(__xludf.DUMMYFUNCTION("""COMPUTED_VALUE"""),500.0)</f>
        <v>500</v>
      </c>
      <c r="I145" s="1"/>
      <c r="J145" s="1"/>
      <c r="K145" s="1"/>
      <c r="L145" s="1"/>
      <c r="M145" s="1"/>
      <c r="N145" s="1"/>
      <c r="O145" s="1"/>
      <c r="P145" s="1"/>
      <c r="Q145" s="1"/>
      <c r="R145" s="1"/>
      <c r="S145" s="1"/>
      <c r="T145" s="1"/>
      <c r="U145" s="1"/>
      <c r="V145" s="1"/>
      <c r="W145" s="1"/>
      <c r="X145" s="1"/>
      <c r="Y145" s="1"/>
      <c r="Z145" s="1"/>
      <c r="AA145" s="1"/>
      <c r="AB145" s="1"/>
      <c r="AC145" s="1"/>
      <c r="AD145" s="1"/>
      <c r="AE145" s="1"/>
      <c r="AF145" s="1" t="str">
        <f>IFERROR(__xludf.DUMMYFUNCTION("""COMPUTED_VALUE"""),"++Hawkeye: X2 more arrow damage and ranged attacks deal half damage that are dealt to the wearer. ")</f>
        <v>++Hawkeye: X2 more arrow damage and ranged attacks deal half damage that are dealt to the wearer. </v>
      </c>
      <c r="AG145" s="1" t="str">
        <f>IFERROR(__xludf.DUMMYFUNCTION("""COMPUTED_VALUE"""),"Land of Spira")</f>
        <v>Land of Spira</v>
      </c>
      <c r="AH145" s="1" t="b">
        <f>IFERROR(__xludf.DUMMYFUNCTION("""COMPUTED_VALUE"""),FALSE)</f>
        <v>0</v>
      </c>
    </row>
    <row r="146">
      <c r="A146" s="1" t="str">
        <f>IFERROR(__xludf.DUMMYFUNCTION("""COMPUTED_VALUE"""),"Horn of The Forgotten")</f>
        <v>Horn of The Forgotten</v>
      </c>
      <c r="B146" s="1" t="str">
        <f>IFERROR(__xludf.DUMMYFUNCTION("""COMPUTED_VALUE"""),"Hand")</f>
        <v>Hand</v>
      </c>
      <c r="C146" s="1"/>
      <c r="D146" s="1" t="str">
        <f>IFERROR(__xludf.DUMMYFUNCTION("""COMPUTED_VALUE"""),"Wand")</f>
        <v>Wand</v>
      </c>
      <c r="E146" s="1">
        <f>IFERROR(__xludf.DUMMYFUNCTION("""COMPUTED_VALUE"""),1.0)</f>
        <v>1</v>
      </c>
      <c r="F146" s="2">
        <f>IFERROR(__xludf.DUMMYFUNCTION("""COMPUTED_VALUE"""),0.0)</f>
        <v>0</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t="str">
        <f>IFERROR(__xludf.DUMMYFUNCTION("""COMPUTED_VALUE"""),"++Calls upon a lost soul to aid you in battle. The lost soul increases your max health defence and attack by double its original for the rest of battle. +-Can only be used once per battle. +-Cannot be duplicated")</f>
        <v>++Calls upon a lost soul to aid you in battle. The lost soul increases your max health defence and attack by double its original for the rest of battle. +-Can only be used once per battle. +-Cannot be duplicated</v>
      </c>
      <c r="AG146" s="1" t="str">
        <f>IFERROR(__xludf.DUMMYFUNCTION("""COMPUTED_VALUE"""),"Abstara")</f>
        <v>Abstara</v>
      </c>
      <c r="AH146" s="1" t="b">
        <f>IFERROR(__xludf.DUMMYFUNCTION("""COMPUTED_VALUE"""),FALSE)</f>
        <v>0</v>
      </c>
    </row>
    <row r="147">
      <c r="A147" s="1" t="str">
        <f>IFERROR(__xludf.DUMMYFUNCTION("""COMPUTED_VALUE"""),"Houyi's Bow")</f>
        <v>Houyi's Bow</v>
      </c>
      <c r="B147" s="1" t="str">
        <f>IFERROR(__xludf.DUMMYFUNCTION("""COMPUTED_VALUE"""),"Hand")</f>
        <v>Hand</v>
      </c>
      <c r="C147" s="1"/>
      <c r="D147" s="1" t="str">
        <f>IFERROR(__xludf.DUMMYFUNCTION("""COMPUTED_VALUE"""),"Bow")</f>
        <v>Bow</v>
      </c>
      <c r="E147" s="1">
        <f>IFERROR(__xludf.DUMMYFUNCTION("""COMPUTED_VALUE"""),400.0)</f>
        <v>400</v>
      </c>
      <c r="F147" s="2">
        <f>IFERROR(__xludf.DUMMYFUNCTION("""COMPUTED_VALUE"""),7800000.0)</f>
        <v>7800000</v>
      </c>
      <c r="G147" s="1" t="str">
        <f>IFERROR(__xludf.DUMMYFUNCTION("""COMPUTED_VALUE"""),"DMG")</f>
        <v>DMG</v>
      </c>
      <c r="H147" s="3">
        <f>IFERROR(__xludf.DUMMYFUNCTION("""COMPUTED_VALUE"""),20000.0)</f>
        <v>20000</v>
      </c>
      <c r="I147" s="1"/>
      <c r="J147" s="1"/>
      <c r="K147" s="1"/>
      <c r="L147" s="1"/>
      <c r="M147" s="1"/>
      <c r="N147" s="1"/>
      <c r="O147" s="1"/>
      <c r="P147" s="1"/>
      <c r="Q147" s="1"/>
      <c r="R147" s="1"/>
      <c r="S147" s="1"/>
      <c r="T147" s="1"/>
      <c r="U147" s="1"/>
      <c r="V147" s="1"/>
      <c r="W147" s="1"/>
      <c r="X147" s="1"/>
      <c r="Y147" s="1"/>
      <c r="Z147" s="1"/>
      <c r="AA147" s="1"/>
      <c r="AB147" s="1"/>
      <c r="AC147" s="1"/>
      <c r="AD147" s="1"/>
      <c r="AE147" s="1"/>
      <c r="AF147" s="1" t="str">
        <f>IFERROR(__xludf.DUMMYFUNCTION("""COMPUTED_VALUE"""),"++Skill Shot - gives the wielder X2 accuracy and X2 damage for bows.")</f>
        <v>++Skill Shot - gives the wielder X2 accuracy and X2 damage for bows.</v>
      </c>
      <c r="AG147" s="1" t="str">
        <f>IFERROR(__xludf.DUMMYFUNCTION("""COMPUTED_VALUE"""),"Land of Spira")</f>
        <v>Land of Spira</v>
      </c>
      <c r="AH147" s="1" t="b">
        <f>IFERROR(__xludf.DUMMYFUNCTION("""COMPUTED_VALUE"""),FALSE)</f>
        <v>0</v>
      </c>
    </row>
    <row r="148">
      <c r="A148" s="1" t="str">
        <f>IFERROR(__xludf.DUMMYFUNCTION("""COMPUTED_VALUE"""),"Ice Blade")</f>
        <v>Ice Blade</v>
      </c>
      <c r="B148" s="1" t="str">
        <f>IFERROR(__xludf.DUMMYFUNCTION("""COMPUTED_VALUE"""),"Hand")</f>
        <v>Hand</v>
      </c>
      <c r="C148" s="1"/>
      <c r="D148" s="1" t="str">
        <f>IFERROR(__xludf.DUMMYFUNCTION("""COMPUTED_VALUE"""),"Sword")</f>
        <v>Sword</v>
      </c>
      <c r="E148" s="1">
        <f>IFERROR(__xludf.DUMMYFUNCTION("""COMPUTED_VALUE"""),100.0)</f>
        <v>100</v>
      </c>
      <c r="F148" s="2">
        <f>IFERROR(__xludf.DUMMYFUNCTION("""COMPUTED_VALUE"""),450000.0)</f>
        <v>450000</v>
      </c>
      <c r="G148" s="1" t="str">
        <f>IFERROR(__xludf.DUMMYFUNCTION("""COMPUTED_VALUE"""),"DMG")</f>
        <v>DMG</v>
      </c>
      <c r="H148" s="1">
        <f>IFERROR(__xludf.DUMMYFUNCTION("""COMPUTED_VALUE"""),2000.0)</f>
        <v>2000</v>
      </c>
      <c r="I148" s="1"/>
      <c r="J148" s="1"/>
      <c r="K148" s="1">
        <f>IFERROR(__xludf.DUMMYFUNCTION("""COMPUTED_VALUE"""),3000.0)</f>
        <v>3000</v>
      </c>
      <c r="L148" s="1"/>
      <c r="M148" s="1"/>
      <c r="N148" s="1"/>
      <c r="O148" s="1"/>
      <c r="P148" s="1"/>
      <c r="Q148" s="1"/>
      <c r="R148" s="1"/>
      <c r="S148" s="1"/>
      <c r="T148" s="1"/>
      <c r="U148" s="1"/>
      <c r="V148" s="1"/>
      <c r="W148" s="1"/>
      <c r="X148" s="1"/>
      <c r="Y148" s="1"/>
      <c r="Z148" s="1"/>
      <c r="AA148" s="1"/>
      <c r="AB148" s="1"/>
      <c r="AC148" s="1"/>
      <c r="AD148" s="1"/>
      <c r="AE148" s="1"/>
      <c r="AF148" s="1" t="str">
        <f>IFERROR(__xludf.DUMMYFUNCTION("""COMPUTED_VALUE"""),"++50% chance to freeze the target.")</f>
        <v>++50% chance to freeze the target.</v>
      </c>
      <c r="AG148" s="1" t="str">
        <f>IFERROR(__xludf.DUMMYFUNCTION("""COMPUTED_VALUE"""),"Land of Spira")</f>
        <v>Land of Spira</v>
      </c>
      <c r="AH148" s="1" t="b">
        <f>IFERROR(__xludf.DUMMYFUNCTION("""COMPUTED_VALUE"""),FALSE)</f>
        <v>0</v>
      </c>
    </row>
    <row r="149">
      <c r="A149" s="1" t="str">
        <f>IFERROR(__xludf.DUMMYFUNCTION("""COMPUTED_VALUE"""),"Inferno Staff")</f>
        <v>Inferno Staff</v>
      </c>
      <c r="B149" s="1" t="str">
        <f>IFERROR(__xludf.DUMMYFUNCTION("""COMPUTED_VALUE"""),"Hand")</f>
        <v>Hand</v>
      </c>
      <c r="C149" s="1"/>
      <c r="D149" s="1" t="str">
        <f>IFERROR(__xludf.DUMMYFUNCTION("""COMPUTED_VALUE"""),"Staff")</f>
        <v>Staff</v>
      </c>
      <c r="E149" s="1">
        <f>IFERROR(__xludf.DUMMYFUNCTION("""COMPUTED_VALUE"""),200.0)</f>
        <v>200</v>
      </c>
      <c r="F149" s="2">
        <f>IFERROR(__xludf.DUMMYFUNCTION("""COMPUTED_VALUE"""),1900000.0)</f>
        <v>1900000</v>
      </c>
      <c r="G149" s="1"/>
      <c r="H149" s="1"/>
      <c r="I149" s="3">
        <f>IFERROR(__xludf.DUMMYFUNCTION("""COMPUTED_VALUE"""),10000.0)</f>
        <v>10000</v>
      </c>
      <c r="J149" s="1"/>
      <c r="K149" s="1"/>
      <c r="L149" s="1"/>
      <c r="M149" s="1"/>
      <c r="N149" s="1"/>
      <c r="O149" s="1"/>
      <c r="P149" s="1"/>
      <c r="Q149" s="1"/>
      <c r="R149" s="1"/>
      <c r="S149" s="1"/>
      <c r="T149" s="1"/>
      <c r="U149" s="1"/>
      <c r="V149" s="1"/>
      <c r="W149" s="1"/>
      <c r="X149" s="1"/>
      <c r="Y149" s="1"/>
      <c r="Z149" s="1"/>
      <c r="AA149" s="1"/>
      <c r="AB149" s="1"/>
      <c r="AC149" s="1"/>
      <c r="AD149" s="1"/>
      <c r="AE149" s="1"/>
      <c r="AF149" s="1" t="str">
        <f>IFERROR(__xludf.DUMMYFUNCTION("""COMPUTED_VALUE"""),"++Burn 10,000 to 1 target for 3 rounds. 100sp.")</f>
        <v>++Burn 10,000 to 1 target for 3 rounds. 100sp.</v>
      </c>
      <c r="AG149" s="1" t="str">
        <f>IFERROR(__xludf.DUMMYFUNCTION("""COMPUTED_VALUE"""),"Land of Spira")</f>
        <v>Land of Spira</v>
      </c>
      <c r="AH149" s="1" t="b">
        <f>IFERROR(__xludf.DUMMYFUNCTION("""COMPUTED_VALUE"""),FALSE)</f>
        <v>0</v>
      </c>
    </row>
    <row r="150">
      <c r="A150" s="1" t="str">
        <f>IFERROR(__xludf.DUMMYFUNCTION("""COMPUTED_VALUE"""),"Jack's Special Archer Robe")</f>
        <v>Jack's Special Archer Robe</v>
      </c>
      <c r="B150" s="1" t="str">
        <f>IFERROR(__xludf.DUMMYFUNCTION("""COMPUTED_VALUE"""),"Torso")</f>
        <v>Torso</v>
      </c>
      <c r="C150" s="1" t="str">
        <f>IFERROR(__xludf.DUMMYFUNCTION("""COMPUTED_VALUE"""),"Halloween exclusive")</f>
        <v>Halloween exclusive</v>
      </c>
      <c r="D150" s="1"/>
      <c r="E150" s="1">
        <f>IFERROR(__xludf.DUMMYFUNCTION("""COMPUTED_VALUE"""),20.0)</f>
        <v>20</v>
      </c>
      <c r="F150" s="2">
        <f>IFERROR(__xludf.DUMMYFUNCTION("""COMPUTED_VALUE"""),1000.0)</f>
        <v>1000</v>
      </c>
      <c r="G150" s="1" t="str">
        <f>IFERROR(__xludf.DUMMYFUNCTION("""COMPUTED_VALUE"""),"DEF")</f>
        <v>DEF</v>
      </c>
      <c r="H150" s="1">
        <f>IFERROR(__xludf.DUMMYFUNCTION("""COMPUTED_VALUE"""),900.0)</f>
        <v>900</v>
      </c>
      <c r="I150" s="1"/>
      <c r="J150" s="1"/>
      <c r="K150" s="1"/>
      <c r="L150" s="1"/>
      <c r="M150" s="1"/>
      <c r="N150" s="1"/>
      <c r="O150" s="1"/>
      <c r="P150" s="1"/>
      <c r="Q150" s="1"/>
      <c r="R150" s="1"/>
      <c r="S150" s="1"/>
      <c r="T150" s="1"/>
      <c r="U150" s="1"/>
      <c r="V150" s="1"/>
      <c r="W150" s="1"/>
      <c r="X150" s="1"/>
      <c r="Y150" s="1"/>
      <c r="Z150" s="1"/>
      <c r="AA150" s="1"/>
      <c r="AB150" s="1"/>
      <c r="AC150" s="1"/>
      <c r="AD150" s="1"/>
      <c r="AE150" s="1"/>
      <c r="AF150" s="1" t="str">
        <f>IFERROR(__xludf.DUMMYFUNCTION("""COMPUTED_VALUE"""),"++Range Spells cost half the SP cost and all damage is doubled for ranged spells +-Archer Class Only")</f>
        <v>++Range Spells cost half the SP cost and all damage is doubled for ranged spells +-Archer Class Only</v>
      </c>
      <c r="AG150" s="1" t="str">
        <f>IFERROR(__xludf.DUMMYFUNCTION("""COMPUTED_VALUE"""),"Halloween Kingdom")</f>
        <v>Halloween Kingdom</v>
      </c>
      <c r="AH150" s="1" t="b">
        <f>IFERROR(__xludf.DUMMYFUNCTION("""COMPUTED_VALUE"""),FALSE)</f>
        <v>0</v>
      </c>
    </row>
    <row r="151">
      <c r="A151" s="1" t="str">
        <f>IFERROR(__xludf.DUMMYFUNCTION("""COMPUTED_VALUE"""),"Jack's Special Ring")</f>
        <v>Jack's Special Ring</v>
      </c>
      <c r="B151" s="1" t="str">
        <f>IFERROR(__xludf.DUMMYFUNCTION("""COMPUTED_VALUE"""),"Ring")</f>
        <v>Ring</v>
      </c>
      <c r="C151" s="1" t="str">
        <f>IFERROR(__xludf.DUMMYFUNCTION("""COMPUTED_VALUE"""),"Halloween exclusive")</f>
        <v>Halloween exclusive</v>
      </c>
      <c r="D151" s="1"/>
      <c r="E151" s="1">
        <f>IFERROR(__xludf.DUMMYFUNCTION("""COMPUTED_VALUE"""),1.0)</f>
        <v>1</v>
      </c>
      <c r="F151" s="2">
        <f>IFERROR(__xludf.DUMMYFUNCTION("""COMPUTED_VALUE"""),0.0)</f>
        <v>0</v>
      </c>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t="str">
        <f>IFERROR(__xludf.DUMMYFUNCTION("""COMPUTED_VALUE"""),"++Increase all types of damage by X2. +-Cannot be forged +-Cannot be duplicated")</f>
        <v>++Increase all types of damage by X2. +-Cannot be forged +-Cannot be duplicated</v>
      </c>
      <c r="AG151" s="1" t="str">
        <f>IFERROR(__xludf.DUMMYFUNCTION("""COMPUTED_VALUE"""),"Halloween Kingdom")</f>
        <v>Halloween Kingdom</v>
      </c>
      <c r="AH151" s="1" t="b">
        <f>IFERROR(__xludf.DUMMYFUNCTION("""COMPUTED_VALUE"""),FALSE)</f>
        <v>0</v>
      </c>
    </row>
    <row r="152">
      <c r="A152" s="1" t="str">
        <f>IFERROR(__xludf.DUMMYFUNCTION("""COMPUTED_VALUE"""),"Jack's Special Sword")</f>
        <v>Jack's Special Sword</v>
      </c>
      <c r="B152" s="1" t="str">
        <f>IFERROR(__xludf.DUMMYFUNCTION("""COMPUTED_VALUE"""),"Hand")</f>
        <v>Hand</v>
      </c>
      <c r="C152" s="1" t="str">
        <f>IFERROR(__xludf.DUMMYFUNCTION("""COMPUTED_VALUE"""),"Halloween exclusive")</f>
        <v>Halloween exclusive</v>
      </c>
      <c r="D152" s="1" t="str">
        <f>IFERROR(__xludf.DUMMYFUNCTION("""COMPUTED_VALUE"""),"Sword")</f>
        <v>Sword</v>
      </c>
      <c r="E152" s="1">
        <f>IFERROR(__xludf.DUMMYFUNCTION("""COMPUTED_VALUE"""),60.0)</f>
        <v>60</v>
      </c>
      <c r="F152" s="2">
        <f>IFERROR(__xludf.DUMMYFUNCTION("""COMPUTED_VALUE"""),150000.0)</f>
        <v>150000</v>
      </c>
      <c r="G152" s="1" t="str">
        <f>IFERROR(__xludf.DUMMYFUNCTION("""COMPUTED_VALUE"""),"DMG")</f>
        <v>DMG</v>
      </c>
      <c r="H152" s="3">
        <f>IFERROR(__xludf.DUMMYFUNCTION("""COMPUTED_VALUE"""),1500.0)</f>
        <v>1500</v>
      </c>
      <c r="I152" s="1"/>
      <c r="J152" s="1"/>
      <c r="K152" s="1"/>
      <c r="L152" s="1"/>
      <c r="M152" s="1"/>
      <c r="N152" s="1"/>
      <c r="O152" s="1">
        <f>IFERROR(__xludf.DUMMYFUNCTION("""COMPUTED_VALUE"""),600.0)</f>
        <v>600</v>
      </c>
      <c r="P152" s="1"/>
      <c r="Q152" s="1"/>
      <c r="R152" s="1">
        <f>IFERROR(__xludf.DUMMYFUNCTION("""COMPUTED_VALUE"""),900.0)</f>
        <v>900</v>
      </c>
      <c r="S152" s="1"/>
      <c r="T152" s="1"/>
      <c r="U152" s="1"/>
      <c r="V152" s="1"/>
      <c r="W152" s="1"/>
      <c r="X152" s="1"/>
      <c r="Y152" s="1"/>
      <c r="Z152" s="1"/>
      <c r="AA152" s="1"/>
      <c r="AB152" s="1"/>
      <c r="AC152" s="1"/>
      <c r="AD152" s="1"/>
      <c r="AE152" s="1"/>
      <c r="AF152" s="1" t="str">
        <f>IFERROR(__xludf.DUMMYFUNCTION("""COMPUTED_VALUE"""),"++Vampires Lust II - Any damage dealt by this sword will give you HP and SP equal to the damage dealt. +-Cannot be duplicated")</f>
        <v>++Vampires Lust II - Any damage dealt by this sword will give you HP and SP equal to the damage dealt. +-Cannot be duplicated</v>
      </c>
      <c r="AG152" s="1" t="str">
        <f>IFERROR(__xludf.DUMMYFUNCTION("""COMPUTED_VALUE"""),"Halloween Kingdom")</f>
        <v>Halloween Kingdom</v>
      </c>
      <c r="AH152" s="1" t="b">
        <f>IFERROR(__xludf.DUMMYFUNCTION("""COMPUTED_VALUE"""),FALSE)</f>
        <v>0</v>
      </c>
    </row>
    <row r="153">
      <c r="A153" s="1" t="str">
        <f>IFERROR(__xludf.DUMMYFUNCTION("""COMPUTED_VALUE"""),"Jack’o Lantern Helmet of Swampy Hallow")</f>
        <v>Jack’o Lantern Helmet of Swampy Hallow</v>
      </c>
      <c r="B153" s="1" t="str">
        <f>IFERROR(__xludf.DUMMYFUNCTION("""COMPUTED_VALUE"""),"Head")</f>
        <v>Head</v>
      </c>
      <c r="C153" s="1" t="str">
        <f>IFERROR(__xludf.DUMMYFUNCTION("""COMPUTED_VALUE"""),"Halloween exclusive")</f>
        <v>Halloween exclusive</v>
      </c>
      <c r="D153" s="1"/>
      <c r="E153" s="1">
        <f>IFERROR(__xludf.DUMMYFUNCTION("""COMPUTED_VALUE"""),600.0)</f>
        <v>600</v>
      </c>
      <c r="F153" s="2">
        <f>IFERROR(__xludf.DUMMYFUNCTION("""COMPUTED_VALUE"""),1.77E7)</f>
        <v>17700000</v>
      </c>
      <c r="G153" s="1" t="str">
        <f>IFERROR(__xludf.DUMMYFUNCTION("""COMPUTED_VALUE"""),"DEF")</f>
        <v>DEF</v>
      </c>
      <c r="H153" s="1">
        <f>IFERROR(__xludf.DUMMYFUNCTION("""COMPUTED_VALUE"""),5000.0)</f>
        <v>5000</v>
      </c>
      <c r="I153" s="1">
        <f>IFERROR(__xludf.DUMMYFUNCTION("""COMPUTED_VALUE"""),5000.0)</f>
        <v>5000</v>
      </c>
      <c r="J153" s="1"/>
      <c r="K153" s="1"/>
      <c r="L153" s="1"/>
      <c r="M153" s="1"/>
      <c r="N153" s="1"/>
      <c r="O153" s="1">
        <f>IFERROR(__xludf.DUMMYFUNCTION("""COMPUTED_VALUE"""),5000.0)</f>
        <v>5000</v>
      </c>
      <c r="P153" s="1">
        <f>IFERROR(__xludf.DUMMYFUNCTION("""COMPUTED_VALUE"""),5000.0)</f>
        <v>5000</v>
      </c>
      <c r="Q153" s="1"/>
      <c r="R153" s="1">
        <f>IFERROR(__xludf.DUMMYFUNCTION("""COMPUTED_VALUE"""),5000.0)</f>
        <v>5000</v>
      </c>
      <c r="S153" s="1">
        <f>IFERROR(__xludf.DUMMYFUNCTION("""COMPUTED_VALUE"""),5000.0)</f>
        <v>5000</v>
      </c>
      <c r="T153" s="1"/>
      <c r="U153" s="1"/>
      <c r="V153" s="1"/>
      <c r="W153" s="1"/>
      <c r="X153" s="1"/>
      <c r="Y153" s="1"/>
      <c r="Z153" s="1"/>
      <c r="AA153" s="1"/>
      <c r="AB153" s="1"/>
      <c r="AC153" s="1"/>
      <c r="AD153" s="1"/>
      <c r="AE153" s="1"/>
      <c r="AF153" s="1" t="str">
        <f>IFERROR(__xludf.DUMMYFUNCTION("""COMPUTED_VALUE"""),"++Allows you to use up to Rank 9 Nature, Fire, Dark, Chaos, and Spirit Spells, ++X2 additional Nature, Fire, Dark, Chaos, and Spirit damage.")</f>
        <v>++Allows you to use up to Rank 9 Nature, Fire, Dark, Chaos, and Spirit Spells, ++X2 additional Nature, Fire, Dark, Chaos, and Spirit damage.</v>
      </c>
      <c r="AG153" s="1" t="str">
        <f>IFERROR(__xludf.DUMMYFUNCTION("""COMPUTED_VALUE"""),"Halloween Kingdom")</f>
        <v>Halloween Kingdom</v>
      </c>
      <c r="AH153" s="1" t="b">
        <f>IFERROR(__xludf.DUMMYFUNCTION("""COMPUTED_VALUE"""),FALSE)</f>
        <v>0</v>
      </c>
    </row>
    <row r="154">
      <c r="A154" s="1" t="str">
        <f>IFERROR(__xludf.DUMMYFUNCTION("""COMPUTED_VALUE"""),"Katana")</f>
        <v>Katana</v>
      </c>
      <c r="B154" s="1" t="str">
        <f>IFERROR(__xludf.DUMMYFUNCTION("""COMPUTED_VALUE"""),"Hand")</f>
        <v>Hand</v>
      </c>
      <c r="C154" s="1"/>
      <c r="D154" s="1" t="str">
        <f>IFERROR(__xludf.DUMMYFUNCTION("""COMPUTED_VALUE"""),"Sword")</f>
        <v>Sword</v>
      </c>
      <c r="E154" s="1">
        <f>IFERROR(__xludf.DUMMYFUNCTION("""COMPUTED_VALUE"""),10.0)</f>
        <v>10</v>
      </c>
      <c r="F154" s="2">
        <f>IFERROR(__xludf.DUMMYFUNCTION("""COMPUTED_VALUE"""),1000.0)</f>
        <v>1000</v>
      </c>
      <c r="G154" s="1" t="str">
        <f>IFERROR(__xludf.DUMMYFUNCTION("""COMPUTED_VALUE"""),"DMG")</f>
        <v>DMG</v>
      </c>
      <c r="H154" s="1">
        <f>IFERROR(__xludf.DUMMYFUNCTION("""COMPUTED_VALUE"""),500.0)</f>
        <v>500</v>
      </c>
      <c r="I154" s="1"/>
      <c r="J154" s="1"/>
      <c r="K154" s="1"/>
      <c r="L154" s="1"/>
      <c r="M154" s="1"/>
      <c r="N154" s="1"/>
      <c r="O154" s="1"/>
      <c r="P154" s="1"/>
      <c r="Q154" s="1"/>
      <c r="R154" s="1"/>
      <c r="S154" s="1"/>
      <c r="T154" s="1"/>
      <c r="U154" s="1"/>
      <c r="V154" s="1"/>
      <c r="W154" s="1"/>
      <c r="X154" s="1"/>
      <c r="Y154" s="1"/>
      <c r="Z154" s="1"/>
      <c r="AA154" s="1"/>
      <c r="AB154" s="1"/>
      <c r="AC154" s="1"/>
      <c r="AD154" s="1"/>
      <c r="AE154" s="1"/>
      <c r="AF154" s="1" t="str">
        <f>IFERROR(__xludf.DUMMYFUNCTION("""COMPUTED_VALUE"""),"++ +10% chance of the sword ability activating.")</f>
        <v>++ +10% chance of the sword ability activating.</v>
      </c>
      <c r="AG154" s="1" t="str">
        <f>IFERROR(__xludf.DUMMYFUNCTION("""COMPUTED_VALUE"""),"Land of Spira")</f>
        <v>Land of Spira</v>
      </c>
      <c r="AH154" s="1" t="b">
        <f>IFERROR(__xludf.DUMMYFUNCTION("""COMPUTED_VALUE"""),FALSE)</f>
        <v>0</v>
      </c>
    </row>
    <row r="155">
      <c r="A155" s="1" t="str">
        <f>IFERROR(__xludf.DUMMYFUNCTION("""COMPUTED_VALUE"""),"King Of Mekanas Sword")</f>
        <v>King Of Mekanas Sword</v>
      </c>
      <c r="B155" s="1" t="str">
        <f>IFERROR(__xludf.DUMMYFUNCTION("""COMPUTED_VALUE"""),"Hand")</f>
        <v>Hand</v>
      </c>
      <c r="C155" s="1" t="str">
        <f>IFERROR(__xludf.DUMMYFUNCTION("""COMPUTED_VALUE"""),"Mob Exclusive")</f>
        <v>Mob Exclusive</v>
      </c>
      <c r="D155" s="1" t="str">
        <f>IFERROR(__xludf.DUMMYFUNCTION("""COMPUTED_VALUE"""),"Sword")</f>
        <v>Sword</v>
      </c>
      <c r="E155" s="1">
        <f>IFERROR(__xludf.DUMMYFUNCTION("""COMPUTED_VALUE"""),3000.0)</f>
        <v>3000</v>
      </c>
      <c r="F155" s="2">
        <f>IFERROR(__xludf.DUMMYFUNCTION("""COMPUTED_VALUE"""),4.485E8)</f>
        <v>448500000</v>
      </c>
      <c r="G155" s="1" t="str">
        <f>IFERROR(__xludf.DUMMYFUNCTION("""COMPUTED_VALUE"""),"DMG")</f>
        <v>DMG</v>
      </c>
      <c r="H155" s="3">
        <f>IFERROR(__xludf.DUMMYFUNCTION("""COMPUTED_VALUE"""),50000.0)</f>
        <v>50000</v>
      </c>
      <c r="I155" s="3">
        <f>IFERROR(__xludf.DUMMYFUNCTION("""COMPUTED_VALUE"""),50000.0)</f>
        <v>50000</v>
      </c>
      <c r="J155" s="1"/>
      <c r="K155" s="1"/>
      <c r="L155" s="3">
        <f>IFERROR(__xludf.DUMMYFUNCTION("""COMPUTED_VALUE"""),50000.0)</f>
        <v>50000</v>
      </c>
      <c r="M155" s="1"/>
      <c r="N155" s="1"/>
      <c r="O155" s="1"/>
      <c r="P155" s="1"/>
      <c r="Q155" s="1"/>
      <c r="R155" s="1"/>
      <c r="S155" s="1"/>
      <c r="T155" s="1"/>
      <c r="U155" s="1"/>
      <c r="V155" s="1"/>
      <c r="W155" s="1"/>
      <c r="X155" s="1"/>
      <c r="Y155" s="1"/>
      <c r="Z155" s="1"/>
      <c r="AA155" s="1"/>
      <c r="AB155" s="1"/>
      <c r="AC155" s="1"/>
      <c r="AD155" s="1"/>
      <c r="AE155" s="1"/>
      <c r="AF155" s="1" t="str">
        <f>IFERROR(__xludf.DUMMYFUNCTION("""COMPUTED_VALUE"""),"++X8 additional Fire and Storm damage. ")</f>
        <v>++X8 additional Fire and Storm damage. </v>
      </c>
      <c r="AG155" s="1" t="str">
        <f>IFERROR(__xludf.DUMMYFUNCTION("""COMPUTED_VALUE"""),"Land of Spira")</f>
        <v>Land of Spira</v>
      </c>
      <c r="AH155" s="1" t="b">
        <f>IFERROR(__xludf.DUMMYFUNCTION("""COMPUTED_VALUE"""),TRUE)</f>
        <v>1</v>
      </c>
    </row>
    <row r="156">
      <c r="A156" s="1" t="str">
        <f>IFERROR(__xludf.DUMMYFUNCTION("""COMPUTED_VALUE"""),"King's Royal Sword")</f>
        <v>King's Royal Sword</v>
      </c>
      <c r="B156" s="1" t="str">
        <f>IFERROR(__xludf.DUMMYFUNCTION("""COMPUTED_VALUE"""),"Hand")</f>
        <v>Hand</v>
      </c>
      <c r="C156" s="1" t="str">
        <f>IFERROR(__xludf.DUMMYFUNCTION("""COMPUTED_VALUE"""),"Quest Item")</f>
        <v>Quest Item</v>
      </c>
      <c r="D156" s="1" t="str">
        <f>IFERROR(__xludf.DUMMYFUNCTION("""COMPUTED_VALUE"""),"Sword")</f>
        <v>Sword</v>
      </c>
      <c r="E156" s="1">
        <f>IFERROR(__xludf.DUMMYFUNCTION("""COMPUTED_VALUE"""),200.0)</f>
        <v>200</v>
      </c>
      <c r="F156" s="2">
        <f>IFERROR(__xludf.DUMMYFUNCTION("""COMPUTED_VALUE"""),7.98E8)</f>
        <v>798000000</v>
      </c>
      <c r="G156" s="1" t="str">
        <f>IFERROR(__xludf.DUMMYFUNCTION("""COMPUTED_VALUE"""),"DMG")</f>
        <v>DMG</v>
      </c>
      <c r="H156" s="3">
        <f>IFERROR(__xludf.DUMMYFUNCTION("""COMPUTED_VALUE"""),100000.0)</f>
        <v>100000</v>
      </c>
      <c r="I156" s="1"/>
      <c r="J156" s="1"/>
      <c r="K156" s="1"/>
      <c r="L156" s="1"/>
      <c r="M156" s="1"/>
      <c r="N156" s="1"/>
      <c r="O156" s="1"/>
      <c r="P156" s="1"/>
      <c r="Q156" s="1"/>
      <c r="R156" s="1"/>
      <c r="S156" s="1"/>
      <c r="T156" s="1"/>
      <c r="U156" s="1"/>
      <c r="V156" s="1"/>
      <c r="W156" s="1"/>
      <c r="X156" s="1"/>
      <c r="Y156" s="1"/>
      <c r="Z156" s="1"/>
      <c r="AA156" s="1"/>
      <c r="AB156" s="1"/>
      <c r="AC156" s="3">
        <f>IFERROR(__xludf.DUMMYFUNCTION("""COMPUTED_VALUE"""),100000.0)</f>
        <v>100000</v>
      </c>
      <c r="AD156" s="1"/>
      <c r="AE156" s="1"/>
      <c r="AF156" s="1" t="str">
        <f>IFERROR(__xludf.DUMMYFUNCTION("""COMPUTED_VALUE"""),"++ +5 can be added to your d20 rolls. X12 additional Celestial damage. +-Cannot be duplicated")</f>
        <v>++ +5 can be added to your d20 rolls. X12 additional Celestial damage. +-Cannot be duplicated</v>
      </c>
      <c r="AG156" s="1" t="str">
        <f>IFERROR(__xludf.DUMMYFUNCTION("""COMPUTED_VALUE"""),"Land of Spira")</f>
        <v>Land of Spira</v>
      </c>
      <c r="AH156" s="1" t="b">
        <f>IFERROR(__xludf.DUMMYFUNCTION("""COMPUTED_VALUE"""),FALSE)</f>
        <v>0</v>
      </c>
    </row>
    <row r="157">
      <c r="A157" s="1" t="str">
        <f>IFERROR(__xludf.DUMMYFUNCTION("""COMPUTED_VALUE"""),"Knife")</f>
        <v>Knife</v>
      </c>
      <c r="B157" s="1" t="str">
        <f>IFERROR(__xludf.DUMMYFUNCTION("""COMPUTED_VALUE"""),"Hand")</f>
        <v>Hand</v>
      </c>
      <c r="C157" s="1"/>
      <c r="D157" s="1" t="str">
        <f>IFERROR(__xludf.DUMMYFUNCTION("""COMPUTED_VALUE"""),"Knife")</f>
        <v>Knife</v>
      </c>
      <c r="E157" s="1">
        <f>IFERROR(__xludf.DUMMYFUNCTION("""COMPUTED_VALUE"""),20.0)</f>
        <v>20</v>
      </c>
      <c r="F157" s="2">
        <f>IFERROR(__xludf.DUMMYFUNCTION("""COMPUTED_VALUE"""),10000.0)</f>
        <v>10000</v>
      </c>
      <c r="G157" s="1" t="str">
        <f>IFERROR(__xludf.DUMMYFUNCTION("""COMPUTED_VALUE"""),"DMG")</f>
        <v>DMG</v>
      </c>
      <c r="H157" s="1">
        <f>IFERROR(__xludf.DUMMYFUNCTION("""COMPUTED_VALUE"""),1000.0)</f>
        <v>1000</v>
      </c>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t="str">
        <f>IFERROR(__xludf.DUMMYFUNCTION("""COMPUTED_VALUE"""),"Land of Spira")</f>
        <v>Land of Spira</v>
      </c>
      <c r="AH157" s="1" t="b">
        <f>IFERROR(__xludf.DUMMYFUNCTION("""COMPUTED_VALUE"""),FALSE)</f>
        <v>0</v>
      </c>
    </row>
    <row r="158">
      <c r="A158" s="1" t="str">
        <f>IFERROR(__xludf.DUMMYFUNCTION("""COMPUTED_VALUE"""),"Knife of Jinx")</f>
        <v>Knife of Jinx</v>
      </c>
      <c r="B158" s="1" t="str">
        <f>IFERROR(__xludf.DUMMYFUNCTION("""COMPUTED_VALUE"""),"Hand")</f>
        <v>Hand</v>
      </c>
      <c r="C158" s="1"/>
      <c r="D158" s="1" t="str">
        <f>IFERROR(__xludf.DUMMYFUNCTION("""COMPUTED_VALUE"""),"Knife")</f>
        <v>Knife</v>
      </c>
      <c r="E158" s="1">
        <f>IFERROR(__xludf.DUMMYFUNCTION("""COMPUTED_VALUE"""),1.0)</f>
        <v>1</v>
      </c>
      <c r="F158" s="2">
        <f>IFERROR(__xludf.DUMMYFUNCTION("""COMPUTED_VALUE"""),0.0)</f>
        <v>0</v>
      </c>
      <c r="G158" s="1" t="str">
        <f>IFERROR(__xludf.DUMMYFUNCTION("""COMPUTED_VALUE"""),"DMG")</f>
        <v>DMG</v>
      </c>
      <c r="H158" s="1">
        <f>IFERROR(__xludf.DUMMYFUNCTION("""COMPUTED_VALUE"""),10.0)</f>
        <v>10</v>
      </c>
      <c r="I158" s="1"/>
      <c r="J158" s="1"/>
      <c r="K158" s="1"/>
      <c r="L158" s="1"/>
      <c r="M158" s="1"/>
      <c r="N158" s="1"/>
      <c r="O158" s="1"/>
      <c r="P158" s="1"/>
      <c r="Q158" s="1"/>
      <c r="R158" s="1"/>
      <c r="S158" s="1"/>
      <c r="T158" s="1"/>
      <c r="U158" s="1"/>
      <c r="V158" s="1"/>
      <c r="W158" s="1"/>
      <c r="X158" s="1"/>
      <c r="Y158" s="1"/>
      <c r="Z158" s="1"/>
      <c r="AA158" s="1"/>
      <c r="AB158" s="1"/>
      <c r="AC158" s="1"/>
      <c r="AD158" s="1"/>
      <c r="AE158" s="1"/>
      <c r="AF158" s="1" t="str">
        <f>IFERROR(__xludf.DUMMYFUNCTION("""COMPUTED_VALUE"""),"++ If this weapon is used against a character owned by James, This will instantly kill that character even if they are immune to instant death, otherwise this will deal 10 damage")</f>
        <v>++ If this weapon is used against a character owned by James, This will instantly kill that character even if they are immune to instant death, otherwise this will deal 10 damage</v>
      </c>
      <c r="AG158" s="1" t="str">
        <f>IFERROR(__xludf.DUMMYFUNCTION("""COMPUTED_VALUE"""),"Land of Spira")</f>
        <v>Land of Spira</v>
      </c>
      <c r="AH158" s="1" t="b">
        <f>IFERROR(__xludf.DUMMYFUNCTION("""COMPUTED_VALUE"""),FALSE)</f>
        <v>0</v>
      </c>
    </row>
    <row r="159">
      <c r="A159" s="1" t="str">
        <f>IFERROR(__xludf.DUMMYFUNCTION("""COMPUTED_VALUE"""),"kraken's power ring")</f>
        <v>kraken's power ring</v>
      </c>
      <c r="B159" s="1" t="str">
        <f>IFERROR(__xludf.DUMMYFUNCTION("""COMPUTED_VALUE"""),"Ring")</f>
        <v>Ring</v>
      </c>
      <c r="C159" s="1"/>
      <c r="D159" s="1"/>
      <c r="E159" s="1">
        <f>IFERROR(__xludf.DUMMYFUNCTION("""COMPUTED_VALUE"""),1.0)</f>
        <v>1</v>
      </c>
      <c r="F159" s="2">
        <f>IFERROR(__xludf.DUMMYFUNCTION("""COMPUTED_VALUE"""),0.0)</f>
        <v>0</v>
      </c>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t="str">
        <f>IFERROR(__xludf.DUMMYFUNCTION("""COMPUTED_VALUE"""),"++water based attacks double in damage. ++sp cost is halved for water spells only")</f>
        <v>++water based attacks double in damage. ++sp cost is halved for water spells only</v>
      </c>
      <c r="AG159" s="1" t="str">
        <f>IFERROR(__xludf.DUMMYFUNCTION("""COMPUTED_VALUE"""),"Land of Spira")</f>
        <v>Land of Spira</v>
      </c>
      <c r="AH159" s="1" t="b">
        <f>IFERROR(__xludf.DUMMYFUNCTION("""COMPUTED_VALUE"""),FALSE)</f>
        <v>0</v>
      </c>
    </row>
    <row r="160">
      <c r="A160" s="1" t="str">
        <f>IFERROR(__xludf.DUMMYFUNCTION("""COMPUTED_VALUE"""),"Krakens Power Ring")</f>
        <v>Krakens Power Ring</v>
      </c>
      <c r="B160" s="1" t="str">
        <f>IFERROR(__xludf.DUMMYFUNCTION("""COMPUTED_VALUE"""),"Ring")</f>
        <v>Ring</v>
      </c>
      <c r="C160" s="1"/>
      <c r="D160" s="1"/>
      <c r="E160" s="1">
        <f>IFERROR(__xludf.DUMMYFUNCTION("""COMPUTED_VALUE"""),1.0)</f>
        <v>1</v>
      </c>
      <c r="F160" s="2">
        <f>IFERROR(__xludf.DUMMYFUNCTION("""COMPUTED_VALUE"""),0.0)</f>
        <v>0</v>
      </c>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t="str">
        <f>IFERROR(__xludf.DUMMYFUNCTION("""COMPUTED_VALUE"""),"++water based attacks deal x2 damage, ++sp is halved for water spells only. +-(one use per battle)")</f>
        <v>++water based attacks deal x2 damage, ++sp is halved for water spells only. +-(one use per battle)</v>
      </c>
      <c r="AG160" s="1" t="str">
        <f>IFERROR(__xludf.DUMMYFUNCTION("""COMPUTED_VALUE"""),"Land of Spira")</f>
        <v>Land of Spira</v>
      </c>
      <c r="AH160" s="1" t="b">
        <f>IFERROR(__xludf.DUMMYFUNCTION("""COMPUTED_VALUE"""),FALSE)</f>
        <v>0</v>
      </c>
    </row>
    <row r="161">
      <c r="A161" s="1" t="str">
        <f>IFERROR(__xludf.DUMMYFUNCTION("""COMPUTED_VALUE"""),"Lava Longsword")</f>
        <v>Lava Longsword</v>
      </c>
      <c r="B161" s="1" t="str">
        <f>IFERROR(__xludf.DUMMYFUNCTION("""COMPUTED_VALUE"""),"Hand")</f>
        <v>Hand</v>
      </c>
      <c r="C161" s="1"/>
      <c r="D161" s="1" t="str">
        <f>IFERROR(__xludf.DUMMYFUNCTION("""COMPUTED_VALUE"""),"Sword")</f>
        <v>Sword</v>
      </c>
      <c r="E161" s="1">
        <f>IFERROR(__xludf.DUMMYFUNCTION("""COMPUTED_VALUE"""),800.0)</f>
        <v>800</v>
      </c>
      <c r="F161" s="2">
        <f>IFERROR(__xludf.DUMMYFUNCTION("""COMPUTED_VALUE"""),3.16E7)</f>
        <v>31600000</v>
      </c>
      <c r="G161" s="1" t="str">
        <f>IFERROR(__xludf.DUMMYFUNCTION("""COMPUTED_VALUE"""),"DMG")</f>
        <v>DMG</v>
      </c>
      <c r="H161" s="3">
        <f>IFERROR(__xludf.DUMMYFUNCTION("""COMPUTED_VALUE"""),20000.0)</f>
        <v>20000</v>
      </c>
      <c r="I161" s="3">
        <f>IFERROR(__xludf.DUMMYFUNCTION("""COMPUTED_VALUE"""),20000.0)</f>
        <v>20000</v>
      </c>
      <c r="J161" s="1"/>
      <c r="K161" s="1"/>
      <c r="L161" s="1"/>
      <c r="M161" s="1"/>
      <c r="N161" s="1"/>
      <c r="O161" s="1"/>
      <c r="P161" s="1"/>
      <c r="Q161" s="1"/>
      <c r="R161" s="1"/>
      <c r="S161" s="1"/>
      <c r="T161" s="1"/>
      <c r="U161" s="1"/>
      <c r="V161" s="1"/>
      <c r="W161" s="1"/>
      <c r="X161" s="1"/>
      <c r="Y161" s="1"/>
      <c r="Z161" s="1"/>
      <c r="AA161" s="1"/>
      <c r="AB161" s="1"/>
      <c r="AC161" s="1"/>
      <c r="AD161" s="1"/>
      <c r="AE161" s="1"/>
      <c r="AF161" s="1" t="str">
        <f>IFERROR(__xludf.DUMMYFUNCTION("""COMPUTED_VALUE"""),"++Burn 10,000 for 3 rounds.")</f>
        <v>++Burn 10,000 for 3 rounds.</v>
      </c>
      <c r="AG161" s="1" t="str">
        <f>IFERROR(__xludf.DUMMYFUNCTION("""COMPUTED_VALUE"""),"Land of Spira")</f>
        <v>Land of Spira</v>
      </c>
      <c r="AH161" s="1" t="b">
        <f>IFERROR(__xludf.DUMMYFUNCTION("""COMPUTED_VALUE"""),FALSE)</f>
        <v>0</v>
      </c>
    </row>
    <row r="162">
      <c r="A162" s="1" t="str">
        <f>IFERROR(__xludf.DUMMYFUNCTION("""COMPUTED_VALUE"""),"Lazer Infused Sword")</f>
        <v>Lazer Infused Sword</v>
      </c>
      <c r="B162" s="1" t="str">
        <f>IFERROR(__xludf.DUMMYFUNCTION("""COMPUTED_VALUE"""),"Hand")</f>
        <v>Hand</v>
      </c>
      <c r="C162" s="1"/>
      <c r="D162" s="1" t="str">
        <f>IFERROR(__xludf.DUMMYFUNCTION("""COMPUTED_VALUE"""),"Sword")</f>
        <v>Sword</v>
      </c>
      <c r="E162" s="1">
        <f>IFERROR(__xludf.DUMMYFUNCTION("""COMPUTED_VALUE"""),600.0)</f>
        <v>600</v>
      </c>
      <c r="F162" s="2">
        <f>IFERROR(__xludf.DUMMYFUNCTION("""COMPUTED_VALUE"""),1.77E7)</f>
        <v>17700000</v>
      </c>
      <c r="G162" s="1" t="str">
        <f>IFERROR(__xludf.DUMMYFUNCTION("""COMPUTED_VALUE"""),"DMG")</f>
        <v>DMG</v>
      </c>
      <c r="H162" s="3">
        <f>IFERROR(__xludf.DUMMYFUNCTION("""COMPUTED_VALUE"""),10000.0)</f>
        <v>10000</v>
      </c>
      <c r="I162" s="3">
        <f>IFERROR(__xludf.DUMMYFUNCTION("""COMPUTED_VALUE"""),10000.0)</f>
        <v>10000</v>
      </c>
      <c r="J162" s="1"/>
      <c r="K162" s="1"/>
      <c r="L162" s="1"/>
      <c r="M162" s="1"/>
      <c r="N162" s="1"/>
      <c r="O162" s="1"/>
      <c r="P162" s="1"/>
      <c r="Q162" s="1"/>
      <c r="R162" s="1"/>
      <c r="S162" s="1"/>
      <c r="T162" s="1"/>
      <c r="U162" s="1"/>
      <c r="V162" s="1"/>
      <c r="W162" s="1"/>
      <c r="X162" s="1"/>
      <c r="Y162" s="3">
        <f>IFERROR(__xludf.DUMMYFUNCTION("""COMPUTED_VALUE"""),10000.0)</f>
        <v>10000</v>
      </c>
      <c r="Z162" s="1"/>
      <c r="AA162" s="1"/>
      <c r="AB162" s="1"/>
      <c r="AC162" s="1"/>
      <c r="AD162" s="1"/>
      <c r="AE162" s="1"/>
      <c r="AF162" s="1" t="str">
        <f>IFERROR(__xludf.DUMMYFUNCTION("""COMPUTED_VALUE"""),"++Ignores Defense. +-Cannot be duplicated.")</f>
        <v>++Ignores Defense. +-Cannot be duplicated.</v>
      </c>
      <c r="AG162" s="1" t="str">
        <f>IFERROR(__xludf.DUMMYFUNCTION("""COMPUTED_VALUE"""),"Land of Spira")</f>
        <v>Land of Spira</v>
      </c>
      <c r="AH162" s="1" t="b">
        <f>IFERROR(__xludf.DUMMYFUNCTION("""COMPUTED_VALUE"""),FALSE)</f>
        <v>0</v>
      </c>
    </row>
    <row r="163">
      <c r="A163" s="1" t="str">
        <f>IFERROR(__xludf.DUMMYFUNCTION("""COMPUTED_VALUE"""),"Legendary Sword of Heatmore")</f>
        <v>Legendary Sword of Heatmore</v>
      </c>
      <c r="B163" s="1" t="str">
        <f>IFERROR(__xludf.DUMMYFUNCTION("""COMPUTED_VALUE"""),"Hand")</f>
        <v>Hand</v>
      </c>
      <c r="C163" s="1"/>
      <c r="D163" s="1" t="str">
        <f>IFERROR(__xludf.DUMMYFUNCTION("""COMPUTED_VALUE"""),"Sword")</f>
        <v>Sword</v>
      </c>
      <c r="E163" s="1">
        <f>IFERROR(__xludf.DUMMYFUNCTION("""COMPUTED_VALUE"""),200.0)</f>
        <v>200</v>
      </c>
      <c r="F163" s="2">
        <f>IFERROR(__xludf.DUMMYFUNCTION("""COMPUTED_VALUE"""),1.272E8)</f>
        <v>127200000</v>
      </c>
      <c r="G163" s="1" t="str">
        <f>IFERROR(__xludf.DUMMYFUNCTION("""COMPUTED_VALUE"""),"DMG")</f>
        <v>DMG</v>
      </c>
      <c r="H163" s="3">
        <f>IFERROR(__xludf.DUMMYFUNCTION("""COMPUTED_VALUE"""),20000.0)</f>
        <v>20000</v>
      </c>
      <c r="I163" s="3">
        <f>IFERROR(__xludf.DUMMYFUNCTION("""COMPUTED_VALUE"""),20000.0)</f>
        <v>20000</v>
      </c>
      <c r="J163" s="1"/>
      <c r="K163" s="3">
        <f>IFERROR(__xludf.DUMMYFUNCTION("""COMPUTED_VALUE"""),20000.0)</f>
        <v>20000</v>
      </c>
      <c r="L163" s="1"/>
      <c r="M163" s="1"/>
      <c r="N163" s="1"/>
      <c r="O163" s="1"/>
      <c r="P163" s="1"/>
      <c r="Q163" s="1"/>
      <c r="R163" s="1"/>
      <c r="S163" s="1"/>
      <c r="T163" s="1"/>
      <c r="U163" s="1"/>
      <c r="V163" s="1"/>
      <c r="W163" s="1"/>
      <c r="X163" s="1"/>
      <c r="Y163" s="1"/>
      <c r="Z163" s="1"/>
      <c r="AA163" s="1"/>
      <c r="AB163" s="1"/>
      <c r="AC163" s="3">
        <f>IFERROR(__xludf.DUMMYFUNCTION("""COMPUTED_VALUE"""),20000.0)</f>
        <v>20000</v>
      </c>
      <c r="AD163" s="1"/>
      <c r="AE163" s="1"/>
      <c r="AF163" s="1" t="str">
        <f>IFERROR(__xludf.DUMMYFUNCTION("""COMPUTED_VALUE"""),"++75% chance of instant death. ++X6 additional Fire damage. ++Burn 10,000. +-Cannot be duplicated")</f>
        <v>++75% chance of instant death. ++X6 additional Fire damage. ++Burn 10,000. +-Cannot be duplicated</v>
      </c>
      <c r="AG163" s="1" t="str">
        <f>IFERROR(__xludf.DUMMYFUNCTION("""COMPUTED_VALUE"""),"Land of Spira")</f>
        <v>Land of Spira</v>
      </c>
      <c r="AH163" s="1" t="b">
        <f>IFERROR(__xludf.DUMMYFUNCTION("""COMPUTED_VALUE"""),FALSE)</f>
        <v>0</v>
      </c>
    </row>
    <row r="164">
      <c r="A164" s="1" t="str">
        <f>IFERROR(__xludf.DUMMYFUNCTION("""COMPUTED_VALUE"""),"Legendary Tree Sword")</f>
        <v>Legendary Tree Sword</v>
      </c>
      <c r="B164" s="1" t="str">
        <f>IFERROR(__xludf.DUMMYFUNCTION("""COMPUTED_VALUE"""),"Hand")</f>
        <v>Hand</v>
      </c>
      <c r="C164" s="1"/>
      <c r="D164" s="1" t="str">
        <f>IFERROR(__xludf.DUMMYFUNCTION("""COMPUTED_VALUE"""),"Sword")</f>
        <v>Sword</v>
      </c>
      <c r="E164" s="1">
        <f>IFERROR(__xludf.DUMMYFUNCTION("""COMPUTED_VALUE"""),200.0)</f>
        <v>200</v>
      </c>
      <c r="F164" s="2">
        <f>IFERROR(__xludf.DUMMYFUNCTION("""COMPUTED_VALUE"""),4.485E8)</f>
        <v>448500000</v>
      </c>
      <c r="G164" s="1" t="str">
        <f>IFERROR(__xludf.DUMMYFUNCTION("""COMPUTED_VALUE"""),"DMG")</f>
        <v>DMG</v>
      </c>
      <c r="H164" s="3">
        <f>IFERROR(__xludf.DUMMYFUNCTION("""COMPUTED_VALUE"""),50000.0)</f>
        <v>50000</v>
      </c>
      <c r="I164" s="1"/>
      <c r="J164" s="1"/>
      <c r="K164" s="1"/>
      <c r="L164" s="1"/>
      <c r="M164" s="1"/>
      <c r="N164" s="1"/>
      <c r="O164" s="1"/>
      <c r="P164" s="1"/>
      <c r="Q164" s="1"/>
      <c r="R164" s="1"/>
      <c r="S164" s="3">
        <f>IFERROR(__xludf.DUMMYFUNCTION("""COMPUTED_VALUE"""),50000.0)</f>
        <v>50000</v>
      </c>
      <c r="T164" s="1"/>
      <c r="U164" s="1"/>
      <c r="V164" s="1"/>
      <c r="W164" s="1"/>
      <c r="X164" s="1"/>
      <c r="Y164" s="1"/>
      <c r="Z164" s="1"/>
      <c r="AA164" s="1"/>
      <c r="AB164" s="1"/>
      <c r="AC164" s="3">
        <f>IFERROR(__xludf.DUMMYFUNCTION("""COMPUTED_VALUE"""),50000.0)</f>
        <v>50000</v>
      </c>
      <c r="AD164" s="1"/>
      <c r="AE164" s="1"/>
      <c r="AF164" s="1" t="str">
        <f>IFERROR(__xludf.DUMMYFUNCTION("""COMPUTED_VALUE"""),"++X6 Additional Nature damage. ++20% chance of Incorporeal 2. +-Cannot be duplicated.")</f>
        <v>++X6 Additional Nature damage. ++20% chance of Incorporeal 2. +-Cannot be duplicated.</v>
      </c>
      <c r="AG164" s="1" t="str">
        <f>IFERROR(__xludf.DUMMYFUNCTION("""COMPUTED_VALUE"""),"Land of Spira")</f>
        <v>Land of Spira</v>
      </c>
      <c r="AH164" s="1" t="b">
        <f>IFERROR(__xludf.DUMMYFUNCTION("""COMPUTED_VALUE"""),FALSE)</f>
        <v>0</v>
      </c>
    </row>
    <row r="165">
      <c r="A165" s="1" t="str">
        <f>IFERROR(__xludf.DUMMYFUNCTION("""COMPUTED_VALUE"""),"Leggings Of Tritonoch")</f>
        <v>Leggings Of Tritonoch</v>
      </c>
      <c r="B165" s="1" t="str">
        <f>IFERROR(__xludf.DUMMYFUNCTION("""COMPUTED_VALUE"""),"Legs")</f>
        <v>Legs</v>
      </c>
      <c r="C165" s="1"/>
      <c r="D165" s="1"/>
      <c r="E165" s="1">
        <f>IFERROR(__xludf.DUMMYFUNCTION("""COMPUTED_VALUE"""),400.0)</f>
        <v>400</v>
      </c>
      <c r="F165" s="2">
        <f>IFERROR(__xludf.DUMMYFUNCTION("""COMPUTED_VALUE"""),7800000.0)</f>
        <v>7800000</v>
      </c>
      <c r="G165" s="1" t="str">
        <f>IFERROR(__xludf.DUMMYFUNCTION("""COMPUTED_VALUE"""),"DEF")</f>
        <v>DEF</v>
      </c>
      <c r="H165" s="1">
        <f>IFERROR(__xludf.DUMMYFUNCTION("""COMPUTED_VALUE"""),20000.0)</f>
        <v>20000</v>
      </c>
      <c r="I165" s="1"/>
      <c r="J165" s="1"/>
      <c r="K165" s="1"/>
      <c r="L165" s="1"/>
      <c r="M165" s="1"/>
      <c r="N165" s="1"/>
      <c r="O165" s="1"/>
      <c r="P165" s="1"/>
      <c r="Q165" s="1"/>
      <c r="R165" s="1"/>
      <c r="S165" s="1"/>
      <c r="T165" s="1"/>
      <c r="U165" s="1"/>
      <c r="V165" s="1"/>
      <c r="W165" s="1"/>
      <c r="X165" s="1"/>
      <c r="Y165" s="1"/>
      <c r="Z165" s="1"/>
      <c r="AA165" s="1"/>
      <c r="AB165" s="1"/>
      <c r="AC165" s="1"/>
      <c r="AD165" s="1"/>
      <c r="AE165" s="1"/>
      <c r="AF165" s="1" t="str">
        <f>IFERROR(__xludf.DUMMYFUNCTION("""COMPUTED_VALUE"""),"++Waves of Entitlement - x5 additional Water damage")</f>
        <v>++Waves of Entitlement - x5 additional Water damage</v>
      </c>
      <c r="AG165" s="1" t="str">
        <f>IFERROR(__xludf.DUMMYFUNCTION("""COMPUTED_VALUE"""),"Land of Spira")</f>
        <v>Land of Spira</v>
      </c>
      <c r="AH165" s="1" t="b">
        <f>IFERROR(__xludf.DUMMYFUNCTION("""COMPUTED_VALUE"""),FALSE)</f>
        <v>0</v>
      </c>
    </row>
    <row r="166">
      <c r="A166" s="1" t="str">
        <f>IFERROR(__xludf.DUMMYFUNCTION("""COMPUTED_VALUE"""),"Lightning Lance")</f>
        <v>Lightning Lance</v>
      </c>
      <c r="B166" s="1" t="str">
        <f>IFERROR(__xludf.DUMMYFUNCTION("""COMPUTED_VALUE"""),"Hand")</f>
        <v>Hand</v>
      </c>
      <c r="C166" s="1"/>
      <c r="D166" s="1" t="str">
        <f>IFERROR(__xludf.DUMMYFUNCTION("""COMPUTED_VALUE"""),"Spear")</f>
        <v>Spear</v>
      </c>
      <c r="E166" s="1">
        <f>IFERROR(__xludf.DUMMYFUNCTION("""COMPUTED_VALUE"""),500.0)</f>
        <v>500</v>
      </c>
      <c r="F166" s="2">
        <f>IFERROR(__xludf.DUMMYFUNCTION("""COMPUTED_VALUE"""),1.225E7)</f>
        <v>12250000</v>
      </c>
      <c r="G166" s="1" t="str">
        <f>IFERROR(__xludf.DUMMYFUNCTION("""COMPUTED_VALUE"""),"DMG")</f>
        <v>DMG</v>
      </c>
      <c r="H166" s="3">
        <f>IFERROR(__xludf.DUMMYFUNCTION("""COMPUTED_VALUE"""),10000.0)</f>
        <v>10000</v>
      </c>
      <c r="I166" s="1"/>
      <c r="J166" s="1"/>
      <c r="K166" s="1"/>
      <c r="L166" s="3">
        <f>IFERROR(__xludf.DUMMYFUNCTION("""COMPUTED_VALUE"""),15000.0)</f>
        <v>15000</v>
      </c>
      <c r="M166" s="1"/>
      <c r="N166" s="1"/>
      <c r="O166" s="1"/>
      <c r="P166" s="1"/>
      <c r="Q166" s="1"/>
      <c r="R166" s="1"/>
      <c r="S166" s="1"/>
      <c r="T166" s="1"/>
      <c r="U166" s="1"/>
      <c r="V166" s="1"/>
      <c r="W166" s="1"/>
      <c r="X166" s="1"/>
      <c r="Y166" s="1"/>
      <c r="Z166" s="1"/>
      <c r="AA166" s="1"/>
      <c r="AB166" s="1"/>
      <c r="AC166" s="1"/>
      <c r="AD166" s="1"/>
      <c r="AE166" s="1"/>
      <c r="AF166" s="1" t="str">
        <f>IFERROR(__xludf.DUMMYFUNCTION("""COMPUTED_VALUE"""),"++Stun 2")</f>
        <v>++Stun 2</v>
      </c>
      <c r="AG166" s="1" t="str">
        <f>IFERROR(__xludf.DUMMYFUNCTION("""COMPUTED_VALUE"""),"Land of Spira")</f>
        <v>Land of Spira</v>
      </c>
      <c r="AH166" s="1" t="b">
        <f>IFERROR(__xludf.DUMMYFUNCTION("""COMPUTED_VALUE"""),FALSE)</f>
        <v>0</v>
      </c>
    </row>
    <row r="167">
      <c r="A167" s="1" t="str">
        <f>IFERROR(__xludf.DUMMYFUNCTION("""COMPUTED_VALUE"""),"Long Spear")</f>
        <v>Long Spear</v>
      </c>
      <c r="B167" s="1" t="str">
        <f>IFERROR(__xludf.DUMMYFUNCTION("""COMPUTED_VALUE"""),"Hand")</f>
        <v>Hand</v>
      </c>
      <c r="C167" s="1"/>
      <c r="D167" s="1" t="str">
        <f>IFERROR(__xludf.DUMMYFUNCTION("""COMPUTED_VALUE"""),"Spear")</f>
        <v>Spear</v>
      </c>
      <c r="E167" s="1">
        <f>IFERROR(__xludf.DUMMYFUNCTION("""COMPUTED_VALUE"""),10.0)</f>
        <v>10</v>
      </c>
      <c r="F167" s="2">
        <f>IFERROR(__xludf.DUMMYFUNCTION("""COMPUTED_VALUE"""),1000.0)</f>
        <v>1000</v>
      </c>
      <c r="G167" s="1" t="str">
        <f>IFERROR(__xludf.DUMMYFUNCTION("""COMPUTED_VALUE"""),"DMG")</f>
        <v>DMG</v>
      </c>
      <c r="H167" s="1">
        <f>IFERROR(__xludf.DUMMYFUNCTION("""COMPUTED_VALUE"""),500.0)</f>
        <v>500</v>
      </c>
      <c r="I167" s="1"/>
      <c r="J167" s="1"/>
      <c r="K167" s="1"/>
      <c r="L167" s="1"/>
      <c r="M167" s="1"/>
      <c r="N167" s="1"/>
      <c r="O167" s="1"/>
      <c r="P167" s="1"/>
      <c r="Q167" s="1"/>
      <c r="R167" s="1"/>
      <c r="S167" s="1"/>
      <c r="T167" s="1"/>
      <c r="U167" s="1"/>
      <c r="V167" s="1"/>
      <c r="W167" s="1"/>
      <c r="X167" s="1"/>
      <c r="Y167" s="1"/>
      <c r="Z167" s="1"/>
      <c r="AA167" s="1"/>
      <c r="AB167" s="1"/>
      <c r="AC167" s="1"/>
      <c r="AD167" s="1"/>
      <c r="AE167" s="1"/>
      <c r="AF167" s="1" t="str">
        <f>IFERROR(__xludf.DUMMYFUNCTION("""COMPUTED_VALUE"""),"++25% chance of instant death. ")</f>
        <v>++25% chance of instant death. </v>
      </c>
      <c r="AG167" s="1" t="str">
        <f>IFERROR(__xludf.DUMMYFUNCTION("""COMPUTED_VALUE"""),"Land of Spira")</f>
        <v>Land of Spira</v>
      </c>
      <c r="AH167" s="1" t="b">
        <f>IFERROR(__xludf.DUMMYFUNCTION("""COMPUTED_VALUE"""),FALSE)</f>
        <v>0</v>
      </c>
    </row>
    <row r="168">
      <c r="A168" s="1" t="str">
        <f>IFERROR(__xludf.DUMMYFUNCTION("""COMPUTED_VALUE"""),"Lord Dreadfuls Sword")</f>
        <v>Lord Dreadfuls Sword</v>
      </c>
      <c r="B168" s="1" t="str">
        <f>IFERROR(__xludf.DUMMYFUNCTION("""COMPUTED_VALUE"""),"Hand")</f>
        <v>Hand</v>
      </c>
      <c r="C168" s="1"/>
      <c r="D168" s="1" t="str">
        <f>IFERROR(__xludf.DUMMYFUNCTION("""COMPUTED_VALUE"""),"Sword")</f>
        <v>Sword</v>
      </c>
      <c r="E168" s="1">
        <f>IFERROR(__xludf.DUMMYFUNCTION("""COMPUTED_VALUE"""),800.0)</f>
        <v>800</v>
      </c>
      <c r="F168" s="2">
        <f>IFERROR(__xludf.DUMMYFUNCTION("""COMPUTED_VALUE"""),3.16E7)</f>
        <v>31600000</v>
      </c>
      <c r="G168" s="1" t="str">
        <f>IFERROR(__xludf.DUMMYFUNCTION("""COMPUTED_VALUE"""),"DMG")</f>
        <v>DMG</v>
      </c>
      <c r="H168" s="1">
        <f>IFERROR(__xludf.DUMMYFUNCTION("""COMPUTED_VALUE"""),20000.0)</f>
        <v>20000</v>
      </c>
      <c r="I168" s="1"/>
      <c r="J168" s="1"/>
      <c r="K168" s="1"/>
      <c r="L168" s="1"/>
      <c r="M168" s="1"/>
      <c r="N168" s="1"/>
      <c r="O168" s="1">
        <f>IFERROR(__xludf.DUMMYFUNCTION("""COMPUTED_VALUE"""),10000.0)</f>
        <v>10000</v>
      </c>
      <c r="P168" s="1"/>
      <c r="Q168" s="1"/>
      <c r="R168" s="1">
        <f>IFERROR(__xludf.DUMMYFUNCTION("""COMPUTED_VALUE"""),10000.0)</f>
        <v>10000</v>
      </c>
      <c r="S168" s="1"/>
      <c r="T168" s="1"/>
      <c r="U168" s="1"/>
      <c r="V168" s="1"/>
      <c r="W168" s="1"/>
      <c r="X168" s="1"/>
      <c r="Y168" s="1"/>
      <c r="Z168" s="1"/>
      <c r="AA168" s="1"/>
      <c r="AB168" s="1"/>
      <c r="AC168" s="1"/>
      <c r="AD168" s="1"/>
      <c r="AE168" s="1"/>
      <c r="AF168" s="1"/>
      <c r="AG168" s="1" t="str">
        <f>IFERROR(__xludf.DUMMYFUNCTION("""COMPUTED_VALUE"""),"Land of Spira")</f>
        <v>Land of Spira</v>
      </c>
      <c r="AH168" s="1" t="b">
        <f>IFERROR(__xludf.DUMMYFUNCTION("""COMPUTED_VALUE"""),TRUE)</f>
        <v>1</v>
      </c>
    </row>
    <row r="169">
      <c r="A169" s="1" t="str">
        <f>IFERROR(__xludf.DUMMYFUNCTION("""COMPUTED_VALUE"""),"Magma Morningstar")</f>
        <v>Magma Morningstar</v>
      </c>
      <c r="B169" s="1" t="str">
        <f>IFERROR(__xludf.DUMMYFUNCTION("""COMPUTED_VALUE"""),"Hand")</f>
        <v>Hand</v>
      </c>
      <c r="C169" s="1"/>
      <c r="D169" s="1" t="str">
        <f>IFERROR(__xludf.DUMMYFUNCTION("""COMPUTED_VALUE"""),"Club")</f>
        <v>Club</v>
      </c>
      <c r="E169" s="1">
        <f>IFERROR(__xludf.DUMMYFUNCTION("""COMPUTED_VALUE"""),20.0)</f>
        <v>20</v>
      </c>
      <c r="F169" s="2">
        <f>IFERROR(__xludf.DUMMYFUNCTION("""COMPUTED_VALUE"""),1000.0)</f>
        <v>1000</v>
      </c>
      <c r="G169" s="1" t="str">
        <f>IFERROR(__xludf.DUMMYFUNCTION("""COMPUTED_VALUE"""),"DMG")</f>
        <v>DMG</v>
      </c>
      <c r="H169" s="1">
        <f>IFERROR(__xludf.DUMMYFUNCTION("""COMPUTED_VALUE"""),500.0)</f>
        <v>500</v>
      </c>
      <c r="I169" s="1">
        <f>IFERROR(__xludf.DUMMYFUNCTION("""COMPUTED_VALUE"""),400.0)</f>
        <v>400</v>
      </c>
      <c r="J169" s="1"/>
      <c r="K169" s="1"/>
      <c r="L169" s="1"/>
      <c r="M169" s="1"/>
      <c r="N169" s="1"/>
      <c r="O169" s="1"/>
      <c r="P169" s="1"/>
      <c r="Q169" s="1"/>
      <c r="R169" s="1"/>
      <c r="S169" s="1"/>
      <c r="T169" s="1"/>
      <c r="U169" s="1"/>
      <c r="V169" s="1"/>
      <c r="W169" s="1"/>
      <c r="X169" s="1"/>
      <c r="Y169" s="1"/>
      <c r="Z169" s="1"/>
      <c r="AA169" s="1"/>
      <c r="AB169" s="1"/>
      <c r="AC169" s="1"/>
      <c r="AD169" s="1"/>
      <c r="AE169" s="1"/>
      <c r="AF169" s="1" t="str">
        <f>IFERROR(__xludf.DUMMYFUNCTION("""COMPUTED_VALUE"""),"++Will return to you each round when thrown")</f>
        <v>++Will return to you each round when thrown</v>
      </c>
      <c r="AG169" s="1" t="str">
        <f>IFERROR(__xludf.DUMMYFUNCTION("""COMPUTED_VALUE"""),"Land of Spira")</f>
        <v>Land of Spira</v>
      </c>
      <c r="AH169" s="1" t="b">
        <f>IFERROR(__xludf.DUMMYFUNCTION("""COMPUTED_VALUE"""),FALSE)</f>
        <v>0</v>
      </c>
    </row>
    <row r="170">
      <c r="A170" s="1" t="str">
        <f>IFERROR(__xludf.DUMMYFUNCTION("""COMPUTED_VALUE"""),"Magma Sword")</f>
        <v>Magma Sword</v>
      </c>
      <c r="B170" s="1" t="str">
        <f>IFERROR(__xludf.DUMMYFUNCTION("""COMPUTED_VALUE"""),"Hand")</f>
        <v>Hand</v>
      </c>
      <c r="C170" s="1" t="str">
        <f>IFERROR(__xludf.DUMMYFUNCTION("""COMPUTED_VALUE"""),"A sword that turned Forest View into Ash View.")</f>
        <v>A sword that turned Forest View into Ash View.</v>
      </c>
      <c r="D170" s="1" t="str">
        <f>IFERROR(__xludf.DUMMYFUNCTION("""COMPUTED_VALUE"""),"Sword")</f>
        <v>Sword</v>
      </c>
      <c r="E170" s="1">
        <f>IFERROR(__xludf.DUMMYFUNCTION("""COMPUTED_VALUE"""),200.0)</f>
        <v>200</v>
      </c>
      <c r="F170" s="2">
        <f>IFERROR(__xludf.DUMMYFUNCTION("""COMPUTED_VALUE"""),4.485E8)</f>
        <v>448500000</v>
      </c>
      <c r="G170" s="1" t="str">
        <f>IFERROR(__xludf.DUMMYFUNCTION("""COMPUTED_VALUE"""),"DMG")</f>
        <v>DMG</v>
      </c>
      <c r="H170" s="3">
        <f>IFERROR(__xludf.DUMMYFUNCTION("""COMPUTED_VALUE"""),50000.0)</f>
        <v>50000</v>
      </c>
      <c r="I170" s="3">
        <f>IFERROR(__xludf.DUMMYFUNCTION("""COMPUTED_VALUE"""),50000.0)</f>
        <v>50000</v>
      </c>
      <c r="J170" s="1"/>
      <c r="K170" s="1"/>
      <c r="L170" s="1"/>
      <c r="M170" s="1"/>
      <c r="N170" s="1"/>
      <c r="O170" s="1"/>
      <c r="P170" s="1"/>
      <c r="Q170" s="1"/>
      <c r="R170" s="1"/>
      <c r="S170" s="1"/>
      <c r="T170" s="1"/>
      <c r="U170" s="1"/>
      <c r="V170" s="1"/>
      <c r="W170" s="1"/>
      <c r="X170" s="1"/>
      <c r="Y170" s="1"/>
      <c r="Z170" s="1"/>
      <c r="AA170" s="1"/>
      <c r="AB170" s="1"/>
      <c r="AC170" s="3">
        <f>IFERROR(__xludf.DUMMYFUNCTION("""COMPUTED_VALUE"""),50000.0)</f>
        <v>50000</v>
      </c>
      <c r="AD170" s="1"/>
      <c r="AE170" s="1"/>
      <c r="AF170" s="1" t="str">
        <f>IFERROR(__xludf.DUMMYFUNCTION("""COMPUTED_VALUE"""),"++X6 additional Fire damage. ++Burn 20,000 for 3 rounds. +-Cannot be duplicated")</f>
        <v>++X6 additional Fire damage. ++Burn 20,000 for 3 rounds. +-Cannot be duplicated</v>
      </c>
      <c r="AG170" s="1" t="str">
        <f>IFERROR(__xludf.DUMMYFUNCTION("""COMPUTED_VALUE"""),"Abstara")</f>
        <v>Abstara</v>
      </c>
      <c r="AH170" s="1" t="b">
        <f>IFERROR(__xludf.DUMMYFUNCTION("""COMPUTED_VALUE"""),FALSE)</f>
        <v>0</v>
      </c>
    </row>
    <row r="171">
      <c r="A171" s="1" t="str">
        <f>IFERROR(__xludf.DUMMYFUNCTION("""COMPUTED_VALUE"""),"Masking Cloak")</f>
        <v>Masking Cloak</v>
      </c>
      <c r="B171" s="1" t="str">
        <f>IFERROR(__xludf.DUMMYFUNCTION("""COMPUTED_VALUE"""),"Torso")</f>
        <v>Torso</v>
      </c>
      <c r="C171" s="1"/>
      <c r="D171" s="1"/>
      <c r="E171" s="1">
        <f>IFERROR(__xludf.DUMMYFUNCTION("""COMPUTED_VALUE"""),1.0)</f>
        <v>1</v>
      </c>
      <c r="F171" s="2">
        <f>IFERROR(__xludf.DUMMYFUNCTION("""COMPUTED_VALUE"""),0.0)</f>
        <v>0</v>
      </c>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t="str">
        <f>IFERROR(__xludf.DUMMYFUNCTION("""COMPUTED_VALUE"""),"++5 Evasion +-(Cannot be duplicated)")</f>
        <v>++5 Evasion +-(Cannot be duplicated)</v>
      </c>
      <c r="AG171" s="1" t="str">
        <f>IFERROR(__xludf.DUMMYFUNCTION("""COMPUTED_VALUE"""),"Land of Spira")</f>
        <v>Land of Spira</v>
      </c>
      <c r="AH171" s="1" t="b">
        <f>IFERROR(__xludf.DUMMYFUNCTION("""COMPUTED_VALUE"""),FALSE)</f>
        <v>0</v>
      </c>
    </row>
    <row r="172">
      <c r="A172" s="1" t="str">
        <f>IFERROR(__xludf.DUMMYFUNCTION("""COMPUTED_VALUE"""),"Mini Lucky Fish in a Bottle")</f>
        <v>Mini Lucky Fish in a Bottle</v>
      </c>
      <c r="B172" s="1" t="str">
        <f>IFERROR(__xludf.DUMMYFUNCTION("""COMPUTED_VALUE"""),"Hand")</f>
        <v>Hand</v>
      </c>
      <c r="C172" s="1"/>
      <c r="D172" s="1" t="str">
        <f>IFERROR(__xludf.DUMMYFUNCTION("""COMPUTED_VALUE"""),"Wand")</f>
        <v>Wand</v>
      </c>
      <c r="E172" s="1">
        <f>IFERROR(__xludf.DUMMYFUNCTION("""COMPUTED_VALUE"""),1.0)</f>
        <v>1</v>
      </c>
      <c r="F172" s="2">
        <f>IFERROR(__xludf.DUMMYFUNCTION("""COMPUTED_VALUE"""),0.0)</f>
        <v>0</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t="str">
        <f>IFERROR(__xludf.DUMMYFUNCTION("""COMPUTED_VALUE"""),"++Percentage rolls are now increased by 10% for caster that holds this item. +-Can only equip one")</f>
        <v>++Percentage rolls are now increased by 10% for caster that holds this item. +-Can only equip one</v>
      </c>
      <c r="AG172" s="1" t="str">
        <f>IFERROR(__xludf.DUMMYFUNCTION("""COMPUTED_VALUE"""),"Land of Spira")</f>
        <v>Land of Spira</v>
      </c>
      <c r="AH172" s="1" t="b">
        <f>IFERROR(__xludf.DUMMYFUNCTION("""COMPUTED_VALUE"""),FALSE)</f>
        <v>0</v>
      </c>
    </row>
    <row r="173">
      <c r="A173" s="1" t="str">
        <f>IFERROR(__xludf.DUMMYFUNCTION("""COMPUTED_VALUE"""),"Nature Faery Wand")</f>
        <v>Nature Faery Wand</v>
      </c>
      <c r="B173" s="1" t="str">
        <f>IFERROR(__xludf.DUMMYFUNCTION("""COMPUTED_VALUE"""),"Hand")</f>
        <v>Hand</v>
      </c>
      <c r="C173" s="1"/>
      <c r="D173" s="1" t="str">
        <f>IFERROR(__xludf.DUMMYFUNCTION("""COMPUTED_VALUE"""),"Wand")</f>
        <v>Wand</v>
      </c>
      <c r="E173" s="1">
        <f>IFERROR(__xludf.DUMMYFUNCTION("""COMPUTED_VALUE"""),1.0)</f>
        <v>1</v>
      </c>
      <c r="F173" s="2">
        <f>IFERROR(__xludf.DUMMYFUNCTION("""COMPUTED_VALUE"""),0.0)</f>
        <v>0</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t="str">
        <f>IFERROR(__xludf.DUMMYFUNCTION("""COMPUTED_VALUE"""),"++half the sp cost of nature spells")</f>
        <v>++half the sp cost of nature spells</v>
      </c>
      <c r="AG173" s="1" t="str">
        <f>IFERROR(__xludf.DUMMYFUNCTION("""COMPUTED_VALUE"""),"Land of Spira")</f>
        <v>Land of Spira</v>
      </c>
      <c r="AH173" s="1" t="b">
        <f>IFERROR(__xludf.DUMMYFUNCTION("""COMPUTED_VALUE"""),FALSE)</f>
        <v>0</v>
      </c>
    </row>
    <row r="174">
      <c r="A174" s="1" t="str">
        <f>IFERROR(__xludf.DUMMYFUNCTION("""COMPUTED_VALUE"""),"Nature's Sword")</f>
        <v>Nature's Sword</v>
      </c>
      <c r="B174" s="1" t="str">
        <f>IFERROR(__xludf.DUMMYFUNCTION("""COMPUTED_VALUE"""),"Hand")</f>
        <v>Hand</v>
      </c>
      <c r="C174" s="1"/>
      <c r="D174" s="1" t="str">
        <f>IFERROR(__xludf.DUMMYFUNCTION("""COMPUTED_VALUE"""),"Sword")</f>
        <v>Sword</v>
      </c>
      <c r="E174" s="1">
        <f>IFERROR(__xludf.DUMMYFUNCTION("""COMPUTED_VALUE"""),40.0)</f>
        <v>40</v>
      </c>
      <c r="F174" s="2">
        <f>IFERROR(__xludf.DUMMYFUNCTION("""COMPUTED_VALUE"""),30000.0)</f>
        <v>30000</v>
      </c>
      <c r="G174" s="1" t="str">
        <f>IFERROR(__xludf.DUMMYFUNCTION("""COMPUTED_VALUE"""),"DMG")</f>
        <v>DMG</v>
      </c>
      <c r="H174" s="1">
        <f>IFERROR(__xludf.DUMMYFUNCTION("""COMPUTED_VALUE"""),800.0)</f>
        <v>800</v>
      </c>
      <c r="I174" s="1"/>
      <c r="J174" s="1"/>
      <c r="K174" s="1"/>
      <c r="L174" s="1"/>
      <c r="M174" s="1"/>
      <c r="N174" s="1"/>
      <c r="O174" s="1"/>
      <c r="P174" s="1"/>
      <c r="Q174" s="1"/>
      <c r="R174" s="1"/>
      <c r="S174" s="1">
        <f>IFERROR(__xludf.DUMMYFUNCTION("""COMPUTED_VALUE"""),800.0)</f>
        <v>800</v>
      </c>
      <c r="T174" s="1"/>
      <c r="U174" s="1"/>
      <c r="V174" s="1"/>
      <c r="W174" s="1"/>
      <c r="X174" s="1"/>
      <c r="Y174" s="1"/>
      <c r="Z174" s="1"/>
      <c r="AA174" s="1"/>
      <c r="AB174" s="1"/>
      <c r="AC174" s="1"/>
      <c r="AD174" s="1"/>
      <c r="AE174" s="1"/>
      <c r="AF174" s="1" t="str">
        <f>IFERROR(__xludf.DUMMYFUNCTION("""COMPUTED_VALUE"""),"++Upon a successful hit, the next turn you will automatically use the spell Tree Stance.")</f>
        <v>++Upon a successful hit, the next turn you will automatically use the spell Tree Stance.</v>
      </c>
      <c r="AG174" s="1" t="str">
        <f>IFERROR(__xludf.DUMMYFUNCTION("""COMPUTED_VALUE"""),"Land of Spira")</f>
        <v>Land of Spira</v>
      </c>
      <c r="AH174" s="1" t="b">
        <f>IFERROR(__xludf.DUMMYFUNCTION("""COMPUTED_VALUE"""),FALSE)</f>
        <v>0</v>
      </c>
    </row>
    <row r="175">
      <c r="A175" s="1" t="str">
        <f>IFERROR(__xludf.DUMMYFUNCTION("""COMPUTED_VALUE"""),"Necklace o' Lending")</f>
        <v>Necklace o' Lending</v>
      </c>
      <c r="B175" s="1" t="str">
        <f>IFERROR(__xludf.DUMMYFUNCTION("""COMPUTED_VALUE"""),"Neck")</f>
        <v>Neck</v>
      </c>
      <c r="C175" s="1"/>
      <c r="D175" s="1"/>
      <c r="E175" s="1">
        <f>IFERROR(__xludf.DUMMYFUNCTION("""COMPUTED_VALUE"""),1.0)</f>
        <v>1</v>
      </c>
      <c r="F175" s="2">
        <f>IFERROR(__xludf.DUMMYFUNCTION("""COMPUTED_VALUE"""),0.0)</f>
        <v>0</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t="str">
        <f>IFERROR(__xludf.DUMMYFUNCTION("""COMPUTED_VALUE"""),"++Decrease XHP and XSP from your character sheet and add that amount to another target.")</f>
        <v>++Decrease XHP and XSP from your character sheet and add that amount to another target.</v>
      </c>
      <c r="AG175" s="1" t="str">
        <f>IFERROR(__xludf.DUMMYFUNCTION("""COMPUTED_VALUE"""),"Land of Spira")</f>
        <v>Land of Spira</v>
      </c>
      <c r="AH175" s="1" t="b">
        <f>IFERROR(__xludf.DUMMYFUNCTION("""COMPUTED_VALUE"""),FALSE)</f>
        <v>0</v>
      </c>
    </row>
    <row r="176">
      <c r="A176" s="1" t="str">
        <f>IFERROR(__xludf.DUMMYFUNCTION("""COMPUTED_VALUE"""),"Necklace Of Ancient Mountains")</f>
        <v>Necklace Of Ancient Mountains</v>
      </c>
      <c r="B176" s="1" t="str">
        <f>IFERROR(__xludf.DUMMYFUNCTION("""COMPUTED_VALUE"""),"Neck")</f>
        <v>Neck</v>
      </c>
      <c r="C176" s="1"/>
      <c r="D176" s="1"/>
      <c r="E176" s="1">
        <f>IFERROR(__xludf.DUMMYFUNCTION("""COMPUTED_VALUE"""),1.0)</f>
        <v>1</v>
      </c>
      <c r="F176" s="2">
        <f>IFERROR(__xludf.DUMMYFUNCTION("""COMPUTED_VALUE"""),0.0)</f>
        <v>0</v>
      </c>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t="str">
        <f>IFERROR(__xludf.DUMMYFUNCTION("""COMPUTED_VALUE"""),"++Forged items now deal double in damage for the wearer, ++Forging rolls cannot fail, +-Cannot be forged +-Cannot be duplicated")</f>
        <v>++Forged items now deal double in damage for the wearer, ++Forging rolls cannot fail, +-Cannot be forged +-Cannot be duplicated</v>
      </c>
      <c r="AG176" s="1" t="str">
        <f>IFERROR(__xludf.DUMMYFUNCTION("""COMPUTED_VALUE"""),"Land of Spira")</f>
        <v>Land of Spira</v>
      </c>
      <c r="AH176" s="1" t="b">
        <f>IFERROR(__xludf.DUMMYFUNCTION("""COMPUTED_VALUE"""),FALSE)</f>
        <v>0</v>
      </c>
    </row>
    <row r="177">
      <c r="A177" s="1" t="str">
        <f>IFERROR(__xludf.DUMMYFUNCTION("""COMPUTED_VALUE"""),"Necklace Of Heatmore")</f>
        <v>Necklace Of Heatmore</v>
      </c>
      <c r="B177" s="1" t="str">
        <f>IFERROR(__xludf.DUMMYFUNCTION("""COMPUTED_VALUE"""),"Neck")</f>
        <v>Neck</v>
      </c>
      <c r="C177" s="1"/>
      <c r="D177" s="1"/>
      <c r="E177" s="1">
        <f>IFERROR(__xludf.DUMMYFUNCTION("""COMPUTED_VALUE"""),1.0)</f>
        <v>1</v>
      </c>
      <c r="F177" s="2">
        <f>IFERROR(__xludf.DUMMYFUNCTION("""COMPUTED_VALUE"""),0.0)</f>
        <v>0</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t="str">
        <f>IFERROR(__xludf.DUMMYFUNCTION("""COMPUTED_VALUE"""),"++ +2 is added to your d20 roll.")</f>
        <v>++ +2 is added to your d20 roll.</v>
      </c>
      <c r="AG177" s="1" t="str">
        <f>IFERROR(__xludf.DUMMYFUNCTION("""COMPUTED_VALUE"""),"Land of Spira")</f>
        <v>Land of Spira</v>
      </c>
      <c r="AH177" s="1" t="b">
        <f>IFERROR(__xludf.DUMMYFUNCTION("""COMPUTED_VALUE"""),FALSE)</f>
        <v>0</v>
      </c>
    </row>
    <row r="178">
      <c r="A178" s="1" t="str">
        <f>IFERROR(__xludf.DUMMYFUNCTION("""COMPUTED_VALUE"""),"Necklace of Shards")</f>
        <v>Necklace of Shards</v>
      </c>
      <c r="B178" s="1" t="str">
        <f>IFERROR(__xludf.DUMMYFUNCTION("""COMPUTED_VALUE"""),"Neck")</f>
        <v>Neck</v>
      </c>
      <c r="C178" s="1"/>
      <c r="D178" s="1"/>
      <c r="E178" s="1">
        <f>IFERROR(__xludf.DUMMYFUNCTION("""COMPUTED_VALUE"""),1.0)</f>
        <v>1</v>
      </c>
      <c r="F178" s="2">
        <f>IFERROR(__xludf.DUMMYFUNCTION("""COMPUTED_VALUE"""),0.0)</f>
        <v>0</v>
      </c>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t="str">
        <f>IFERROR(__xludf.DUMMYFUNCTION("""COMPUTED_VALUE"""),"++X6 Chaos and Dark Damage. +-Cannot be duplicated.")</f>
        <v>++X6 Chaos and Dark Damage. +-Cannot be duplicated.</v>
      </c>
      <c r="AG178" s="1" t="str">
        <f>IFERROR(__xludf.DUMMYFUNCTION("""COMPUTED_VALUE"""),"Land of The Forgotten")</f>
        <v>Land of The Forgotten</v>
      </c>
      <c r="AH178" s="1" t="b">
        <f>IFERROR(__xludf.DUMMYFUNCTION("""COMPUTED_VALUE"""),FALSE)</f>
        <v>0</v>
      </c>
    </row>
    <row r="179">
      <c r="A179" s="1" t="str">
        <f>IFERROR(__xludf.DUMMYFUNCTION("""COMPUTED_VALUE"""),"Necklace of The Lost Soul")</f>
        <v>Necklace of The Lost Soul</v>
      </c>
      <c r="B179" s="1" t="str">
        <f>IFERROR(__xludf.DUMMYFUNCTION("""COMPUTED_VALUE"""),"Neck")</f>
        <v>Neck</v>
      </c>
      <c r="C179" s="1"/>
      <c r="D179" s="1"/>
      <c r="E179" s="1">
        <f>IFERROR(__xludf.DUMMYFUNCTION("""COMPUTED_VALUE"""),1.0)</f>
        <v>1</v>
      </c>
      <c r="F179" s="2">
        <f>IFERROR(__xludf.DUMMYFUNCTION("""COMPUTED_VALUE"""),0.0)</f>
        <v>0</v>
      </c>
      <c r="G179" s="1" t="str">
        <f>IFERROR(__xludf.DUMMYFUNCTION("""COMPUTED_VALUE"""),"DEF")</f>
        <v>DEF</v>
      </c>
      <c r="H179" s="1">
        <f>IFERROR(__xludf.DUMMYFUNCTION("""COMPUTED_VALUE"""),100.0)</f>
        <v>100</v>
      </c>
      <c r="I179" s="1"/>
      <c r="J179" s="1"/>
      <c r="K179" s="1"/>
      <c r="L179" s="1"/>
      <c r="M179" s="1"/>
      <c r="N179" s="1"/>
      <c r="O179" s="1"/>
      <c r="P179" s="1"/>
      <c r="Q179" s="1"/>
      <c r="R179" s="1"/>
      <c r="S179" s="1"/>
      <c r="T179" s="1"/>
      <c r="U179" s="1"/>
      <c r="V179" s="1"/>
      <c r="W179" s="1"/>
      <c r="X179" s="1"/>
      <c r="Y179" s="1"/>
      <c r="Z179" s="1"/>
      <c r="AA179" s="1"/>
      <c r="AB179" s="1"/>
      <c r="AC179" s="1"/>
      <c r="AD179" s="1"/>
      <c r="AE179" s="1"/>
      <c r="AF179" s="1" t="str">
        <f>IFERROR(__xludf.DUMMYFUNCTION("""COMPUTED_VALUE"""),"++X2 Spirit Damage, ++Soul Enhanced II - Each soul you put into this item will increase its base defense by 100 up to 200,000.")</f>
        <v>++X2 Spirit Damage, ++Soul Enhanced II - Each soul you put into this item will increase its base defense by 100 up to 200,000.</v>
      </c>
      <c r="AG179" s="1" t="str">
        <f>IFERROR(__xludf.DUMMYFUNCTION("""COMPUTED_VALUE"""),"Land of Spira")</f>
        <v>Land of Spira</v>
      </c>
      <c r="AH179" s="1" t="b">
        <f>IFERROR(__xludf.DUMMYFUNCTION("""COMPUTED_VALUE"""),FALSE)</f>
        <v>0</v>
      </c>
    </row>
    <row r="180">
      <c r="A180" s="1" t="str">
        <f>IFERROR(__xludf.DUMMYFUNCTION("""COMPUTED_VALUE"""),"Necklace of the Pumpkin")</f>
        <v>Necklace of the Pumpkin</v>
      </c>
      <c r="B180" s="1" t="str">
        <f>IFERROR(__xludf.DUMMYFUNCTION("""COMPUTED_VALUE"""),"Neck")</f>
        <v>Neck</v>
      </c>
      <c r="C180" s="1"/>
      <c r="D180" s="1"/>
      <c r="E180" s="1">
        <f>IFERROR(__xludf.DUMMYFUNCTION("""COMPUTED_VALUE"""),1.0)</f>
        <v>1</v>
      </c>
      <c r="F180" s="2">
        <f>IFERROR(__xludf.DUMMYFUNCTION("""COMPUTED_VALUE"""),0.0)</f>
        <v>0</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t="str">
        <f>IFERROR(__xludf.DUMMYFUNCTION("""COMPUTED_VALUE"""),"++Gives Immunity to Fire, Dark, and Nature damage")</f>
        <v>++Gives Immunity to Fire, Dark, and Nature damage</v>
      </c>
      <c r="AG180" s="1" t="str">
        <f>IFERROR(__xludf.DUMMYFUNCTION("""COMPUTED_VALUE"""),"Land of Spira")</f>
        <v>Land of Spira</v>
      </c>
      <c r="AH180" s="1" t="b">
        <f>IFERROR(__xludf.DUMMYFUNCTION("""COMPUTED_VALUE"""),FALSE)</f>
        <v>0</v>
      </c>
    </row>
    <row r="181">
      <c r="A181" s="1" t="str">
        <f>IFERROR(__xludf.DUMMYFUNCTION("""COMPUTED_VALUE"""),"Necklace Of Tritonoch")</f>
        <v>Necklace Of Tritonoch</v>
      </c>
      <c r="B181" s="1" t="str">
        <f>IFERROR(__xludf.DUMMYFUNCTION("""COMPUTED_VALUE"""),"Neck")</f>
        <v>Neck</v>
      </c>
      <c r="C181" s="1"/>
      <c r="D181" s="1"/>
      <c r="E181" s="1">
        <f>IFERROR(__xludf.DUMMYFUNCTION("""COMPUTED_VALUE"""),1.0)</f>
        <v>1</v>
      </c>
      <c r="F181" s="2">
        <f>IFERROR(__xludf.DUMMYFUNCTION("""COMPUTED_VALUE"""),0.0)</f>
        <v>0</v>
      </c>
      <c r="G181" s="1" t="str">
        <f>IFERROR(__xludf.DUMMYFUNCTION("""COMPUTED_VALUE"""),"DEF")</f>
        <v>DEF</v>
      </c>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t="str">
        <f>IFERROR(__xludf.DUMMYFUNCTION("""COMPUTED_VALUE"""),"++Any water attack dealt by the wearer has a 50% chance to freeze the targets it hits, ++Waves of Entitlement - x5 additional Water damage")</f>
        <v>++Any water attack dealt by the wearer has a 50% chance to freeze the targets it hits, ++Waves of Entitlement - x5 additional Water damage</v>
      </c>
      <c r="AG181" s="1" t="str">
        <f>IFERROR(__xludf.DUMMYFUNCTION("""COMPUTED_VALUE"""),"Land of Spira")</f>
        <v>Land of Spira</v>
      </c>
      <c r="AH181" s="1" t="b">
        <f>IFERROR(__xludf.DUMMYFUNCTION("""COMPUTED_VALUE"""),FALSE)</f>
        <v>0</v>
      </c>
    </row>
    <row r="182">
      <c r="A182" s="1" t="str">
        <f>IFERROR(__xludf.DUMMYFUNCTION("""COMPUTED_VALUE"""),"Necklace of Waking Waters")</f>
        <v>Necklace of Waking Waters</v>
      </c>
      <c r="B182" s="1" t="str">
        <f>IFERROR(__xludf.DUMMYFUNCTION("""COMPUTED_VALUE"""),"Neck")</f>
        <v>Neck</v>
      </c>
      <c r="C182" s="1"/>
      <c r="D182" s="1"/>
      <c r="E182" s="1">
        <f>IFERROR(__xludf.DUMMYFUNCTION("""COMPUTED_VALUE"""),1.0)</f>
        <v>1</v>
      </c>
      <c r="F182" s="2">
        <f>IFERROR(__xludf.DUMMYFUNCTION("""COMPUTED_VALUE"""),0.0)</f>
        <v>0</v>
      </c>
      <c r="G182" s="1" t="str">
        <f>IFERROR(__xludf.DUMMYFUNCTION("""COMPUTED_VALUE"""),"DEF")</f>
        <v>DEF</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t="str">
        <f>IFERROR(__xludf.DUMMYFUNCTION("""COMPUTED_VALUE"""),"++Immunity to sleep. ++X4 Water damage.")</f>
        <v>++Immunity to sleep. ++X4 Water damage.</v>
      </c>
      <c r="AG182" s="1" t="str">
        <f>IFERROR(__xludf.DUMMYFUNCTION("""COMPUTED_VALUE"""),"Land of Spira")</f>
        <v>Land of Spira</v>
      </c>
      <c r="AH182" s="1" t="b">
        <f>IFERROR(__xludf.DUMMYFUNCTION("""COMPUTED_VALUE"""),FALSE)</f>
        <v>0</v>
      </c>
    </row>
    <row r="183">
      <c r="A183" s="1" t="str">
        <f>IFERROR(__xludf.DUMMYFUNCTION("""COMPUTED_VALUE"""),"Necklace of Water Breathing")</f>
        <v>Necklace of Water Breathing</v>
      </c>
      <c r="B183" s="1" t="str">
        <f>IFERROR(__xludf.DUMMYFUNCTION("""COMPUTED_VALUE"""),"Neck")</f>
        <v>Neck</v>
      </c>
      <c r="C183" s="1"/>
      <c r="D183" s="1"/>
      <c r="E183" s="1">
        <f>IFERROR(__xludf.DUMMYFUNCTION("""COMPUTED_VALUE"""),1.0)</f>
        <v>1</v>
      </c>
      <c r="F183" s="2">
        <f>IFERROR(__xludf.DUMMYFUNCTION("""COMPUTED_VALUE"""),0.0)</f>
        <v>0</v>
      </c>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t="str">
        <f>IFERROR(__xludf.DUMMYFUNCTION("""COMPUTED_VALUE"""),"++Allows you to breath underwater.")</f>
        <v>++Allows you to breath underwater.</v>
      </c>
      <c r="AG183" s="1" t="str">
        <f>IFERROR(__xludf.DUMMYFUNCTION("""COMPUTED_VALUE"""),"Land of Spira")</f>
        <v>Land of Spira</v>
      </c>
      <c r="AH183" s="1" t="b">
        <f>IFERROR(__xludf.DUMMYFUNCTION("""COMPUTED_VALUE"""),FALSE)</f>
        <v>0</v>
      </c>
    </row>
    <row r="184">
      <c r="A184" s="1" t="str">
        <f>IFERROR(__xludf.DUMMYFUNCTION("""COMPUTED_VALUE"""),"Obsidian Chestplate")</f>
        <v>Obsidian Chestplate</v>
      </c>
      <c r="B184" s="1" t="str">
        <f>IFERROR(__xludf.DUMMYFUNCTION("""COMPUTED_VALUE"""),"Torso")</f>
        <v>Torso</v>
      </c>
      <c r="C184" s="1" t="str">
        <f>IFERROR(__xludf.DUMMYFUNCTION("""COMPUTED_VALUE"""),"Quest Item")</f>
        <v>Quest Item</v>
      </c>
      <c r="D184" s="1"/>
      <c r="E184" s="1">
        <f>IFERROR(__xludf.DUMMYFUNCTION("""COMPUTED_VALUE"""),4000.0)</f>
        <v>4000</v>
      </c>
      <c r="F184" s="2">
        <f>IFERROR(__xludf.DUMMYFUNCTION("""COMPUTED_VALUE"""),7.98E8)</f>
        <v>798000000</v>
      </c>
      <c r="G184" s="1" t="str">
        <f>IFERROR(__xludf.DUMMYFUNCTION("""COMPUTED_VALUE"""),"DEF")</f>
        <v>DEF</v>
      </c>
      <c r="H184" s="3">
        <f>IFERROR(__xludf.DUMMYFUNCTION("""COMPUTED_VALUE"""),100000.0)</f>
        <v>100000</v>
      </c>
      <c r="I184" s="3">
        <f>IFERROR(__xludf.DUMMYFUNCTION("""COMPUTED_VALUE"""),100000.0)</f>
        <v>100000</v>
      </c>
      <c r="J184" s="1"/>
      <c r="K184" s="1"/>
      <c r="L184" s="1"/>
      <c r="M184" s="1"/>
      <c r="N184" s="1"/>
      <c r="O184" s="1"/>
      <c r="P184" s="1"/>
      <c r="Q184" s="1"/>
      <c r="R184" s="1"/>
      <c r="S184" s="1"/>
      <c r="T184" s="1"/>
      <c r="U184" s="1"/>
      <c r="V184" s="1"/>
      <c r="W184" s="1"/>
      <c r="X184" s="1"/>
      <c r="Y184" s="1"/>
      <c r="Z184" s="1"/>
      <c r="AA184" s="1"/>
      <c r="AB184" s="1"/>
      <c r="AC184" s="1"/>
      <c r="AD184" s="1"/>
      <c r="AE184" s="1"/>
      <c r="AF184" s="1" t="str">
        <f>IFERROR(__xludf.DUMMYFUNCTION("""COMPUTED_VALUE"""),"++Fire Immunity. +-Cannot be duplicated.")</f>
        <v>++Fire Immunity. +-Cannot be duplicated.</v>
      </c>
      <c r="AG184" s="1" t="str">
        <f>IFERROR(__xludf.DUMMYFUNCTION("""COMPUTED_VALUE"""),"Land of Spira")</f>
        <v>Land of Spira</v>
      </c>
      <c r="AH184" s="1" t="b">
        <f>IFERROR(__xludf.DUMMYFUNCTION("""COMPUTED_VALUE"""),FALSE)</f>
        <v>0</v>
      </c>
    </row>
    <row r="185">
      <c r="A185" s="1"/>
      <c r="B185" s="1" t="str">
        <f>IFERROR(__xludf.DUMMYFUNCTION("""COMPUTED_VALUE"""),"Hand")</f>
        <v>Hand</v>
      </c>
      <c r="C185" s="1"/>
      <c r="D185" s="1"/>
      <c r="E185" s="1">
        <f>IFERROR(__xludf.DUMMYFUNCTION("""COMPUTED_VALUE"""),1.0)</f>
        <v>1</v>
      </c>
      <c r="F185" s="2">
        <f>IFERROR(__xludf.DUMMYFUNCTION("""COMPUTED_VALUE"""),0.0)</f>
        <v>0</v>
      </c>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t="str">
        <f>IFERROR(__xludf.DUMMYFUNCTION("""COMPUTED_VALUE"""),"Land of Spira")</f>
        <v>Land of Spira</v>
      </c>
      <c r="AH185" s="1" t="b">
        <f>IFERROR(__xludf.DUMMYFUNCTION("""COMPUTED_VALUE"""),FALSE)</f>
        <v>0</v>
      </c>
    </row>
    <row r="186">
      <c r="A186" s="1" t="str">
        <f>IFERROR(__xludf.DUMMYFUNCTION("""COMPUTED_VALUE"""),"Ancient Oni Mask")</f>
        <v>Ancient Oni Mask</v>
      </c>
      <c r="B186" s="1" t="str">
        <f>IFERROR(__xludf.DUMMYFUNCTION("""COMPUTED_VALUE"""),"Head")</f>
        <v>Head</v>
      </c>
      <c r="C186" s="1" t="str">
        <f>IFERROR(__xludf.DUMMYFUNCTION("""COMPUTED_VALUE"""),"An ancient relic to Zhenmay")</f>
        <v>An ancient relic to Zhenmay</v>
      </c>
      <c r="D186" s="1"/>
      <c r="E186" s="1">
        <f>IFERROR(__xludf.DUMMYFUNCTION("""COMPUTED_VALUE"""),200.0)</f>
        <v>200</v>
      </c>
      <c r="F186" s="2">
        <f>IFERROR(__xludf.DUMMYFUNCTION("""COMPUTED_VALUE"""),5.104E8)</f>
        <v>510400000</v>
      </c>
      <c r="G186" s="1" t="str">
        <f>IFERROR(__xludf.DUMMYFUNCTION("""COMPUTED_VALUE"""),"DEF")</f>
        <v>DEF</v>
      </c>
      <c r="H186" s="3">
        <f>IFERROR(__xludf.DUMMYFUNCTION("""COMPUTED_VALUE"""),10000.0)</f>
        <v>10000</v>
      </c>
      <c r="I186" s="3">
        <f>IFERROR(__xludf.DUMMYFUNCTION("""COMPUTED_VALUE"""),10000.0)</f>
        <v>10000</v>
      </c>
      <c r="J186" s="3">
        <f>IFERROR(__xludf.DUMMYFUNCTION("""COMPUTED_VALUE"""),10000.0)</f>
        <v>10000</v>
      </c>
      <c r="K186" s="3">
        <f>IFERROR(__xludf.DUMMYFUNCTION("""COMPUTED_VALUE"""),10000.0)</f>
        <v>10000</v>
      </c>
      <c r="L186" s="3">
        <f>IFERROR(__xludf.DUMMYFUNCTION("""COMPUTED_VALUE"""),10000.0)</f>
        <v>10000</v>
      </c>
      <c r="M186" s="3">
        <f>IFERROR(__xludf.DUMMYFUNCTION("""COMPUTED_VALUE"""),10000.0)</f>
        <v>10000</v>
      </c>
      <c r="N186" s="3">
        <f>IFERROR(__xludf.DUMMYFUNCTION("""COMPUTED_VALUE"""),10000.0)</f>
        <v>10000</v>
      </c>
      <c r="O186" s="3">
        <f>IFERROR(__xludf.DUMMYFUNCTION("""COMPUTED_VALUE"""),10000.0)</f>
        <v>10000</v>
      </c>
      <c r="P186" s="3">
        <f>IFERROR(__xludf.DUMMYFUNCTION("""COMPUTED_VALUE"""),10000.0)</f>
        <v>10000</v>
      </c>
      <c r="Q186" s="3">
        <f>IFERROR(__xludf.DUMMYFUNCTION("""COMPUTED_VALUE"""),10000.0)</f>
        <v>10000</v>
      </c>
      <c r="R186" s="3">
        <f>IFERROR(__xludf.DUMMYFUNCTION("""COMPUTED_VALUE"""),10000.0)</f>
        <v>10000</v>
      </c>
      <c r="S186" s="3">
        <f>IFERROR(__xludf.DUMMYFUNCTION("""COMPUTED_VALUE"""),10000.0)</f>
        <v>10000</v>
      </c>
      <c r="T186" s="1"/>
      <c r="U186" s="1"/>
      <c r="V186" s="1"/>
      <c r="W186" s="1"/>
      <c r="X186" s="3">
        <f>IFERROR(__xludf.DUMMYFUNCTION("""COMPUTED_VALUE"""),10000.0)</f>
        <v>10000</v>
      </c>
      <c r="Y186" s="3">
        <f>IFERROR(__xludf.DUMMYFUNCTION("""COMPUTED_VALUE"""),10000.0)</f>
        <v>10000</v>
      </c>
      <c r="Z186" s="1"/>
      <c r="AA186" s="1"/>
      <c r="AB186" s="3">
        <f>IFERROR(__xludf.DUMMYFUNCTION("""COMPUTED_VALUE"""),10000.0)</f>
        <v>10000</v>
      </c>
      <c r="AC186" s="3">
        <f>IFERROR(__xludf.DUMMYFUNCTION("""COMPUTED_VALUE"""),10000.0)</f>
        <v>10000</v>
      </c>
      <c r="AD186" s="1"/>
      <c r="AE186" s="1"/>
      <c r="AF186" s="1" t="str">
        <f>IFERROR(__xludf.DUMMYFUNCTION("""COMPUTED_VALUE"""),"++X2 damage for all elements. +-Only Samurai's, Monks, and Ninjas can equip. +-Cannot be forged +-Cannot be duplicated")</f>
        <v>++X2 damage for all elements. +-Only Samurai's, Monks, and Ninjas can equip. +-Cannot be forged +-Cannot be duplicated</v>
      </c>
      <c r="AG186" s="1" t="str">
        <f>IFERROR(__xludf.DUMMYFUNCTION("""COMPUTED_VALUE"""),"Land of Spira")</f>
        <v>Land of Spira</v>
      </c>
      <c r="AH186" s="1" t="b">
        <f>IFERROR(__xludf.DUMMYFUNCTION("""COMPUTED_VALUE"""),FALSE)</f>
        <v>0</v>
      </c>
    </row>
    <row r="187">
      <c r="A187" s="1" t="str">
        <f>IFERROR(__xludf.DUMMYFUNCTION("""COMPUTED_VALUE"""),"Pauldrons of Waking Waters")</f>
        <v>Pauldrons of Waking Waters</v>
      </c>
      <c r="B187" s="1" t="str">
        <f>IFERROR(__xludf.DUMMYFUNCTION("""COMPUTED_VALUE"""),"Shoulders")</f>
        <v>Shoulders</v>
      </c>
      <c r="C187" s="1"/>
      <c r="D187" s="1"/>
      <c r="E187" s="1">
        <f>IFERROR(__xludf.DUMMYFUNCTION("""COMPUTED_VALUE"""),200.0)</f>
        <v>200</v>
      </c>
      <c r="F187" s="2">
        <f>IFERROR(__xludf.DUMMYFUNCTION("""COMPUTED_VALUE"""),1900000.0)</f>
        <v>1900000</v>
      </c>
      <c r="G187" s="1" t="str">
        <f>IFERROR(__xludf.DUMMYFUNCTION("""COMPUTED_VALUE"""),"DEF")</f>
        <v>DEF</v>
      </c>
      <c r="H187" s="1">
        <f>IFERROR(__xludf.DUMMYFUNCTION("""COMPUTED_VALUE"""),5000.0)</f>
        <v>5000</v>
      </c>
      <c r="I187" s="1"/>
      <c r="J187" s="1"/>
      <c r="K187" s="1">
        <f>IFERROR(__xludf.DUMMYFUNCTION("""COMPUTED_VALUE"""),5000.0)</f>
        <v>5000</v>
      </c>
      <c r="L187" s="1"/>
      <c r="M187" s="1"/>
      <c r="N187" s="1"/>
      <c r="O187" s="1"/>
      <c r="P187" s="1"/>
      <c r="Q187" s="1"/>
      <c r="R187" s="1"/>
      <c r="S187" s="1"/>
      <c r="T187" s="1"/>
      <c r="U187" s="1"/>
      <c r="V187" s="1"/>
      <c r="W187" s="1"/>
      <c r="X187" s="1"/>
      <c r="Y187" s="1"/>
      <c r="Z187" s="1"/>
      <c r="AA187" s="1"/>
      <c r="AB187" s="1"/>
      <c r="AC187" s="1"/>
      <c r="AD187" s="1"/>
      <c r="AE187" s="1"/>
      <c r="AF187" s="1" t="str">
        <f>IFERROR(__xludf.DUMMYFUNCTION("""COMPUTED_VALUE"""),"++X4 additional water damage for self.")</f>
        <v>++X4 additional water damage for self.</v>
      </c>
      <c r="AG187" s="1" t="str">
        <f>IFERROR(__xludf.DUMMYFUNCTION("""COMPUTED_VALUE"""),"Land of Spira")</f>
        <v>Land of Spira</v>
      </c>
      <c r="AH187" s="1" t="b">
        <f>IFERROR(__xludf.DUMMYFUNCTION("""COMPUTED_VALUE"""),FALSE)</f>
        <v>0</v>
      </c>
    </row>
    <row r="188">
      <c r="A188" s="1" t="str">
        <f>IFERROR(__xludf.DUMMYFUNCTION("""COMPUTED_VALUE"""),"Pendent of the Sea Serpent")</f>
        <v>Pendent of the Sea Serpent</v>
      </c>
      <c r="B188" s="1" t="str">
        <f>IFERROR(__xludf.DUMMYFUNCTION("""COMPUTED_VALUE"""),"Neck")</f>
        <v>Neck</v>
      </c>
      <c r="C188" s="1"/>
      <c r="D188" s="1"/>
      <c r="E188" s="1">
        <f>IFERROR(__xludf.DUMMYFUNCTION("""COMPUTED_VALUE"""),1.0)</f>
        <v>1</v>
      </c>
      <c r="F188" s="2">
        <f>IFERROR(__xludf.DUMMYFUNCTION("""COMPUTED_VALUE"""),0.0)</f>
        <v>0</v>
      </c>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t="str">
        <f>IFERROR(__xludf.DUMMYFUNCTION("""COMPUTED_VALUE"""),"++X2 Water Resistance.")</f>
        <v>++X2 Water Resistance.</v>
      </c>
      <c r="AG188" s="1" t="str">
        <f>IFERROR(__xludf.DUMMYFUNCTION("""COMPUTED_VALUE"""),"Land of Spira")</f>
        <v>Land of Spira</v>
      </c>
      <c r="AH188" s="1" t="b">
        <f>IFERROR(__xludf.DUMMYFUNCTION("""COMPUTED_VALUE"""),FALSE)</f>
        <v>0</v>
      </c>
    </row>
    <row r="189">
      <c r="A189" s="1" t="str">
        <f>IFERROR(__xludf.DUMMYFUNCTION("""COMPUTED_VALUE"""),"Pendent of Confusion")</f>
        <v>Pendent of Confusion</v>
      </c>
      <c r="B189" s="1" t="str">
        <f>IFERROR(__xludf.DUMMYFUNCTION("""COMPUTED_VALUE"""),"Neck")</f>
        <v>Neck</v>
      </c>
      <c r="C189" s="1"/>
      <c r="D189" s="1"/>
      <c r="E189" s="1">
        <f>IFERROR(__xludf.DUMMYFUNCTION("""COMPUTED_VALUE"""),1.0)</f>
        <v>1</v>
      </c>
      <c r="F189" s="2">
        <f>IFERROR(__xludf.DUMMYFUNCTION("""COMPUTED_VALUE"""),0.0)</f>
        <v>0</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t="str">
        <f>IFERROR(__xludf.DUMMYFUNCTION("""COMPUTED_VALUE"""),"++At the beginning of battle choose a target and choose two numbers between 1-40 whenever the target rolls the numbers you chose while they are attacking they attack themself (1 use per battle)")</f>
        <v>++At the beginning of battle choose a target and choose two numbers between 1-40 whenever the target rolls the numbers you chose while they are attacking they attack themself (1 use per battle)</v>
      </c>
      <c r="AG189" s="1" t="str">
        <f>IFERROR(__xludf.DUMMYFUNCTION("""COMPUTED_VALUE"""),"Land of Spira")</f>
        <v>Land of Spira</v>
      </c>
      <c r="AH189" s="1" t="b">
        <f>IFERROR(__xludf.DUMMYFUNCTION("""COMPUTED_VALUE"""),FALSE)</f>
        <v>0</v>
      </c>
    </row>
    <row r="190">
      <c r="A190" s="1" t="str">
        <f>IFERROR(__xludf.DUMMYFUNCTION("""COMPUTED_VALUE"""),"Pendent of Luck")</f>
        <v>Pendent of Luck</v>
      </c>
      <c r="B190" s="1" t="str">
        <f>IFERROR(__xludf.DUMMYFUNCTION("""COMPUTED_VALUE"""),"Neck")</f>
        <v>Neck</v>
      </c>
      <c r="C190" s="1"/>
      <c r="D190" s="1"/>
      <c r="E190" s="1">
        <f>IFERROR(__xludf.DUMMYFUNCTION("""COMPUTED_VALUE"""),1.0)</f>
        <v>1</v>
      </c>
      <c r="F190" s="2">
        <f>IFERROR(__xludf.DUMMYFUNCTION("""COMPUTED_VALUE"""),0.0)</f>
        <v>0</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t="str">
        <f>IFERROR(__xludf.DUMMYFUNCTION("""COMPUTED_VALUE"""),"++Plus 100 to each base Stat.")</f>
        <v>++Plus 100 to each base Stat.</v>
      </c>
      <c r="AG190" s="1" t="str">
        <f>IFERROR(__xludf.DUMMYFUNCTION("""COMPUTED_VALUE"""),"Land of Spira")</f>
        <v>Land of Spira</v>
      </c>
      <c r="AH190" s="1" t="b">
        <f>IFERROR(__xludf.DUMMYFUNCTION("""COMPUTED_VALUE"""),FALSE)</f>
        <v>0</v>
      </c>
    </row>
    <row r="191">
      <c r="A191" s="1" t="str">
        <f>IFERROR(__xludf.DUMMYFUNCTION("""COMPUTED_VALUE"""),"Pillow of Dreams")</f>
        <v>Pillow of Dreams</v>
      </c>
      <c r="B191" s="1" t="str">
        <f>IFERROR(__xludf.DUMMYFUNCTION("""COMPUTED_VALUE"""),"Hand")</f>
        <v>Hand</v>
      </c>
      <c r="C191" s="1"/>
      <c r="D191" s="1" t="str">
        <f>IFERROR(__xludf.DUMMYFUNCTION("""COMPUTED_VALUE"""),"Towershield")</f>
        <v>Towershield</v>
      </c>
      <c r="E191" s="1">
        <f>IFERROR(__xludf.DUMMYFUNCTION("""COMPUTED_VALUE"""),200.0)</f>
        <v>200</v>
      </c>
      <c r="F191" s="2">
        <f>IFERROR(__xludf.DUMMYFUNCTION("""COMPUTED_VALUE"""),1.2475E9)</f>
        <v>1247500000</v>
      </c>
      <c r="G191" s="1" t="str">
        <f>IFERROR(__xludf.DUMMYFUNCTION("""COMPUTED_VALUE"""),"DEF")</f>
        <v>DEF</v>
      </c>
      <c r="H191" s="3">
        <f>IFERROR(__xludf.DUMMYFUNCTION("""COMPUTED_VALUE"""),100000.0)</f>
        <v>100000</v>
      </c>
      <c r="I191" s="1"/>
      <c r="J191" s="1"/>
      <c r="K191" s="1"/>
      <c r="L191" s="1"/>
      <c r="M191" s="1"/>
      <c r="N191" s="1"/>
      <c r="O191" s="1"/>
      <c r="P191" s="1"/>
      <c r="Q191" s="1"/>
      <c r="R191" s="1"/>
      <c r="S191" s="1"/>
      <c r="T191" s="1"/>
      <c r="U191" s="1"/>
      <c r="V191" s="1"/>
      <c r="W191" s="1"/>
      <c r="X191" s="1"/>
      <c r="Y191" s="1"/>
      <c r="Z191" s="1"/>
      <c r="AA191" s="1"/>
      <c r="AB191" s="3">
        <f>IFERROR(__xludf.DUMMYFUNCTION("""COMPUTED_VALUE"""),100000.0)</f>
        <v>100000</v>
      </c>
      <c r="AC191" s="3">
        <f>IFERROR(__xludf.DUMMYFUNCTION("""COMPUTED_VALUE"""),50000.0)</f>
        <v>50000</v>
      </c>
      <c r="AD191" s="1"/>
      <c r="AE191" s="1"/>
      <c r="AF191" s="1" t="str">
        <f>IFERROR(__xludf.DUMMYFUNCTION("""COMPUTED_VALUE"""),"++When you sleep in a INN your dreams become reality. Roll a d20 to see what your dreams awaken. This item must be equipped for the effect to be applied. Can only be used once before each journey. Must have lower then half your max hp, sp, hunger, thirst,"&amp;" or energy to use.")</f>
        <v>++When you sleep in a INN your dreams become reality. Roll a d20 to see what your dreams awaken. This item must be equipped for the effect to be applied. Can only be used once before each journey. Must have lower then half your max hp, sp, hunger, thirst, or energy to use.</v>
      </c>
      <c r="AG191" s="1" t="str">
        <f>IFERROR(__xludf.DUMMYFUNCTION("""COMPUTED_VALUE"""),"Abstara")</f>
        <v>Abstara</v>
      </c>
      <c r="AH191" s="1" t="b">
        <f>IFERROR(__xludf.DUMMYFUNCTION("""COMPUTED_VALUE"""),FALSE)</f>
        <v>0</v>
      </c>
    </row>
    <row r="192">
      <c r="A192" s="1" t="str">
        <f>IFERROR(__xludf.DUMMYFUNCTION("""COMPUTED_VALUE"""),"Poison Vine Sword")</f>
        <v>Poison Vine Sword</v>
      </c>
      <c r="B192" s="1" t="str">
        <f>IFERROR(__xludf.DUMMYFUNCTION("""COMPUTED_VALUE"""),"Hand")</f>
        <v>Hand</v>
      </c>
      <c r="C192" s="1"/>
      <c r="D192" s="1" t="str">
        <f>IFERROR(__xludf.DUMMYFUNCTION("""COMPUTED_VALUE"""),"Sword")</f>
        <v>Sword</v>
      </c>
      <c r="E192" s="1">
        <f>IFERROR(__xludf.DUMMYFUNCTION("""COMPUTED_VALUE"""),2000.0)</f>
        <v>2000</v>
      </c>
      <c r="F192" s="2">
        <f>IFERROR(__xludf.DUMMYFUNCTION("""COMPUTED_VALUE"""),1.99E8)</f>
        <v>199000000</v>
      </c>
      <c r="G192" s="1" t="str">
        <f>IFERROR(__xludf.DUMMYFUNCTION("""COMPUTED_VALUE"""),"DMG")</f>
        <v>DMG</v>
      </c>
      <c r="H192" s="3">
        <f>IFERROR(__xludf.DUMMYFUNCTION("""COMPUTED_VALUE"""),50000.0)</f>
        <v>50000</v>
      </c>
      <c r="I192" s="1"/>
      <c r="J192" s="1"/>
      <c r="K192" s="1"/>
      <c r="L192" s="1"/>
      <c r="M192" s="1"/>
      <c r="N192" s="1"/>
      <c r="O192" s="1"/>
      <c r="P192" s="1"/>
      <c r="Q192" s="1"/>
      <c r="R192" s="1"/>
      <c r="S192" s="3">
        <f>IFERROR(__xludf.DUMMYFUNCTION("""COMPUTED_VALUE"""),50000.0)</f>
        <v>50000</v>
      </c>
      <c r="T192" s="1"/>
      <c r="U192" s="1"/>
      <c r="V192" s="1"/>
      <c r="W192" s="1"/>
      <c r="X192" s="1"/>
      <c r="Y192" s="1"/>
      <c r="Z192" s="1"/>
      <c r="AA192" s="1"/>
      <c r="AB192" s="1"/>
      <c r="AC192" s="1"/>
      <c r="AD192" s="1"/>
      <c r="AE192" s="1"/>
      <c r="AF192" s="1" t="str">
        <f>IFERROR(__xludf.DUMMYFUNCTION("""COMPUTED_VALUE"""),"++Poison 25,000")</f>
        <v>++Poison 25,000</v>
      </c>
      <c r="AG192" s="1" t="str">
        <f>IFERROR(__xludf.DUMMYFUNCTION("""COMPUTED_VALUE"""),"Land of Spira")</f>
        <v>Land of Spira</v>
      </c>
      <c r="AH192" s="1" t="b">
        <f>IFERROR(__xludf.DUMMYFUNCTION("""COMPUTED_VALUE"""),FALSE)</f>
        <v>0</v>
      </c>
    </row>
    <row r="193">
      <c r="A193" s="1" t="str">
        <f>IFERROR(__xludf.DUMMYFUNCTION("""COMPUTED_VALUE"""),"Poseidon's Boots")</f>
        <v>Poseidon's Boots</v>
      </c>
      <c r="B193" s="1" t="str">
        <f>IFERROR(__xludf.DUMMYFUNCTION("""COMPUTED_VALUE"""),"Feet")</f>
        <v>Feet</v>
      </c>
      <c r="C193" s="1"/>
      <c r="D193" s="1"/>
      <c r="E193" s="1">
        <f>IFERROR(__xludf.DUMMYFUNCTION("""COMPUTED_VALUE"""),400.0)</f>
        <v>400</v>
      </c>
      <c r="F193" s="2">
        <f>IFERROR(__xludf.DUMMYFUNCTION("""COMPUTED_VALUE"""),7800000.0)</f>
        <v>7800000</v>
      </c>
      <c r="G193" s="1" t="str">
        <f>IFERROR(__xludf.DUMMYFUNCTION("""COMPUTED_VALUE"""),"DEF")</f>
        <v>DEF</v>
      </c>
      <c r="H193" s="3">
        <f>IFERROR(__xludf.DUMMYFUNCTION("""COMPUTED_VALUE"""),10000.0)</f>
        <v>10000</v>
      </c>
      <c r="I193" s="1"/>
      <c r="J193" s="1"/>
      <c r="K193" s="3">
        <f>IFERROR(__xludf.DUMMYFUNCTION("""COMPUTED_VALUE"""),10000.0)</f>
        <v>10000</v>
      </c>
      <c r="L193" s="1"/>
      <c r="M193" s="1"/>
      <c r="N193" s="1"/>
      <c r="O193" s="1"/>
      <c r="P193" s="1"/>
      <c r="Q193" s="1"/>
      <c r="R193" s="1"/>
      <c r="S193" s="1"/>
      <c r="T193" s="1"/>
      <c r="U193" s="1"/>
      <c r="V193" s="1"/>
      <c r="W193" s="1"/>
      <c r="X193" s="1"/>
      <c r="Y193" s="1"/>
      <c r="Z193" s="1"/>
      <c r="AA193" s="1"/>
      <c r="AB193" s="1"/>
      <c r="AC193" s="1"/>
      <c r="AD193" s="1"/>
      <c r="AE193" s="1"/>
      <c r="AF193" s="1" t="str">
        <f>IFERROR(__xludf.DUMMYFUNCTION("""COMPUTED_VALUE"""),"++X8 additional water damage for self.")</f>
        <v>++X8 additional water damage for self.</v>
      </c>
      <c r="AG193" s="1" t="str">
        <f>IFERROR(__xludf.DUMMYFUNCTION("""COMPUTED_VALUE"""),"Land of Spira")</f>
        <v>Land of Spira</v>
      </c>
      <c r="AH193" s="1" t="b">
        <f>IFERROR(__xludf.DUMMYFUNCTION("""COMPUTED_VALUE"""),FALSE)</f>
        <v>0</v>
      </c>
    </row>
    <row r="194">
      <c r="A194" s="1" t="str">
        <f>IFERROR(__xludf.DUMMYFUNCTION("""COMPUTED_VALUE"""),"Poseidon's Chestplate")</f>
        <v>Poseidon's Chestplate</v>
      </c>
      <c r="B194" s="1" t="str">
        <f>IFERROR(__xludf.DUMMYFUNCTION("""COMPUTED_VALUE"""),"Torso")</f>
        <v>Torso</v>
      </c>
      <c r="C194" s="1"/>
      <c r="D194" s="1"/>
      <c r="E194" s="1">
        <f>IFERROR(__xludf.DUMMYFUNCTION("""COMPUTED_VALUE"""),800.0)</f>
        <v>800</v>
      </c>
      <c r="F194" s="2">
        <f>IFERROR(__xludf.DUMMYFUNCTION("""COMPUTED_VALUE"""),3.16E7)</f>
        <v>31600000</v>
      </c>
      <c r="G194" s="1" t="str">
        <f>IFERROR(__xludf.DUMMYFUNCTION("""COMPUTED_VALUE"""),"DEF")</f>
        <v>DEF</v>
      </c>
      <c r="H194" s="3">
        <f>IFERROR(__xludf.DUMMYFUNCTION("""COMPUTED_VALUE"""),20000.0)</f>
        <v>20000</v>
      </c>
      <c r="I194" s="1"/>
      <c r="J194" s="1"/>
      <c r="K194" s="1">
        <f>IFERROR(__xludf.DUMMYFUNCTION("""COMPUTED_VALUE"""),20000.0)</f>
        <v>20000</v>
      </c>
      <c r="L194" s="1"/>
      <c r="M194" s="1"/>
      <c r="N194" s="1"/>
      <c r="O194" s="1"/>
      <c r="P194" s="1"/>
      <c r="Q194" s="1"/>
      <c r="R194" s="1"/>
      <c r="S194" s="1"/>
      <c r="T194" s="1"/>
      <c r="U194" s="1"/>
      <c r="V194" s="1"/>
      <c r="W194" s="1"/>
      <c r="X194" s="1"/>
      <c r="Y194" s="1"/>
      <c r="Z194" s="1"/>
      <c r="AA194" s="1"/>
      <c r="AB194" s="1"/>
      <c r="AC194" s="1"/>
      <c r="AD194" s="1"/>
      <c r="AE194" s="1"/>
      <c r="AF194" s="1" t="str">
        <f>IFERROR(__xludf.DUMMYFUNCTION("""COMPUTED_VALUE"""),"++X8 additional water damage for self. ++X10 additional water resistance and Natural Defense for self and allies if you have all Poseidon Equipment Equipped.")</f>
        <v>++X8 additional water damage for self. ++X10 additional water resistance and Natural Defense for self and allies if you have all Poseidon Equipment Equipped.</v>
      </c>
      <c r="AG194" s="1" t="str">
        <f>IFERROR(__xludf.DUMMYFUNCTION("""COMPUTED_VALUE"""),"Land of Spira")</f>
        <v>Land of Spira</v>
      </c>
      <c r="AH194" s="1" t="b">
        <f>IFERROR(__xludf.DUMMYFUNCTION("""COMPUTED_VALUE"""),FALSE)</f>
        <v>0</v>
      </c>
    </row>
    <row r="195">
      <c r="A195" s="1" t="str">
        <f>IFERROR(__xludf.DUMMYFUNCTION("""COMPUTED_VALUE"""),"Poseidon's Greaves")</f>
        <v>Poseidon's Greaves</v>
      </c>
      <c r="B195" s="1" t="str">
        <f>IFERROR(__xludf.DUMMYFUNCTION("""COMPUTED_VALUE"""),"Legs")</f>
        <v>Legs</v>
      </c>
      <c r="C195" s="1"/>
      <c r="D195" s="1"/>
      <c r="E195" s="1">
        <f>IFERROR(__xludf.DUMMYFUNCTION("""COMPUTED_VALUE"""),400.0)</f>
        <v>400</v>
      </c>
      <c r="F195" s="2">
        <f>IFERROR(__xludf.DUMMYFUNCTION("""COMPUTED_VALUE"""),7800000.0)</f>
        <v>7800000</v>
      </c>
      <c r="G195" s="1" t="str">
        <f>IFERROR(__xludf.DUMMYFUNCTION("""COMPUTED_VALUE"""),"DEF")</f>
        <v>DEF</v>
      </c>
      <c r="H195" s="3">
        <f>IFERROR(__xludf.DUMMYFUNCTION("""COMPUTED_VALUE"""),10000.0)</f>
        <v>10000</v>
      </c>
      <c r="I195" s="1"/>
      <c r="J195" s="1"/>
      <c r="K195" s="3">
        <f>IFERROR(__xludf.DUMMYFUNCTION("""COMPUTED_VALUE"""),10000.0)</f>
        <v>10000</v>
      </c>
      <c r="L195" s="1"/>
      <c r="M195" s="1"/>
      <c r="N195" s="1"/>
      <c r="O195" s="1"/>
      <c r="P195" s="1"/>
      <c r="Q195" s="1"/>
      <c r="R195" s="1"/>
      <c r="S195" s="1"/>
      <c r="T195" s="1"/>
      <c r="U195" s="1"/>
      <c r="V195" s="1"/>
      <c r="W195" s="1"/>
      <c r="X195" s="1"/>
      <c r="Y195" s="1"/>
      <c r="Z195" s="1"/>
      <c r="AA195" s="1"/>
      <c r="AB195" s="1"/>
      <c r="AC195" s="1"/>
      <c r="AD195" s="1"/>
      <c r="AE195" s="1"/>
      <c r="AF195" s="1" t="str">
        <f>IFERROR(__xludf.DUMMYFUNCTION("""COMPUTED_VALUE"""),"++X8 additional water damage for self.")</f>
        <v>++X8 additional water damage for self.</v>
      </c>
      <c r="AG195" s="1" t="str">
        <f>IFERROR(__xludf.DUMMYFUNCTION("""COMPUTED_VALUE"""),"Land of Spira")</f>
        <v>Land of Spira</v>
      </c>
      <c r="AH195" s="1" t="b">
        <f>IFERROR(__xludf.DUMMYFUNCTION("""COMPUTED_VALUE"""),FALSE)</f>
        <v>0</v>
      </c>
    </row>
    <row r="196">
      <c r="A196" s="1" t="str">
        <f>IFERROR(__xludf.DUMMYFUNCTION("""COMPUTED_VALUE"""),"Poseidon's Helmet")</f>
        <v>Poseidon's Helmet</v>
      </c>
      <c r="B196" s="1" t="str">
        <f>IFERROR(__xludf.DUMMYFUNCTION("""COMPUTED_VALUE"""),"Head")</f>
        <v>Head</v>
      </c>
      <c r="C196" s="1"/>
      <c r="D196" s="1"/>
      <c r="E196" s="1">
        <f>IFERROR(__xludf.DUMMYFUNCTION("""COMPUTED_VALUE"""),400.0)</f>
        <v>400</v>
      </c>
      <c r="F196" s="2">
        <f>IFERROR(__xludf.DUMMYFUNCTION("""COMPUTED_VALUE"""),7800000.0)</f>
        <v>7800000</v>
      </c>
      <c r="G196" s="1" t="str">
        <f>IFERROR(__xludf.DUMMYFUNCTION("""COMPUTED_VALUE"""),"DEF")</f>
        <v>DEF</v>
      </c>
      <c r="H196" s="3">
        <f>IFERROR(__xludf.DUMMYFUNCTION("""COMPUTED_VALUE"""),10000.0)</f>
        <v>10000</v>
      </c>
      <c r="I196" s="1"/>
      <c r="J196" s="1"/>
      <c r="K196" s="3">
        <f>IFERROR(__xludf.DUMMYFUNCTION("""COMPUTED_VALUE"""),10000.0)</f>
        <v>10000</v>
      </c>
      <c r="L196" s="1"/>
      <c r="M196" s="1"/>
      <c r="N196" s="1"/>
      <c r="O196" s="1"/>
      <c r="P196" s="1"/>
      <c r="Q196" s="1"/>
      <c r="R196" s="1"/>
      <c r="S196" s="1"/>
      <c r="T196" s="1"/>
      <c r="U196" s="1"/>
      <c r="V196" s="1"/>
      <c r="W196" s="1"/>
      <c r="X196" s="1"/>
      <c r="Y196" s="1"/>
      <c r="Z196" s="1"/>
      <c r="AA196" s="1"/>
      <c r="AB196" s="1"/>
      <c r="AC196" s="1"/>
      <c r="AD196" s="1"/>
      <c r="AE196" s="1"/>
      <c r="AF196" s="1" t="str">
        <f>IFERROR(__xludf.DUMMYFUNCTION("""COMPUTED_VALUE"""),"++X8 additional water damage for self.")</f>
        <v>++X8 additional water damage for self.</v>
      </c>
      <c r="AG196" s="1" t="str">
        <f>IFERROR(__xludf.DUMMYFUNCTION("""COMPUTED_VALUE"""),"Land of Spira")</f>
        <v>Land of Spira</v>
      </c>
      <c r="AH196" s="1" t="b">
        <f>IFERROR(__xludf.DUMMYFUNCTION("""COMPUTED_VALUE"""),FALSE)</f>
        <v>0</v>
      </c>
    </row>
    <row r="197">
      <c r="A197" s="1" t="str">
        <f>IFERROR(__xludf.DUMMYFUNCTION("""COMPUTED_VALUE"""),"Poseidon's Pauldrons")</f>
        <v>Poseidon's Pauldrons</v>
      </c>
      <c r="B197" s="1" t="str">
        <f>IFERROR(__xludf.DUMMYFUNCTION("""COMPUTED_VALUE"""),"Shoulders")</f>
        <v>Shoulders</v>
      </c>
      <c r="C197" s="1"/>
      <c r="D197" s="1"/>
      <c r="E197" s="1">
        <f>IFERROR(__xludf.DUMMYFUNCTION("""COMPUTED_VALUE"""),400.0)</f>
        <v>400</v>
      </c>
      <c r="F197" s="2">
        <f>IFERROR(__xludf.DUMMYFUNCTION("""COMPUTED_VALUE"""),7800000.0)</f>
        <v>7800000</v>
      </c>
      <c r="G197" s="1" t="str">
        <f>IFERROR(__xludf.DUMMYFUNCTION("""COMPUTED_VALUE"""),"DEF")</f>
        <v>DEF</v>
      </c>
      <c r="H197" s="3">
        <f>IFERROR(__xludf.DUMMYFUNCTION("""COMPUTED_VALUE"""),10000.0)</f>
        <v>10000</v>
      </c>
      <c r="I197" s="1"/>
      <c r="J197" s="1"/>
      <c r="K197" s="3">
        <f>IFERROR(__xludf.DUMMYFUNCTION("""COMPUTED_VALUE"""),10000.0)</f>
        <v>10000</v>
      </c>
      <c r="L197" s="1"/>
      <c r="M197" s="1"/>
      <c r="N197" s="1"/>
      <c r="O197" s="1"/>
      <c r="P197" s="1"/>
      <c r="Q197" s="1"/>
      <c r="R197" s="1"/>
      <c r="S197" s="1"/>
      <c r="T197" s="1"/>
      <c r="U197" s="1"/>
      <c r="V197" s="1"/>
      <c r="W197" s="1"/>
      <c r="X197" s="1"/>
      <c r="Y197" s="1"/>
      <c r="Z197" s="1"/>
      <c r="AA197" s="1"/>
      <c r="AB197" s="1"/>
      <c r="AC197" s="1"/>
      <c r="AD197" s="1"/>
      <c r="AE197" s="1"/>
      <c r="AF197" s="1" t="str">
        <f>IFERROR(__xludf.DUMMYFUNCTION("""COMPUTED_VALUE"""),"++X8 additional water damage for self.")</f>
        <v>++X8 additional water damage for self.</v>
      </c>
      <c r="AG197" s="1" t="str">
        <f>IFERROR(__xludf.DUMMYFUNCTION("""COMPUTED_VALUE"""),"Land of Spira")</f>
        <v>Land of Spira</v>
      </c>
      <c r="AH197" s="1" t="b">
        <f>IFERROR(__xludf.DUMMYFUNCTION("""COMPUTED_VALUE"""),FALSE)</f>
        <v>0</v>
      </c>
    </row>
    <row r="198">
      <c r="A198" s="1" t="str">
        <f>IFERROR(__xludf.DUMMYFUNCTION("""COMPUTED_VALUE"""),"Poseidon's Ring")</f>
        <v>Poseidon's Ring</v>
      </c>
      <c r="B198" s="1" t="str">
        <f>IFERROR(__xludf.DUMMYFUNCTION("""COMPUTED_VALUE"""),"Ring")</f>
        <v>Ring</v>
      </c>
      <c r="C198" s="1"/>
      <c r="D198" s="1"/>
      <c r="E198" s="1">
        <f>IFERROR(__xludf.DUMMYFUNCTION("""COMPUTED_VALUE"""),20.0)</f>
        <v>20</v>
      </c>
      <c r="F198" s="2">
        <f>IFERROR(__xludf.DUMMYFUNCTION("""COMPUTED_VALUE"""),10000.0)</f>
        <v>10000</v>
      </c>
      <c r="G198" s="1" t="str">
        <f>IFERROR(__xludf.DUMMYFUNCTION("""COMPUTED_VALUE"""),"DEF")</f>
        <v>DEF</v>
      </c>
      <c r="H198" s="3">
        <f>IFERROR(__xludf.DUMMYFUNCTION("""COMPUTED_VALUE"""),1000.0)</f>
        <v>1000</v>
      </c>
      <c r="I198" s="1"/>
      <c r="J198" s="1"/>
      <c r="K198" s="1"/>
      <c r="L198" s="1"/>
      <c r="M198" s="1"/>
      <c r="N198" s="1"/>
      <c r="O198" s="1"/>
      <c r="P198" s="1"/>
      <c r="Q198" s="1"/>
      <c r="R198" s="1"/>
      <c r="S198" s="1"/>
      <c r="T198" s="1"/>
      <c r="U198" s="1"/>
      <c r="V198" s="1"/>
      <c r="W198" s="1"/>
      <c r="X198" s="1"/>
      <c r="Y198" s="1"/>
      <c r="Z198" s="1"/>
      <c r="AA198" s="1"/>
      <c r="AB198" s="1"/>
      <c r="AC198" s="1"/>
      <c r="AD198" s="1"/>
      <c r="AE198" s="1"/>
      <c r="AF198" s="1" t="str">
        <f>IFERROR(__xludf.DUMMYFUNCTION("""COMPUTED_VALUE"""),"++X8 additional water damage for self. ")</f>
        <v>++X8 additional water damage for self. </v>
      </c>
      <c r="AG198" s="1" t="str">
        <f>IFERROR(__xludf.DUMMYFUNCTION("""COMPUTED_VALUE"""),"Land of Spira")</f>
        <v>Land of Spira</v>
      </c>
      <c r="AH198" s="1" t="b">
        <f>IFERROR(__xludf.DUMMYFUNCTION("""COMPUTED_VALUE"""),FALSE)</f>
        <v>0</v>
      </c>
    </row>
    <row r="199">
      <c r="A199" s="1" t="str">
        <f>IFERROR(__xludf.DUMMYFUNCTION("""COMPUTED_VALUE"""),"Poseidon's Sword")</f>
        <v>Poseidon's Sword</v>
      </c>
      <c r="B199" s="1" t="str">
        <f>IFERROR(__xludf.DUMMYFUNCTION("""COMPUTED_VALUE"""),"Hand")</f>
        <v>Hand</v>
      </c>
      <c r="C199" s="1"/>
      <c r="D199" s="1" t="str">
        <f>IFERROR(__xludf.DUMMYFUNCTION("""COMPUTED_VALUE"""),"Sword")</f>
        <v>Sword</v>
      </c>
      <c r="E199" s="1">
        <f>IFERROR(__xludf.DUMMYFUNCTION("""COMPUTED_VALUE"""),200.0)</f>
        <v>200</v>
      </c>
      <c r="F199" s="2">
        <f>IFERROR(__xludf.DUMMYFUNCTION("""COMPUTED_VALUE"""),1.99E8)</f>
        <v>199000000</v>
      </c>
      <c r="G199" s="1" t="str">
        <f>IFERROR(__xludf.DUMMYFUNCTION("""COMPUTED_VALUE"""),"DMG")</f>
        <v>DMG</v>
      </c>
      <c r="H199" s="3">
        <f>IFERROR(__xludf.DUMMYFUNCTION("""COMPUTED_VALUE"""),40000.0)</f>
        <v>40000</v>
      </c>
      <c r="I199" s="1"/>
      <c r="J199" s="1"/>
      <c r="K199" s="3">
        <f>IFERROR(__xludf.DUMMYFUNCTION("""COMPUTED_VALUE"""),40000.0)</f>
        <v>40000</v>
      </c>
      <c r="L199" s="1"/>
      <c r="M199" s="1"/>
      <c r="N199" s="1"/>
      <c r="O199" s="1"/>
      <c r="P199" s="1"/>
      <c r="Q199" s="1"/>
      <c r="R199" s="1"/>
      <c r="S199" s="1"/>
      <c r="T199" s="1"/>
      <c r="U199" s="1"/>
      <c r="V199" s="1"/>
      <c r="W199" s="1"/>
      <c r="X199" s="1"/>
      <c r="Y199" s="1"/>
      <c r="Z199" s="1"/>
      <c r="AA199" s="1"/>
      <c r="AB199" s="1"/>
      <c r="AC199" s="3">
        <f>IFERROR(__xludf.DUMMYFUNCTION("""COMPUTED_VALUE"""),20000.0)</f>
        <v>20000</v>
      </c>
      <c r="AD199" s="1"/>
      <c r="AE199" s="1"/>
      <c r="AF199" s="1" t="str">
        <f>IFERROR(__xludf.DUMMYFUNCTION("""COMPUTED_VALUE"""),"++X10 additional water damage for self. ++X12 additional water damage and Natural Defense for self and allies if you have all Poseidon Equipment Equipped. +-Cannot be forged +-Cannot be duplicated")</f>
        <v>++X10 additional water damage for self. ++X12 additional water damage and Natural Defense for self and allies if you have all Poseidon Equipment Equipped. +-Cannot be forged +-Cannot be duplicated</v>
      </c>
      <c r="AG199" s="1" t="str">
        <f>IFERROR(__xludf.DUMMYFUNCTION("""COMPUTED_VALUE"""),"Land of Spira")</f>
        <v>Land of Spira</v>
      </c>
      <c r="AH199" s="1" t="b">
        <f>IFERROR(__xludf.DUMMYFUNCTION("""COMPUTED_VALUE"""),FALSE)</f>
        <v>0</v>
      </c>
    </row>
    <row r="200">
      <c r="A200" s="1" t="str">
        <f>IFERROR(__xludf.DUMMYFUNCTION("""COMPUTED_VALUE"""),"Poseidon's Trident")</f>
        <v>Poseidon's Trident</v>
      </c>
      <c r="B200" s="1" t="str">
        <f>IFERROR(__xludf.DUMMYFUNCTION("""COMPUTED_VALUE"""),"Hand")</f>
        <v>Hand</v>
      </c>
      <c r="C200" s="1"/>
      <c r="D200" s="1" t="str">
        <f>IFERROR(__xludf.DUMMYFUNCTION("""COMPUTED_VALUE"""),"Spear")</f>
        <v>Spear</v>
      </c>
      <c r="E200" s="1">
        <f>IFERROR(__xludf.DUMMYFUNCTION("""COMPUTED_VALUE"""),200.0)</f>
        <v>200</v>
      </c>
      <c r="F200" s="2">
        <f>IFERROR(__xludf.DUMMYFUNCTION("""COMPUTED_VALUE"""),3.1125E8)</f>
        <v>311250000</v>
      </c>
      <c r="G200" s="1" t="str">
        <f>IFERROR(__xludf.DUMMYFUNCTION("""COMPUTED_VALUE"""),"DMG")</f>
        <v>DMG</v>
      </c>
      <c r="H200" s="3">
        <f>IFERROR(__xludf.DUMMYFUNCTION("""COMPUTED_VALUE"""),50000.0)</f>
        <v>50000</v>
      </c>
      <c r="I200" s="1"/>
      <c r="J200" s="1"/>
      <c r="K200" s="3">
        <f>IFERROR(__xludf.DUMMYFUNCTION("""COMPUTED_VALUE"""),50000.0)</f>
        <v>50000</v>
      </c>
      <c r="L200" s="1"/>
      <c r="M200" s="1"/>
      <c r="N200" s="1"/>
      <c r="O200" s="1"/>
      <c r="P200" s="1"/>
      <c r="Q200" s="1"/>
      <c r="R200" s="1"/>
      <c r="S200" s="1"/>
      <c r="T200" s="1"/>
      <c r="U200" s="1"/>
      <c r="V200" s="1"/>
      <c r="W200" s="1"/>
      <c r="X200" s="1"/>
      <c r="Y200" s="1"/>
      <c r="Z200" s="1"/>
      <c r="AA200" s="1"/>
      <c r="AB200" s="1"/>
      <c r="AC200" s="3">
        <f>IFERROR(__xludf.DUMMYFUNCTION("""COMPUTED_VALUE"""),25000.0)</f>
        <v>25000</v>
      </c>
      <c r="AD200" s="1"/>
      <c r="AE200" s="1"/>
      <c r="AF200" s="1" t="str">
        <f>IFERROR(__xludf.DUMMYFUNCTION("""COMPUTED_VALUE"""),"++The user is Immune to the first attack of each battle, Ignores Defense and Water Immunity when attacking a target. +-Cannot be forged +-Cannot be duplicated")</f>
        <v>++The user is Immune to the first attack of each battle, Ignores Defense and Water Immunity when attacking a target. +-Cannot be forged +-Cannot be duplicated</v>
      </c>
      <c r="AG200" s="1" t="str">
        <f>IFERROR(__xludf.DUMMYFUNCTION("""COMPUTED_VALUE"""),"Land of Spira")</f>
        <v>Land of Spira</v>
      </c>
      <c r="AH200" s="1" t="b">
        <f>IFERROR(__xludf.DUMMYFUNCTION("""COMPUTED_VALUE"""),FALSE)</f>
        <v>0</v>
      </c>
    </row>
    <row r="201">
      <c r="A201" s="1" t="str">
        <f>IFERROR(__xludf.DUMMYFUNCTION("""COMPUTED_VALUE"""),"Poseidon's Vambraces")</f>
        <v>Poseidon's Vambraces</v>
      </c>
      <c r="B201" s="1" t="str">
        <f>IFERROR(__xludf.DUMMYFUNCTION("""COMPUTED_VALUE"""),"Arms")</f>
        <v>Arms</v>
      </c>
      <c r="C201" s="1"/>
      <c r="D201" s="1"/>
      <c r="E201" s="1">
        <f>IFERROR(__xludf.DUMMYFUNCTION("""COMPUTED_VALUE"""),400.0)</f>
        <v>400</v>
      </c>
      <c r="F201" s="2">
        <f>IFERROR(__xludf.DUMMYFUNCTION("""COMPUTED_VALUE"""),7800000.0)</f>
        <v>7800000</v>
      </c>
      <c r="G201" s="1" t="str">
        <f>IFERROR(__xludf.DUMMYFUNCTION("""COMPUTED_VALUE"""),"DEF")</f>
        <v>DEF</v>
      </c>
      <c r="H201" s="3">
        <f>IFERROR(__xludf.DUMMYFUNCTION("""COMPUTED_VALUE"""),10000.0)</f>
        <v>10000</v>
      </c>
      <c r="I201" s="1"/>
      <c r="J201" s="1"/>
      <c r="K201" s="3">
        <f>IFERROR(__xludf.DUMMYFUNCTION("""COMPUTED_VALUE"""),10000.0)</f>
        <v>10000</v>
      </c>
      <c r="L201" s="1"/>
      <c r="M201" s="1"/>
      <c r="N201" s="1"/>
      <c r="O201" s="1"/>
      <c r="P201" s="1"/>
      <c r="Q201" s="1"/>
      <c r="R201" s="1"/>
      <c r="S201" s="1"/>
      <c r="T201" s="1"/>
      <c r="U201" s="1"/>
      <c r="V201" s="1"/>
      <c r="W201" s="1"/>
      <c r="X201" s="1"/>
      <c r="Y201" s="1"/>
      <c r="Z201" s="1"/>
      <c r="AA201" s="1"/>
      <c r="AB201" s="1"/>
      <c r="AC201" s="1"/>
      <c r="AD201" s="1"/>
      <c r="AE201" s="1"/>
      <c r="AF201" s="1" t="str">
        <f>IFERROR(__xludf.DUMMYFUNCTION("""COMPUTED_VALUE"""),"++X8 additional water damage for self.")</f>
        <v>++X8 additional water damage for self.</v>
      </c>
      <c r="AG201" s="1" t="str">
        <f>IFERROR(__xludf.DUMMYFUNCTION("""COMPUTED_VALUE"""),"Land of Spira")</f>
        <v>Land of Spira</v>
      </c>
      <c r="AH201" s="1" t="b">
        <f>IFERROR(__xludf.DUMMYFUNCTION("""COMPUTED_VALUE"""),FALSE)</f>
        <v>0</v>
      </c>
    </row>
    <row r="202">
      <c r="A202" s="1" t="str">
        <f>IFERROR(__xludf.DUMMYFUNCTION("""COMPUTED_VALUE"""),"Riftblade")</f>
        <v>Riftblade</v>
      </c>
      <c r="B202" s="1" t="str">
        <f>IFERROR(__xludf.DUMMYFUNCTION("""COMPUTED_VALUE"""),"Hand")</f>
        <v>Hand</v>
      </c>
      <c r="C202" s="1" t="str">
        <f>IFERROR(__xludf.DUMMYFUNCTION("""COMPUTED_VALUE"""),"An ancient blade from a forgotten time")</f>
        <v>An ancient blade from a forgotten time</v>
      </c>
      <c r="D202" s="1" t="str">
        <f>IFERROR(__xludf.DUMMYFUNCTION("""COMPUTED_VALUE"""),"Sword")</f>
        <v>Sword</v>
      </c>
      <c r="E202" s="1">
        <f>IFERROR(__xludf.DUMMYFUNCTION("""COMPUTED_VALUE"""),600.0)</f>
        <v>600</v>
      </c>
      <c r="F202" s="2">
        <f>IFERROR(__xludf.DUMMYFUNCTION("""COMPUTED_VALUE"""),1.77E7)</f>
        <v>17700000</v>
      </c>
      <c r="G202" s="1" t="str">
        <f>IFERROR(__xludf.DUMMYFUNCTION("""COMPUTED_VALUE"""),"DMG")</f>
        <v>DMG</v>
      </c>
      <c r="H202" s="3">
        <f>IFERROR(__xludf.DUMMYFUNCTION("""COMPUTED_VALUE"""),10000.0)</f>
        <v>10000</v>
      </c>
      <c r="I202" s="1"/>
      <c r="J202" s="1"/>
      <c r="K202" s="1"/>
      <c r="L202" s="1"/>
      <c r="M202" s="1"/>
      <c r="N202" s="1"/>
      <c r="O202" s="1"/>
      <c r="P202" s="1"/>
      <c r="Q202" s="1"/>
      <c r="R202" s="3">
        <f>IFERROR(__xludf.DUMMYFUNCTION("""COMPUTED_VALUE"""),10000.0)</f>
        <v>10000</v>
      </c>
      <c r="S202" s="3">
        <f>IFERROR(__xludf.DUMMYFUNCTION("""COMPUTED_VALUE"""),10000.0)</f>
        <v>10000</v>
      </c>
      <c r="T202" s="1"/>
      <c r="U202" s="1"/>
      <c r="V202" s="1"/>
      <c r="W202" s="1"/>
      <c r="X202" s="1"/>
      <c r="Y202" s="1"/>
      <c r="Z202" s="1"/>
      <c r="AA202" s="1"/>
      <c r="AB202" s="1"/>
      <c r="AC202" s="1"/>
      <c r="AD202" s="1"/>
      <c r="AE202" s="1"/>
      <c r="AF202" s="1"/>
      <c r="AG202" s="1" t="str">
        <f>IFERROR(__xludf.DUMMYFUNCTION("""COMPUTED_VALUE"""),"Solreach")</f>
        <v>Solreach</v>
      </c>
      <c r="AH202" s="1" t="b">
        <f>IFERROR(__xludf.DUMMYFUNCTION("""COMPUTED_VALUE"""),TRUE)</f>
        <v>1</v>
      </c>
    </row>
    <row r="203">
      <c r="A203" s="1" t="str">
        <f>IFERROR(__xludf.DUMMYFUNCTION("""COMPUTED_VALUE"""),"Ring o’ Luck and Nature")</f>
        <v>Ring o’ Luck and Nature</v>
      </c>
      <c r="B203" s="1" t="str">
        <f>IFERROR(__xludf.DUMMYFUNCTION("""COMPUTED_VALUE"""),"Ring")</f>
        <v>Ring</v>
      </c>
      <c r="C203" s="1"/>
      <c r="D203" s="1"/>
      <c r="E203" s="1">
        <f>IFERROR(__xludf.DUMMYFUNCTION("""COMPUTED_VALUE"""),1.0)</f>
        <v>1</v>
      </c>
      <c r="F203" s="2">
        <f>IFERROR(__xludf.DUMMYFUNCTION("""COMPUTED_VALUE"""),0.0)</f>
        <v>0</v>
      </c>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t="str">
        <f>IFERROR(__xludf.DUMMYFUNCTION("""COMPUTED_VALUE"""),"++Immunity to nature damage, ++increases the roll of a d20 by 2. +-Can only equip one")</f>
        <v>++Immunity to nature damage, ++increases the roll of a d20 by 2. +-Can only equip one</v>
      </c>
      <c r="AG203" s="1" t="str">
        <f>IFERROR(__xludf.DUMMYFUNCTION("""COMPUTED_VALUE"""),"Land of Spira")</f>
        <v>Land of Spira</v>
      </c>
      <c r="AH203" s="1" t="b">
        <f>IFERROR(__xludf.DUMMYFUNCTION("""COMPUTED_VALUE"""),FALSE)</f>
        <v>0</v>
      </c>
    </row>
    <row r="204">
      <c r="A204" s="1" t="str">
        <f>IFERROR(__xludf.DUMMYFUNCTION("""COMPUTED_VALUE"""),"Ring of Darkness")</f>
        <v>Ring of Darkness</v>
      </c>
      <c r="B204" s="1" t="str">
        <f>IFERROR(__xludf.DUMMYFUNCTION("""COMPUTED_VALUE"""),"Ring")</f>
        <v>Ring</v>
      </c>
      <c r="C204" s="1"/>
      <c r="D204" s="1"/>
      <c r="E204" s="1">
        <f>IFERROR(__xludf.DUMMYFUNCTION("""COMPUTED_VALUE"""),1.0)</f>
        <v>1</v>
      </c>
      <c r="F204" s="2">
        <f>IFERROR(__xludf.DUMMYFUNCTION("""COMPUTED_VALUE"""),0.0)</f>
        <v>0</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t="str">
        <f>IFERROR(__xludf.DUMMYFUNCTION("""COMPUTED_VALUE"""),"++Shadow Cloud - Cloaks you in a cloud darkness - causes all enemies to miss you with any attack, including cannot avoid attacks for the rest of the round, Fail/Succeed, -200 sp.")</f>
        <v>++Shadow Cloud - Cloaks you in a cloud darkness - causes all enemies to miss you with any attack, including cannot avoid attacks for the rest of the round, Fail/Succeed, -200 sp.</v>
      </c>
      <c r="AG204" s="1" t="str">
        <f>IFERROR(__xludf.DUMMYFUNCTION("""COMPUTED_VALUE"""),"Land of Spira")</f>
        <v>Land of Spira</v>
      </c>
      <c r="AH204" s="1" t="b">
        <f>IFERROR(__xludf.DUMMYFUNCTION("""COMPUTED_VALUE"""),FALSE)</f>
        <v>0</v>
      </c>
    </row>
    <row r="205">
      <c r="A205" s="1" t="str">
        <f>IFERROR(__xludf.DUMMYFUNCTION("""COMPUTED_VALUE"""),"Ring of Death")</f>
        <v>Ring of Death</v>
      </c>
      <c r="B205" s="1" t="str">
        <f>IFERROR(__xludf.DUMMYFUNCTION("""COMPUTED_VALUE"""),"Ring")</f>
        <v>Ring</v>
      </c>
      <c r="C205" s="1"/>
      <c r="D205" s="1"/>
      <c r="E205" s="1">
        <f>IFERROR(__xludf.DUMMYFUNCTION("""COMPUTED_VALUE"""),1.0)</f>
        <v>1</v>
      </c>
      <c r="F205" s="2">
        <f>IFERROR(__xludf.DUMMYFUNCTION("""COMPUTED_VALUE"""),0.0)</f>
        <v>0</v>
      </c>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t="str">
        <f>IFERROR(__xludf.DUMMYFUNCTION("""COMPUTED_VALUE"""),"++Causes instant death with a fail/succeed roll.")</f>
        <v>++Causes instant death with a fail/succeed roll.</v>
      </c>
      <c r="AG205" s="1" t="str">
        <f>IFERROR(__xludf.DUMMYFUNCTION("""COMPUTED_VALUE"""),"Land of Spira")</f>
        <v>Land of Spira</v>
      </c>
      <c r="AH205" s="1" t="b">
        <f>IFERROR(__xludf.DUMMYFUNCTION("""COMPUTED_VALUE"""),FALSE)</f>
        <v>0</v>
      </c>
    </row>
    <row r="206">
      <c r="A206" s="1" t="str">
        <f>IFERROR(__xludf.DUMMYFUNCTION("""COMPUTED_VALUE"""),"Ring Of Dwelling Waters")</f>
        <v>Ring Of Dwelling Waters</v>
      </c>
      <c r="B206" s="1" t="str">
        <f>IFERROR(__xludf.DUMMYFUNCTION("""COMPUTED_VALUE"""),"Ring")</f>
        <v>Ring</v>
      </c>
      <c r="C206" s="1"/>
      <c r="D206" s="1"/>
      <c r="E206" s="1">
        <f>IFERROR(__xludf.DUMMYFUNCTION("""COMPUTED_VALUE"""),1.0)</f>
        <v>1</v>
      </c>
      <c r="F206" s="2">
        <f>IFERROR(__xludf.DUMMYFUNCTION("""COMPUTED_VALUE"""),0.0)</f>
        <v>0</v>
      </c>
      <c r="G206" s="1"/>
      <c r="H206" s="1"/>
      <c r="I206" s="1" t="str">
        <f>IFERROR(__xludf.DUMMYFUNCTION("""COMPUTED_VALUE""")," ")</f>
        <v> </v>
      </c>
      <c r="J206" s="1"/>
      <c r="K206" s="1"/>
      <c r="L206" s="1"/>
      <c r="M206" s="1"/>
      <c r="N206" s="1"/>
      <c r="O206" s="1"/>
      <c r="P206" s="1"/>
      <c r="Q206" s="1"/>
      <c r="R206" s="1"/>
      <c r="S206" s="1"/>
      <c r="T206" s="1"/>
      <c r="U206" s="1"/>
      <c r="V206" s="1"/>
      <c r="W206" s="1"/>
      <c r="X206" s="1"/>
      <c r="Y206" s="1"/>
      <c r="Z206" s="1"/>
      <c r="AA206" s="1"/>
      <c r="AB206" s="1"/>
      <c r="AC206" s="1"/>
      <c r="AD206" s="1"/>
      <c r="AE206" s="1"/>
      <c r="AF206" s="1" t="str">
        <f>IFERROR(__xludf.DUMMYFUNCTION("""COMPUTED_VALUE"""),"++X2 Water and Dark damage.")</f>
        <v>++X2 Water and Dark damage.</v>
      </c>
      <c r="AG206" s="1" t="str">
        <f>IFERROR(__xludf.DUMMYFUNCTION("""COMPUTED_VALUE"""),"Land of Spira")</f>
        <v>Land of Spira</v>
      </c>
      <c r="AH206" s="1" t="b">
        <f>IFERROR(__xludf.DUMMYFUNCTION("""COMPUTED_VALUE"""),FALSE)</f>
        <v>0</v>
      </c>
    </row>
    <row r="207">
      <c r="A207" s="1" t="str">
        <f>IFERROR(__xludf.DUMMYFUNCTION("""COMPUTED_VALUE"""),"Ring of Endless Souls")</f>
        <v>Ring of Endless Souls</v>
      </c>
      <c r="B207" s="1" t="str">
        <f>IFERROR(__xludf.DUMMYFUNCTION("""COMPUTED_VALUE"""),"Ring")</f>
        <v>Ring</v>
      </c>
      <c r="C207" s="1"/>
      <c r="D207" s="1"/>
      <c r="E207" s="1">
        <f>IFERROR(__xludf.DUMMYFUNCTION("""COMPUTED_VALUE"""),1.0)</f>
        <v>1</v>
      </c>
      <c r="F207" s="2">
        <f>IFERROR(__xludf.DUMMYFUNCTION("""COMPUTED_VALUE"""),0.0)</f>
        <v>0</v>
      </c>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t="str">
        <f>IFERROR(__xludf.DUMMYFUNCTION("""COMPUTED_VALUE"""),"++0 Def ++Soul Enchanted - Every time you enchant a soul into this item increase the Def of this item by 10. ")</f>
        <v>++0 Def ++Soul Enchanted - Every time you enchant a soul into this item increase the Def of this item by 10. </v>
      </c>
      <c r="AG207" s="1" t="str">
        <f>IFERROR(__xludf.DUMMYFUNCTION("""COMPUTED_VALUE"""),"Land of The Forgotten")</f>
        <v>Land of The Forgotten</v>
      </c>
      <c r="AH207" s="1" t="b">
        <f>IFERROR(__xludf.DUMMYFUNCTION("""COMPUTED_VALUE"""),FALSE)</f>
        <v>0</v>
      </c>
    </row>
    <row r="208">
      <c r="A208" s="1" t="str">
        <f>IFERROR(__xludf.DUMMYFUNCTION("""COMPUTED_VALUE"""),"Ring of Healing")</f>
        <v>Ring of Healing</v>
      </c>
      <c r="B208" s="1" t="str">
        <f>IFERROR(__xludf.DUMMYFUNCTION("""COMPUTED_VALUE"""),"Ring")</f>
        <v>Ring</v>
      </c>
      <c r="C208" s="1"/>
      <c r="D208" s="1"/>
      <c r="E208" s="1">
        <f>IFERROR(__xludf.DUMMYFUNCTION("""COMPUTED_VALUE"""),1.0)</f>
        <v>1</v>
      </c>
      <c r="F208" s="2">
        <f>IFERROR(__xludf.DUMMYFUNCTION("""COMPUTED_VALUE"""),0.0)</f>
        <v>0</v>
      </c>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t="str">
        <f>IFERROR(__xludf.DUMMYFUNCTION("""COMPUTED_VALUE"""),"++500 hp per round.")</f>
        <v>++500 hp per round.</v>
      </c>
      <c r="AG208" s="1" t="str">
        <f>IFERROR(__xludf.DUMMYFUNCTION("""COMPUTED_VALUE"""),"Land of Spira")</f>
        <v>Land of Spira</v>
      </c>
      <c r="AH208" s="1" t="b">
        <f>IFERROR(__xludf.DUMMYFUNCTION("""COMPUTED_VALUE"""),FALSE)</f>
        <v>0</v>
      </c>
    </row>
    <row r="209">
      <c r="A209" s="1" t="str">
        <f>IFERROR(__xludf.DUMMYFUNCTION("""COMPUTED_VALUE"""),"Ring of Invulnerability ")</f>
        <v>Ring of Invulnerability </v>
      </c>
      <c r="B209" s="1" t="str">
        <f>IFERROR(__xludf.DUMMYFUNCTION("""COMPUTED_VALUE"""),"Ring")</f>
        <v>Ring</v>
      </c>
      <c r="C209" s="1"/>
      <c r="D209" s="1"/>
      <c r="E209" s="1">
        <f>IFERROR(__xludf.DUMMYFUNCTION("""COMPUTED_VALUE"""),1.0)</f>
        <v>1</v>
      </c>
      <c r="F209" s="2">
        <f>IFERROR(__xludf.DUMMYFUNCTION("""COMPUTED_VALUE"""),0.0)</f>
        <v>0</v>
      </c>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t="str">
        <f>IFERROR(__xludf.DUMMYFUNCTION("""COMPUTED_VALUE"""),"++Gain invulnerability to damage for the first round of battle, you are unable to inflict any non-magic damage for the first round of battle. +-Cannot be duplicated. +-Cannot be forged. ")</f>
        <v>++Gain invulnerability to damage for the first round of battle, you are unable to inflict any non-magic damage for the first round of battle. +-Cannot be duplicated. +-Cannot be forged. </v>
      </c>
      <c r="AG209" s="1" t="str">
        <f>IFERROR(__xludf.DUMMYFUNCTION("""COMPUTED_VALUE"""),"Land of The Forgotten")</f>
        <v>Land of The Forgotten</v>
      </c>
      <c r="AH209" s="1" t="b">
        <f>IFERROR(__xludf.DUMMYFUNCTION("""COMPUTED_VALUE"""),FALSE)</f>
        <v>0</v>
      </c>
    </row>
    <row r="210">
      <c r="A210" s="1" t="str">
        <f>IFERROR(__xludf.DUMMYFUNCTION("""COMPUTED_VALUE"""),"Ring of Pure Chaos")</f>
        <v>Ring of Pure Chaos</v>
      </c>
      <c r="B210" s="1" t="str">
        <f>IFERROR(__xludf.DUMMYFUNCTION("""COMPUTED_VALUE"""),"Ring")</f>
        <v>Ring</v>
      </c>
      <c r="C210" s="1"/>
      <c r="D210" s="1"/>
      <c r="E210" s="1">
        <f>IFERROR(__xludf.DUMMYFUNCTION("""COMPUTED_VALUE"""),1.0)</f>
        <v>1</v>
      </c>
      <c r="F210" s="2">
        <f>IFERROR(__xludf.DUMMYFUNCTION("""COMPUTED_VALUE"""),0.0)</f>
        <v>0</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t="str">
        <f>IFERROR(__xludf.DUMMYFUNCTION("""COMPUTED_VALUE"""),"++X2 Chaos damage, ++ +5 Charisma and Intimidation. +-Cannot be forged +-Cannot be duplicated +-Can only equip one")</f>
        <v>++X2 Chaos damage, ++ +5 Charisma and Intimidation. +-Cannot be forged +-Cannot be duplicated +-Can only equip one</v>
      </c>
      <c r="AG210" s="1" t="str">
        <f>IFERROR(__xludf.DUMMYFUNCTION("""COMPUTED_VALUE"""),"Abstara")</f>
        <v>Abstara</v>
      </c>
      <c r="AH210" s="1" t="b">
        <f>IFERROR(__xludf.DUMMYFUNCTION("""COMPUTED_VALUE"""),FALSE)</f>
        <v>0</v>
      </c>
    </row>
    <row r="211">
      <c r="A211" s="1" t="str">
        <f>IFERROR(__xludf.DUMMYFUNCTION("""COMPUTED_VALUE"""),"Ring of Pure Defense")</f>
        <v>Ring of Pure Defense</v>
      </c>
      <c r="B211" s="1" t="str">
        <f>IFERROR(__xludf.DUMMYFUNCTION("""COMPUTED_VALUE"""),"Ring")</f>
        <v>Ring</v>
      </c>
      <c r="C211" s="1"/>
      <c r="D211" s="1"/>
      <c r="E211" s="1">
        <f>IFERROR(__xludf.DUMMYFUNCTION("""COMPUTED_VALUE"""),1.0)</f>
        <v>1</v>
      </c>
      <c r="F211" s="2">
        <f>IFERROR(__xludf.DUMMYFUNCTION("""COMPUTED_VALUE"""),0.0)</f>
        <v>0</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t="str">
        <f>IFERROR(__xludf.DUMMYFUNCTION("""COMPUTED_VALUE"""),"++Half the damage taken from the next attack 100SP Will Succeed.")</f>
        <v>++Half the damage taken from the next attack 100SP Will Succeed.</v>
      </c>
      <c r="AG211" s="1" t="str">
        <f>IFERROR(__xludf.DUMMYFUNCTION("""COMPUTED_VALUE"""),"Land of Spira")</f>
        <v>Land of Spira</v>
      </c>
      <c r="AH211" s="1" t="b">
        <f>IFERROR(__xludf.DUMMYFUNCTION("""COMPUTED_VALUE"""),FALSE)</f>
        <v>0</v>
      </c>
    </row>
    <row r="212">
      <c r="A212" s="1" t="str">
        <f>IFERROR(__xludf.DUMMYFUNCTION("""COMPUTED_VALUE"""),"Ring of Reflect")</f>
        <v>Ring of Reflect</v>
      </c>
      <c r="B212" s="1" t="str">
        <f>IFERROR(__xludf.DUMMYFUNCTION("""COMPUTED_VALUE"""),"Ring")</f>
        <v>Ring</v>
      </c>
      <c r="C212" s="1"/>
      <c r="D212" s="1"/>
      <c r="E212" s="1">
        <f>IFERROR(__xludf.DUMMYFUNCTION("""COMPUTED_VALUE"""),1.0)</f>
        <v>1</v>
      </c>
      <c r="F212" s="2">
        <f>IFERROR(__xludf.DUMMYFUNCTION("""COMPUTED_VALUE"""),0.0)</f>
        <v>0</v>
      </c>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t="str">
        <f>IFERROR(__xludf.DUMMYFUNCTION("""COMPUTED_VALUE"""),"++Inflict half the damage you take back to the enemy that dealt it. +-Can only have one equipped. +-Cannot be duplicated.")</f>
        <v>++Inflict half the damage you take back to the enemy that dealt it. +-Can only have one equipped. +-Cannot be duplicated.</v>
      </c>
      <c r="AG212" s="1" t="str">
        <f>IFERROR(__xludf.DUMMYFUNCTION("""COMPUTED_VALUE"""),"Land of Spira")</f>
        <v>Land of Spira</v>
      </c>
      <c r="AH212" s="1" t="b">
        <f>IFERROR(__xludf.DUMMYFUNCTION("""COMPUTED_VALUE"""),FALSE)</f>
        <v>0</v>
      </c>
    </row>
    <row r="213">
      <c r="A213" s="1" t="str">
        <f>IFERROR(__xludf.DUMMYFUNCTION("""COMPUTED_VALUE"""),"Ring of the Bonded Undead")</f>
        <v>Ring of the Bonded Undead</v>
      </c>
      <c r="B213" s="1" t="str">
        <f>IFERROR(__xludf.DUMMYFUNCTION("""COMPUTED_VALUE"""),"Ring")</f>
        <v>Ring</v>
      </c>
      <c r="C213" s="1"/>
      <c r="D213" s="1"/>
      <c r="E213" s="1">
        <f>IFERROR(__xludf.DUMMYFUNCTION("""COMPUTED_VALUE"""),1.0)</f>
        <v>1</v>
      </c>
      <c r="F213" s="2">
        <f>IFERROR(__xludf.DUMMYFUNCTION("""COMPUTED_VALUE"""),0.0)</f>
        <v>0</v>
      </c>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t="str">
        <f>IFERROR(__xludf.DUMMYFUNCTION("""COMPUTED_VALUE"""),"++When you battle with any Undead target you can deal X2 more damage.")</f>
        <v>++When you battle with any Undead target you can deal X2 more damage.</v>
      </c>
      <c r="AG213" s="1" t="str">
        <f>IFERROR(__xludf.DUMMYFUNCTION("""COMPUTED_VALUE"""),"Land of Spira")</f>
        <v>Land of Spira</v>
      </c>
      <c r="AH213" s="1" t="b">
        <f>IFERROR(__xludf.DUMMYFUNCTION("""COMPUTED_VALUE"""),FALSE)</f>
        <v>0</v>
      </c>
    </row>
    <row r="214">
      <c r="A214" s="1" t="str">
        <f>IFERROR(__xludf.DUMMYFUNCTION("""COMPUTED_VALUE"""),"Ring of the Forgotten")</f>
        <v>Ring of the Forgotten</v>
      </c>
      <c r="B214" s="1" t="str">
        <f>IFERROR(__xludf.DUMMYFUNCTION("""COMPUTED_VALUE"""),"Ring")</f>
        <v>Ring</v>
      </c>
      <c r="C214" s="1"/>
      <c r="D214" s="1"/>
      <c r="E214" s="1">
        <f>IFERROR(__xludf.DUMMYFUNCTION("""COMPUTED_VALUE"""),1.0)</f>
        <v>1</v>
      </c>
      <c r="F214" s="2">
        <f>IFERROR(__xludf.DUMMYFUNCTION("""COMPUTED_VALUE"""),0.0)</f>
        <v>0</v>
      </c>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t="str">
        <f>IFERROR(__xludf.DUMMYFUNCTION("""COMPUTED_VALUE"""),"++Make a fail/succeed roll to make a target forget they were fighting you. +-Cannot be duplicated")</f>
        <v>++Make a fail/succeed roll to make a target forget they were fighting you. +-Cannot be duplicated</v>
      </c>
      <c r="AG214" s="1" t="str">
        <f>IFERROR(__xludf.DUMMYFUNCTION("""COMPUTED_VALUE"""),"Land of The Forgotten")</f>
        <v>Land of The Forgotten</v>
      </c>
      <c r="AH214" s="1" t="b">
        <f>IFERROR(__xludf.DUMMYFUNCTION("""COMPUTED_VALUE"""),FALSE)</f>
        <v>0</v>
      </c>
    </row>
    <row r="215">
      <c r="A215" s="1" t="str">
        <f>IFERROR(__xludf.DUMMYFUNCTION("""COMPUTED_VALUE"""),"Ring Of Tritonoch")</f>
        <v>Ring Of Tritonoch</v>
      </c>
      <c r="B215" s="1" t="str">
        <f>IFERROR(__xludf.DUMMYFUNCTION("""COMPUTED_VALUE"""),"Ring")</f>
        <v>Ring</v>
      </c>
      <c r="C215" s="1"/>
      <c r="D215" s="1"/>
      <c r="E215" s="1">
        <f>IFERROR(__xludf.DUMMYFUNCTION("""COMPUTED_VALUE"""),1.0)</f>
        <v>1</v>
      </c>
      <c r="F215" s="2">
        <f>IFERROR(__xludf.DUMMYFUNCTION("""COMPUTED_VALUE"""),0.0)</f>
        <v>0</v>
      </c>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t="str">
        <f>IFERROR(__xludf.DUMMYFUNCTION("""COMPUTED_VALUE"""),"++Waves of Entitlement - x5 additional Water damage")</f>
        <v>++Waves of Entitlement - x5 additional Water damage</v>
      </c>
      <c r="AG215" s="1" t="str">
        <f>IFERROR(__xludf.DUMMYFUNCTION("""COMPUTED_VALUE"""),"Land of Spira")</f>
        <v>Land of Spira</v>
      </c>
      <c r="AH215" s="1" t="b">
        <f>IFERROR(__xludf.DUMMYFUNCTION("""COMPUTED_VALUE"""),FALSE)</f>
        <v>0</v>
      </c>
    </row>
    <row r="216">
      <c r="A216" s="1" t="str">
        <f>IFERROR(__xludf.DUMMYFUNCTION("""COMPUTED_VALUE"""),"Ring of Waking Waters")</f>
        <v>Ring of Waking Waters</v>
      </c>
      <c r="B216" s="1" t="str">
        <f>IFERROR(__xludf.DUMMYFUNCTION("""COMPUTED_VALUE"""),"Ring")</f>
        <v>Ring</v>
      </c>
      <c r="C216" s="1"/>
      <c r="D216" s="1"/>
      <c r="E216" s="1">
        <f>IFERROR(__xludf.DUMMYFUNCTION("""COMPUTED_VALUE"""),100.0)</f>
        <v>100</v>
      </c>
      <c r="F216" s="2">
        <f>IFERROR(__xludf.DUMMYFUNCTION("""COMPUTED_VALUE"""),450000.0)</f>
        <v>450000</v>
      </c>
      <c r="G216" s="1" t="str">
        <f>IFERROR(__xludf.DUMMYFUNCTION("""COMPUTED_VALUE"""),"DEF")</f>
        <v>DEF</v>
      </c>
      <c r="H216" s="1"/>
      <c r="I216" s="1"/>
      <c r="J216" s="1"/>
      <c r="K216" s="1">
        <f>IFERROR(__xludf.DUMMYFUNCTION("""COMPUTED_VALUE"""),5000.0)</f>
        <v>5000</v>
      </c>
      <c r="L216" s="1"/>
      <c r="M216" s="1"/>
      <c r="N216" s="1"/>
      <c r="O216" s="1"/>
      <c r="P216" s="1"/>
      <c r="Q216" s="1"/>
      <c r="R216" s="1"/>
      <c r="S216" s="1"/>
      <c r="T216" s="1"/>
      <c r="U216" s="1"/>
      <c r="V216" s="1"/>
      <c r="W216" s="1"/>
      <c r="X216" s="1"/>
      <c r="Y216" s="1"/>
      <c r="Z216" s="1"/>
      <c r="AA216" s="1"/>
      <c r="AB216" s="1"/>
      <c r="AC216" s="1"/>
      <c r="AD216" s="1"/>
      <c r="AE216" s="1"/>
      <c r="AF216" s="1" t="str">
        <f>IFERROR(__xludf.DUMMYFUNCTION("""COMPUTED_VALUE"""),"++X4 additional water damage for self.")</f>
        <v>++X4 additional water damage for self.</v>
      </c>
      <c r="AG216" s="1" t="str">
        <f>IFERROR(__xludf.DUMMYFUNCTION("""COMPUTED_VALUE"""),"Land of Spira")</f>
        <v>Land of Spira</v>
      </c>
      <c r="AH216" s="1" t="b">
        <f>IFERROR(__xludf.DUMMYFUNCTION("""COMPUTED_VALUE"""),FALSE)</f>
        <v>0</v>
      </c>
    </row>
    <row r="217">
      <c r="A217" s="1" t="str">
        <f>IFERROR(__xludf.DUMMYFUNCTION("""COMPUTED_VALUE"""),"Robe of The Cultist")</f>
        <v>Robe of The Cultist</v>
      </c>
      <c r="B217" s="1" t="str">
        <f>IFERROR(__xludf.DUMMYFUNCTION("""COMPUTED_VALUE"""),"Torso")</f>
        <v>Torso</v>
      </c>
      <c r="C217" s="1"/>
      <c r="D217" s="1"/>
      <c r="E217" s="1">
        <f>IFERROR(__xludf.DUMMYFUNCTION("""COMPUTED_VALUE"""),80.0)</f>
        <v>80</v>
      </c>
      <c r="F217" s="2">
        <f>IFERROR(__xludf.DUMMYFUNCTION("""COMPUTED_VALUE"""),280000.0)</f>
        <v>280000</v>
      </c>
      <c r="G217" s="1" t="str">
        <f>IFERROR(__xludf.DUMMYFUNCTION("""COMPUTED_VALUE"""),"DEF")</f>
        <v>DEF</v>
      </c>
      <c r="H217" s="1">
        <f>IFERROR(__xludf.DUMMYFUNCTION("""COMPUTED_VALUE"""),2000.0)</f>
        <v>2000</v>
      </c>
      <c r="I217" s="1"/>
      <c r="J217" s="1"/>
      <c r="K217" s="1"/>
      <c r="L217" s="1"/>
      <c r="M217" s="1"/>
      <c r="N217" s="1"/>
      <c r="O217" s="1">
        <f>IFERROR(__xludf.DUMMYFUNCTION("""COMPUTED_VALUE"""),2000.0)</f>
        <v>2000</v>
      </c>
      <c r="P217" s="1"/>
      <c r="Q217" s="1"/>
      <c r="R217" s="1"/>
      <c r="S217" s="1"/>
      <c r="T217" s="1"/>
      <c r="U217" s="1"/>
      <c r="V217" s="1"/>
      <c r="W217" s="1"/>
      <c r="X217" s="1"/>
      <c r="Y217" s="1"/>
      <c r="Z217" s="1"/>
      <c r="AA217" s="1"/>
      <c r="AB217" s="1"/>
      <c r="AC217" s="1"/>
      <c r="AD217" s="1"/>
      <c r="AE217" s="1"/>
      <c r="AF217" s="1" t="str">
        <f>IFERROR(__xludf.DUMMYFUNCTION("""COMPUTED_VALUE"""),"++Instant Death Immunity. ++500HP +-Cannot be forged +-Cannot be duplicated")</f>
        <v>++Instant Death Immunity. ++500HP +-Cannot be forged +-Cannot be duplicated</v>
      </c>
      <c r="AG217" s="1" t="str">
        <f>IFERROR(__xludf.DUMMYFUNCTION("""COMPUTED_VALUE"""),"Land of Spira")</f>
        <v>Land of Spira</v>
      </c>
      <c r="AH217" s="1" t="b">
        <f>IFERROR(__xludf.DUMMYFUNCTION("""COMPUTED_VALUE"""),FALSE)</f>
        <v>0</v>
      </c>
    </row>
    <row r="218">
      <c r="A218" s="1" t="str">
        <f>IFERROR(__xludf.DUMMYFUNCTION("""COMPUTED_VALUE"""),"Robe of Vanish")</f>
        <v>Robe of Vanish</v>
      </c>
      <c r="B218" s="1" t="str">
        <f>IFERROR(__xludf.DUMMYFUNCTION("""COMPUTED_VALUE"""),"Torso")</f>
        <v>Torso</v>
      </c>
      <c r="C218" s="1"/>
      <c r="D218" s="1"/>
      <c r="E218" s="1">
        <f>IFERROR(__xludf.DUMMYFUNCTION("""COMPUTED_VALUE"""),20.0)</f>
        <v>20</v>
      </c>
      <c r="F218" s="2">
        <f>IFERROR(__xludf.DUMMYFUNCTION("""COMPUTED_VALUE"""),1000.0)</f>
        <v>1000</v>
      </c>
      <c r="G218" s="1" t="str">
        <f>IFERROR(__xludf.DUMMYFUNCTION("""COMPUTED_VALUE"""),"DEF")</f>
        <v>DEF</v>
      </c>
      <c r="H218" s="1">
        <f>IFERROR(__xludf.DUMMYFUNCTION("""COMPUTED_VALUE"""),900.0)</f>
        <v>900</v>
      </c>
      <c r="I218" s="1"/>
      <c r="J218" s="1"/>
      <c r="K218" s="1"/>
      <c r="L218" s="1"/>
      <c r="M218" s="1"/>
      <c r="N218" s="1"/>
      <c r="O218" s="1"/>
      <c r="P218" s="1"/>
      <c r="Q218" s="1"/>
      <c r="R218" s="1"/>
      <c r="S218" s="1"/>
      <c r="T218" s="1"/>
      <c r="U218" s="1"/>
      <c r="V218" s="1"/>
      <c r="W218" s="1"/>
      <c r="X218" s="1"/>
      <c r="Y218" s="1"/>
      <c r="Z218" s="1"/>
      <c r="AA218" s="1"/>
      <c r="AB218" s="1"/>
      <c r="AC218" s="1"/>
      <c r="AD218" s="1"/>
      <c r="AE218" s="1"/>
      <c r="AF218" s="1" t="str">
        <f>IFERROR(__xludf.DUMMYFUNCTION("""COMPUTED_VALUE"""),"++Shadow Disappear - When Equipped you are invulnerable to all damage for the first round of battle. ")</f>
        <v>++Shadow Disappear - When Equipped you are invulnerable to all damage for the first round of battle. </v>
      </c>
      <c r="AG218" s="1" t="str">
        <f>IFERROR(__xludf.DUMMYFUNCTION("""COMPUTED_VALUE"""),"Land of Spira")</f>
        <v>Land of Spira</v>
      </c>
      <c r="AH218" s="1" t="b">
        <f>IFERROR(__xludf.DUMMYFUNCTION("""COMPUTED_VALUE"""),FALSE)</f>
        <v>0</v>
      </c>
    </row>
    <row r="219">
      <c r="A219" s="1" t="str">
        <f>IFERROR(__xludf.DUMMYFUNCTION("""COMPUTED_VALUE"""),"Robes of a Peaceful Immortal")</f>
        <v>Robes of a Peaceful Immortal</v>
      </c>
      <c r="B219" s="1" t="str">
        <f>IFERROR(__xludf.DUMMYFUNCTION("""COMPUTED_VALUE"""),"Torso")</f>
        <v>Torso</v>
      </c>
      <c r="C219" s="1"/>
      <c r="D219" s="1"/>
      <c r="E219" s="1">
        <f>IFERROR(__xludf.DUMMYFUNCTION("""COMPUTED_VALUE"""),1.0)</f>
        <v>1</v>
      </c>
      <c r="F219" s="2">
        <f>IFERROR(__xludf.DUMMYFUNCTION("""COMPUTED_VALUE"""),0.0)</f>
        <v>0</v>
      </c>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t="str">
        <f>IFERROR(__xludf.DUMMYFUNCTION("""COMPUTED_VALUE"""),"++Peaceful Blessing - Incapable of receiving or dealing damage. +-Cannot be duplicated.")</f>
        <v>++Peaceful Blessing - Incapable of receiving or dealing damage. +-Cannot be duplicated.</v>
      </c>
      <c r="AG219" s="1" t="str">
        <f>IFERROR(__xludf.DUMMYFUNCTION("""COMPUTED_VALUE"""),"Land of Spira")</f>
        <v>Land of Spira</v>
      </c>
      <c r="AH219" s="1" t="b">
        <f>IFERROR(__xludf.DUMMYFUNCTION("""COMPUTED_VALUE"""),FALSE)</f>
        <v>0</v>
      </c>
    </row>
    <row r="220">
      <c r="A220" s="1" t="str">
        <f>IFERROR(__xludf.DUMMYFUNCTION("""COMPUTED_VALUE"""),"Royal Amulet Of Heatmore")</f>
        <v>Royal Amulet Of Heatmore</v>
      </c>
      <c r="B220" s="1" t="str">
        <f>IFERROR(__xludf.DUMMYFUNCTION("""COMPUTED_VALUE"""),"Neck")</f>
        <v>Neck</v>
      </c>
      <c r="C220" s="1"/>
      <c r="D220" s="1"/>
      <c r="E220" s="1">
        <f>IFERROR(__xludf.DUMMYFUNCTION("""COMPUTED_VALUE"""),1.0)</f>
        <v>1</v>
      </c>
      <c r="F220" s="2">
        <f>IFERROR(__xludf.DUMMYFUNCTION("""COMPUTED_VALUE"""),0.0)</f>
        <v>0</v>
      </c>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t="str">
        <f>IFERROR(__xludf.DUMMYFUNCTION("""COMPUTED_VALUE"""),"++ immune to fire dmg")</f>
        <v>++ immune to fire dmg</v>
      </c>
      <c r="AG220" s="1" t="str">
        <f>IFERROR(__xludf.DUMMYFUNCTION("""COMPUTED_VALUE"""),"Land of Spira")</f>
        <v>Land of Spira</v>
      </c>
      <c r="AH220" s="1" t="b">
        <f>IFERROR(__xludf.DUMMYFUNCTION("""COMPUTED_VALUE"""),FALSE)</f>
        <v>0</v>
      </c>
    </row>
    <row r="221">
      <c r="A221" s="1" t="str">
        <f>IFERROR(__xludf.DUMMYFUNCTION("""COMPUTED_VALUE"""),"Royal Guard Axe")</f>
        <v>Royal Guard Axe</v>
      </c>
      <c r="B221" s="1" t="str">
        <f>IFERROR(__xludf.DUMMYFUNCTION("""COMPUTED_VALUE"""),"Hand")</f>
        <v>Hand</v>
      </c>
      <c r="C221" s="1" t="str">
        <f>IFERROR(__xludf.DUMMYFUNCTION("""COMPUTED_VALUE"""),"Quest Item")</f>
        <v>Quest Item</v>
      </c>
      <c r="D221" s="1"/>
      <c r="E221" s="1">
        <f>IFERROR(__xludf.DUMMYFUNCTION("""COMPUTED_VALUE"""),200.0)</f>
        <v>200</v>
      </c>
      <c r="F221" s="2">
        <f>IFERROR(__xludf.DUMMYFUNCTION("""COMPUTED_VALUE"""),4.485E8)</f>
        <v>448500000</v>
      </c>
      <c r="G221" s="1" t="str">
        <f>IFERROR(__xludf.DUMMYFUNCTION("""COMPUTED_VALUE"""),"DMG")</f>
        <v>DMG</v>
      </c>
      <c r="H221" s="3">
        <f>IFERROR(__xludf.DUMMYFUNCTION("""COMPUTED_VALUE"""),50000.0)</f>
        <v>50000</v>
      </c>
      <c r="I221" s="1"/>
      <c r="J221" s="1"/>
      <c r="K221" s="1"/>
      <c r="L221" s="1"/>
      <c r="M221" s="1"/>
      <c r="N221" s="3">
        <f>IFERROR(__xludf.DUMMYFUNCTION("""COMPUTED_VALUE"""),50000.0)</f>
        <v>50000</v>
      </c>
      <c r="O221" s="1"/>
      <c r="P221" s="1"/>
      <c r="Q221" s="1"/>
      <c r="R221" s="1"/>
      <c r="S221" s="1"/>
      <c r="T221" s="1"/>
      <c r="U221" s="1"/>
      <c r="V221" s="1"/>
      <c r="W221" s="1"/>
      <c r="X221" s="1"/>
      <c r="Y221" s="1"/>
      <c r="Z221" s="1"/>
      <c r="AA221" s="1"/>
      <c r="AB221" s="1"/>
      <c r="AC221" s="3">
        <f>IFERROR(__xludf.DUMMYFUNCTION("""COMPUTED_VALUE"""),50000.0)</f>
        <v>50000</v>
      </c>
      <c r="AD221" s="1"/>
      <c r="AE221" s="1"/>
      <c r="AF221" s="1" t="str">
        <f>IFERROR(__xludf.DUMMYFUNCTION("""COMPUTED_VALUE"""),"++X4 additional Weapon Damage. +-Cannot be duplicated.")</f>
        <v>++X4 additional Weapon Damage. +-Cannot be duplicated.</v>
      </c>
      <c r="AG221" s="1" t="str">
        <f>IFERROR(__xludf.DUMMYFUNCTION("""COMPUTED_VALUE"""),"Land of Spira")</f>
        <v>Land of Spira</v>
      </c>
      <c r="AH221" s="1" t="b">
        <f>IFERROR(__xludf.DUMMYFUNCTION("""COMPUTED_VALUE"""),FALSE)</f>
        <v>0</v>
      </c>
    </row>
    <row r="222">
      <c r="A222" s="1" t="str">
        <f>IFERROR(__xludf.DUMMYFUNCTION("""COMPUTED_VALUE"""),"Royal Guard Helmet")</f>
        <v>Royal Guard Helmet</v>
      </c>
      <c r="B222" s="1" t="str">
        <f>IFERROR(__xludf.DUMMYFUNCTION("""COMPUTED_VALUE"""),"Head")</f>
        <v>Head</v>
      </c>
      <c r="C222" s="1" t="str">
        <f>IFERROR(__xludf.DUMMYFUNCTION("""COMPUTED_VALUE"""),"Quest Item")</f>
        <v>Quest Item</v>
      </c>
      <c r="D222" s="1"/>
      <c r="E222" s="1">
        <f>IFERROR(__xludf.DUMMYFUNCTION("""COMPUTED_VALUE"""),200.0)</f>
        <v>200</v>
      </c>
      <c r="F222" s="2">
        <f>IFERROR(__xludf.DUMMYFUNCTION("""COMPUTED_VALUE"""),4.485E8)</f>
        <v>448500000</v>
      </c>
      <c r="G222" s="1" t="str">
        <f>IFERROR(__xludf.DUMMYFUNCTION("""COMPUTED_VALUE"""),"DEF")</f>
        <v>DEF</v>
      </c>
      <c r="H222" s="3">
        <f>IFERROR(__xludf.DUMMYFUNCTION("""COMPUTED_VALUE"""),50000.0)</f>
        <v>50000</v>
      </c>
      <c r="I222" s="1"/>
      <c r="J222" s="1"/>
      <c r="K222" s="1"/>
      <c r="L222" s="1"/>
      <c r="M222" s="1"/>
      <c r="N222" s="3">
        <f>IFERROR(__xludf.DUMMYFUNCTION("""COMPUTED_VALUE"""),50000.0)</f>
        <v>50000</v>
      </c>
      <c r="O222" s="1"/>
      <c r="P222" s="1"/>
      <c r="Q222" s="1"/>
      <c r="R222" s="1"/>
      <c r="S222" s="1"/>
      <c r="T222" s="1"/>
      <c r="U222" s="1"/>
      <c r="V222" s="1"/>
      <c r="W222" s="1"/>
      <c r="X222" s="1"/>
      <c r="Y222" s="1"/>
      <c r="Z222" s="1"/>
      <c r="AA222" s="1"/>
      <c r="AB222" s="1"/>
      <c r="AC222" s="3">
        <f>IFERROR(__xludf.DUMMYFUNCTION("""COMPUTED_VALUE"""),50000.0)</f>
        <v>50000</v>
      </c>
      <c r="AD222" s="1"/>
      <c r="AE222" s="1"/>
      <c r="AF222" s="1" t="str">
        <f>IFERROR(__xludf.DUMMYFUNCTION("""COMPUTED_VALUE"""),"++X4 Additional Weapon damage. ++X2 Additional Defense. +-Cannot be duplicated.")</f>
        <v>++X4 Additional Weapon damage. ++X2 Additional Defense. +-Cannot be duplicated.</v>
      </c>
      <c r="AG222" s="1" t="str">
        <f>IFERROR(__xludf.DUMMYFUNCTION("""COMPUTED_VALUE"""),"Land of Spira")</f>
        <v>Land of Spira</v>
      </c>
      <c r="AH222" s="1" t="b">
        <f>IFERROR(__xludf.DUMMYFUNCTION("""COMPUTED_VALUE"""),FALSE)</f>
        <v>0</v>
      </c>
    </row>
    <row r="223">
      <c r="A223" s="1" t="str">
        <f>IFERROR(__xludf.DUMMYFUNCTION("""COMPUTED_VALUE"""),"Royal Guard Chestplate")</f>
        <v>Royal Guard Chestplate</v>
      </c>
      <c r="B223" s="1" t="str">
        <f>IFERROR(__xludf.DUMMYFUNCTION("""COMPUTED_VALUE"""),"Torso")</f>
        <v>Torso</v>
      </c>
      <c r="C223" s="1" t="str">
        <f>IFERROR(__xludf.DUMMYFUNCTION("""COMPUTED_VALUE"""),"Quest Item")</f>
        <v>Quest Item</v>
      </c>
      <c r="D223" s="1"/>
      <c r="E223" s="1">
        <f>IFERROR(__xludf.DUMMYFUNCTION("""COMPUTED_VALUE"""),200.0)</f>
        <v>200</v>
      </c>
      <c r="F223" s="2">
        <f>IFERROR(__xludf.DUMMYFUNCTION("""COMPUTED_VALUE"""),4.485E8)</f>
        <v>448500000</v>
      </c>
      <c r="G223" s="1" t="str">
        <f>IFERROR(__xludf.DUMMYFUNCTION("""COMPUTED_VALUE"""),"DEF")</f>
        <v>DEF</v>
      </c>
      <c r="H223" s="3">
        <f>IFERROR(__xludf.DUMMYFUNCTION("""COMPUTED_VALUE"""),50000.0)</f>
        <v>50000</v>
      </c>
      <c r="I223" s="1"/>
      <c r="J223" s="1"/>
      <c r="K223" s="1"/>
      <c r="L223" s="1"/>
      <c r="M223" s="1"/>
      <c r="N223" s="3">
        <f>IFERROR(__xludf.DUMMYFUNCTION("""COMPUTED_VALUE"""),50000.0)</f>
        <v>50000</v>
      </c>
      <c r="O223" s="1"/>
      <c r="P223" s="1"/>
      <c r="Q223" s="1"/>
      <c r="R223" s="1"/>
      <c r="S223" s="1"/>
      <c r="T223" s="1"/>
      <c r="U223" s="1"/>
      <c r="V223" s="1"/>
      <c r="W223" s="1"/>
      <c r="X223" s="1"/>
      <c r="Y223" s="1"/>
      <c r="Z223" s="1"/>
      <c r="AA223" s="1"/>
      <c r="AB223" s="1"/>
      <c r="AC223" s="3">
        <f>IFERROR(__xludf.DUMMYFUNCTION("""COMPUTED_VALUE"""),50000.0)</f>
        <v>50000</v>
      </c>
      <c r="AD223" s="1"/>
      <c r="AE223" s="1"/>
      <c r="AF223" s="1" t="str">
        <f>IFERROR(__xludf.DUMMYFUNCTION("""COMPUTED_VALUE"""),"++X4 Additional Weapon damage. ++X2 Additional Defense. +-Cannot be duplicated.")</f>
        <v>++X4 Additional Weapon damage. ++X2 Additional Defense. +-Cannot be duplicated.</v>
      </c>
      <c r="AG223" s="1" t="str">
        <f>IFERROR(__xludf.DUMMYFUNCTION("""COMPUTED_VALUE"""),"Land of Spira")</f>
        <v>Land of Spira</v>
      </c>
      <c r="AH223" s="1" t="b">
        <f>IFERROR(__xludf.DUMMYFUNCTION("""COMPUTED_VALUE"""),FALSE)</f>
        <v>0</v>
      </c>
    </row>
    <row r="224">
      <c r="A224" s="1" t="str">
        <f>IFERROR(__xludf.DUMMYFUNCTION("""COMPUTED_VALUE"""),"Royal Guard Boots")</f>
        <v>Royal Guard Boots</v>
      </c>
      <c r="B224" s="1" t="str">
        <f>IFERROR(__xludf.DUMMYFUNCTION("""COMPUTED_VALUE"""),"Feet")</f>
        <v>Feet</v>
      </c>
      <c r="C224" s="1" t="str">
        <f>IFERROR(__xludf.DUMMYFUNCTION("""COMPUTED_VALUE"""),"Quest Item")</f>
        <v>Quest Item</v>
      </c>
      <c r="D224" s="1"/>
      <c r="E224" s="1">
        <f>IFERROR(__xludf.DUMMYFUNCTION("""COMPUTED_VALUE"""),200.0)</f>
        <v>200</v>
      </c>
      <c r="F224" s="2">
        <f>IFERROR(__xludf.DUMMYFUNCTION("""COMPUTED_VALUE"""),4.485E8)</f>
        <v>448500000</v>
      </c>
      <c r="G224" s="1" t="str">
        <f>IFERROR(__xludf.DUMMYFUNCTION("""COMPUTED_VALUE"""),"DEF")</f>
        <v>DEF</v>
      </c>
      <c r="H224" s="3">
        <f>IFERROR(__xludf.DUMMYFUNCTION("""COMPUTED_VALUE"""),50000.0)</f>
        <v>50000</v>
      </c>
      <c r="I224" s="1"/>
      <c r="J224" s="1"/>
      <c r="K224" s="1"/>
      <c r="L224" s="1"/>
      <c r="M224" s="1"/>
      <c r="N224" s="3">
        <f>IFERROR(__xludf.DUMMYFUNCTION("""COMPUTED_VALUE"""),50000.0)</f>
        <v>50000</v>
      </c>
      <c r="O224" s="1"/>
      <c r="P224" s="1"/>
      <c r="Q224" s="1"/>
      <c r="R224" s="1"/>
      <c r="S224" s="1"/>
      <c r="T224" s="1"/>
      <c r="U224" s="1"/>
      <c r="V224" s="1"/>
      <c r="W224" s="1"/>
      <c r="X224" s="1"/>
      <c r="Y224" s="1"/>
      <c r="Z224" s="1"/>
      <c r="AA224" s="1"/>
      <c r="AB224" s="1"/>
      <c r="AC224" s="3">
        <f>IFERROR(__xludf.DUMMYFUNCTION("""COMPUTED_VALUE"""),50000.0)</f>
        <v>50000</v>
      </c>
      <c r="AD224" s="1"/>
      <c r="AE224" s="1"/>
      <c r="AF224" s="1" t="str">
        <f>IFERROR(__xludf.DUMMYFUNCTION("""COMPUTED_VALUE"""),"++X4 Additional Weapon damage. ++X2 Additional Defense. +-Cannot be duplicated.")</f>
        <v>++X4 Additional Weapon damage. ++X2 Additional Defense. +-Cannot be duplicated.</v>
      </c>
      <c r="AG224" s="1" t="str">
        <f>IFERROR(__xludf.DUMMYFUNCTION("""COMPUTED_VALUE"""),"Land of Spira")</f>
        <v>Land of Spira</v>
      </c>
      <c r="AH224" s="1" t="b">
        <f>IFERROR(__xludf.DUMMYFUNCTION("""COMPUTED_VALUE"""),FALSE)</f>
        <v>0</v>
      </c>
    </row>
    <row r="225">
      <c r="A225" s="1" t="str">
        <f>IFERROR(__xludf.DUMMYFUNCTION("""COMPUTED_VALUE"""),"Royal Guard Greaves")</f>
        <v>Royal Guard Greaves</v>
      </c>
      <c r="B225" s="1" t="str">
        <f>IFERROR(__xludf.DUMMYFUNCTION("""COMPUTED_VALUE"""),"Legs")</f>
        <v>Legs</v>
      </c>
      <c r="C225" s="1" t="str">
        <f>IFERROR(__xludf.DUMMYFUNCTION("""COMPUTED_VALUE"""),"Quest Item")</f>
        <v>Quest Item</v>
      </c>
      <c r="D225" s="1"/>
      <c r="E225" s="1">
        <f>IFERROR(__xludf.DUMMYFUNCTION("""COMPUTED_VALUE"""),200.0)</f>
        <v>200</v>
      </c>
      <c r="F225" s="2">
        <f>IFERROR(__xludf.DUMMYFUNCTION("""COMPUTED_VALUE"""),4.485E8)</f>
        <v>448500000</v>
      </c>
      <c r="G225" s="1" t="str">
        <f>IFERROR(__xludf.DUMMYFUNCTION("""COMPUTED_VALUE"""),"DEF")</f>
        <v>DEF</v>
      </c>
      <c r="H225" s="3">
        <f>IFERROR(__xludf.DUMMYFUNCTION("""COMPUTED_VALUE"""),50000.0)</f>
        <v>50000</v>
      </c>
      <c r="I225" s="1"/>
      <c r="J225" s="1"/>
      <c r="K225" s="1"/>
      <c r="L225" s="1"/>
      <c r="M225" s="1"/>
      <c r="N225" s="3">
        <f>IFERROR(__xludf.DUMMYFUNCTION("""COMPUTED_VALUE"""),50000.0)</f>
        <v>50000</v>
      </c>
      <c r="O225" s="1"/>
      <c r="P225" s="1"/>
      <c r="Q225" s="1"/>
      <c r="R225" s="1"/>
      <c r="S225" s="1"/>
      <c r="T225" s="1"/>
      <c r="U225" s="1"/>
      <c r="V225" s="1"/>
      <c r="W225" s="1"/>
      <c r="X225" s="1"/>
      <c r="Y225" s="1"/>
      <c r="Z225" s="1"/>
      <c r="AA225" s="1"/>
      <c r="AB225" s="1"/>
      <c r="AC225" s="3">
        <f>IFERROR(__xludf.DUMMYFUNCTION("""COMPUTED_VALUE"""),50000.0)</f>
        <v>50000</v>
      </c>
      <c r="AD225" s="1"/>
      <c r="AE225" s="1"/>
      <c r="AF225" s="1" t="str">
        <f>IFERROR(__xludf.DUMMYFUNCTION("""COMPUTED_VALUE"""),"++X4 Additional Weapon damage. ++X2 Additional Defense. +-Cannot be duplicated.")</f>
        <v>++X4 Additional Weapon damage. ++X2 Additional Defense. +-Cannot be duplicated.</v>
      </c>
      <c r="AG225" s="1" t="str">
        <f>IFERROR(__xludf.DUMMYFUNCTION("""COMPUTED_VALUE"""),"Land of Spira")</f>
        <v>Land of Spira</v>
      </c>
      <c r="AH225" s="1" t="b">
        <f>IFERROR(__xludf.DUMMYFUNCTION("""COMPUTED_VALUE"""),FALSE)</f>
        <v>0</v>
      </c>
    </row>
    <row r="226">
      <c r="A226" s="1" t="str">
        <f>IFERROR(__xludf.DUMMYFUNCTION("""COMPUTED_VALUE"""),"Royal Keeper Shield")</f>
        <v>Royal Keeper Shield</v>
      </c>
      <c r="B226" s="1" t="str">
        <f>IFERROR(__xludf.DUMMYFUNCTION("""COMPUTED_VALUE"""),"Hand")</f>
        <v>Hand</v>
      </c>
      <c r="C226" s="1"/>
      <c r="D226" s="1" t="str">
        <f>IFERROR(__xludf.DUMMYFUNCTION("""COMPUTED_VALUE"""),"Towershield")</f>
        <v>Towershield</v>
      </c>
      <c r="E226" s="1">
        <f>IFERROR(__xludf.DUMMYFUNCTION("""COMPUTED_VALUE"""),20.0)</f>
        <v>20</v>
      </c>
      <c r="F226" s="2">
        <f>IFERROR(__xludf.DUMMYFUNCTION("""COMPUTED_VALUE"""),10000.0)</f>
        <v>10000</v>
      </c>
      <c r="G226" s="1" t="str">
        <f>IFERROR(__xludf.DUMMYFUNCTION("""COMPUTED_VALUE"""),"DEF")</f>
        <v>DEF</v>
      </c>
      <c r="H226" s="1">
        <f>IFERROR(__xludf.DUMMYFUNCTION("""COMPUTED_VALUE"""),1000.0)</f>
        <v>1000</v>
      </c>
      <c r="I226" s="1"/>
      <c r="J226" s="1"/>
      <c r="K226" s="1"/>
      <c r="L226" s="1"/>
      <c r="M226" s="1"/>
      <c r="N226" s="1"/>
      <c r="O226" s="1"/>
      <c r="P226" s="1"/>
      <c r="Q226" s="1"/>
      <c r="R226" s="1"/>
      <c r="S226" s="1"/>
      <c r="T226" s="1"/>
      <c r="U226" s="1"/>
      <c r="V226" s="1"/>
      <c r="W226" s="1"/>
      <c r="X226" s="1"/>
      <c r="Y226" s="1"/>
      <c r="Z226" s="1"/>
      <c r="AA226" s="1"/>
      <c r="AB226" s="1"/>
      <c r="AC226" s="1"/>
      <c r="AD226" s="1"/>
      <c r="AE226" s="1"/>
      <c r="AF226" s="1" t="str">
        <f>IFERROR(__xludf.DUMMYFUNCTION("""COMPUTED_VALUE"""),"++Royal Block - Gan invulnerability to all damage for 3 rounds of battle. 5000SP Will Succeed.")</f>
        <v>++Royal Block - Gan invulnerability to all damage for 3 rounds of battle. 5000SP Will Succeed.</v>
      </c>
      <c r="AG226" s="1" t="str">
        <f>IFERROR(__xludf.DUMMYFUNCTION("""COMPUTED_VALUE"""),"Land of Spira")</f>
        <v>Land of Spira</v>
      </c>
      <c r="AH226" s="1" t="b">
        <f>IFERROR(__xludf.DUMMYFUNCTION("""COMPUTED_VALUE"""),FALSE)</f>
        <v>0</v>
      </c>
    </row>
    <row r="227">
      <c r="A227" s="1" t="str">
        <f>IFERROR(__xludf.DUMMYFUNCTION("""COMPUTED_VALUE"""),"Royal Keeper Spear")</f>
        <v>Royal Keeper Spear</v>
      </c>
      <c r="B227" s="1" t="str">
        <f>IFERROR(__xludf.DUMMYFUNCTION("""COMPUTED_VALUE"""),"Hand")</f>
        <v>Hand</v>
      </c>
      <c r="C227" s="1"/>
      <c r="D227" s="1" t="str">
        <f>IFERROR(__xludf.DUMMYFUNCTION("""COMPUTED_VALUE"""),"Spear")</f>
        <v>Spear</v>
      </c>
      <c r="E227" s="1">
        <f>IFERROR(__xludf.DUMMYFUNCTION("""COMPUTED_VALUE"""),400.0)</f>
        <v>400</v>
      </c>
      <c r="F227" s="2">
        <f>IFERROR(__xludf.DUMMYFUNCTION("""COMPUTED_VALUE"""),7800000.0)</f>
        <v>7800000</v>
      </c>
      <c r="G227" s="1" t="str">
        <f>IFERROR(__xludf.DUMMYFUNCTION("""COMPUTED_VALUE"""),"DMG")</f>
        <v>DMG</v>
      </c>
      <c r="H227" s="3">
        <f>IFERROR(__xludf.DUMMYFUNCTION("""COMPUTED_VALUE"""),10000.0)</f>
        <v>10000</v>
      </c>
      <c r="I227" s="3">
        <f>IFERROR(__xludf.DUMMYFUNCTION("""COMPUTED_VALUE"""),10000.0)</f>
        <v>10000</v>
      </c>
      <c r="J227" s="1"/>
      <c r="K227" s="1"/>
      <c r="L227" s="1"/>
      <c r="M227" s="1"/>
      <c r="N227" s="1"/>
      <c r="O227" s="1"/>
      <c r="P227" s="1"/>
      <c r="Q227" s="1"/>
      <c r="R227" s="1"/>
      <c r="S227" s="1"/>
      <c r="T227" s="1"/>
      <c r="U227" s="1"/>
      <c r="V227" s="1"/>
      <c r="W227" s="1"/>
      <c r="X227" s="1"/>
      <c r="Y227" s="1"/>
      <c r="Z227" s="1"/>
      <c r="AA227" s="1"/>
      <c r="AB227" s="1"/>
      <c r="AC227" s="1"/>
      <c r="AD227" s="1"/>
      <c r="AE227" s="1"/>
      <c r="AF227" s="1" t="str">
        <f>IFERROR(__xludf.DUMMYFUNCTION("""COMPUTED_VALUE"""),"++Royal Stance -  Shuttering 1 for the first round of battle.")</f>
        <v>++Royal Stance -  Shuttering 1 for the first round of battle.</v>
      </c>
      <c r="AG227" s="1" t="str">
        <f>IFERROR(__xludf.DUMMYFUNCTION("""COMPUTED_VALUE"""),"Land of Spira")</f>
        <v>Land of Spira</v>
      </c>
      <c r="AH227" s="1" t="b">
        <f>IFERROR(__xludf.DUMMYFUNCTION("""COMPUTED_VALUE"""),FALSE)</f>
        <v>0</v>
      </c>
    </row>
    <row r="228">
      <c r="A228" s="1" t="str">
        <f>IFERROR(__xludf.DUMMYFUNCTION("""COMPUTED_VALUE"""),"Royal Sword of Chaotic Shadows")</f>
        <v>Royal Sword of Chaotic Shadows</v>
      </c>
      <c r="B228" s="1" t="str">
        <f>IFERROR(__xludf.DUMMYFUNCTION("""COMPUTED_VALUE"""),"Hand")</f>
        <v>Hand</v>
      </c>
      <c r="C228" s="1"/>
      <c r="D228" s="1" t="str">
        <f>IFERROR(__xludf.DUMMYFUNCTION("""COMPUTED_VALUE"""),"Sword")</f>
        <v>Sword</v>
      </c>
      <c r="E228" s="1">
        <f>IFERROR(__xludf.DUMMYFUNCTION("""COMPUTED_VALUE"""),900.0)</f>
        <v>900</v>
      </c>
      <c r="F228" s="2">
        <f>IFERROR(__xludf.DUMMYFUNCTION("""COMPUTED_VALUE"""),4.005E7)</f>
        <v>40050000</v>
      </c>
      <c r="G228" s="1" t="str">
        <f>IFERROR(__xludf.DUMMYFUNCTION("""COMPUTED_VALUE"""),"DMG")</f>
        <v>DMG</v>
      </c>
      <c r="H228" s="3">
        <f>IFERROR(__xludf.DUMMYFUNCTION("""COMPUTED_VALUE"""),15000.0)</f>
        <v>15000</v>
      </c>
      <c r="I228" s="1"/>
      <c r="J228" s="1"/>
      <c r="K228" s="1"/>
      <c r="L228" s="1"/>
      <c r="M228" s="1"/>
      <c r="N228" s="1"/>
      <c r="O228" s="3">
        <f>IFERROR(__xludf.DUMMYFUNCTION("""COMPUTED_VALUE"""),15000.0)</f>
        <v>15000</v>
      </c>
      <c r="P228" s="1"/>
      <c r="Q228" s="1"/>
      <c r="R228" s="3">
        <f>IFERROR(__xludf.DUMMYFUNCTION("""COMPUTED_VALUE"""),15000.0)</f>
        <v>15000</v>
      </c>
      <c r="S228" s="1"/>
      <c r="T228" s="1"/>
      <c r="U228" s="1"/>
      <c r="V228" s="1"/>
      <c r="W228" s="1"/>
      <c r="X228" s="1"/>
      <c r="Y228" s="1"/>
      <c r="Z228" s="1"/>
      <c r="AA228" s="1"/>
      <c r="AB228" s="1"/>
      <c r="AC228" s="1"/>
      <c r="AD228" s="1"/>
      <c r="AE228" s="1"/>
      <c r="AF228" s="1" t="str">
        <f>IFERROR(__xludf.DUMMYFUNCTION("""COMPUTED_VALUE"""),"++Dark and Chaos Weapons and Spells deal an additional X2 damage while this item is equipped.. +-Cannot be duplicated.")</f>
        <v>++Dark and Chaos Weapons and Spells deal an additional X2 damage while this item is equipped.. +-Cannot be duplicated.</v>
      </c>
      <c r="AG228" s="1" t="str">
        <f>IFERROR(__xludf.DUMMYFUNCTION("""COMPUTED_VALUE"""),"Land of Spira")</f>
        <v>Land of Spira</v>
      </c>
      <c r="AH228" s="1" t="b">
        <f>IFERROR(__xludf.DUMMYFUNCTION("""COMPUTED_VALUE"""),FALSE)</f>
        <v>0</v>
      </c>
    </row>
    <row r="229">
      <c r="A229" s="1" t="str">
        <f>IFERROR(__xludf.DUMMYFUNCTION("""COMPUTED_VALUE"""),"Rusty sword")</f>
        <v>Rusty sword</v>
      </c>
      <c r="B229" s="1" t="str">
        <f>IFERROR(__xludf.DUMMYFUNCTION("""COMPUTED_VALUE"""),"Hand")</f>
        <v>Hand</v>
      </c>
      <c r="C229" s="1"/>
      <c r="D229" s="1" t="str">
        <f>IFERROR(__xludf.DUMMYFUNCTION("""COMPUTED_VALUE"""),"Sword")</f>
        <v>Sword</v>
      </c>
      <c r="E229" s="1">
        <f>IFERROR(__xludf.DUMMYFUNCTION("""COMPUTED_VALUE"""),1.0)</f>
        <v>1</v>
      </c>
      <c r="F229" s="2">
        <f>IFERROR(__xludf.DUMMYFUNCTION("""COMPUTED_VALUE"""),0.0)</f>
        <v>0</v>
      </c>
      <c r="G229" s="1" t="str">
        <f>IFERROR(__xludf.DUMMYFUNCTION("""COMPUTED_VALUE"""),"DMG")</f>
        <v>DMG</v>
      </c>
      <c r="H229" s="1">
        <f>IFERROR(__xludf.DUMMYFUNCTION("""COMPUTED_VALUE"""),60.0)</f>
        <v>60</v>
      </c>
      <c r="I229" s="1"/>
      <c r="J229" s="1"/>
      <c r="K229" s="1"/>
      <c r="L229" s="1"/>
      <c r="M229" s="1"/>
      <c r="N229" s="1"/>
      <c r="O229" s="1"/>
      <c r="P229" s="1"/>
      <c r="Q229" s="1"/>
      <c r="R229" s="1"/>
      <c r="S229" s="1"/>
      <c r="T229" s="1"/>
      <c r="U229" s="1"/>
      <c r="V229" s="1"/>
      <c r="W229" s="1"/>
      <c r="X229" s="1"/>
      <c r="Y229" s="1"/>
      <c r="Z229" s="1"/>
      <c r="AA229" s="1"/>
      <c r="AB229" s="1"/>
      <c r="AC229" s="1"/>
      <c r="AD229" s="1"/>
      <c r="AE229" s="1"/>
      <c r="AF229" s="1" t="str">
        <f>IFERROR(__xludf.DUMMYFUNCTION("""COMPUTED_VALUE"""),"++25% chance to break with each use")</f>
        <v>++25% chance to break with each use</v>
      </c>
      <c r="AG229" s="1" t="str">
        <f>IFERROR(__xludf.DUMMYFUNCTION("""COMPUTED_VALUE"""),"Land of Spira")</f>
        <v>Land of Spira</v>
      </c>
      <c r="AH229" s="1" t="b">
        <f>IFERROR(__xludf.DUMMYFUNCTION("""COMPUTED_VALUE"""),FALSE)</f>
        <v>0</v>
      </c>
    </row>
    <row r="230">
      <c r="A230" s="1" t="str">
        <f>IFERROR(__xludf.DUMMYFUNCTION("""COMPUTED_VALUE"""),"Saber Toothed Sword")</f>
        <v>Saber Toothed Sword</v>
      </c>
      <c r="B230" s="1" t="str">
        <f>IFERROR(__xludf.DUMMYFUNCTION("""COMPUTED_VALUE"""),"Hand")</f>
        <v>Hand</v>
      </c>
      <c r="C230" s="1" t="str">
        <f>IFERROR(__xludf.DUMMYFUNCTION("""COMPUTED_VALUE"""),"A sword crafted from the teeth of a saber toothed cat.")</f>
        <v>A sword crafted from the teeth of a saber toothed cat.</v>
      </c>
      <c r="D230" s="1" t="str">
        <f>IFERROR(__xludf.DUMMYFUNCTION("""COMPUTED_VALUE"""),"Sword")</f>
        <v>Sword</v>
      </c>
      <c r="E230" s="1">
        <f>IFERROR(__xludf.DUMMYFUNCTION("""COMPUTED_VALUE"""),2200.0)</f>
        <v>2200</v>
      </c>
      <c r="F230" s="2">
        <f>IFERROR(__xludf.DUMMYFUNCTION("""COMPUTED_VALUE"""),2.409E8)</f>
        <v>240900000</v>
      </c>
      <c r="G230" s="1" t="str">
        <f>IFERROR(__xludf.DUMMYFUNCTION("""COMPUTED_VALUE"""),"DMG")</f>
        <v>DMG</v>
      </c>
      <c r="H230" s="3">
        <f>IFERROR(__xludf.DUMMYFUNCTION("""COMPUTED_VALUE"""),60000.0)</f>
        <v>60000</v>
      </c>
      <c r="I230" s="1"/>
      <c r="J230" s="1"/>
      <c r="K230" s="1"/>
      <c r="L230" s="1"/>
      <c r="M230" s="1"/>
      <c r="N230" s="1"/>
      <c r="O230" s="1"/>
      <c r="P230" s="1"/>
      <c r="Q230" s="1"/>
      <c r="R230" s="1"/>
      <c r="S230" s="1"/>
      <c r="T230" s="1"/>
      <c r="U230" s="1"/>
      <c r="V230" s="1"/>
      <c r="W230" s="1"/>
      <c r="X230" s="1"/>
      <c r="Y230" s="3">
        <f>IFERROR(__xludf.DUMMYFUNCTION("""COMPUTED_VALUE"""),50000.0)</f>
        <v>50000</v>
      </c>
      <c r="Z230" s="1"/>
      <c r="AA230" s="1"/>
      <c r="AB230" s="1"/>
      <c r="AC230" s="1"/>
      <c r="AD230" s="1"/>
      <c r="AE230" s="1"/>
      <c r="AF230" s="1" t="str">
        <f>IFERROR(__xludf.DUMMYFUNCTION("""COMPUTED_VALUE"""),"++X2 additional blood damage.")</f>
        <v>++X2 additional blood damage.</v>
      </c>
      <c r="AG230" s="1" t="str">
        <f>IFERROR(__xludf.DUMMYFUNCTION("""COMPUTED_VALUE"""),"Abstara")</f>
        <v>Abstara</v>
      </c>
      <c r="AH230" s="1" t="b">
        <f>IFERROR(__xludf.DUMMYFUNCTION("""COMPUTED_VALUE"""),TRUE)</f>
        <v>1</v>
      </c>
    </row>
    <row r="231">
      <c r="A231" s="1" t="str">
        <f>IFERROR(__xludf.DUMMYFUNCTION("""COMPUTED_VALUE"""),"Ancient Oni Chestplate")</f>
        <v>Ancient Oni Chestplate</v>
      </c>
      <c r="B231" s="1" t="str">
        <f>IFERROR(__xludf.DUMMYFUNCTION("""COMPUTED_VALUE"""),"Torso")</f>
        <v>Torso</v>
      </c>
      <c r="C231" s="1" t="str">
        <f>IFERROR(__xludf.DUMMYFUNCTION("""COMPUTED_VALUE"""),"An ancient relic to Zhenmay")</f>
        <v>An ancient relic to Zhenmay</v>
      </c>
      <c r="D231" s="1"/>
      <c r="E231" s="1">
        <f>IFERROR(__xludf.DUMMYFUNCTION("""COMPUTED_VALUE"""),200.0)</f>
        <v>200</v>
      </c>
      <c r="F231" s="2">
        <f>IFERROR(__xludf.DUMMYFUNCTION("""COMPUTED_VALUE"""),5.104E8)</f>
        <v>510400000</v>
      </c>
      <c r="G231" s="1" t="str">
        <f>IFERROR(__xludf.DUMMYFUNCTION("""COMPUTED_VALUE"""),"DEF")</f>
        <v>DEF</v>
      </c>
      <c r="H231" s="3">
        <f>IFERROR(__xludf.DUMMYFUNCTION("""COMPUTED_VALUE"""),10000.0)</f>
        <v>10000</v>
      </c>
      <c r="I231" s="3">
        <f>IFERROR(__xludf.DUMMYFUNCTION("""COMPUTED_VALUE"""),10000.0)</f>
        <v>10000</v>
      </c>
      <c r="J231" s="3">
        <f>IFERROR(__xludf.DUMMYFUNCTION("""COMPUTED_VALUE"""),10000.0)</f>
        <v>10000</v>
      </c>
      <c r="K231" s="3">
        <f>IFERROR(__xludf.DUMMYFUNCTION("""COMPUTED_VALUE"""),10000.0)</f>
        <v>10000</v>
      </c>
      <c r="L231" s="3">
        <f>IFERROR(__xludf.DUMMYFUNCTION("""COMPUTED_VALUE"""),10000.0)</f>
        <v>10000</v>
      </c>
      <c r="M231" s="3">
        <f>IFERROR(__xludf.DUMMYFUNCTION("""COMPUTED_VALUE"""),10000.0)</f>
        <v>10000</v>
      </c>
      <c r="N231" s="3">
        <f>IFERROR(__xludf.DUMMYFUNCTION("""COMPUTED_VALUE"""),10000.0)</f>
        <v>10000</v>
      </c>
      <c r="O231" s="3">
        <f>IFERROR(__xludf.DUMMYFUNCTION("""COMPUTED_VALUE"""),10000.0)</f>
        <v>10000</v>
      </c>
      <c r="P231" s="3">
        <f>IFERROR(__xludf.DUMMYFUNCTION("""COMPUTED_VALUE"""),10000.0)</f>
        <v>10000</v>
      </c>
      <c r="Q231" s="3">
        <f>IFERROR(__xludf.DUMMYFUNCTION("""COMPUTED_VALUE"""),10000.0)</f>
        <v>10000</v>
      </c>
      <c r="R231" s="3">
        <f>IFERROR(__xludf.DUMMYFUNCTION("""COMPUTED_VALUE"""),10000.0)</f>
        <v>10000</v>
      </c>
      <c r="S231" s="3">
        <f>IFERROR(__xludf.DUMMYFUNCTION("""COMPUTED_VALUE"""),10000.0)</f>
        <v>10000</v>
      </c>
      <c r="T231" s="1"/>
      <c r="U231" s="1"/>
      <c r="V231" s="1"/>
      <c r="W231" s="1"/>
      <c r="X231" s="3">
        <f>IFERROR(__xludf.DUMMYFUNCTION("""COMPUTED_VALUE"""),10000.0)</f>
        <v>10000</v>
      </c>
      <c r="Y231" s="3">
        <f>IFERROR(__xludf.DUMMYFUNCTION("""COMPUTED_VALUE"""),10000.0)</f>
        <v>10000</v>
      </c>
      <c r="Z231" s="1"/>
      <c r="AA231" s="1"/>
      <c r="AB231" s="3">
        <f>IFERROR(__xludf.DUMMYFUNCTION("""COMPUTED_VALUE"""),10000.0)</f>
        <v>10000</v>
      </c>
      <c r="AC231" s="3">
        <f>IFERROR(__xludf.DUMMYFUNCTION("""COMPUTED_VALUE"""),10000.0)</f>
        <v>10000</v>
      </c>
      <c r="AD231" s="1"/>
      <c r="AE231" s="1"/>
      <c r="AF231" s="1" t="str">
        <f>IFERROR(__xludf.DUMMYFUNCTION("""COMPUTED_VALUE"""),"++X2 damage for all elements. ++Only Samurai's, Monks, and Ninjas can equip. +-Cannot be duplicated or forged.")</f>
        <v>++X2 damage for all elements. ++Only Samurai's, Monks, and Ninjas can equip. +-Cannot be duplicated or forged.</v>
      </c>
      <c r="AG231" s="1" t="str">
        <f>IFERROR(__xludf.DUMMYFUNCTION("""COMPUTED_VALUE"""),"Land of Spira")</f>
        <v>Land of Spira</v>
      </c>
      <c r="AH231" s="1" t="b">
        <f>IFERROR(__xludf.DUMMYFUNCTION("""COMPUTED_VALUE"""),FALSE)</f>
        <v>0</v>
      </c>
    </row>
    <row r="232">
      <c r="A232" s="1" t="str">
        <f>IFERROR(__xludf.DUMMYFUNCTION("""COMPUTED_VALUE"""),"Scythe of Mischief ")</f>
        <v>Scythe of Mischief </v>
      </c>
      <c r="B232" s="1" t="str">
        <f>IFERROR(__xludf.DUMMYFUNCTION("""COMPUTED_VALUE"""),"Hand")</f>
        <v>Hand</v>
      </c>
      <c r="C232" s="1"/>
      <c r="D232" s="1" t="str">
        <f>IFERROR(__xludf.DUMMYFUNCTION("""COMPUTED_VALUE"""),"Scythe")</f>
        <v>Scythe</v>
      </c>
      <c r="E232" s="1">
        <f>IFERROR(__xludf.DUMMYFUNCTION("""COMPUTED_VALUE"""),200.0)</f>
        <v>200</v>
      </c>
      <c r="F232" s="2">
        <f>IFERROR(__xludf.DUMMYFUNCTION("""COMPUTED_VALUE"""),5.995E7)</f>
        <v>59950000</v>
      </c>
      <c r="G232" s="1" t="str">
        <f>IFERROR(__xludf.DUMMYFUNCTION("""COMPUTED_VALUE"""),"DMG")</f>
        <v>DMG</v>
      </c>
      <c r="H232" s="3">
        <f>IFERROR(__xludf.DUMMYFUNCTION("""COMPUTED_VALUE"""),5000.0)</f>
        <v>5000</v>
      </c>
      <c r="I232" s="3">
        <f>IFERROR(__xludf.DUMMYFUNCTION("""COMPUTED_VALUE"""),5000.0)</f>
        <v>5000</v>
      </c>
      <c r="J232" s="1"/>
      <c r="K232" s="1"/>
      <c r="L232" s="1"/>
      <c r="M232" s="1"/>
      <c r="N232" s="1"/>
      <c r="O232" s="3">
        <f>IFERROR(__xludf.DUMMYFUNCTION("""COMPUTED_VALUE"""),5000.0)</f>
        <v>5000</v>
      </c>
      <c r="P232" s="3">
        <f>IFERROR(__xludf.DUMMYFUNCTION("""COMPUTED_VALUE"""),5000.0)</f>
        <v>5000</v>
      </c>
      <c r="Q232" s="1"/>
      <c r="R232" s="3">
        <f>IFERROR(__xludf.DUMMYFUNCTION("""COMPUTED_VALUE"""),5000.0)</f>
        <v>5000</v>
      </c>
      <c r="S232" s="1"/>
      <c r="T232" s="1"/>
      <c r="U232" s="1"/>
      <c r="V232" s="3">
        <f>IFERROR(__xludf.DUMMYFUNCTION("""COMPUTED_VALUE"""),5000.0)</f>
        <v>5000</v>
      </c>
      <c r="W232" s="3">
        <f>IFERROR(__xludf.DUMMYFUNCTION("""COMPUTED_VALUE"""),5000.0)</f>
        <v>5000</v>
      </c>
      <c r="X232" s="3">
        <f>IFERROR(__xludf.DUMMYFUNCTION("""COMPUTED_VALUE"""),5000.0)</f>
        <v>5000</v>
      </c>
      <c r="Y232" s="3">
        <f>IFERROR(__xludf.DUMMYFUNCTION("""COMPUTED_VALUE"""),5000.0)</f>
        <v>5000</v>
      </c>
      <c r="Z232" s="1"/>
      <c r="AA232" s="1"/>
      <c r="AB232" s="1"/>
      <c r="AC232" s="3">
        <f>IFERROR(__xludf.DUMMYFUNCTION("""COMPUTED_VALUE"""),10000.0)</f>
        <v>10000</v>
      </c>
      <c r="AD232" s="1"/>
      <c r="AE232" s="1"/>
      <c r="AF232" s="1" t="str">
        <f>IFERROR(__xludf.DUMMYFUNCTION("""COMPUTED_VALUE"""),"++Enemies deduct 2 from their rolls when targeting you. +-Cannot be duplicated")</f>
        <v>++Enemies deduct 2 from their rolls when targeting you. +-Cannot be duplicated</v>
      </c>
      <c r="AG232" s="1" t="str">
        <f>IFERROR(__xludf.DUMMYFUNCTION("""COMPUTED_VALUE"""),"Land of Spira")</f>
        <v>Land of Spira</v>
      </c>
      <c r="AH232" s="1" t="b">
        <f>IFERROR(__xludf.DUMMYFUNCTION("""COMPUTED_VALUE"""),FALSE)</f>
        <v>0</v>
      </c>
    </row>
    <row r="233">
      <c r="A233" s="1" t="str">
        <f>IFERROR(__xludf.DUMMYFUNCTION("""COMPUTED_VALUE"""),"Sea Serpent Boots")</f>
        <v>Sea Serpent Boots</v>
      </c>
      <c r="B233" s="1" t="str">
        <f>IFERROR(__xludf.DUMMYFUNCTION("""COMPUTED_VALUE"""),"Feet")</f>
        <v>Feet</v>
      </c>
      <c r="C233" s="1"/>
      <c r="D233" s="1"/>
      <c r="E233" s="1">
        <f>IFERROR(__xludf.DUMMYFUNCTION("""COMPUTED_VALUE"""),100.0)</f>
        <v>100</v>
      </c>
      <c r="F233" s="2">
        <f>IFERROR(__xludf.DUMMYFUNCTION("""COMPUTED_VALUE"""),450000.0)</f>
        <v>450000</v>
      </c>
      <c r="G233" s="1" t="str">
        <f>IFERROR(__xludf.DUMMYFUNCTION("""COMPUTED_VALUE"""),"DEF")</f>
        <v>DEF</v>
      </c>
      <c r="H233" s="1">
        <f>IFERROR(__xludf.DUMMYFUNCTION("""COMPUTED_VALUE"""),2500.0)</f>
        <v>2500</v>
      </c>
      <c r="I233" s="1"/>
      <c r="J233" s="1"/>
      <c r="K233" s="1">
        <f>IFERROR(__xludf.DUMMYFUNCTION("""COMPUTED_VALUE"""),2500.0)</f>
        <v>2500</v>
      </c>
      <c r="L233" s="1"/>
      <c r="M233" s="1"/>
      <c r="N233" s="1"/>
      <c r="O233" s="1"/>
      <c r="P233" s="1"/>
      <c r="Q233" s="1"/>
      <c r="R233" s="1"/>
      <c r="S233" s="1"/>
      <c r="T233" s="1"/>
      <c r="U233" s="1"/>
      <c r="V233" s="1"/>
      <c r="W233" s="1"/>
      <c r="X233" s="1"/>
      <c r="Y233" s="1"/>
      <c r="Z233" s="1"/>
      <c r="AA233" s="1"/>
      <c r="AB233" s="1"/>
      <c r="AC233" s="1"/>
      <c r="AD233" s="1"/>
      <c r="AE233" s="1"/>
      <c r="AF233" s="1" t="str">
        <f>IFERROR(__xludf.DUMMYFUNCTION("""COMPUTED_VALUE"""),"++X2 additional water damage for self.")</f>
        <v>++X2 additional water damage for self.</v>
      </c>
      <c r="AG233" s="1"/>
      <c r="AH233" s="1" t="b">
        <f>IFERROR(__xludf.DUMMYFUNCTION("""COMPUTED_VALUE"""),FALSE)</f>
        <v>0</v>
      </c>
    </row>
    <row r="234">
      <c r="A234" s="1" t="str">
        <f>IFERROR(__xludf.DUMMYFUNCTION("""COMPUTED_VALUE"""),"Sea Serpent Pauldrons")</f>
        <v>Sea Serpent Pauldrons</v>
      </c>
      <c r="B234" s="1" t="str">
        <f>IFERROR(__xludf.DUMMYFUNCTION("""COMPUTED_VALUE"""),"Shoulders")</f>
        <v>Shoulders</v>
      </c>
      <c r="C234" s="1"/>
      <c r="D234" s="1"/>
      <c r="E234" s="1">
        <f>IFERROR(__xludf.DUMMYFUNCTION("""COMPUTED_VALUE"""),100.0)</f>
        <v>100</v>
      </c>
      <c r="F234" s="2">
        <f>IFERROR(__xludf.DUMMYFUNCTION("""COMPUTED_VALUE"""),450000.0)</f>
        <v>450000</v>
      </c>
      <c r="G234" s="1" t="str">
        <f>IFERROR(__xludf.DUMMYFUNCTION("""COMPUTED_VALUE"""),"DEF")</f>
        <v>DEF</v>
      </c>
      <c r="H234" s="1">
        <f>IFERROR(__xludf.DUMMYFUNCTION("""COMPUTED_VALUE"""),2500.0)</f>
        <v>2500</v>
      </c>
      <c r="I234" s="1"/>
      <c r="J234" s="1"/>
      <c r="K234" s="1">
        <f>IFERROR(__xludf.DUMMYFUNCTION("""COMPUTED_VALUE"""),2500.0)</f>
        <v>2500</v>
      </c>
      <c r="L234" s="1"/>
      <c r="M234" s="1"/>
      <c r="N234" s="1"/>
      <c r="O234" s="1"/>
      <c r="P234" s="1"/>
      <c r="Q234" s="1"/>
      <c r="R234" s="1"/>
      <c r="S234" s="1"/>
      <c r="T234" s="1"/>
      <c r="U234" s="1"/>
      <c r="V234" s="1"/>
      <c r="W234" s="1"/>
      <c r="X234" s="1"/>
      <c r="Y234" s="1"/>
      <c r="Z234" s="1"/>
      <c r="AA234" s="1"/>
      <c r="AB234" s="1"/>
      <c r="AC234" s="1"/>
      <c r="AD234" s="1"/>
      <c r="AE234" s="1"/>
      <c r="AF234" s="1" t="str">
        <f>IFERROR(__xludf.DUMMYFUNCTION("""COMPUTED_VALUE"""),"++X2 additional water damage for self.")</f>
        <v>++X2 additional water damage for self.</v>
      </c>
      <c r="AG234" s="1"/>
      <c r="AH234" s="1" t="b">
        <f>IFERROR(__xludf.DUMMYFUNCTION("""COMPUTED_VALUE"""),FALSE)</f>
        <v>0</v>
      </c>
    </row>
    <row r="235">
      <c r="A235" s="1" t="str">
        <f>IFERROR(__xludf.DUMMYFUNCTION("""COMPUTED_VALUE"""),"Sea Serpent Vambrace")</f>
        <v>Sea Serpent Vambrace</v>
      </c>
      <c r="B235" s="1" t="str">
        <f>IFERROR(__xludf.DUMMYFUNCTION("""COMPUTED_VALUE"""),"Arms")</f>
        <v>Arms</v>
      </c>
      <c r="C235" s="1"/>
      <c r="D235" s="1"/>
      <c r="E235" s="1">
        <f>IFERROR(__xludf.DUMMYFUNCTION("""COMPUTED_VALUE"""),100.0)</f>
        <v>100</v>
      </c>
      <c r="F235" s="2">
        <f>IFERROR(__xludf.DUMMYFUNCTION("""COMPUTED_VALUE"""),450000.0)</f>
        <v>450000</v>
      </c>
      <c r="G235" s="1" t="str">
        <f>IFERROR(__xludf.DUMMYFUNCTION("""COMPUTED_VALUE"""),"DEF")</f>
        <v>DEF</v>
      </c>
      <c r="H235" s="1">
        <f>IFERROR(__xludf.DUMMYFUNCTION("""COMPUTED_VALUE"""),2500.0)</f>
        <v>2500</v>
      </c>
      <c r="I235" s="1"/>
      <c r="J235" s="1"/>
      <c r="K235" s="1">
        <f>IFERROR(__xludf.DUMMYFUNCTION("""COMPUTED_VALUE"""),2500.0)</f>
        <v>2500</v>
      </c>
      <c r="L235" s="1"/>
      <c r="M235" s="1"/>
      <c r="N235" s="1"/>
      <c r="O235" s="1"/>
      <c r="P235" s="1"/>
      <c r="Q235" s="1"/>
      <c r="R235" s="1"/>
      <c r="S235" s="1"/>
      <c r="T235" s="1"/>
      <c r="U235" s="1"/>
      <c r="V235" s="1"/>
      <c r="W235" s="1"/>
      <c r="X235" s="1"/>
      <c r="Y235" s="1"/>
      <c r="Z235" s="1"/>
      <c r="AA235" s="1"/>
      <c r="AB235" s="1"/>
      <c r="AC235" s="1"/>
      <c r="AD235" s="1"/>
      <c r="AE235" s="1"/>
      <c r="AF235" s="1" t="str">
        <f>IFERROR(__xludf.DUMMYFUNCTION("""COMPUTED_VALUE"""),"++X2 additional water damage for self.")</f>
        <v>++X2 additional water damage for self.</v>
      </c>
      <c r="AG235" s="1"/>
      <c r="AH235" s="1" t="b">
        <f>IFERROR(__xludf.DUMMYFUNCTION("""COMPUTED_VALUE"""),FALSE)</f>
        <v>0</v>
      </c>
    </row>
    <row r="236">
      <c r="A236" s="1" t="str">
        <f>IFERROR(__xludf.DUMMYFUNCTION("""COMPUTED_VALUE"""),"Sea Serpents Mythical Chestplate")</f>
        <v>Sea Serpents Mythical Chestplate</v>
      </c>
      <c r="B236" s="1" t="str">
        <f>IFERROR(__xludf.DUMMYFUNCTION("""COMPUTED_VALUE"""),"Torso")</f>
        <v>Torso</v>
      </c>
      <c r="C236" s="1"/>
      <c r="D236" s="1"/>
      <c r="E236" s="1">
        <f>IFERROR(__xludf.DUMMYFUNCTION("""COMPUTED_VALUE"""),200.0)</f>
        <v>200</v>
      </c>
      <c r="F236" s="2">
        <f>IFERROR(__xludf.DUMMYFUNCTION("""COMPUTED_VALUE"""),1900000.0)</f>
        <v>1900000</v>
      </c>
      <c r="G236" s="1" t="str">
        <f>IFERROR(__xludf.DUMMYFUNCTION("""COMPUTED_VALUE"""),"DEF")</f>
        <v>DEF</v>
      </c>
      <c r="H236" s="3">
        <f>IFERROR(__xludf.DUMMYFUNCTION("""COMPUTED_VALUE"""),5000.0)</f>
        <v>5000</v>
      </c>
      <c r="I236" s="1"/>
      <c r="J236" s="1"/>
      <c r="K236" s="1">
        <f>IFERROR(__xludf.DUMMYFUNCTION("""COMPUTED_VALUE"""),5000.0)</f>
        <v>5000</v>
      </c>
      <c r="L236" s="1"/>
      <c r="M236" s="1"/>
      <c r="N236" s="1"/>
      <c r="O236" s="1"/>
      <c r="P236" s="1"/>
      <c r="Q236" s="1"/>
      <c r="R236" s="1"/>
      <c r="S236" s="1"/>
      <c r="T236" s="1"/>
      <c r="U236" s="1"/>
      <c r="V236" s="1"/>
      <c r="W236" s="1"/>
      <c r="X236" s="1"/>
      <c r="Y236" s="1"/>
      <c r="Z236" s="1"/>
      <c r="AA236" s="1"/>
      <c r="AB236" s="1"/>
      <c r="AC236" s="1"/>
      <c r="AD236" s="1"/>
      <c r="AE236" s="1"/>
      <c r="AF236" s="1" t="str">
        <f>IFERROR(__xludf.DUMMYFUNCTION("""COMPUTED_VALUE"""),"++X2 additional water damage for self. ++X4 Water damage for self and allies if you have all Sea Serpent Equipment Equipped.")</f>
        <v>++X2 additional water damage for self. ++X4 Water damage for self and allies if you have all Sea Serpent Equipment Equipped.</v>
      </c>
      <c r="AG236" s="1"/>
      <c r="AH236" s="1" t="b">
        <f>IFERROR(__xludf.DUMMYFUNCTION("""COMPUTED_VALUE"""),FALSE)</f>
        <v>0</v>
      </c>
    </row>
    <row r="237">
      <c r="A237" s="1" t="str">
        <f>IFERROR(__xludf.DUMMYFUNCTION("""COMPUTED_VALUE"""),"Shadow Flute")</f>
        <v>Shadow Flute</v>
      </c>
      <c r="B237" s="1" t="str">
        <f>IFERROR(__xludf.DUMMYFUNCTION("""COMPUTED_VALUE"""),"Hand")</f>
        <v>Hand</v>
      </c>
      <c r="C237" s="1"/>
      <c r="D237" s="1"/>
      <c r="E237" s="1">
        <f>IFERROR(__xludf.DUMMYFUNCTION("""COMPUTED_VALUE"""),1.0)</f>
        <v>1</v>
      </c>
      <c r="F237" s="2">
        <f>IFERROR(__xludf.DUMMYFUNCTION("""COMPUTED_VALUE"""),0.0)</f>
        <v>0</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t="str">
        <f>IFERROR(__xludf.DUMMYFUNCTION("""COMPUTED_VALUE"""),"++Can summon a chaotic shadow gnome to battle.")</f>
        <v>++Can summon a chaotic shadow gnome to battle.</v>
      </c>
      <c r="AG237" s="1" t="str">
        <f>IFERROR(__xludf.DUMMYFUNCTION("""COMPUTED_VALUE"""),"Land of Spira")</f>
        <v>Land of Spira</v>
      </c>
      <c r="AH237" s="1" t="b">
        <f>IFERROR(__xludf.DUMMYFUNCTION("""COMPUTED_VALUE"""),FALSE)</f>
        <v>0</v>
      </c>
    </row>
    <row r="238">
      <c r="A238" s="1" t="str">
        <f>IFERROR(__xludf.DUMMYFUNCTION("""COMPUTED_VALUE"""),"Shadow Kings Sword")</f>
        <v>Shadow Kings Sword</v>
      </c>
      <c r="B238" s="1" t="str">
        <f>IFERROR(__xludf.DUMMYFUNCTION("""COMPUTED_VALUE"""),"Hand")</f>
        <v>Hand</v>
      </c>
      <c r="C238" s="1"/>
      <c r="D238" s="1" t="str">
        <f>IFERROR(__xludf.DUMMYFUNCTION("""COMPUTED_VALUE"""),"Sword")</f>
        <v>Sword</v>
      </c>
      <c r="E238" s="1">
        <f>IFERROR(__xludf.DUMMYFUNCTION("""COMPUTED_VALUE"""),400.0)</f>
        <v>400</v>
      </c>
      <c r="F238" s="2">
        <f>IFERROR(__xludf.DUMMYFUNCTION("""COMPUTED_VALUE"""),7800000.0)</f>
        <v>7800000</v>
      </c>
      <c r="G238" s="1" t="str">
        <f>IFERROR(__xludf.DUMMYFUNCTION("""COMPUTED_VALUE"""),"DMG")</f>
        <v>DMG</v>
      </c>
      <c r="H238" s="1">
        <f>IFERROR(__xludf.DUMMYFUNCTION("""COMPUTED_VALUE"""),10000.0)</f>
        <v>10000</v>
      </c>
      <c r="I238" s="1"/>
      <c r="J238" s="1"/>
      <c r="K238" s="1"/>
      <c r="L238" s="1"/>
      <c r="M238" s="1"/>
      <c r="N238" s="1"/>
      <c r="O238" s="1">
        <f>IFERROR(__xludf.DUMMYFUNCTION("""COMPUTED_VALUE"""),5000.0)</f>
        <v>5000</v>
      </c>
      <c r="P238" s="1"/>
      <c r="Q238" s="1"/>
      <c r="R238" s="1">
        <f>IFERROR(__xludf.DUMMYFUNCTION("""COMPUTED_VALUE"""),5000.0)</f>
        <v>5000</v>
      </c>
      <c r="S238" s="1"/>
      <c r="T238" s="1"/>
      <c r="U238" s="1"/>
      <c r="V238" s="1"/>
      <c r="W238" s="1"/>
      <c r="X238" s="1"/>
      <c r="Y238" s="1"/>
      <c r="Z238" s="1"/>
      <c r="AA238" s="1"/>
      <c r="AB238" s="1"/>
      <c r="AC238" s="1"/>
      <c r="AD238" s="1"/>
      <c r="AE238" s="1"/>
      <c r="AF238" s="1"/>
      <c r="AG238" s="1" t="str">
        <f>IFERROR(__xludf.DUMMYFUNCTION("""COMPUTED_VALUE"""),"Land of Spira")</f>
        <v>Land of Spira</v>
      </c>
      <c r="AH238" s="1" t="b">
        <f>IFERROR(__xludf.DUMMYFUNCTION("""COMPUTED_VALUE"""),TRUE)</f>
        <v>1</v>
      </c>
    </row>
    <row r="239">
      <c r="A239" s="1" t="str">
        <f>IFERROR(__xludf.DUMMYFUNCTION("""COMPUTED_VALUE"""),"Shield of Guarding Smite")</f>
        <v>Shield of Guarding Smite</v>
      </c>
      <c r="B239" s="1" t="str">
        <f>IFERROR(__xludf.DUMMYFUNCTION("""COMPUTED_VALUE"""),"Hand")</f>
        <v>Hand</v>
      </c>
      <c r="C239" s="1"/>
      <c r="D239" s="1" t="str">
        <f>IFERROR(__xludf.DUMMYFUNCTION("""COMPUTED_VALUE"""),"Towershield")</f>
        <v>Towershield</v>
      </c>
      <c r="E239" s="1">
        <f>IFERROR(__xludf.DUMMYFUNCTION("""COMPUTED_VALUE"""),2000.0)</f>
        <v>2000</v>
      </c>
      <c r="F239" s="2">
        <f>IFERROR(__xludf.DUMMYFUNCTION("""COMPUTED_VALUE"""),1.99E8)</f>
        <v>199000000</v>
      </c>
      <c r="G239" s="1" t="str">
        <f>IFERROR(__xludf.DUMMYFUNCTION("""COMPUTED_VALUE"""),"DEF")</f>
        <v>DEF</v>
      </c>
      <c r="H239" s="3">
        <f>IFERROR(__xludf.DUMMYFUNCTION("""COMPUTED_VALUE"""),100000.0)</f>
        <v>100000</v>
      </c>
      <c r="I239" s="1"/>
      <c r="J239" s="1"/>
      <c r="K239" s="1"/>
      <c r="L239" s="1"/>
      <c r="M239" s="1"/>
      <c r="N239" s="1"/>
      <c r="O239" s="1"/>
      <c r="P239" s="1"/>
      <c r="Q239" s="1"/>
      <c r="R239" s="1"/>
      <c r="S239" s="1"/>
      <c r="T239" s="1"/>
      <c r="U239" s="1"/>
      <c r="V239" s="1"/>
      <c r="W239" s="1"/>
      <c r="X239" s="1"/>
      <c r="Y239" s="1"/>
      <c r="Z239" s="1"/>
      <c r="AA239" s="1"/>
      <c r="AB239" s="1"/>
      <c r="AC239" s="1"/>
      <c r="AD239" s="1"/>
      <c r="AE239" s="1"/>
      <c r="AF239" s="1" t="str">
        <f>IFERROR(__xludf.DUMMYFUNCTION("""COMPUTED_VALUE"""),"++75% chance to melt an enemies weapon that dealt damage to you. +-Cannot be duplicated")</f>
        <v>++75% chance to melt an enemies weapon that dealt damage to you. +-Cannot be duplicated</v>
      </c>
      <c r="AG239" s="1" t="str">
        <f>IFERROR(__xludf.DUMMYFUNCTION("""COMPUTED_VALUE"""),"Abstara")</f>
        <v>Abstara</v>
      </c>
      <c r="AH239" s="1" t="b">
        <f>IFERROR(__xludf.DUMMYFUNCTION("""COMPUTED_VALUE"""),TRUE)</f>
        <v>1</v>
      </c>
    </row>
    <row r="240">
      <c r="A240" s="1" t="str">
        <f>IFERROR(__xludf.DUMMYFUNCTION("""COMPUTED_VALUE"""),"Shield of Targeting")</f>
        <v>Shield of Targeting</v>
      </c>
      <c r="B240" s="1" t="str">
        <f>IFERROR(__xludf.DUMMYFUNCTION("""COMPUTED_VALUE"""),"Hand")</f>
        <v>Hand</v>
      </c>
      <c r="C240" s="1"/>
      <c r="D240" s="1" t="str">
        <f>IFERROR(__xludf.DUMMYFUNCTION("""COMPUTED_VALUE"""),"Buckler")</f>
        <v>Buckler</v>
      </c>
      <c r="E240" s="1">
        <f>IFERROR(__xludf.DUMMYFUNCTION("""COMPUTED_VALUE"""),20.0)</f>
        <v>20</v>
      </c>
      <c r="F240" s="2">
        <f>IFERROR(__xludf.DUMMYFUNCTION("""COMPUTED_VALUE"""),10000.0)</f>
        <v>10000</v>
      </c>
      <c r="G240" s="1" t="str">
        <f>IFERROR(__xludf.DUMMYFUNCTION("""COMPUTED_VALUE"""),"DEF")</f>
        <v>DEF</v>
      </c>
      <c r="H240" s="1">
        <f>IFERROR(__xludf.DUMMYFUNCTION("""COMPUTED_VALUE"""),1000.0)</f>
        <v>1000</v>
      </c>
      <c r="I240" s="1"/>
      <c r="J240" s="1"/>
      <c r="K240" s="1"/>
      <c r="L240" s="1"/>
      <c r="M240" s="1"/>
      <c r="N240" s="1"/>
      <c r="O240" s="1"/>
      <c r="P240" s="1"/>
      <c r="Q240" s="1"/>
      <c r="R240" s="1"/>
      <c r="S240" s="1"/>
      <c r="T240" s="1"/>
      <c r="U240" s="1"/>
      <c r="V240" s="1"/>
      <c r="W240" s="1"/>
      <c r="X240" s="1"/>
      <c r="Y240" s="1"/>
      <c r="Z240" s="1"/>
      <c r="AA240" s="1"/>
      <c r="AB240" s="1"/>
      <c r="AC240" s="1"/>
      <c r="AD240" s="1"/>
      <c r="AE240" s="1"/>
      <c r="AF240" s="1" t="str">
        <f>IFERROR(__xludf.DUMMYFUNCTION("""COMPUTED_VALUE"""),"++Target me you B**** - enemies will automatically target you no matter, Use intimidation for this item effect.")</f>
        <v>++Target me you B**** - enemies will automatically target you no matter, Use intimidation for this item effect.</v>
      </c>
      <c r="AG240" s="1" t="str">
        <f>IFERROR(__xludf.DUMMYFUNCTION("""COMPUTED_VALUE"""),"Land of Spira")</f>
        <v>Land of Spira</v>
      </c>
      <c r="AH240" s="1" t="b">
        <f>IFERROR(__xludf.DUMMYFUNCTION("""COMPUTED_VALUE"""),FALSE)</f>
        <v>0</v>
      </c>
    </row>
    <row r="241">
      <c r="A241" s="1" t="str">
        <f>IFERROR(__xludf.DUMMYFUNCTION("""COMPUTED_VALUE"""),"Shining Katana")</f>
        <v>Shining Katana</v>
      </c>
      <c r="B241" s="1" t="str">
        <f>IFERROR(__xludf.DUMMYFUNCTION("""COMPUTED_VALUE"""),"Hand")</f>
        <v>Hand</v>
      </c>
      <c r="C241" s="1"/>
      <c r="D241" s="1"/>
      <c r="E241" s="1">
        <f>IFERROR(__xludf.DUMMYFUNCTION("""COMPUTED_VALUE"""),200.0)</f>
        <v>200</v>
      </c>
      <c r="F241" s="2">
        <f>IFERROR(__xludf.DUMMYFUNCTION("""COMPUTED_VALUE"""),1900000.0)</f>
        <v>1900000</v>
      </c>
      <c r="G241" s="1" t="str">
        <f>IFERROR(__xludf.DUMMYFUNCTION("""COMPUTED_VALUE"""),"DMG")</f>
        <v>DMG</v>
      </c>
      <c r="H241" s="3">
        <f>IFERROR(__xludf.DUMMYFUNCTION("""COMPUTED_VALUE"""),10000.0)</f>
        <v>10000</v>
      </c>
      <c r="I241" s="1"/>
      <c r="J241" s="1"/>
      <c r="K241" s="1"/>
      <c r="L241" s="1"/>
      <c r="M241" s="1"/>
      <c r="N241" s="1"/>
      <c r="O241" s="1"/>
      <c r="P241" s="1"/>
      <c r="Q241" s="1"/>
      <c r="R241" s="1"/>
      <c r="S241" s="1"/>
      <c r="T241" s="1"/>
      <c r="U241" s="1"/>
      <c r="V241" s="1"/>
      <c r="W241" s="1"/>
      <c r="X241" s="1"/>
      <c r="Y241" s="1"/>
      <c r="Z241" s="1"/>
      <c r="AA241" s="1"/>
      <c r="AB241" s="1"/>
      <c r="AC241" s="1"/>
      <c r="AD241" s="1"/>
      <c r="AE241" s="1"/>
      <c r="AF241" s="1" t="str">
        <f>IFERROR(__xludf.DUMMYFUNCTION("""COMPUTED_VALUE"""),"++++500 bleeding damage p/r.")</f>
        <v>++++500 bleeding damage p/r.</v>
      </c>
      <c r="AG241" s="1" t="str">
        <f>IFERROR(__xludf.DUMMYFUNCTION("""COMPUTED_VALUE"""),"Land of Spira")</f>
        <v>Land of Spira</v>
      </c>
      <c r="AH241" s="1" t="b">
        <f>IFERROR(__xludf.DUMMYFUNCTION("""COMPUTED_VALUE"""),FALSE)</f>
        <v>0</v>
      </c>
    </row>
    <row r="242">
      <c r="A242" s="1" t="str">
        <f>IFERROR(__xludf.DUMMYFUNCTION("""COMPUTED_VALUE"""),"Shoes of Metal Harmony's")</f>
        <v>Shoes of Metal Harmony's</v>
      </c>
      <c r="B242" s="1" t="str">
        <f>IFERROR(__xludf.DUMMYFUNCTION("""COMPUTED_VALUE"""),"Feet")</f>
        <v>Feet</v>
      </c>
      <c r="C242" s="1"/>
      <c r="D242" s="1"/>
      <c r="E242" s="1">
        <f>IFERROR(__xludf.DUMMYFUNCTION("""COMPUTED_VALUE"""),200.0)</f>
        <v>200</v>
      </c>
      <c r="F242" s="2">
        <f>IFERROR(__xludf.DUMMYFUNCTION("""COMPUTED_VALUE"""),1900000.0)</f>
        <v>1900000</v>
      </c>
      <c r="G242" s="1" t="str">
        <f>IFERROR(__xludf.DUMMYFUNCTION("""COMPUTED_VALUE"""),"DEF")</f>
        <v>DEF</v>
      </c>
      <c r="H242" s="3">
        <f>IFERROR(__xludf.DUMMYFUNCTION("""COMPUTED_VALUE"""),10000.0)</f>
        <v>10000</v>
      </c>
      <c r="I242" s="1"/>
      <c r="J242" s="1"/>
      <c r="K242" s="1"/>
      <c r="L242" s="1"/>
      <c r="M242" s="1"/>
      <c r="N242" s="1"/>
      <c r="O242" s="1"/>
      <c r="P242" s="1"/>
      <c r="Q242" s="1"/>
      <c r="R242" s="1"/>
      <c r="S242" s="1"/>
      <c r="T242" s="1"/>
      <c r="U242" s="1"/>
      <c r="V242" s="1"/>
      <c r="W242" s="1"/>
      <c r="X242" s="1"/>
      <c r="Y242" s="1"/>
      <c r="Z242" s="1"/>
      <c r="AA242" s="1"/>
      <c r="AB242" s="1"/>
      <c r="AC242" s="1"/>
      <c r="AD242" s="1"/>
      <c r="AE242" s="1"/>
      <c r="AF242" s="1" t="str">
        <f>IFERROR(__xludf.DUMMYFUNCTION("""COMPUTED_VALUE"""),"++When dealing damage with an instrument you will regain hp equal to the damage you caused.")</f>
        <v>++When dealing damage with an instrument you will regain hp equal to the damage you caused.</v>
      </c>
      <c r="AG242" s="1" t="str">
        <f>IFERROR(__xludf.DUMMYFUNCTION("""COMPUTED_VALUE"""),"Land of Spira")</f>
        <v>Land of Spira</v>
      </c>
      <c r="AH242" s="1" t="b">
        <f>IFERROR(__xludf.DUMMYFUNCTION("""COMPUTED_VALUE"""),FALSE)</f>
        <v>0</v>
      </c>
    </row>
    <row r="243">
      <c r="A243" s="1" t="str">
        <f>IFERROR(__xludf.DUMMYFUNCTION("""COMPUTED_VALUE"""),"Shoes of Water Walking")</f>
        <v>Shoes of Water Walking</v>
      </c>
      <c r="B243" s="1" t="str">
        <f>IFERROR(__xludf.DUMMYFUNCTION("""COMPUTED_VALUE"""),"Feet")</f>
        <v>Feet</v>
      </c>
      <c r="C243" s="1"/>
      <c r="D243" s="1"/>
      <c r="E243" s="1">
        <f>IFERROR(__xludf.DUMMYFUNCTION("""COMPUTED_VALUE"""),200.0)</f>
        <v>200</v>
      </c>
      <c r="F243" s="2">
        <f>IFERROR(__xludf.DUMMYFUNCTION("""COMPUTED_VALUE"""),1900000.0)</f>
        <v>1900000</v>
      </c>
      <c r="G243" s="1" t="str">
        <f>IFERROR(__xludf.DUMMYFUNCTION("""COMPUTED_VALUE"""),"DEF")</f>
        <v>DEF</v>
      </c>
      <c r="H243" s="3">
        <f>IFERROR(__xludf.DUMMYFUNCTION("""COMPUTED_VALUE"""),5000.0)</f>
        <v>5000</v>
      </c>
      <c r="I243" s="1"/>
      <c r="J243" s="1"/>
      <c r="K243" s="1">
        <f>IFERROR(__xludf.DUMMYFUNCTION("""COMPUTED_VALUE"""),5000.0)</f>
        <v>5000</v>
      </c>
      <c r="L243" s="1"/>
      <c r="M243" s="1"/>
      <c r="N243" s="1"/>
      <c r="O243" s="1"/>
      <c r="P243" s="1"/>
      <c r="Q243" s="1"/>
      <c r="R243" s="1"/>
      <c r="S243" s="1"/>
      <c r="T243" s="1"/>
      <c r="U243" s="1"/>
      <c r="V243" s="1"/>
      <c r="W243" s="1"/>
      <c r="X243" s="1"/>
      <c r="Y243" s="1"/>
      <c r="Z243" s="1"/>
      <c r="AA243" s="1"/>
      <c r="AB243" s="1"/>
      <c r="AC243" s="1"/>
      <c r="AD243" s="1"/>
      <c r="AE243" s="1"/>
      <c r="AF243" s="1" t="str">
        <f>IFERROR(__xludf.DUMMYFUNCTION("""COMPUTED_VALUE"""),"++All water damage can now be any Element of choosing (this will still be counted as water damage for additional buffs).")</f>
        <v>++All water damage can now be any Element of choosing (this will still be counted as water damage for additional buffs).</v>
      </c>
      <c r="AG243" s="1" t="str">
        <f>IFERROR(__xludf.DUMMYFUNCTION("""COMPUTED_VALUE"""),"Land of Spira")</f>
        <v>Land of Spira</v>
      </c>
      <c r="AH243" s="1" t="b">
        <f>IFERROR(__xludf.DUMMYFUNCTION("""COMPUTED_VALUE"""),FALSE)</f>
        <v>0</v>
      </c>
    </row>
    <row r="244">
      <c r="A244" s="1" t="str">
        <f>IFERROR(__xludf.DUMMYFUNCTION("""COMPUTED_VALUE"""),"Short Spear")</f>
        <v>Short Spear</v>
      </c>
      <c r="B244" s="1" t="str">
        <f>IFERROR(__xludf.DUMMYFUNCTION("""COMPUTED_VALUE"""),"Hand")</f>
        <v>Hand</v>
      </c>
      <c r="C244" s="1"/>
      <c r="D244" s="1" t="str">
        <f>IFERROR(__xludf.DUMMYFUNCTION("""COMPUTED_VALUE"""),"Spear")</f>
        <v>Spear</v>
      </c>
      <c r="E244" s="1">
        <f>IFERROR(__xludf.DUMMYFUNCTION("""COMPUTED_VALUE"""),1.0)</f>
        <v>1</v>
      </c>
      <c r="F244" s="2">
        <f>IFERROR(__xludf.DUMMYFUNCTION("""COMPUTED_VALUE"""),0.0)</f>
        <v>0</v>
      </c>
      <c r="G244" s="1" t="str">
        <f>IFERROR(__xludf.DUMMYFUNCTION("""COMPUTED_VALUE"""),"DMG")</f>
        <v>DMG</v>
      </c>
      <c r="H244" s="1">
        <f>IFERROR(__xludf.DUMMYFUNCTION("""COMPUTED_VALUE"""),250.0)</f>
        <v>250</v>
      </c>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t="str">
        <f>IFERROR(__xludf.DUMMYFUNCTION("""COMPUTED_VALUE"""),"Land of Spira")</f>
        <v>Land of Spira</v>
      </c>
      <c r="AH244" s="1" t="b">
        <f>IFERROR(__xludf.DUMMYFUNCTION("""COMPUTED_VALUE"""),TRUE)</f>
        <v>1</v>
      </c>
    </row>
    <row r="245">
      <c r="A245" s="1" t="str">
        <f>IFERROR(__xludf.DUMMYFUNCTION("""COMPUTED_VALUE"""),"Shuriken")</f>
        <v>Shuriken</v>
      </c>
      <c r="B245" s="1" t="str">
        <f>IFERROR(__xludf.DUMMYFUNCTION("""COMPUTED_VALUE"""),"Hand")</f>
        <v>Hand</v>
      </c>
      <c r="C245" s="1"/>
      <c r="D245" s="1" t="str">
        <f>IFERROR(__xludf.DUMMYFUNCTION("""COMPUTED_VALUE"""),"Boomerang")</f>
        <v>Boomerang</v>
      </c>
      <c r="E245" s="1">
        <f>IFERROR(__xludf.DUMMYFUNCTION("""COMPUTED_VALUE"""),200.0)</f>
        <v>200</v>
      </c>
      <c r="F245" s="2">
        <f>IFERROR(__xludf.DUMMYFUNCTION("""COMPUTED_VALUE"""),1900000.0)</f>
        <v>1900000</v>
      </c>
      <c r="G245" s="1" t="str">
        <f>IFERROR(__xludf.DUMMYFUNCTION("""COMPUTED_VALUE"""),"DMG")</f>
        <v>DMG</v>
      </c>
      <c r="H245" s="3">
        <f>IFERROR(__xludf.DUMMYFUNCTION("""COMPUTED_VALUE"""),5000.0)</f>
        <v>5000</v>
      </c>
      <c r="I245" s="1"/>
      <c r="J245" s="1"/>
      <c r="K245" s="1"/>
      <c r="L245" s="1"/>
      <c r="M245" s="1"/>
      <c r="N245" s="1"/>
      <c r="O245" s="1"/>
      <c r="P245" s="1"/>
      <c r="Q245" s="1"/>
      <c r="R245" s="1"/>
      <c r="S245" s="1"/>
      <c r="T245" s="1"/>
      <c r="U245" s="1"/>
      <c r="V245" s="1"/>
      <c r="W245" s="1"/>
      <c r="X245" s="1"/>
      <c r="Y245" s="1">
        <f>IFERROR(__xludf.DUMMYFUNCTION("""COMPUTED_VALUE"""),5000.0)</f>
        <v>5000</v>
      </c>
      <c r="Z245" s="1"/>
      <c r="AA245" s="1"/>
      <c r="AB245" s="1"/>
      <c r="AC245" s="1"/>
      <c r="AD245" s="1"/>
      <c r="AE245" s="1"/>
      <c r="AF245" s="1" t="str">
        <f>IFERROR(__xludf.DUMMYFUNCTION("""COMPUTED_VALUE"""),"++Will return to you when thrown.")</f>
        <v>++Will return to you when thrown.</v>
      </c>
      <c r="AG245" s="1" t="str">
        <f>IFERROR(__xludf.DUMMYFUNCTION("""COMPUTED_VALUE"""),"Land of Spira")</f>
        <v>Land of Spira</v>
      </c>
      <c r="AH245" s="1" t="b">
        <f>IFERROR(__xludf.DUMMYFUNCTION("""COMPUTED_VALUE"""),FALSE)</f>
        <v>0</v>
      </c>
    </row>
    <row r="246">
      <c r="A246" s="1" t="str">
        <f>IFERROR(__xludf.DUMMYFUNCTION("""COMPUTED_VALUE"""),"Shuttering Cloak")</f>
        <v>Shuttering Cloak</v>
      </c>
      <c r="B246" s="1" t="str">
        <f>IFERROR(__xludf.DUMMYFUNCTION("""COMPUTED_VALUE"""),"Torso")</f>
        <v>Torso</v>
      </c>
      <c r="C246" s="1"/>
      <c r="D246" s="1"/>
      <c r="E246" s="1">
        <f>IFERROR(__xludf.DUMMYFUNCTION("""COMPUTED_VALUE"""),1.0)</f>
        <v>1</v>
      </c>
      <c r="F246" s="2">
        <f>IFERROR(__xludf.DUMMYFUNCTION("""COMPUTED_VALUE"""),0.0)</f>
        <v>0</v>
      </c>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t="str">
        <f>IFERROR(__xludf.DUMMYFUNCTION("""COMPUTED_VALUE"""),"++Plus 10 Evasion and Mobility, +-You Cannot be unaffected by spells or attacks. +-Can only equip one")</f>
        <v>++Plus 10 Evasion and Mobility, +-You Cannot be unaffected by spells or attacks. +-Can only equip one</v>
      </c>
      <c r="AG246" s="1" t="str">
        <f>IFERROR(__xludf.DUMMYFUNCTION("""COMPUTED_VALUE"""),"Land of The Forgotten")</f>
        <v>Land of The Forgotten</v>
      </c>
      <c r="AH246" s="1" t="b">
        <f>IFERROR(__xludf.DUMMYFUNCTION("""COMPUTED_VALUE"""),FALSE)</f>
        <v>0</v>
      </c>
    </row>
    <row r="247">
      <c r="A247" s="1" t="str">
        <f>IFERROR(__xludf.DUMMYFUNCTION("""COMPUTED_VALUE"""),"Silver Armor")</f>
        <v>Silver Armor</v>
      </c>
      <c r="B247" s="1" t="str">
        <f>IFERROR(__xludf.DUMMYFUNCTION("""COMPUTED_VALUE"""),"Torso")</f>
        <v>Torso</v>
      </c>
      <c r="C247" s="1"/>
      <c r="D247" s="1"/>
      <c r="E247" s="1">
        <f>IFERROR(__xludf.DUMMYFUNCTION("""COMPUTED_VALUE"""),1.0)</f>
        <v>1</v>
      </c>
      <c r="F247" s="2">
        <f>IFERROR(__xludf.DUMMYFUNCTION("""COMPUTED_VALUE"""),0.0)</f>
        <v>0</v>
      </c>
      <c r="G247" s="1" t="str">
        <f>IFERROR(__xludf.DUMMYFUNCTION("""COMPUTED_VALUE"""),"DEF")</f>
        <v>DEF</v>
      </c>
      <c r="H247" s="1">
        <f>IFERROR(__xludf.DUMMYFUNCTION("""COMPUTED_VALUE"""),30.0)</f>
        <v>30</v>
      </c>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t="str">
        <f>IFERROR(__xludf.DUMMYFUNCTION("""COMPUTED_VALUE"""),"Land of Spira")</f>
        <v>Land of Spira</v>
      </c>
      <c r="AH247" s="1" t="b">
        <f>IFERROR(__xludf.DUMMYFUNCTION("""COMPUTED_VALUE"""),TRUE)</f>
        <v>1</v>
      </c>
    </row>
    <row r="248">
      <c r="A248" s="1" t="str">
        <f>IFERROR(__xludf.DUMMYFUNCTION("""COMPUTED_VALUE"""),"Silver Katana")</f>
        <v>Silver Katana</v>
      </c>
      <c r="B248" s="1" t="str">
        <f>IFERROR(__xludf.DUMMYFUNCTION("""COMPUTED_VALUE"""),"Hand")</f>
        <v>Hand</v>
      </c>
      <c r="C248" s="1"/>
      <c r="D248" s="1" t="str">
        <f>IFERROR(__xludf.DUMMYFUNCTION("""COMPUTED_VALUE"""),"Sword")</f>
        <v>Sword</v>
      </c>
      <c r="E248" s="1">
        <f>IFERROR(__xludf.DUMMYFUNCTION("""COMPUTED_VALUE"""),200.0)</f>
        <v>200</v>
      </c>
      <c r="F248" s="2">
        <f>IFERROR(__xludf.DUMMYFUNCTION("""COMPUTED_VALUE"""),1900000.0)</f>
        <v>1900000</v>
      </c>
      <c r="G248" s="1" t="str">
        <f>IFERROR(__xludf.DUMMYFUNCTION("""COMPUTED_VALUE"""),"DMG")</f>
        <v>DMG</v>
      </c>
      <c r="H248" s="3">
        <f>IFERROR(__xludf.DUMMYFUNCTION("""COMPUTED_VALUE"""),10000.0)</f>
        <v>10000</v>
      </c>
      <c r="I248" s="1"/>
      <c r="J248" s="1"/>
      <c r="K248" s="1"/>
      <c r="L248" s="1"/>
      <c r="M248" s="1"/>
      <c r="N248" s="1"/>
      <c r="O248" s="1"/>
      <c r="P248" s="1"/>
      <c r="Q248" s="1"/>
      <c r="R248" s="1"/>
      <c r="S248" s="1"/>
      <c r="T248" s="1"/>
      <c r="U248" s="1"/>
      <c r="V248" s="1"/>
      <c r="W248" s="1"/>
      <c r="X248" s="1"/>
      <c r="Y248" s="1"/>
      <c r="Z248" s="1"/>
      <c r="AA248" s="1"/>
      <c r="AB248" s="1"/>
      <c r="AC248" s="1"/>
      <c r="AD248" s="1"/>
      <c r="AE248" s="1"/>
      <c r="AF248" s="1" t="str">
        <f>IFERROR(__xludf.DUMMYFUNCTION("""COMPUTED_VALUE"""),"++Causes Blindness 3")</f>
        <v>++Causes Blindness 3</v>
      </c>
      <c r="AG248" s="1" t="str">
        <f>IFERROR(__xludf.DUMMYFUNCTION("""COMPUTED_VALUE"""),"Land of Spira")</f>
        <v>Land of Spira</v>
      </c>
      <c r="AH248" s="1" t="b">
        <f>IFERROR(__xludf.DUMMYFUNCTION("""COMPUTED_VALUE"""),FALSE)</f>
        <v>0</v>
      </c>
    </row>
    <row r="249">
      <c r="A249" s="1" t="str">
        <f>IFERROR(__xludf.DUMMYFUNCTION("""COMPUTED_VALUE"""),"Silver Knife")</f>
        <v>Silver Knife</v>
      </c>
      <c r="B249" s="1" t="str">
        <f>IFERROR(__xludf.DUMMYFUNCTION("""COMPUTED_VALUE"""),"Hand")</f>
        <v>Hand</v>
      </c>
      <c r="C249" s="1"/>
      <c r="D249" s="1" t="str">
        <f>IFERROR(__xludf.DUMMYFUNCTION("""COMPUTED_VALUE"""),"Knife")</f>
        <v>Knife</v>
      </c>
      <c r="E249" s="1">
        <f>IFERROR(__xludf.DUMMYFUNCTION("""COMPUTED_VALUE"""),200.0)</f>
        <v>200</v>
      </c>
      <c r="F249" s="2">
        <f>IFERROR(__xludf.DUMMYFUNCTION("""COMPUTED_VALUE"""),1900000.0)</f>
        <v>1900000</v>
      </c>
      <c r="G249" s="1" t="str">
        <f>IFERROR(__xludf.DUMMYFUNCTION("""COMPUTED_VALUE"""),"DMG")</f>
        <v>DMG</v>
      </c>
      <c r="H249" s="1">
        <f>IFERROR(__xludf.DUMMYFUNCTION("""COMPUTED_VALUE"""),10000.0)</f>
        <v>10000</v>
      </c>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t="str">
        <f>IFERROR(__xludf.DUMMYFUNCTION("""COMPUTED_VALUE"""),"Land of Spira")</f>
        <v>Land of Spira</v>
      </c>
      <c r="AH249" s="1" t="b">
        <f>IFERROR(__xludf.DUMMYFUNCTION("""COMPUTED_VALUE"""),TRUE)</f>
        <v>1</v>
      </c>
    </row>
    <row r="250">
      <c r="A250" s="1" t="str">
        <f>IFERROR(__xludf.DUMMYFUNCTION("""COMPUTED_VALUE"""),"Skull Cleaver")</f>
        <v>Skull Cleaver</v>
      </c>
      <c r="B250" s="1" t="str">
        <f>IFERROR(__xludf.DUMMYFUNCTION("""COMPUTED_VALUE"""),"Hand")</f>
        <v>Hand</v>
      </c>
      <c r="C250" s="1"/>
      <c r="D250" s="1" t="str">
        <f>IFERROR(__xludf.DUMMYFUNCTION("""COMPUTED_VALUE"""),"Sword")</f>
        <v>Sword</v>
      </c>
      <c r="E250" s="1">
        <f>IFERROR(__xludf.DUMMYFUNCTION("""COMPUTED_VALUE"""),1000.0)</f>
        <v>1000</v>
      </c>
      <c r="F250" s="2">
        <f>IFERROR(__xludf.DUMMYFUNCTION("""COMPUTED_VALUE"""),4.95E7)</f>
        <v>49500000</v>
      </c>
      <c r="G250" s="1" t="str">
        <f>IFERROR(__xludf.DUMMYFUNCTION("""COMPUTED_VALUE"""),"DMG")</f>
        <v>DMG</v>
      </c>
      <c r="H250" s="3">
        <f>IFERROR(__xludf.DUMMYFUNCTION("""COMPUTED_VALUE"""),30000.0)</f>
        <v>30000</v>
      </c>
      <c r="I250" s="1"/>
      <c r="J250" s="1"/>
      <c r="K250" s="1"/>
      <c r="L250" s="1"/>
      <c r="M250" s="1"/>
      <c r="N250" s="1"/>
      <c r="O250" s="3">
        <f>IFERROR(__xludf.DUMMYFUNCTION("""COMPUTED_VALUE"""),20000.0)</f>
        <v>20000</v>
      </c>
      <c r="P250" s="1"/>
      <c r="Q250" s="1"/>
      <c r="R250" s="1"/>
      <c r="S250" s="1"/>
      <c r="T250" s="1"/>
      <c r="U250" s="1"/>
      <c r="V250" s="1"/>
      <c r="W250" s="1"/>
      <c r="X250" s="1"/>
      <c r="Y250" s="1"/>
      <c r="Z250" s="1"/>
      <c r="AA250" s="1"/>
      <c r="AB250" s="1"/>
      <c r="AC250" s="1"/>
      <c r="AD250" s="1"/>
      <c r="AE250" s="1"/>
      <c r="AF250" s="1" t="str">
        <f>IFERROR(__xludf.DUMMYFUNCTION("""COMPUTED_VALUE"""),"++75% Chance of instant death.")</f>
        <v>++75% Chance of instant death.</v>
      </c>
      <c r="AG250" s="1" t="str">
        <f>IFERROR(__xludf.DUMMYFUNCTION("""COMPUTED_VALUE"""),"Abstara")</f>
        <v>Abstara</v>
      </c>
      <c r="AH250" s="1" t="b">
        <f>IFERROR(__xludf.DUMMYFUNCTION("""COMPUTED_VALUE"""),TRUE)</f>
        <v>1</v>
      </c>
    </row>
    <row r="251">
      <c r="A251" s="1" t="str">
        <f>IFERROR(__xludf.DUMMYFUNCTION("""COMPUTED_VALUE"""),"Skull of the many Kings")</f>
        <v>Skull of the many Kings</v>
      </c>
      <c r="B251" s="1" t="str">
        <f>IFERROR(__xludf.DUMMYFUNCTION("""COMPUTED_VALUE"""),"Head")</f>
        <v>Head</v>
      </c>
      <c r="C251" s="1"/>
      <c r="D251" s="1"/>
      <c r="E251" s="1">
        <f>IFERROR(__xludf.DUMMYFUNCTION("""COMPUTED_VALUE"""),1.0)</f>
        <v>1</v>
      </c>
      <c r="F251" s="2">
        <f>IFERROR(__xludf.DUMMYFUNCTION("""COMPUTED_VALUE"""),0.0)</f>
        <v>0</v>
      </c>
      <c r="G251" s="1" t="str">
        <f>IFERROR(__xludf.DUMMYFUNCTION("""COMPUTED_VALUE"""),"DEF")</f>
        <v>DEF</v>
      </c>
      <c r="H251" s="1">
        <f>IFERROR(__xludf.DUMMYFUNCTION("""COMPUTED_VALUE"""),300.0)</f>
        <v>300</v>
      </c>
      <c r="I251" s="1"/>
      <c r="J251" s="1"/>
      <c r="K251" s="1"/>
      <c r="L251" s="1"/>
      <c r="M251" s="1"/>
      <c r="N251" s="1"/>
      <c r="O251" s="1"/>
      <c r="P251" s="1"/>
      <c r="Q251" s="1"/>
      <c r="R251" s="1"/>
      <c r="S251" s="1"/>
      <c r="T251" s="1"/>
      <c r="U251" s="1"/>
      <c r="V251" s="1"/>
      <c r="W251" s="1"/>
      <c r="X251" s="1"/>
      <c r="Y251" s="1"/>
      <c r="Z251" s="1"/>
      <c r="AA251" s="1"/>
      <c r="AB251" s="1"/>
      <c r="AC251" s="1"/>
      <c r="AD251" s="1"/>
      <c r="AE251" s="1"/>
      <c r="AF251" s="1" t="str">
        <f>IFERROR(__xludf.DUMMYFUNCTION("""COMPUTED_VALUE"""),"++Immunity to all dark damage")</f>
        <v>++Immunity to all dark damage</v>
      </c>
      <c r="AG251" s="1" t="str">
        <f>IFERROR(__xludf.DUMMYFUNCTION("""COMPUTED_VALUE"""),"Land of Spira")</f>
        <v>Land of Spira</v>
      </c>
      <c r="AH251" s="1" t="b">
        <f>IFERROR(__xludf.DUMMYFUNCTION("""COMPUTED_VALUE"""),FALSE)</f>
        <v>0</v>
      </c>
    </row>
    <row r="252">
      <c r="A252" s="1" t="str">
        <f>IFERROR(__xludf.DUMMYFUNCTION("""COMPUTED_VALUE"""),"Skull Ring")</f>
        <v>Skull Ring</v>
      </c>
      <c r="B252" s="1" t="str">
        <f>IFERROR(__xludf.DUMMYFUNCTION("""COMPUTED_VALUE"""),"Ring")</f>
        <v>Ring</v>
      </c>
      <c r="C252" s="1"/>
      <c r="D252" s="1"/>
      <c r="E252" s="1">
        <f>IFERROR(__xludf.DUMMYFUNCTION("""COMPUTED_VALUE"""),1.0)</f>
        <v>1</v>
      </c>
      <c r="F252" s="2">
        <f>IFERROR(__xludf.DUMMYFUNCTION("""COMPUTED_VALUE"""),0.0)</f>
        <v>0</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t="str">
        <f>IFERROR(__xludf.DUMMYFUNCTION("""COMPUTED_VALUE"""),"++Increase damage of all dark spells and weapons by X2")</f>
        <v>++Increase damage of all dark spells and weapons by X2</v>
      </c>
      <c r="AG252" s="1" t="str">
        <f>IFERROR(__xludf.DUMMYFUNCTION("""COMPUTED_VALUE"""),"Land of Spira")</f>
        <v>Land of Spira</v>
      </c>
      <c r="AH252" s="1" t="b">
        <f>IFERROR(__xludf.DUMMYFUNCTION("""COMPUTED_VALUE"""),FALSE)</f>
        <v>0</v>
      </c>
    </row>
    <row r="253">
      <c r="A253" s="1" t="str">
        <f>IFERROR(__xludf.DUMMYFUNCTION("""COMPUTED_VALUE"""),"Spear")</f>
        <v>Spear</v>
      </c>
      <c r="B253" s="1" t="str">
        <f>IFERROR(__xludf.DUMMYFUNCTION("""COMPUTED_VALUE"""),"Hand")</f>
        <v>Hand</v>
      </c>
      <c r="C253" s="1"/>
      <c r="D253" s="1" t="str">
        <f>IFERROR(__xludf.DUMMYFUNCTION("""COMPUTED_VALUE"""),"Spear")</f>
        <v>Spear</v>
      </c>
      <c r="E253" s="1">
        <f>IFERROR(__xludf.DUMMYFUNCTION("""COMPUTED_VALUE"""),1.0)</f>
        <v>1</v>
      </c>
      <c r="F253" s="2">
        <f>IFERROR(__xludf.DUMMYFUNCTION("""COMPUTED_VALUE"""),0.0)</f>
        <v>0</v>
      </c>
      <c r="G253" s="1" t="str">
        <f>IFERROR(__xludf.DUMMYFUNCTION("""COMPUTED_VALUE"""),"DMG")</f>
        <v>DMG</v>
      </c>
      <c r="H253" s="1">
        <f>IFERROR(__xludf.DUMMYFUNCTION("""COMPUTED_VALUE"""),100.0)</f>
        <v>100</v>
      </c>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t="str">
        <f>IFERROR(__xludf.DUMMYFUNCTION("""COMPUTED_VALUE"""),"Land of Spira")</f>
        <v>Land of Spira</v>
      </c>
      <c r="AH253" s="1" t="b">
        <f>IFERROR(__xludf.DUMMYFUNCTION("""COMPUTED_VALUE"""),TRUE)</f>
        <v>1</v>
      </c>
    </row>
    <row r="254">
      <c r="A254" s="1" t="str">
        <f>IFERROR(__xludf.DUMMYFUNCTION("""COMPUTED_VALUE"""),"Spear Of Assal ")</f>
        <v>Spear Of Assal </v>
      </c>
      <c r="B254" s="1" t="str">
        <f>IFERROR(__xludf.DUMMYFUNCTION("""COMPUTED_VALUE"""),"Hand")</f>
        <v>Hand</v>
      </c>
      <c r="C254" s="1" t="str">
        <f>IFERROR(__xludf.DUMMYFUNCTION("""COMPUTED_VALUE"""),"(Event Exclusive) Lugh's Spear he weilded in battle. The spear will always find its mark when the incantation Ibar is spoken by the user. ")</f>
        <v>(Event Exclusive) Lugh's Spear he weilded in battle. The spear will always find its mark when the incantation Ibar is spoken by the user. </v>
      </c>
      <c r="D254" s="1" t="str">
        <f>IFERROR(__xludf.DUMMYFUNCTION("""COMPUTED_VALUE"""),"Spear")</f>
        <v>Spear</v>
      </c>
      <c r="E254" s="1">
        <f>IFERROR(__xludf.DUMMYFUNCTION("""COMPUTED_VALUE"""),200.0)</f>
        <v>200</v>
      </c>
      <c r="F254" s="2">
        <f>IFERROR(__xludf.DUMMYFUNCTION("""COMPUTED_VALUE"""),4.485E8)</f>
        <v>448500000</v>
      </c>
      <c r="G254" s="1" t="str">
        <f>IFERROR(__xludf.DUMMYFUNCTION("""COMPUTED_VALUE"""),"DMG")</f>
        <v>DMG</v>
      </c>
      <c r="H254" s="3">
        <f>IFERROR(__xludf.DUMMYFUNCTION("""COMPUTED_VALUE"""),50000.0)</f>
        <v>50000</v>
      </c>
      <c r="I254" s="3">
        <f>IFERROR(__xludf.DUMMYFUNCTION("""COMPUTED_VALUE"""),50000.0)</f>
        <v>50000</v>
      </c>
      <c r="J254" s="1"/>
      <c r="K254" s="1"/>
      <c r="L254" s="1"/>
      <c r="M254" s="1"/>
      <c r="N254" s="1"/>
      <c r="O254" s="1"/>
      <c r="P254" s="1"/>
      <c r="Q254" s="1"/>
      <c r="R254" s="1"/>
      <c r="S254" s="1"/>
      <c r="T254" s="1"/>
      <c r="U254" s="1"/>
      <c r="V254" s="1"/>
      <c r="W254" s="1"/>
      <c r="X254" s="1"/>
      <c r="Y254" s="1"/>
      <c r="Z254" s="1"/>
      <c r="AA254" s="1"/>
      <c r="AB254" s="1"/>
      <c r="AC254" s="3">
        <f>IFERROR(__xludf.DUMMYFUNCTION("""COMPUTED_VALUE"""),50000.0)</f>
        <v>50000</v>
      </c>
      <c r="AD254" s="1"/>
      <c r="AE254" s="1"/>
      <c r="AF254" s="1" t="str">
        <f>IFERROR(__xludf.DUMMYFUNCTION("""COMPUTED_VALUE"""),"++12,000 celestial and fire damage for 3 rounds. +-Cannot be forged +-Cannot be duplicated +-Cannot be confiscated. ++Ignores evasion, ++Will always return when thrown.")</f>
        <v>++12,000 celestial and fire damage for 3 rounds. +-Cannot be forged +-Cannot be duplicated +-Cannot be confiscated. ++Ignores evasion, ++Will always return when thrown.</v>
      </c>
      <c r="AG254" s="1" t="str">
        <f>IFERROR(__xludf.DUMMYFUNCTION("""COMPUTED_VALUE"""),"Land of Spira")</f>
        <v>Land of Spira</v>
      </c>
      <c r="AH254" s="1" t="b">
        <f>IFERROR(__xludf.DUMMYFUNCTION("""COMPUTED_VALUE"""),FALSE)</f>
        <v>0</v>
      </c>
    </row>
    <row r="255">
      <c r="A255" s="1" t="str">
        <f>IFERROR(__xludf.DUMMYFUNCTION("""COMPUTED_VALUE"""),"Spiked Armor")</f>
        <v>Spiked Armor</v>
      </c>
      <c r="B255" s="1" t="str">
        <f>IFERROR(__xludf.DUMMYFUNCTION("""COMPUTED_VALUE"""),"Torso")</f>
        <v>Torso</v>
      </c>
      <c r="C255" s="1"/>
      <c r="D255" s="1"/>
      <c r="E255" s="1">
        <f>IFERROR(__xludf.DUMMYFUNCTION("""COMPUTED_VALUE"""),1.0)</f>
        <v>1</v>
      </c>
      <c r="F255" s="2">
        <f>IFERROR(__xludf.DUMMYFUNCTION("""COMPUTED_VALUE"""),0.0)</f>
        <v>0</v>
      </c>
      <c r="G255" s="1" t="str">
        <f>IFERROR(__xludf.DUMMYFUNCTION("""COMPUTED_VALUE"""),"DEF")</f>
        <v>DEF</v>
      </c>
      <c r="H255" s="1">
        <f>IFERROR(__xludf.DUMMYFUNCTION("""COMPUTED_VALUE"""),100.0)</f>
        <v>100</v>
      </c>
      <c r="I255" s="1"/>
      <c r="J255" s="1"/>
      <c r="K255" s="1"/>
      <c r="L255" s="1"/>
      <c r="M255" s="1"/>
      <c r="N255" s="1"/>
      <c r="O255" s="1"/>
      <c r="P255" s="1"/>
      <c r="Q255" s="1"/>
      <c r="R255" s="1"/>
      <c r="S255" s="1"/>
      <c r="T255" s="1"/>
      <c r="U255" s="1"/>
      <c r="V255" s="1"/>
      <c r="W255" s="1"/>
      <c r="X255" s="1"/>
      <c r="Y255" s="1"/>
      <c r="Z255" s="1"/>
      <c r="AA255" s="1"/>
      <c r="AB255" s="1"/>
      <c r="AC255" s="1"/>
      <c r="AD255" s="1"/>
      <c r="AE255" s="1"/>
      <c r="AF255" s="1" t="str">
        <f>IFERROR(__xludf.DUMMYFUNCTION("""COMPUTED_VALUE"""),"++Used for both offense and defense. ++Enemies take half the damage they caused, when they attack you.")</f>
        <v>++Used for both offense and defense. ++Enemies take half the damage they caused, when they attack you.</v>
      </c>
      <c r="AG255" s="1" t="str">
        <f>IFERROR(__xludf.DUMMYFUNCTION("""COMPUTED_VALUE"""),"Land of Spira")</f>
        <v>Land of Spira</v>
      </c>
      <c r="AH255" s="1" t="b">
        <f>IFERROR(__xludf.DUMMYFUNCTION("""COMPUTED_VALUE"""),FALSE)</f>
        <v>0</v>
      </c>
    </row>
    <row r="256">
      <c r="A256" s="1" t="str">
        <f>IFERROR(__xludf.DUMMYFUNCTION("""COMPUTED_VALUE"""),"Spiny Shield")</f>
        <v>Spiny Shield</v>
      </c>
      <c r="B256" s="1" t="str">
        <f>IFERROR(__xludf.DUMMYFUNCTION("""COMPUTED_VALUE"""),"Hand")</f>
        <v>Hand</v>
      </c>
      <c r="C256" s="1"/>
      <c r="D256" s="1" t="str">
        <f>IFERROR(__xludf.DUMMYFUNCTION("""COMPUTED_VALUE"""),"Buckler")</f>
        <v>Buckler</v>
      </c>
      <c r="E256" s="1">
        <f>IFERROR(__xludf.DUMMYFUNCTION("""COMPUTED_VALUE"""),1.0)</f>
        <v>1</v>
      </c>
      <c r="F256" s="2">
        <f>IFERROR(__xludf.DUMMYFUNCTION("""COMPUTED_VALUE"""),0.0)</f>
        <v>0</v>
      </c>
      <c r="G256" s="1" t="str">
        <f>IFERROR(__xludf.DUMMYFUNCTION("""COMPUTED_VALUE"""),"DEF")</f>
        <v>DEF</v>
      </c>
      <c r="H256" s="1">
        <f>IFERROR(__xludf.DUMMYFUNCTION("""COMPUTED_VALUE"""),170.0)</f>
        <v>170</v>
      </c>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t="str">
        <f>IFERROR(__xludf.DUMMYFUNCTION("""COMPUTED_VALUE"""),"Land of Spira")</f>
        <v>Land of Spira</v>
      </c>
      <c r="AH256" s="1" t="b">
        <f>IFERROR(__xludf.DUMMYFUNCTION("""COMPUTED_VALUE"""),FALSE)</f>
        <v>0</v>
      </c>
    </row>
    <row r="257">
      <c r="A257" s="1" t="str">
        <f>IFERROR(__xludf.DUMMYFUNCTION("""COMPUTED_VALUE"""),"Spooky Branch Ring")</f>
        <v>Spooky Branch Ring</v>
      </c>
      <c r="B257" s="1" t="str">
        <f>IFERROR(__xludf.DUMMYFUNCTION("""COMPUTED_VALUE"""),"Ring")</f>
        <v>Ring</v>
      </c>
      <c r="C257" s="1" t="str">
        <f>IFERROR(__xludf.DUMMYFUNCTION("""COMPUTED_VALUE"""),"Halloween Exclusive")</f>
        <v>Halloween Exclusive</v>
      </c>
      <c r="D257" s="1"/>
      <c r="E257" s="1">
        <f>IFERROR(__xludf.DUMMYFUNCTION("""COMPUTED_VALUE"""),1.0)</f>
        <v>1</v>
      </c>
      <c r="F257" s="2">
        <f>IFERROR(__xludf.DUMMYFUNCTION("""COMPUTED_VALUE"""),0.0)</f>
        <v>0</v>
      </c>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t="str">
        <f>IFERROR(__xludf.DUMMYFUNCTION("""COMPUTED_VALUE"""),"++Increase fire and dark damage by X2.")</f>
        <v>++Increase fire and dark damage by X2.</v>
      </c>
      <c r="AG257" s="1" t="str">
        <f>IFERROR(__xludf.DUMMYFUNCTION("""COMPUTED_VALUE"""),"Halloween Kingdom")</f>
        <v>Halloween Kingdom</v>
      </c>
      <c r="AH257" s="1" t="b">
        <f>IFERROR(__xludf.DUMMYFUNCTION("""COMPUTED_VALUE"""),FALSE)</f>
        <v>0</v>
      </c>
    </row>
    <row r="258">
      <c r="A258" s="1" t="str">
        <f>IFERROR(__xludf.DUMMYFUNCTION("""COMPUTED_VALUE"""),"Staff of Chaotic Shadows")</f>
        <v>Staff of Chaotic Shadows</v>
      </c>
      <c r="B258" s="1" t="str">
        <f>IFERROR(__xludf.DUMMYFUNCTION("""COMPUTED_VALUE"""),"Hand")</f>
        <v>Hand</v>
      </c>
      <c r="C258" s="1"/>
      <c r="D258" s="1" t="str">
        <f>IFERROR(__xludf.DUMMYFUNCTION("""COMPUTED_VALUE"""),"Staff")</f>
        <v>Staff</v>
      </c>
      <c r="E258" s="1">
        <f>IFERROR(__xludf.DUMMYFUNCTION("""COMPUTED_VALUE"""),1200.0)</f>
        <v>1200</v>
      </c>
      <c r="F258" s="2">
        <f>IFERROR(__xludf.DUMMYFUNCTION("""COMPUTED_VALUE"""),7.14E7)</f>
        <v>71400000</v>
      </c>
      <c r="G258" s="1" t="str">
        <f>IFERROR(__xludf.DUMMYFUNCTION("""COMPUTED_VALUE"""),"DMG")</f>
        <v>DMG</v>
      </c>
      <c r="H258" s="1"/>
      <c r="I258" s="3">
        <f>IFERROR(__xludf.DUMMYFUNCTION("""COMPUTED_VALUE"""),20000.0)</f>
        <v>20000</v>
      </c>
      <c r="J258" s="1"/>
      <c r="K258" s="1"/>
      <c r="L258" s="1"/>
      <c r="M258" s="1"/>
      <c r="N258" s="1"/>
      <c r="O258" s="1">
        <f>IFERROR(__xludf.DUMMYFUNCTION("""COMPUTED_VALUE"""),20000.0)</f>
        <v>20000</v>
      </c>
      <c r="P258" s="1"/>
      <c r="Q258" s="1"/>
      <c r="R258" s="1">
        <f>IFERROR(__xludf.DUMMYFUNCTION("""COMPUTED_VALUE"""),20000.0)</f>
        <v>20000</v>
      </c>
      <c r="S258" s="1"/>
      <c r="T258" s="1"/>
      <c r="U258" s="1"/>
      <c r="V258" s="1"/>
      <c r="W258" s="1"/>
      <c r="X258" s="1"/>
      <c r="Y258" s="1"/>
      <c r="Z258" s="1"/>
      <c r="AA258" s="1"/>
      <c r="AB258" s="1"/>
      <c r="AC258" s="1"/>
      <c r="AD258" s="1"/>
      <c r="AE258" s="1"/>
      <c r="AF258" s="1" t="str">
        <f>IFERROR(__xludf.DUMMYFUNCTION("""COMPUTED_VALUE"""),"++damages all enemies. +-Cannot be forged.")</f>
        <v>++damages all enemies. +-Cannot be forged.</v>
      </c>
      <c r="AG258" s="1" t="str">
        <f>IFERROR(__xludf.DUMMYFUNCTION("""COMPUTED_VALUE"""),"Land of Spira")</f>
        <v>Land of Spira</v>
      </c>
      <c r="AH258" s="1" t="b">
        <f>IFERROR(__xludf.DUMMYFUNCTION("""COMPUTED_VALUE"""),FALSE)</f>
        <v>0</v>
      </c>
    </row>
    <row r="259">
      <c r="A259" s="1" t="str">
        <f>IFERROR(__xludf.DUMMYFUNCTION("""COMPUTED_VALUE"""),"Staff of Crystals")</f>
        <v>Staff of Crystals</v>
      </c>
      <c r="B259" s="1" t="str">
        <f>IFERROR(__xludf.DUMMYFUNCTION("""COMPUTED_VALUE"""),"Hand")</f>
        <v>Hand</v>
      </c>
      <c r="C259" s="1"/>
      <c r="D259" s="1" t="str">
        <f>IFERROR(__xludf.DUMMYFUNCTION("""COMPUTED_VALUE"""),"Staff")</f>
        <v>Staff</v>
      </c>
      <c r="E259" s="1">
        <f>IFERROR(__xludf.DUMMYFUNCTION("""COMPUTED_VALUE"""),400.0)</f>
        <v>400</v>
      </c>
      <c r="F259" s="2">
        <f>IFERROR(__xludf.DUMMYFUNCTION("""COMPUTED_VALUE"""),7800000.0)</f>
        <v>7800000</v>
      </c>
      <c r="G259" s="1" t="str">
        <f>IFERROR(__xludf.DUMMYFUNCTION("""COMPUTED_VALUE"""),"DMG")</f>
        <v>DMG</v>
      </c>
      <c r="H259" s="1"/>
      <c r="I259" s="1"/>
      <c r="J259" s="1"/>
      <c r="K259" s="1"/>
      <c r="L259" s="1"/>
      <c r="M259" s="1">
        <f>IFERROR(__xludf.DUMMYFUNCTION("""COMPUTED_VALUE"""),20000.0)</f>
        <v>20000</v>
      </c>
      <c r="N259" s="1"/>
      <c r="O259" s="1"/>
      <c r="P259" s="1"/>
      <c r="Q259" s="1"/>
      <c r="R259" s="1"/>
      <c r="S259" s="1"/>
      <c r="T259" s="1"/>
      <c r="U259" s="1"/>
      <c r="V259" s="1"/>
      <c r="W259" s="1"/>
      <c r="X259" s="1"/>
      <c r="Y259" s="1"/>
      <c r="Z259" s="1"/>
      <c r="AA259" s="1"/>
      <c r="AB259" s="1"/>
      <c r="AC259" s="1"/>
      <c r="AD259" s="1"/>
      <c r="AE259" s="1"/>
      <c r="AF259" s="1" t="str">
        <f>IFERROR(__xludf.DUMMYFUNCTION("""COMPUTED_VALUE"""),"++When Equipped any damage dealt by a Crystal or Gem related weapon is X4. +-Cannot be duplicated.")</f>
        <v>++When Equipped any damage dealt by a Crystal or Gem related weapon is X4. +-Cannot be duplicated.</v>
      </c>
      <c r="AG259" s="1" t="str">
        <f>IFERROR(__xludf.DUMMYFUNCTION("""COMPUTED_VALUE"""),"Land of Spira")</f>
        <v>Land of Spira</v>
      </c>
      <c r="AH259" s="1" t="b">
        <f>IFERROR(__xludf.DUMMYFUNCTION("""COMPUTED_VALUE"""),FALSE)</f>
        <v>0</v>
      </c>
    </row>
    <row r="260">
      <c r="A260" s="1" t="str">
        <f>IFERROR(__xludf.DUMMYFUNCTION("""COMPUTED_VALUE"""),"Staff Of Heatmore")</f>
        <v>Staff Of Heatmore</v>
      </c>
      <c r="B260" s="1" t="str">
        <f>IFERROR(__xludf.DUMMYFUNCTION("""COMPUTED_VALUE"""),"Hand")</f>
        <v>Hand</v>
      </c>
      <c r="C260" s="1"/>
      <c r="D260" s="1" t="str">
        <f>IFERROR(__xludf.DUMMYFUNCTION("""COMPUTED_VALUE"""),"Staff")</f>
        <v>Staff</v>
      </c>
      <c r="E260" s="1">
        <f>IFERROR(__xludf.DUMMYFUNCTION("""COMPUTED_VALUE"""),1.0)</f>
        <v>1</v>
      </c>
      <c r="F260" s="2">
        <f>IFERROR(__xludf.DUMMYFUNCTION("""COMPUTED_VALUE"""),0.0)</f>
        <v>0</v>
      </c>
      <c r="G260" s="1" t="str">
        <f>IFERROR(__xludf.DUMMYFUNCTION("""COMPUTED_VALUE"""),"DMG")</f>
        <v>DMG</v>
      </c>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t="str">
        <f>IFERROR(__xludf.DUMMYFUNCTION("""COMPUTED_VALUE"""),"++20,000 fire damage to all enemies, cannot avoid. 10,000sp")</f>
        <v>++20,000 fire damage to all enemies, cannot avoid. 10,000sp</v>
      </c>
      <c r="AG260" s="1" t="str">
        <f>IFERROR(__xludf.DUMMYFUNCTION("""COMPUTED_VALUE"""),"Land of Spira")</f>
        <v>Land of Spira</v>
      </c>
      <c r="AH260" s="1" t="b">
        <f>IFERROR(__xludf.DUMMYFUNCTION("""COMPUTED_VALUE"""),FALSE)</f>
        <v>0</v>
      </c>
    </row>
    <row r="261">
      <c r="A261" s="1" t="str">
        <f>IFERROR(__xludf.DUMMYFUNCTION("""COMPUTED_VALUE"""),"Staff of Shadows")</f>
        <v>Staff of Shadows</v>
      </c>
      <c r="B261" s="1" t="str">
        <f>IFERROR(__xludf.DUMMYFUNCTION("""COMPUTED_VALUE"""),"Hand")</f>
        <v>Hand</v>
      </c>
      <c r="C261" s="1"/>
      <c r="D261" s="1" t="str">
        <f>IFERROR(__xludf.DUMMYFUNCTION("""COMPUTED_VALUE"""),"Staff")</f>
        <v>Staff</v>
      </c>
      <c r="E261" s="1">
        <f>IFERROR(__xludf.DUMMYFUNCTION("""COMPUTED_VALUE"""),1.0)</f>
        <v>1</v>
      </c>
      <c r="F261" s="2">
        <f>IFERROR(__xludf.DUMMYFUNCTION("""COMPUTED_VALUE"""),0.0)</f>
        <v>0</v>
      </c>
      <c r="G261" s="1" t="str">
        <f>IFERROR(__xludf.DUMMYFUNCTION("""COMPUTED_VALUE"""),"DMG")</f>
        <v>DMG</v>
      </c>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t="str">
        <f>IFERROR(__xludf.DUMMYFUNCTION("""COMPUTED_VALUE"""),"++You are invisible and silent so long as you don't attack. You cannot be attacked while invisible. 200SP")</f>
        <v>++You are invisible and silent so long as you don't attack. You cannot be attacked while invisible. 200SP</v>
      </c>
      <c r="AG261" s="1" t="str">
        <f>IFERROR(__xludf.DUMMYFUNCTION("""COMPUTED_VALUE"""),"Land of Spira")</f>
        <v>Land of Spira</v>
      </c>
      <c r="AH261" s="1" t="b">
        <f>IFERROR(__xludf.DUMMYFUNCTION("""COMPUTED_VALUE"""),FALSE)</f>
        <v>0</v>
      </c>
    </row>
    <row r="262">
      <c r="A262" s="1" t="str">
        <f>IFERROR(__xludf.DUMMYFUNCTION("""COMPUTED_VALUE"""),"Staff Of Suffering")</f>
        <v>Staff Of Suffering</v>
      </c>
      <c r="B262" s="1" t="str">
        <f>IFERROR(__xludf.DUMMYFUNCTION("""COMPUTED_VALUE"""),"Hand")</f>
        <v>Hand</v>
      </c>
      <c r="C262" s="1"/>
      <c r="D262" s="1" t="str">
        <f>IFERROR(__xludf.DUMMYFUNCTION("""COMPUTED_VALUE"""),"Staff")</f>
        <v>Staff</v>
      </c>
      <c r="E262" s="1">
        <f>IFERROR(__xludf.DUMMYFUNCTION("""COMPUTED_VALUE"""),1.0)</f>
        <v>1</v>
      </c>
      <c r="F262" s="2">
        <f>IFERROR(__xludf.DUMMYFUNCTION("""COMPUTED_VALUE"""),0.0)</f>
        <v>0</v>
      </c>
      <c r="G262" s="1" t="str">
        <f>IFERROR(__xludf.DUMMYFUNCTION("""COMPUTED_VALUE"""),"DMG")</f>
        <v>DMG</v>
      </c>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t="str">
        <f>IFERROR(__xludf.DUMMYFUNCTION("""COMPUTED_VALUE"""),"++Casts a chaotic aura around 1 target dealing 1000 unblockable damage to them each time they cast a spell.")</f>
        <v>++Casts a chaotic aura around 1 target dealing 1000 unblockable damage to them each time they cast a spell.</v>
      </c>
      <c r="AG262" s="1" t="str">
        <f>IFERROR(__xludf.DUMMYFUNCTION("""COMPUTED_VALUE"""),"Land of Spira")</f>
        <v>Land of Spira</v>
      </c>
      <c r="AH262" s="1" t="b">
        <f>IFERROR(__xludf.DUMMYFUNCTION("""COMPUTED_VALUE"""),FALSE)</f>
        <v>0</v>
      </c>
    </row>
    <row r="263">
      <c r="A263" s="1" t="str">
        <f>IFERROR(__xludf.DUMMYFUNCTION("""COMPUTED_VALUE"""),"Staff of Targeting")</f>
        <v>Staff of Targeting</v>
      </c>
      <c r="B263" s="1" t="str">
        <f>IFERROR(__xludf.DUMMYFUNCTION("""COMPUTED_VALUE"""),"Hand")</f>
        <v>Hand</v>
      </c>
      <c r="C263" s="1"/>
      <c r="D263" s="1" t="str">
        <f>IFERROR(__xludf.DUMMYFUNCTION("""COMPUTED_VALUE"""),"Staff")</f>
        <v>Staff</v>
      </c>
      <c r="E263" s="1">
        <f>IFERROR(__xludf.DUMMYFUNCTION("""COMPUTED_VALUE"""),1.0)</f>
        <v>1</v>
      </c>
      <c r="F263" s="2">
        <f>IFERROR(__xludf.DUMMYFUNCTION("""COMPUTED_VALUE"""),0.0)</f>
        <v>0</v>
      </c>
      <c r="G263" s="1" t="str">
        <f>IFERROR(__xludf.DUMMYFUNCTION("""COMPUTED_VALUE"""),"DMG")</f>
        <v>DMG</v>
      </c>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t="str">
        <f>IFERROR(__xludf.DUMMYFUNCTION("""COMPUTED_VALUE"""),"++When you complain about getting targeted this staff will deal Unblockable 1,000,000 dmg to every player in the battle. +-Cannot resist or be immune to.")</f>
        <v>++When you complain about getting targeted this staff will deal Unblockable 1,000,000 dmg to every player in the battle. +-Cannot resist or be immune to.</v>
      </c>
      <c r="AG263" s="1" t="str">
        <f>IFERROR(__xludf.DUMMYFUNCTION("""COMPUTED_VALUE"""),"Land of The Forgotten")</f>
        <v>Land of The Forgotten</v>
      </c>
      <c r="AH263" s="1" t="b">
        <f>IFERROR(__xludf.DUMMYFUNCTION("""COMPUTED_VALUE"""),FALSE)</f>
        <v>0</v>
      </c>
    </row>
    <row r="264">
      <c r="A264" s="1" t="str">
        <f>IFERROR(__xludf.DUMMYFUNCTION("""COMPUTED_VALUE"""),"Staff of Waves")</f>
        <v>Staff of Waves</v>
      </c>
      <c r="B264" s="1" t="str">
        <f>IFERROR(__xludf.DUMMYFUNCTION("""COMPUTED_VALUE"""),"Hand")</f>
        <v>Hand</v>
      </c>
      <c r="C264" s="1"/>
      <c r="D264" s="1" t="str">
        <f>IFERROR(__xludf.DUMMYFUNCTION("""COMPUTED_VALUE"""),"Staff")</f>
        <v>Staff</v>
      </c>
      <c r="E264" s="1">
        <f>IFERROR(__xludf.DUMMYFUNCTION("""COMPUTED_VALUE"""),1.0)</f>
        <v>1</v>
      </c>
      <c r="F264" s="2">
        <f>IFERROR(__xludf.DUMMYFUNCTION("""COMPUTED_VALUE"""),0.0)</f>
        <v>0</v>
      </c>
      <c r="G264" s="1" t="str">
        <f>IFERROR(__xludf.DUMMYFUNCTION("""COMPUTED_VALUE"""),"DMG")</f>
        <v>DMG</v>
      </c>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t="str">
        <f>IFERROR(__xludf.DUMMYFUNCTION("""COMPUTED_VALUE"""),"++Casts the Spell Tsunami as if you would know it.")</f>
        <v>++Casts the Spell Tsunami as if you would know it.</v>
      </c>
      <c r="AG264" s="1" t="str">
        <f>IFERROR(__xludf.DUMMYFUNCTION("""COMPUTED_VALUE"""),"Land of Spira")</f>
        <v>Land of Spira</v>
      </c>
      <c r="AH264" s="1" t="b">
        <f>IFERROR(__xludf.DUMMYFUNCTION("""COMPUTED_VALUE"""),FALSE)</f>
        <v>0</v>
      </c>
    </row>
    <row r="265">
      <c r="A265" s="1" t="str">
        <f>IFERROR(__xludf.DUMMYFUNCTION("""COMPUTED_VALUE"""),"Guard Helmet")</f>
        <v>Guard Helmet</v>
      </c>
      <c r="B265" s="1" t="str">
        <f>IFERROR(__xludf.DUMMYFUNCTION("""COMPUTED_VALUE"""),"Head")</f>
        <v>Head</v>
      </c>
      <c r="C265" s="1" t="str">
        <f>IFERROR(__xludf.DUMMYFUNCTION("""COMPUTED_VALUE"""),"Quest Item")</f>
        <v>Quest Item</v>
      </c>
      <c r="D265" s="1"/>
      <c r="E265" s="1">
        <f>IFERROR(__xludf.DUMMYFUNCTION("""COMPUTED_VALUE"""),200.0)</f>
        <v>200</v>
      </c>
      <c r="F265" s="2">
        <f>IFERROR(__xludf.DUMMYFUNCTION("""COMPUTED_VALUE"""),1.1175E8)</f>
        <v>111750000</v>
      </c>
      <c r="G265" s="1" t="str">
        <f>IFERROR(__xludf.DUMMYFUNCTION("""COMPUTED_VALUE"""),"DEF")</f>
        <v>DEF</v>
      </c>
      <c r="H265" s="3">
        <f>IFERROR(__xludf.DUMMYFUNCTION("""COMPUTED_VALUE"""),25000.0)</f>
        <v>25000</v>
      </c>
      <c r="I265" s="1"/>
      <c r="J265" s="1"/>
      <c r="K265" s="1"/>
      <c r="L265" s="1"/>
      <c r="M265" s="1"/>
      <c r="N265" s="3">
        <f>IFERROR(__xludf.DUMMYFUNCTION("""COMPUTED_VALUE"""),25000.0)</f>
        <v>25000</v>
      </c>
      <c r="O265" s="1"/>
      <c r="P265" s="1"/>
      <c r="Q265" s="1"/>
      <c r="R265" s="1"/>
      <c r="S265" s="1"/>
      <c r="T265" s="1"/>
      <c r="U265" s="1"/>
      <c r="V265" s="1"/>
      <c r="W265" s="1"/>
      <c r="X265" s="1"/>
      <c r="Y265" s="1"/>
      <c r="Z265" s="1"/>
      <c r="AA265" s="1"/>
      <c r="AB265" s="1"/>
      <c r="AC265" s="3">
        <f>IFERROR(__xludf.DUMMYFUNCTION("""COMPUTED_VALUE"""),25000.0)</f>
        <v>25000</v>
      </c>
      <c r="AD265" s="1"/>
      <c r="AE265" s="1"/>
      <c r="AF265" s="1"/>
      <c r="AG265" s="1" t="str">
        <f>IFERROR(__xludf.DUMMYFUNCTION("""COMPUTED_VALUE"""),"Land of Spira")</f>
        <v>Land of Spira</v>
      </c>
      <c r="AH265" s="1" t="b">
        <f>IFERROR(__xludf.DUMMYFUNCTION("""COMPUTED_VALUE"""),TRUE)</f>
        <v>1</v>
      </c>
    </row>
    <row r="266">
      <c r="A266" s="1" t="str">
        <f>IFERROR(__xludf.DUMMYFUNCTION("""COMPUTED_VALUE"""),"Guard Shield")</f>
        <v>Guard Shield</v>
      </c>
      <c r="B266" s="1" t="str">
        <f>IFERROR(__xludf.DUMMYFUNCTION("""COMPUTED_VALUE"""),"Hand")</f>
        <v>Hand</v>
      </c>
      <c r="C266" s="1" t="str">
        <f>IFERROR(__xludf.DUMMYFUNCTION("""COMPUTED_VALUE"""),"Quest Item")</f>
        <v>Quest Item</v>
      </c>
      <c r="D266" s="1" t="str">
        <f>IFERROR(__xludf.DUMMYFUNCTION("""COMPUTED_VALUE"""),"Towershield")</f>
        <v>Towershield</v>
      </c>
      <c r="E266" s="1">
        <f>IFERROR(__xludf.DUMMYFUNCTION("""COMPUTED_VALUE"""),200.0)</f>
        <v>200</v>
      </c>
      <c r="F266" s="2">
        <f>IFERROR(__xludf.DUMMYFUNCTION("""COMPUTED_VALUE"""),1.1175E8)</f>
        <v>111750000</v>
      </c>
      <c r="G266" s="1" t="str">
        <f>IFERROR(__xludf.DUMMYFUNCTION("""COMPUTED_VALUE"""),"DEF")</f>
        <v>DEF</v>
      </c>
      <c r="H266" s="3">
        <f>IFERROR(__xludf.DUMMYFUNCTION("""COMPUTED_VALUE"""),25000.0)</f>
        <v>25000</v>
      </c>
      <c r="I266" s="1"/>
      <c r="J266" s="1"/>
      <c r="K266" s="1"/>
      <c r="L266" s="1"/>
      <c r="M266" s="1"/>
      <c r="N266" s="3">
        <f>IFERROR(__xludf.DUMMYFUNCTION("""COMPUTED_VALUE"""),25000.0)</f>
        <v>25000</v>
      </c>
      <c r="O266" s="1"/>
      <c r="P266" s="1"/>
      <c r="Q266" s="1"/>
      <c r="R266" s="1"/>
      <c r="S266" s="1"/>
      <c r="T266" s="1"/>
      <c r="U266" s="1"/>
      <c r="V266" s="1"/>
      <c r="W266" s="1"/>
      <c r="X266" s="1"/>
      <c r="Y266" s="1"/>
      <c r="Z266" s="1"/>
      <c r="AA266" s="1"/>
      <c r="AB266" s="1"/>
      <c r="AC266" s="3">
        <f>IFERROR(__xludf.DUMMYFUNCTION("""COMPUTED_VALUE"""),25000.0)</f>
        <v>25000</v>
      </c>
      <c r="AD266" s="1"/>
      <c r="AE266" s="1"/>
      <c r="AF266" s="1"/>
      <c r="AG266" s="1" t="str">
        <f>IFERROR(__xludf.DUMMYFUNCTION("""COMPUTED_VALUE"""),"Land of Spira")</f>
        <v>Land of Spira</v>
      </c>
      <c r="AH266" s="1" t="b">
        <f>IFERROR(__xludf.DUMMYFUNCTION("""COMPUTED_VALUE"""),TRUE)</f>
        <v>1</v>
      </c>
    </row>
    <row r="267">
      <c r="A267" s="1" t="str">
        <f>IFERROR(__xludf.DUMMYFUNCTION("""COMPUTED_VALUE"""),"Guard Sword")</f>
        <v>Guard Sword</v>
      </c>
      <c r="B267" s="1" t="str">
        <f>IFERROR(__xludf.DUMMYFUNCTION("""COMPUTED_VALUE"""),"Hand")</f>
        <v>Hand</v>
      </c>
      <c r="C267" s="1" t="str">
        <f>IFERROR(__xludf.DUMMYFUNCTION("""COMPUTED_VALUE"""),"Quest Item")</f>
        <v>Quest Item</v>
      </c>
      <c r="D267" s="1" t="str">
        <f>IFERROR(__xludf.DUMMYFUNCTION("""COMPUTED_VALUE"""),"Sword")</f>
        <v>Sword</v>
      </c>
      <c r="E267" s="1">
        <f>IFERROR(__xludf.DUMMYFUNCTION("""COMPUTED_VALUE"""),200.0)</f>
        <v>200</v>
      </c>
      <c r="F267" s="2">
        <f>IFERROR(__xludf.DUMMYFUNCTION("""COMPUTED_VALUE"""),1.1175E8)</f>
        <v>111750000</v>
      </c>
      <c r="G267" s="1" t="str">
        <f>IFERROR(__xludf.DUMMYFUNCTION("""COMPUTED_VALUE"""),"DMG")</f>
        <v>DMG</v>
      </c>
      <c r="H267" s="3">
        <f>IFERROR(__xludf.DUMMYFUNCTION("""COMPUTED_VALUE"""),25000.0)</f>
        <v>25000</v>
      </c>
      <c r="I267" s="1"/>
      <c r="J267" s="1"/>
      <c r="K267" s="1"/>
      <c r="L267" s="1"/>
      <c r="M267" s="1"/>
      <c r="N267" s="3">
        <f>IFERROR(__xludf.DUMMYFUNCTION("""COMPUTED_VALUE"""),25000.0)</f>
        <v>25000</v>
      </c>
      <c r="O267" s="1"/>
      <c r="P267" s="1"/>
      <c r="Q267" s="1"/>
      <c r="R267" s="1"/>
      <c r="S267" s="1"/>
      <c r="T267" s="1"/>
      <c r="U267" s="1"/>
      <c r="V267" s="1"/>
      <c r="W267" s="1"/>
      <c r="X267" s="1"/>
      <c r="Y267" s="1"/>
      <c r="Z267" s="1"/>
      <c r="AA267" s="1"/>
      <c r="AB267" s="1"/>
      <c r="AC267" s="3">
        <f>IFERROR(__xludf.DUMMYFUNCTION("""COMPUTED_VALUE"""),25000.0)</f>
        <v>25000</v>
      </c>
      <c r="AD267" s="1"/>
      <c r="AE267" s="1"/>
      <c r="AF267" s="1"/>
      <c r="AG267" s="1" t="str">
        <f>IFERROR(__xludf.DUMMYFUNCTION("""COMPUTED_VALUE"""),"Land of Spira")</f>
        <v>Land of Spira</v>
      </c>
      <c r="AH267" s="1" t="b">
        <f>IFERROR(__xludf.DUMMYFUNCTION("""COMPUTED_VALUE"""),TRUE)</f>
        <v>1</v>
      </c>
    </row>
    <row r="268">
      <c r="A268" s="1" t="str">
        <f>IFERROR(__xludf.DUMMYFUNCTION("""COMPUTED_VALUE"""),"Steel Armor")</f>
        <v>Steel Armor</v>
      </c>
      <c r="B268" s="1" t="str">
        <f>IFERROR(__xludf.DUMMYFUNCTION("""COMPUTED_VALUE"""),"Torso")</f>
        <v>Torso</v>
      </c>
      <c r="C268" s="1"/>
      <c r="D268" s="1"/>
      <c r="E268" s="1">
        <f>IFERROR(__xludf.DUMMYFUNCTION("""COMPUTED_VALUE"""),1.0)</f>
        <v>1</v>
      </c>
      <c r="F268" s="2">
        <f>IFERROR(__xludf.DUMMYFUNCTION("""COMPUTED_VALUE"""),0.0)</f>
        <v>0</v>
      </c>
      <c r="G268" s="1" t="str">
        <f>IFERROR(__xludf.DUMMYFUNCTION("""COMPUTED_VALUE"""),"DEF")</f>
        <v>DEF</v>
      </c>
      <c r="H268" s="1">
        <f>IFERROR(__xludf.DUMMYFUNCTION("""COMPUTED_VALUE"""),20.0)</f>
        <v>20</v>
      </c>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t="str">
        <f>IFERROR(__xludf.DUMMYFUNCTION("""COMPUTED_VALUE"""),"Land of Spira")</f>
        <v>Land of Spira</v>
      </c>
      <c r="AH268" s="1" t="b">
        <f>IFERROR(__xludf.DUMMYFUNCTION("""COMPUTED_VALUE"""),TRUE)</f>
        <v>1</v>
      </c>
    </row>
    <row r="269">
      <c r="A269" s="1" t="str">
        <f>IFERROR(__xludf.DUMMYFUNCTION("""COMPUTED_VALUE"""),"Steel Broadsword")</f>
        <v>Steel Broadsword</v>
      </c>
      <c r="B269" s="1" t="str">
        <f>IFERROR(__xludf.DUMMYFUNCTION("""COMPUTED_VALUE"""),"Hand")</f>
        <v>Hand</v>
      </c>
      <c r="C269" s="1"/>
      <c r="D269" s="1" t="str">
        <f>IFERROR(__xludf.DUMMYFUNCTION("""COMPUTED_VALUE"""),"Sword")</f>
        <v>Sword</v>
      </c>
      <c r="E269" s="1">
        <f>IFERROR(__xludf.DUMMYFUNCTION("""COMPUTED_VALUE"""),40.0)</f>
        <v>40</v>
      </c>
      <c r="F269" s="2">
        <f>IFERROR(__xludf.DUMMYFUNCTION("""COMPUTED_VALUE"""),60000.0)</f>
        <v>60000</v>
      </c>
      <c r="G269" s="1" t="str">
        <f>IFERROR(__xludf.DUMMYFUNCTION("""COMPUTED_VALUE"""),"DMG")</f>
        <v>DMG</v>
      </c>
      <c r="H269" s="1">
        <f>IFERROR(__xludf.DUMMYFUNCTION("""COMPUTED_VALUE"""),2000.0)</f>
        <v>2000</v>
      </c>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t="str">
        <f>IFERROR(__xludf.DUMMYFUNCTION("""COMPUTED_VALUE"""),"Land of Spira")</f>
        <v>Land of Spira</v>
      </c>
      <c r="AH269" s="1" t="b">
        <f>IFERROR(__xludf.DUMMYFUNCTION("""COMPUTED_VALUE"""),TRUE)</f>
        <v>1</v>
      </c>
    </row>
    <row r="270">
      <c r="A270" s="1" t="str">
        <f>IFERROR(__xludf.DUMMYFUNCTION("""COMPUTED_VALUE"""),"Steel Sword")</f>
        <v>Steel Sword</v>
      </c>
      <c r="B270" s="1" t="str">
        <f>IFERROR(__xludf.DUMMYFUNCTION("""COMPUTED_VALUE"""),"Hand")</f>
        <v>Hand</v>
      </c>
      <c r="C270" s="1"/>
      <c r="D270" s="1" t="str">
        <f>IFERROR(__xludf.DUMMYFUNCTION("""COMPUTED_VALUE"""),"Sword")</f>
        <v>Sword</v>
      </c>
      <c r="E270" s="1">
        <f>IFERROR(__xludf.DUMMYFUNCTION("""COMPUTED_VALUE"""),10.0)</f>
        <v>10</v>
      </c>
      <c r="F270" s="2">
        <f>IFERROR(__xludf.DUMMYFUNCTION("""COMPUTED_VALUE"""),1000.0)</f>
        <v>1000</v>
      </c>
      <c r="G270" s="1" t="str">
        <f>IFERROR(__xludf.DUMMYFUNCTION("""COMPUTED_VALUE"""),"DMG")</f>
        <v>DMG</v>
      </c>
      <c r="H270" s="1">
        <f>IFERROR(__xludf.DUMMYFUNCTION("""COMPUTED_VALUE"""),500.0)</f>
        <v>500</v>
      </c>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t="str">
        <f>IFERROR(__xludf.DUMMYFUNCTION("""COMPUTED_VALUE"""),"Land of Spira")</f>
        <v>Land of Spira</v>
      </c>
      <c r="AH270" s="1" t="b">
        <f>IFERROR(__xludf.DUMMYFUNCTION("""COMPUTED_VALUE"""),TRUE)</f>
        <v>1</v>
      </c>
    </row>
    <row r="271">
      <c r="A271" s="1" t="str">
        <f>IFERROR(__xludf.DUMMYFUNCTION("""COMPUTED_VALUE"""),"Stick of Mystery ")</f>
        <v>Stick of Mystery </v>
      </c>
      <c r="B271" s="1" t="str">
        <f>IFERROR(__xludf.DUMMYFUNCTION("""COMPUTED_VALUE"""),"Hand")</f>
        <v>Hand</v>
      </c>
      <c r="C271" s="1" t="str">
        <f>IFERROR(__xludf.DUMMYFUNCTION("""COMPUTED_VALUE"""),"Those who doubt the stick's power will suffer the stick's wrath")</f>
        <v>Those who doubt the stick's power will suffer the stick's wrath</v>
      </c>
      <c r="D271" s="1" t="str">
        <f>IFERROR(__xludf.DUMMYFUNCTION("""COMPUTED_VALUE"""),"Wand")</f>
        <v>Wand</v>
      </c>
      <c r="E271" s="1">
        <f>IFERROR(__xludf.DUMMYFUNCTION("""COMPUTED_VALUE"""),1.0)</f>
        <v>1</v>
      </c>
      <c r="F271" s="2">
        <f>IFERROR(__xludf.DUMMYFUNCTION("""COMPUTED_VALUE"""),0.0)</f>
        <v>0</v>
      </c>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t="str">
        <f>IFERROR(__xludf.DUMMYFUNCTION("""COMPUTED_VALUE"""),"++roll a d20 to see what it does :)")</f>
        <v>++roll a d20 to see what it does :)</v>
      </c>
      <c r="AG271" s="1" t="str">
        <f>IFERROR(__xludf.DUMMYFUNCTION("""COMPUTED_VALUE"""),"Land of Spira")</f>
        <v>Land of Spira</v>
      </c>
      <c r="AH271" s="1" t="b">
        <f>IFERROR(__xludf.DUMMYFUNCTION("""COMPUTED_VALUE"""),FALSE)</f>
        <v>0</v>
      </c>
    </row>
    <row r="272">
      <c r="A272" s="1" t="str">
        <f>IFERROR(__xludf.DUMMYFUNCTION("""COMPUTED_VALUE"""),"Stone Arming Sword")</f>
        <v>Stone Arming Sword</v>
      </c>
      <c r="B272" s="1" t="str">
        <f>IFERROR(__xludf.DUMMYFUNCTION("""COMPUTED_VALUE"""),"Hand")</f>
        <v>Hand</v>
      </c>
      <c r="C272" s="1"/>
      <c r="D272" s="1" t="str">
        <f>IFERROR(__xludf.DUMMYFUNCTION("""COMPUTED_VALUE"""),"Sword")</f>
        <v>Sword</v>
      </c>
      <c r="E272" s="1">
        <f>IFERROR(__xludf.DUMMYFUNCTION("""COMPUTED_VALUE"""),20.0)</f>
        <v>20</v>
      </c>
      <c r="F272" s="2">
        <f>IFERROR(__xludf.DUMMYFUNCTION("""COMPUTED_VALUE"""),1000.0)</f>
        <v>1000</v>
      </c>
      <c r="G272" s="1" t="str">
        <f>IFERROR(__xludf.DUMMYFUNCTION("""COMPUTED_VALUE"""),"DMG")</f>
        <v>DMG</v>
      </c>
      <c r="H272" s="1">
        <f>IFERROR(__xludf.DUMMYFUNCTION("""COMPUTED_VALUE"""),500.0)</f>
        <v>500</v>
      </c>
      <c r="I272" s="1"/>
      <c r="J272" s="1"/>
      <c r="K272" s="1"/>
      <c r="L272" s="1"/>
      <c r="M272" s="1"/>
      <c r="N272" s="1"/>
      <c r="O272" s="1">
        <f>IFERROR(__xludf.DUMMYFUNCTION("""COMPUTED_VALUE"""),200.0)</f>
        <v>200</v>
      </c>
      <c r="P272" s="1"/>
      <c r="Q272" s="1"/>
      <c r="R272" s="1"/>
      <c r="S272" s="1"/>
      <c r="T272" s="1"/>
      <c r="U272" s="1"/>
      <c r="V272" s="1"/>
      <c r="W272" s="1"/>
      <c r="X272" s="1"/>
      <c r="Y272" s="1"/>
      <c r="Z272" s="1"/>
      <c r="AA272" s="1"/>
      <c r="AB272" s="1"/>
      <c r="AC272" s="1"/>
      <c r="AD272" s="1"/>
      <c r="AE272" s="1"/>
      <c r="AF272" s="1"/>
      <c r="AG272" s="1" t="str">
        <f>IFERROR(__xludf.DUMMYFUNCTION("""COMPUTED_VALUE"""),"Land of Spira")</f>
        <v>Land of Spira</v>
      </c>
      <c r="AH272" s="1" t="b">
        <f>IFERROR(__xludf.DUMMYFUNCTION("""COMPUTED_VALUE"""),TRUE)</f>
        <v>1</v>
      </c>
    </row>
    <row r="273">
      <c r="A273" s="1" t="str">
        <f>IFERROR(__xludf.DUMMYFUNCTION("""COMPUTED_VALUE"""),"Stone Sledgehammer")</f>
        <v>Stone Sledgehammer</v>
      </c>
      <c r="B273" s="1" t="str">
        <f>IFERROR(__xludf.DUMMYFUNCTION("""COMPUTED_VALUE"""),"Hand")</f>
        <v>Hand</v>
      </c>
      <c r="C273" s="1"/>
      <c r="D273" s="1" t="str">
        <f>IFERROR(__xludf.DUMMYFUNCTION("""COMPUTED_VALUE"""),"Club")</f>
        <v>Club</v>
      </c>
      <c r="E273" s="1">
        <f>IFERROR(__xludf.DUMMYFUNCTION("""COMPUTED_VALUE"""),20.0)</f>
        <v>20</v>
      </c>
      <c r="F273" s="2">
        <f>IFERROR(__xludf.DUMMYFUNCTION("""COMPUTED_VALUE"""),1000.0)</f>
        <v>1000</v>
      </c>
      <c r="G273" s="1" t="str">
        <f>IFERROR(__xludf.DUMMYFUNCTION("""COMPUTED_VALUE"""),"DMG")</f>
        <v>DMG</v>
      </c>
      <c r="H273" s="1">
        <f>IFERROR(__xludf.DUMMYFUNCTION("""COMPUTED_VALUE"""),400.0)</f>
        <v>400</v>
      </c>
      <c r="I273" s="1"/>
      <c r="J273" s="1"/>
      <c r="K273" s="1"/>
      <c r="L273" s="1"/>
      <c r="M273" s="1">
        <f>IFERROR(__xludf.DUMMYFUNCTION("""COMPUTED_VALUE"""),200.0)</f>
        <v>200</v>
      </c>
      <c r="N273" s="1"/>
      <c r="O273" s="1"/>
      <c r="P273" s="1"/>
      <c r="Q273" s="1"/>
      <c r="R273" s="1"/>
      <c r="S273" s="1"/>
      <c r="T273" s="1"/>
      <c r="U273" s="1"/>
      <c r="V273" s="1"/>
      <c r="W273" s="1"/>
      <c r="X273" s="1"/>
      <c r="Y273" s="1"/>
      <c r="Z273" s="1"/>
      <c r="AA273" s="1"/>
      <c r="AB273" s="1"/>
      <c r="AC273" s="1"/>
      <c r="AD273" s="1"/>
      <c r="AE273" s="1"/>
      <c r="AF273" s="1"/>
      <c r="AG273" s="1" t="str">
        <f>IFERROR(__xludf.DUMMYFUNCTION("""COMPUTED_VALUE"""),"Land of Spira")</f>
        <v>Land of Spira</v>
      </c>
      <c r="AH273" s="1" t="b">
        <f>IFERROR(__xludf.DUMMYFUNCTION("""COMPUTED_VALUE"""),TRUE)</f>
        <v>1</v>
      </c>
    </row>
    <row r="274">
      <c r="A274" s="1" t="str">
        <f>IFERROR(__xludf.DUMMYFUNCTION("""COMPUTED_VALUE"""),"Stone Small Shield")</f>
        <v>Stone Small Shield</v>
      </c>
      <c r="B274" s="1" t="str">
        <f>IFERROR(__xludf.DUMMYFUNCTION("""COMPUTED_VALUE"""),"Hand")</f>
        <v>Hand</v>
      </c>
      <c r="C274" s="1"/>
      <c r="D274" s="1" t="str">
        <f>IFERROR(__xludf.DUMMYFUNCTION("""COMPUTED_VALUE"""),"Buckler")</f>
        <v>Buckler</v>
      </c>
      <c r="E274" s="1">
        <f>IFERROR(__xludf.DUMMYFUNCTION("""COMPUTED_VALUE"""),1.0)</f>
        <v>1</v>
      </c>
      <c r="F274" s="2">
        <f>IFERROR(__xludf.DUMMYFUNCTION("""COMPUTED_VALUE"""),0.0)</f>
        <v>0</v>
      </c>
      <c r="G274" s="1" t="str">
        <f>IFERROR(__xludf.DUMMYFUNCTION("""COMPUTED_VALUE"""),"DEF")</f>
        <v>DEF</v>
      </c>
      <c r="H274" s="1">
        <f>IFERROR(__xludf.DUMMYFUNCTION("""COMPUTED_VALUE"""),100.0)</f>
        <v>100</v>
      </c>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t="str">
        <f>IFERROR(__xludf.DUMMYFUNCTION("""COMPUTED_VALUE"""),"Land of Spira")</f>
        <v>Land of Spira</v>
      </c>
      <c r="AH274" s="1" t="b">
        <f>IFERROR(__xludf.DUMMYFUNCTION("""COMPUTED_VALUE"""),TRUE)</f>
        <v>1</v>
      </c>
    </row>
    <row r="275">
      <c r="A275" s="1" t="str">
        <f>IFERROR(__xludf.DUMMYFUNCTION("""COMPUTED_VALUE"""),"Stonewall Shield")</f>
        <v>Stonewall Shield</v>
      </c>
      <c r="B275" s="1" t="str">
        <f>IFERROR(__xludf.DUMMYFUNCTION("""COMPUTED_VALUE"""),"Hand")</f>
        <v>Hand</v>
      </c>
      <c r="C275" s="1"/>
      <c r="D275" s="1" t="str">
        <f>IFERROR(__xludf.DUMMYFUNCTION("""COMPUTED_VALUE"""),"Towershield")</f>
        <v>Towershield</v>
      </c>
      <c r="E275" s="1">
        <f>IFERROR(__xludf.DUMMYFUNCTION("""COMPUTED_VALUE"""),10.0)</f>
        <v>10</v>
      </c>
      <c r="F275" s="2">
        <f>IFERROR(__xludf.DUMMYFUNCTION("""COMPUTED_VALUE"""),1000.0)</f>
        <v>1000</v>
      </c>
      <c r="G275" s="1" t="str">
        <f>IFERROR(__xludf.DUMMYFUNCTION("""COMPUTED_VALUE"""),"DEF")</f>
        <v>DEF</v>
      </c>
      <c r="H275" s="1">
        <f>IFERROR(__xludf.DUMMYFUNCTION("""COMPUTED_VALUE"""),500.0)</f>
        <v>500</v>
      </c>
      <c r="I275" s="1"/>
      <c r="J275" s="1"/>
      <c r="K275" s="1"/>
      <c r="L275" s="1"/>
      <c r="M275" s="1"/>
      <c r="N275" s="1"/>
      <c r="O275" s="1"/>
      <c r="P275" s="1"/>
      <c r="Q275" s="1"/>
      <c r="R275" s="1"/>
      <c r="S275" s="1"/>
      <c r="T275" s="1"/>
      <c r="U275" s="1"/>
      <c r="V275" s="1"/>
      <c r="W275" s="1"/>
      <c r="X275" s="1"/>
      <c r="Y275" s="1"/>
      <c r="Z275" s="1"/>
      <c r="AA275" s="1"/>
      <c r="AB275" s="1"/>
      <c r="AC275" s="1"/>
      <c r="AD275" s="1"/>
      <c r="AE275" s="1"/>
      <c r="AF275" s="1" t="str">
        <f>IFERROR(__xludf.DUMMYFUNCTION("""COMPUTED_VALUE"""),"++Immunity to earth")</f>
        <v>++Immunity to earth</v>
      </c>
      <c r="AG275" s="1" t="str">
        <f>IFERROR(__xludf.DUMMYFUNCTION("""COMPUTED_VALUE"""),"Land of Spira")</f>
        <v>Land of Spira</v>
      </c>
      <c r="AH275" s="1" t="b">
        <f>IFERROR(__xludf.DUMMYFUNCTION("""COMPUTED_VALUE"""),TRUE)</f>
        <v>1</v>
      </c>
    </row>
    <row r="276">
      <c r="A276" s="1" t="str">
        <f>IFERROR(__xludf.DUMMYFUNCTION("""COMPUTED_VALUE"""),"Sturdy Wooden Shield")</f>
        <v>Sturdy Wooden Shield</v>
      </c>
      <c r="B276" s="1" t="str">
        <f>IFERROR(__xludf.DUMMYFUNCTION("""COMPUTED_VALUE"""),"Hand")</f>
        <v>Hand</v>
      </c>
      <c r="C276" s="1" t="str">
        <f>IFERROR(__xludf.DUMMYFUNCTION("""COMPUTED_VALUE"""),"A wooden shield")</f>
        <v>A wooden shield</v>
      </c>
      <c r="D276" s="1" t="str">
        <f>IFERROR(__xludf.DUMMYFUNCTION("""COMPUTED_VALUE"""),"Towershield")</f>
        <v>Towershield</v>
      </c>
      <c r="E276" s="1">
        <f>IFERROR(__xludf.DUMMYFUNCTION("""COMPUTED_VALUE"""),1.0)</f>
        <v>1</v>
      </c>
      <c r="F276" s="2">
        <f>IFERROR(__xludf.DUMMYFUNCTION("""COMPUTED_VALUE"""),0.0)</f>
        <v>0</v>
      </c>
      <c r="G276" s="1" t="str">
        <f>IFERROR(__xludf.DUMMYFUNCTION("""COMPUTED_VALUE"""),"DEF")</f>
        <v>DEF</v>
      </c>
      <c r="H276" s="1">
        <f>IFERROR(__xludf.DUMMYFUNCTION("""COMPUTED_VALUE"""),50.0)</f>
        <v>50</v>
      </c>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t="str">
        <f>IFERROR(__xludf.DUMMYFUNCTION("""COMPUTED_VALUE"""),"Land of Spira")</f>
        <v>Land of Spira</v>
      </c>
      <c r="AH276" s="1" t="b">
        <f>IFERROR(__xludf.DUMMYFUNCTION("""COMPUTED_VALUE"""),TRUE)</f>
        <v>1</v>
      </c>
    </row>
    <row r="277">
      <c r="A277" s="1" t="str">
        <f>IFERROR(__xludf.DUMMYFUNCTION("""COMPUTED_VALUE"""),"Swampville Dagger")</f>
        <v>Swampville Dagger</v>
      </c>
      <c r="B277" s="1" t="str">
        <f>IFERROR(__xludf.DUMMYFUNCTION("""COMPUTED_VALUE"""),"Hand")</f>
        <v>Hand</v>
      </c>
      <c r="C277" s="1"/>
      <c r="D277" s="1" t="str">
        <f>IFERROR(__xludf.DUMMYFUNCTION("""COMPUTED_VALUE"""),"Knife")</f>
        <v>Knife</v>
      </c>
      <c r="E277" s="1">
        <f>IFERROR(__xludf.DUMMYFUNCTION("""COMPUTED_VALUE"""),400.0)</f>
        <v>400</v>
      </c>
      <c r="F277" s="2">
        <f>IFERROR(__xludf.DUMMYFUNCTION("""COMPUTED_VALUE"""),7800000.0)</f>
        <v>7800000</v>
      </c>
      <c r="G277" s="1" t="str">
        <f>IFERROR(__xludf.DUMMYFUNCTION("""COMPUTED_VALUE"""),"DMG")</f>
        <v>DMG</v>
      </c>
      <c r="H277" s="3">
        <f>IFERROR(__xludf.DUMMYFUNCTION("""COMPUTED_VALUE"""),10000.0)</f>
        <v>10000</v>
      </c>
      <c r="I277" s="1"/>
      <c r="J277" s="1"/>
      <c r="K277" s="1"/>
      <c r="L277" s="1"/>
      <c r="M277" s="1"/>
      <c r="N277" s="1"/>
      <c r="O277" s="1"/>
      <c r="P277" s="1"/>
      <c r="Q277" s="1"/>
      <c r="R277" s="1"/>
      <c r="S277" s="3">
        <f>IFERROR(__xludf.DUMMYFUNCTION("""COMPUTED_VALUE"""),10000.0)</f>
        <v>10000</v>
      </c>
      <c r="T277" s="1"/>
      <c r="U277" s="1"/>
      <c r="V277" s="1"/>
      <c r="W277" s="1"/>
      <c r="X277" s="1"/>
      <c r="Y277" s="1"/>
      <c r="Z277" s="1"/>
      <c r="AA277" s="1"/>
      <c r="AB277" s="1"/>
      <c r="AC277" s="1"/>
      <c r="AD277" s="1"/>
      <c r="AE277" s="1"/>
      <c r="AF277" s="1" t="str">
        <f>IFERROR(__xludf.DUMMYFUNCTION("""COMPUTED_VALUE"""),"++Poison 5000 for 3 rounds.")</f>
        <v>++Poison 5000 for 3 rounds.</v>
      </c>
      <c r="AG277" s="1" t="str">
        <f>IFERROR(__xludf.DUMMYFUNCTION("""COMPUTED_VALUE"""),"Land of Spira")</f>
        <v>Land of Spira</v>
      </c>
      <c r="AH277" s="1" t="b">
        <f>IFERROR(__xludf.DUMMYFUNCTION("""COMPUTED_VALUE"""),TRUE)</f>
        <v>1</v>
      </c>
    </row>
    <row r="278">
      <c r="A278" s="1" t="str">
        <f>IFERROR(__xludf.DUMMYFUNCTION("""COMPUTED_VALUE"""),"Sword of Bad Luck")</f>
        <v>Sword of Bad Luck</v>
      </c>
      <c r="B278" s="1" t="str">
        <f>IFERROR(__xludf.DUMMYFUNCTION("""COMPUTED_VALUE"""),"Hand")</f>
        <v>Hand</v>
      </c>
      <c r="C278" s="1"/>
      <c r="D278" s="1" t="str">
        <f>IFERROR(__xludf.DUMMYFUNCTION("""COMPUTED_VALUE"""),"Sword")</f>
        <v>Sword</v>
      </c>
      <c r="E278" s="1">
        <f>IFERROR(__xludf.DUMMYFUNCTION("""COMPUTED_VALUE"""),600.0)</f>
        <v>600</v>
      </c>
      <c r="F278" s="2">
        <f>IFERROR(__xludf.DUMMYFUNCTION("""COMPUTED_VALUE"""),1.77E7)</f>
        <v>17700000</v>
      </c>
      <c r="G278" s="1" t="str">
        <f>IFERROR(__xludf.DUMMYFUNCTION("""COMPUTED_VALUE"""),"DMG")</f>
        <v>DMG</v>
      </c>
      <c r="H278" s="3">
        <f>IFERROR(__xludf.DUMMYFUNCTION("""COMPUTED_VALUE"""),30000.0)</f>
        <v>30000</v>
      </c>
      <c r="I278" s="1"/>
      <c r="J278" s="1"/>
      <c r="K278" s="1"/>
      <c r="L278" s="1"/>
      <c r="M278" s="1"/>
      <c r="N278" s="1"/>
      <c r="O278" s="1"/>
      <c r="P278" s="1"/>
      <c r="Q278" s="1"/>
      <c r="R278" s="1"/>
      <c r="S278" s="1"/>
      <c r="T278" s="1"/>
      <c r="U278" s="1"/>
      <c r="V278" s="1"/>
      <c r="W278" s="1"/>
      <c r="X278" s="1"/>
      <c r="Y278" s="1"/>
      <c r="Z278" s="1"/>
      <c r="AA278" s="1"/>
      <c r="AB278" s="1"/>
      <c r="AC278" s="1"/>
      <c r="AD278" s="1"/>
      <c r="AE278" s="1"/>
      <c r="AF278" s="1" t="str">
        <f>IFERROR(__xludf.DUMMYFUNCTION("""COMPUTED_VALUE"""),"++GSteal - Steal X amount of gilders equal to the amount of damage caused with this weapon.")</f>
        <v>++GSteal - Steal X amount of gilders equal to the amount of damage caused with this weapon.</v>
      </c>
      <c r="AG278" s="1" t="str">
        <f>IFERROR(__xludf.DUMMYFUNCTION("""COMPUTED_VALUE"""),"Land of The Forgotten")</f>
        <v>Land of The Forgotten</v>
      </c>
      <c r="AH278" s="1" t="b">
        <f>IFERROR(__xludf.DUMMYFUNCTION("""COMPUTED_VALUE"""),FALSE)</f>
        <v>0</v>
      </c>
    </row>
    <row r="279">
      <c r="A279" s="1" t="str">
        <f>IFERROR(__xludf.DUMMYFUNCTION("""COMPUTED_VALUE"""),"Sword of Chaotic Shadows")</f>
        <v>Sword of Chaotic Shadows</v>
      </c>
      <c r="B279" s="1" t="str">
        <f>IFERROR(__xludf.DUMMYFUNCTION("""COMPUTED_VALUE"""),"Hand")</f>
        <v>Hand</v>
      </c>
      <c r="C279" s="1"/>
      <c r="D279" s="1" t="str">
        <f>IFERROR(__xludf.DUMMYFUNCTION("""COMPUTED_VALUE"""),"Sword")</f>
        <v>Sword</v>
      </c>
      <c r="E279" s="1">
        <f>IFERROR(__xludf.DUMMYFUNCTION("""COMPUTED_VALUE"""),600.0)</f>
        <v>600</v>
      </c>
      <c r="F279" s="2">
        <f>IFERROR(__xludf.DUMMYFUNCTION("""COMPUTED_VALUE"""),1.77E7)</f>
        <v>17700000</v>
      </c>
      <c r="G279" s="1" t="str">
        <f>IFERROR(__xludf.DUMMYFUNCTION("""COMPUTED_VALUE"""),"DMG")</f>
        <v>DMG</v>
      </c>
      <c r="H279" s="3">
        <f>IFERROR(__xludf.DUMMYFUNCTION("""COMPUTED_VALUE"""),10000.0)</f>
        <v>10000</v>
      </c>
      <c r="I279" s="1"/>
      <c r="J279" s="1"/>
      <c r="K279" s="1"/>
      <c r="L279" s="1"/>
      <c r="M279" s="1"/>
      <c r="N279" s="1"/>
      <c r="O279" s="3">
        <f>IFERROR(__xludf.DUMMYFUNCTION("""COMPUTED_VALUE"""),10000.0)</f>
        <v>10000</v>
      </c>
      <c r="P279" s="1"/>
      <c r="Q279" s="1"/>
      <c r="R279" s="3">
        <f>IFERROR(__xludf.DUMMYFUNCTION("""COMPUTED_VALUE"""),10000.0)</f>
        <v>10000</v>
      </c>
      <c r="S279" s="1"/>
      <c r="T279" s="1"/>
      <c r="U279" s="1"/>
      <c r="V279" s="1"/>
      <c r="W279" s="1"/>
      <c r="X279" s="1"/>
      <c r="Y279" s="1"/>
      <c r="Z279" s="1"/>
      <c r="AA279" s="1"/>
      <c r="AB279" s="1"/>
      <c r="AC279" s="1"/>
      <c r="AD279" s="1"/>
      <c r="AE279" s="1"/>
      <c r="AF279" s="1"/>
      <c r="AG279" s="1" t="str">
        <f>IFERROR(__xludf.DUMMYFUNCTION("""COMPUTED_VALUE"""),"Land of Spira")</f>
        <v>Land of Spira</v>
      </c>
      <c r="AH279" s="1" t="b">
        <f>IFERROR(__xludf.DUMMYFUNCTION("""COMPUTED_VALUE"""),TRUE)</f>
        <v>1</v>
      </c>
    </row>
    <row r="280">
      <c r="A280" s="1" t="str">
        <f>IFERROR(__xludf.DUMMYFUNCTION("""COMPUTED_VALUE"""),"Sword Of Darkness")</f>
        <v>Sword Of Darkness</v>
      </c>
      <c r="B280" s="1" t="str">
        <f>IFERROR(__xludf.DUMMYFUNCTION("""COMPUTED_VALUE"""),"Hand")</f>
        <v>Hand</v>
      </c>
      <c r="C280" s="1"/>
      <c r="D280" s="1" t="str">
        <f>IFERROR(__xludf.DUMMYFUNCTION("""COMPUTED_VALUE"""),"Sword")</f>
        <v>Sword</v>
      </c>
      <c r="E280" s="1">
        <f>IFERROR(__xludf.DUMMYFUNCTION("""COMPUTED_VALUE"""),20.0)</f>
        <v>20</v>
      </c>
      <c r="F280" s="2">
        <f>IFERROR(__xludf.DUMMYFUNCTION("""COMPUTED_VALUE"""),1000.0)</f>
        <v>1000</v>
      </c>
      <c r="G280" s="1" t="str">
        <f>IFERROR(__xludf.DUMMYFUNCTION("""COMPUTED_VALUE"""),"DMG")</f>
        <v>DMG</v>
      </c>
      <c r="H280" s="1">
        <f>IFERROR(__xludf.DUMMYFUNCTION("""COMPUTED_VALUE"""),500.0)</f>
        <v>500</v>
      </c>
      <c r="I280" s="1"/>
      <c r="J280" s="1"/>
      <c r="K280" s="1"/>
      <c r="L280" s="1"/>
      <c r="M280" s="1"/>
      <c r="N280" s="1"/>
      <c r="O280" s="1">
        <f>IFERROR(__xludf.DUMMYFUNCTION("""COMPUTED_VALUE"""),200.0)</f>
        <v>200</v>
      </c>
      <c r="P280" s="1"/>
      <c r="Q280" s="1"/>
      <c r="R280" s="1"/>
      <c r="S280" s="1"/>
      <c r="T280" s="1"/>
      <c r="U280" s="1"/>
      <c r="V280" s="1"/>
      <c r="W280" s="1"/>
      <c r="X280" s="1"/>
      <c r="Y280" s="1"/>
      <c r="Z280" s="1"/>
      <c r="AA280" s="1"/>
      <c r="AB280" s="1"/>
      <c r="AC280" s="1"/>
      <c r="AD280" s="1"/>
      <c r="AE280" s="1"/>
      <c r="AF280" s="1"/>
      <c r="AG280" s="1" t="str">
        <f>IFERROR(__xludf.DUMMYFUNCTION("""COMPUTED_VALUE"""),"Land of Spira")</f>
        <v>Land of Spira</v>
      </c>
      <c r="AH280" s="1" t="b">
        <f>IFERROR(__xludf.DUMMYFUNCTION("""COMPUTED_VALUE"""),TRUE)</f>
        <v>1</v>
      </c>
    </row>
    <row r="281">
      <c r="A281" s="1" t="str">
        <f>IFERROR(__xludf.DUMMYFUNCTION("""COMPUTED_VALUE"""),"Sword of Disorder")</f>
        <v>Sword of Disorder</v>
      </c>
      <c r="B281" s="1" t="str">
        <f>IFERROR(__xludf.DUMMYFUNCTION("""COMPUTED_VALUE"""),"Hand")</f>
        <v>Hand</v>
      </c>
      <c r="C281" s="1"/>
      <c r="D281" s="1" t="str">
        <f>IFERROR(__xludf.DUMMYFUNCTION("""COMPUTED_VALUE"""),"Sword")</f>
        <v>Sword</v>
      </c>
      <c r="E281" s="1">
        <f>IFERROR(__xludf.DUMMYFUNCTION("""COMPUTED_VALUE"""),1.0)</f>
        <v>1</v>
      </c>
      <c r="F281" s="2">
        <f>IFERROR(__xludf.DUMMYFUNCTION("""COMPUTED_VALUE"""),0.0)</f>
        <v>0</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t="str">
        <f>IFERROR(__xludf.DUMMYFUNCTION("""COMPUTED_VALUE"""),"++Make a fail or succeed roll while attacking to determine the effect. Fail = 1 damage. Succeed = 50,000 Chaos damage.
")</f>
        <v>++Make a fail or succeed roll while attacking to determine the effect. Fail = 1 damage. Succeed = 50,000 Chaos damage.
</v>
      </c>
      <c r="AG281" s="1" t="str">
        <f>IFERROR(__xludf.DUMMYFUNCTION("""COMPUTED_VALUE"""),"Land of Spira")</f>
        <v>Land of Spira</v>
      </c>
      <c r="AH281" s="1" t="b">
        <f>IFERROR(__xludf.DUMMYFUNCTION("""COMPUTED_VALUE"""),FALSE)</f>
        <v>0</v>
      </c>
    </row>
    <row r="282">
      <c r="A282" s="1" t="str">
        <f>IFERROR(__xludf.DUMMYFUNCTION("""COMPUTED_VALUE"""),"Sword Of Divine Flames")</f>
        <v>Sword Of Divine Flames</v>
      </c>
      <c r="B282" s="1" t="str">
        <f>IFERROR(__xludf.DUMMYFUNCTION("""COMPUTED_VALUE"""),"Hand")</f>
        <v>Hand</v>
      </c>
      <c r="C282" s="1"/>
      <c r="D282" s="1" t="str">
        <f>IFERROR(__xludf.DUMMYFUNCTION("""COMPUTED_VALUE"""),"Sword")</f>
        <v>Sword</v>
      </c>
      <c r="E282" s="1">
        <f>IFERROR(__xludf.DUMMYFUNCTION("""COMPUTED_VALUE"""),300.0)</f>
        <v>300</v>
      </c>
      <c r="F282" s="2">
        <f>IFERROR(__xludf.DUMMYFUNCTION("""COMPUTED_VALUE"""),4350000.0)</f>
        <v>4350000</v>
      </c>
      <c r="G282" s="1" t="str">
        <f>IFERROR(__xludf.DUMMYFUNCTION("""COMPUTED_VALUE"""),"DMG")</f>
        <v>DMG</v>
      </c>
      <c r="H282" s="1">
        <f>IFERROR(__xludf.DUMMYFUNCTION("""COMPUTED_VALUE"""),10000.0)</f>
        <v>10000</v>
      </c>
      <c r="I282" s="1">
        <f>IFERROR(__xludf.DUMMYFUNCTION("""COMPUTED_VALUE"""),5000.0)</f>
        <v>5000</v>
      </c>
      <c r="J282" s="1"/>
      <c r="K282" s="1"/>
      <c r="L282" s="1"/>
      <c r="M282" s="1"/>
      <c r="N282" s="1"/>
      <c r="O282" s="1"/>
      <c r="P282" s="1"/>
      <c r="Q282" s="1"/>
      <c r="R282" s="1"/>
      <c r="S282" s="1"/>
      <c r="T282" s="1"/>
      <c r="U282" s="1"/>
      <c r="V282" s="1"/>
      <c r="W282" s="1"/>
      <c r="X282" s="1"/>
      <c r="Y282" s="1"/>
      <c r="Z282" s="1"/>
      <c r="AA282" s="1"/>
      <c r="AB282" s="1"/>
      <c r="AC282" s="1"/>
      <c r="AD282" s="1"/>
      <c r="AE282" s="1"/>
      <c r="AF282" s="1" t="str">
        <f>IFERROR(__xludf.DUMMYFUNCTION("""COMPUTED_VALUE"""),"++Divine Flame - Fire spells and weapons will deal an additional X2 damage while this weapon is equipped")</f>
        <v>++Divine Flame - Fire spells and weapons will deal an additional X2 damage while this weapon is equipped</v>
      </c>
      <c r="AG282" s="1" t="str">
        <f>IFERROR(__xludf.DUMMYFUNCTION("""COMPUTED_VALUE"""),"Land of Spira")</f>
        <v>Land of Spira</v>
      </c>
      <c r="AH282" s="1" t="b">
        <f>IFERROR(__xludf.DUMMYFUNCTION("""COMPUTED_VALUE"""),FALSE)</f>
        <v>0</v>
      </c>
    </row>
    <row r="283">
      <c r="A283" s="1" t="str">
        <f>IFERROR(__xludf.DUMMYFUNCTION("""COMPUTED_VALUE"""),"Sword of Eternal darkness")</f>
        <v>Sword of Eternal darkness</v>
      </c>
      <c r="B283" s="1" t="str">
        <f>IFERROR(__xludf.DUMMYFUNCTION("""COMPUTED_VALUE"""),"Hand")</f>
        <v>Hand</v>
      </c>
      <c r="C283" s="1"/>
      <c r="D283" s="1" t="str">
        <f>IFERROR(__xludf.DUMMYFUNCTION("""COMPUTED_VALUE"""),"Sword")</f>
        <v>Sword</v>
      </c>
      <c r="E283" s="1">
        <f>IFERROR(__xludf.DUMMYFUNCTION("""COMPUTED_VALUE"""),30.0)</f>
        <v>30</v>
      </c>
      <c r="F283" s="2">
        <f>IFERROR(__xludf.DUMMYFUNCTION("""COMPUTED_VALUE"""),10000.0)</f>
        <v>10000</v>
      </c>
      <c r="G283" s="1" t="str">
        <f>IFERROR(__xludf.DUMMYFUNCTION("""COMPUTED_VALUE"""),"DMG")</f>
        <v>DMG</v>
      </c>
      <c r="H283" s="1">
        <f>IFERROR(__xludf.DUMMYFUNCTION("""COMPUTED_VALUE"""),500.0)</f>
        <v>500</v>
      </c>
      <c r="I283" s="1"/>
      <c r="J283" s="1"/>
      <c r="K283" s="1"/>
      <c r="L283" s="1"/>
      <c r="M283" s="1"/>
      <c r="N283" s="1"/>
      <c r="O283" s="1">
        <f>IFERROR(__xludf.DUMMYFUNCTION("""COMPUTED_VALUE"""),600.0)</f>
        <v>600</v>
      </c>
      <c r="P283" s="1"/>
      <c r="Q283" s="1"/>
      <c r="R283" s="1"/>
      <c r="S283" s="1"/>
      <c r="T283" s="1"/>
      <c r="U283" s="1"/>
      <c r="V283" s="1"/>
      <c r="W283" s="1"/>
      <c r="X283" s="1"/>
      <c r="Y283" s="1"/>
      <c r="Z283" s="1"/>
      <c r="AA283" s="1"/>
      <c r="AB283" s="1"/>
      <c r="AC283" s="1"/>
      <c r="AD283" s="1"/>
      <c r="AE283" s="1"/>
      <c r="AF283" s="1"/>
      <c r="AG283" s="1" t="str">
        <f>IFERROR(__xludf.DUMMYFUNCTION("""COMPUTED_VALUE"""),"Land of Spira")</f>
        <v>Land of Spira</v>
      </c>
      <c r="AH283" s="1" t="b">
        <f>IFERROR(__xludf.DUMMYFUNCTION("""COMPUTED_VALUE"""),TRUE)</f>
        <v>1</v>
      </c>
    </row>
    <row r="284">
      <c r="A284" s="1" t="str">
        <f>IFERROR(__xludf.DUMMYFUNCTION("""COMPUTED_VALUE"""),"Hela's Death Scythe")</f>
        <v>Hela's Death Scythe</v>
      </c>
      <c r="B284" s="1" t="str">
        <f>IFERROR(__xludf.DUMMYFUNCTION("""COMPUTED_VALUE"""),"Hand")</f>
        <v>Hand</v>
      </c>
      <c r="C284" s="1"/>
      <c r="D284" s="1" t="str">
        <f>IFERROR(__xludf.DUMMYFUNCTION("""COMPUTED_VALUE"""),"Scythe")</f>
        <v>Scythe</v>
      </c>
      <c r="E284" s="1">
        <f>IFERROR(__xludf.DUMMYFUNCTION("""COMPUTED_VALUE"""),1.0)</f>
        <v>1</v>
      </c>
      <c r="F284" s="2">
        <f>IFERROR(__xludf.DUMMYFUNCTION("""COMPUTED_VALUE"""),0.0)</f>
        <v>0</v>
      </c>
      <c r="G284" s="1" t="str">
        <f>IFERROR(__xludf.DUMMYFUNCTION("""COMPUTED_VALUE"""),"DMG")</f>
        <v>DMG</v>
      </c>
      <c r="H284" s="3">
        <f>IFERROR(__xludf.DUMMYFUNCTION("""COMPUTED_VALUE"""),0.0)</f>
        <v>0</v>
      </c>
      <c r="I284" s="1"/>
      <c r="J284" s="1"/>
      <c r="K284" s="1"/>
      <c r="L284" s="1"/>
      <c r="M284" s="1"/>
      <c r="N284" s="1"/>
      <c r="O284" s="1"/>
      <c r="P284" s="3">
        <f>IFERROR(__xludf.DUMMYFUNCTION("""COMPUTED_VALUE"""),0.0)</f>
        <v>0</v>
      </c>
      <c r="Q284" s="1"/>
      <c r="R284" s="1"/>
      <c r="S284" s="1"/>
      <c r="T284" s="1"/>
      <c r="U284" s="1"/>
      <c r="V284" s="1"/>
      <c r="W284" s="1"/>
      <c r="X284" s="1"/>
      <c r="Y284" s="1"/>
      <c r="Z284" s="1"/>
      <c r="AA284" s="1"/>
      <c r="AB284" s="1"/>
      <c r="AC284" s="1"/>
      <c r="AD284" s="1"/>
      <c r="AE284" s="1"/>
      <c r="AF284" s="1" t="str">
        <f>IFERROR(__xludf.DUMMYFUNCTION("""COMPUTED_VALUE"""),"++Soul Enhanced - This sword can be enchanted with any soul to increase its Natural and Spirit damage, Each soul enchanted into this sword gives it an additional 200 natural and spirit damage. +-Cannot be forged +-Cannot be duplicated
Souls 0/3000")</f>
        <v>++Soul Enhanced - This sword can be enchanted with any soul to increase its Natural and Spirit damage, Each soul enchanted into this sword gives it an additional 200 natural and spirit damage. +-Cannot be forged +-Cannot be duplicated
Souls 0/3000</v>
      </c>
      <c r="AG284" s="1" t="str">
        <f>IFERROR(__xludf.DUMMYFUNCTION("""COMPUTED_VALUE"""),"Abstara")</f>
        <v>Abstara</v>
      </c>
      <c r="AH284" s="1" t="b">
        <f>IFERROR(__xludf.DUMMYFUNCTION("""COMPUTED_VALUE"""),TRUE)</f>
        <v>1</v>
      </c>
    </row>
    <row r="285">
      <c r="A285" s="1" t="str">
        <f>IFERROR(__xludf.DUMMYFUNCTION("""COMPUTED_VALUE"""),"Sword of Nature’s Love")</f>
        <v>Sword of Nature’s Love</v>
      </c>
      <c r="B285" s="1" t="str">
        <f>IFERROR(__xludf.DUMMYFUNCTION("""COMPUTED_VALUE"""),"Hand")</f>
        <v>Hand</v>
      </c>
      <c r="C285" s="1"/>
      <c r="D285" s="1" t="str">
        <f>IFERROR(__xludf.DUMMYFUNCTION("""COMPUTED_VALUE"""),"Sword")</f>
        <v>Sword</v>
      </c>
      <c r="E285" s="1">
        <f>IFERROR(__xludf.DUMMYFUNCTION("""COMPUTED_VALUE"""),160.0)</f>
        <v>160</v>
      </c>
      <c r="F285" s="2">
        <f>IFERROR(__xludf.DUMMYFUNCTION("""COMPUTED_VALUE"""),1200000.0)</f>
        <v>1200000</v>
      </c>
      <c r="G285" s="1" t="str">
        <f>IFERROR(__xludf.DUMMYFUNCTION("""COMPUTED_VALUE"""),"DMG")</f>
        <v>DMG</v>
      </c>
      <c r="H285" s="3">
        <f>IFERROR(__xludf.DUMMYFUNCTION("""COMPUTED_VALUE"""),4000.0)</f>
        <v>4000</v>
      </c>
      <c r="I285" s="1"/>
      <c r="J285" s="1"/>
      <c r="K285" s="1"/>
      <c r="L285" s="1"/>
      <c r="M285" s="1"/>
      <c r="N285" s="1"/>
      <c r="O285" s="1"/>
      <c r="P285" s="1"/>
      <c r="Q285" s="1"/>
      <c r="R285" s="1"/>
      <c r="S285" s="3">
        <f>IFERROR(__xludf.DUMMYFUNCTION("""COMPUTED_VALUE"""),4000.0)</f>
        <v>4000</v>
      </c>
      <c r="T285" s="1"/>
      <c r="U285" s="1"/>
      <c r="V285" s="1"/>
      <c r="W285" s="1"/>
      <c r="X285" s="1"/>
      <c r="Y285" s="1"/>
      <c r="Z285" s="1"/>
      <c r="AA285" s="1"/>
      <c r="AB285" s="1"/>
      <c r="AC285" s="1"/>
      <c r="AD285" s="1"/>
      <c r="AE285" s="1"/>
      <c r="AF285" s="1" t="str">
        <f>IFERROR(__xludf.DUMMYFUNCTION("""COMPUTED_VALUE"""),"++Nature's Power - any damage dealt by this weapon gives HP back to the user equal to the damage dealt.")</f>
        <v>++Nature's Power - any damage dealt by this weapon gives HP back to the user equal to the damage dealt.</v>
      </c>
      <c r="AG285" s="1" t="str">
        <f>IFERROR(__xludf.DUMMYFUNCTION("""COMPUTED_VALUE"""),"Land of Spira")</f>
        <v>Land of Spira</v>
      </c>
      <c r="AH285" s="1" t="b">
        <f>IFERROR(__xludf.DUMMYFUNCTION("""COMPUTED_VALUE"""),FALSE)</f>
        <v>0</v>
      </c>
    </row>
    <row r="286">
      <c r="A286" s="1" t="str">
        <f>IFERROR(__xludf.DUMMYFUNCTION("""COMPUTED_VALUE"""),"Sword of Shadows")</f>
        <v>Sword of Shadows</v>
      </c>
      <c r="B286" s="1" t="str">
        <f>IFERROR(__xludf.DUMMYFUNCTION("""COMPUTED_VALUE"""),"Hand")</f>
        <v>Hand</v>
      </c>
      <c r="C286" s="1"/>
      <c r="D286" s="1" t="str">
        <f>IFERROR(__xludf.DUMMYFUNCTION("""COMPUTED_VALUE"""),"Sword")</f>
        <v>Sword</v>
      </c>
      <c r="E286" s="1">
        <f>IFERROR(__xludf.DUMMYFUNCTION("""COMPUTED_VALUE"""),30.0)</f>
        <v>30</v>
      </c>
      <c r="F286" s="2">
        <f>IFERROR(__xludf.DUMMYFUNCTION("""COMPUTED_VALUE"""),30000.0)</f>
        <v>30000</v>
      </c>
      <c r="G286" s="1" t="str">
        <f>IFERROR(__xludf.DUMMYFUNCTION("""COMPUTED_VALUE"""),"DMG")</f>
        <v>DMG</v>
      </c>
      <c r="H286" s="1">
        <f>IFERROR(__xludf.DUMMYFUNCTION("""COMPUTED_VALUE"""),1000.0)</f>
        <v>1000</v>
      </c>
      <c r="I286" s="1"/>
      <c r="J286" s="1"/>
      <c r="K286" s="1"/>
      <c r="L286" s="1"/>
      <c r="M286" s="1"/>
      <c r="N286" s="1"/>
      <c r="O286" s="1">
        <f>IFERROR(__xludf.DUMMYFUNCTION("""COMPUTED_VALUE"""),500.0)</f>
        <v>500</v>
      </c>
      <c r="P286" s="1"/>
      <c r="Q286" s="1"/>
      <c r="R286" s="1"/>
      <c r="S286" s="1"/>
      <c r="T286" s="1"/>
      <c r="U286" s="1"/>
      <c r="V286" s="1"/>
      <c r="W286" s="1"/>
      <c r="X286" s="1"/>
      <c r="Y286" s="1"/>
      <c r="Z286" s="1"/>
      <c r="AA286" s="1"/>
      <c r="AB286" s="1"/>
      <c r="AC286" s="1"/>
      <c r="AD286" s="1"/>
      <c r="AE286" s="1"/>
      <c r="AF286" s="1"/>
      <c r="AG286" s="1" t="str">
        <f>IFERROR(__xludf.DUMMYFUNCTION("""COMPUTED_VALUE"""),"Land of Spira")</f>
        <v>Land of Spira</v>
      </c>
      <c r="AH286" s="1" t="b">
        <f>IFERROR(__xludf.DUMMYFUNCTION("""COMPUTED_VALUE"""),TRUE)</f>
        <v>1</v>
      </c>
    </row>
    <row r="287">
      <c r="A287" s="1" t="str">
        <f>IFERROR(__xludf.DUMMYFUNCTION("""COMPUTED_VALUE"""),"Sword of Steel")</f>
        <v>Sword of Steel</v>
      </c>
      <c r="B287" s="1" t="str">
        <f>IFERROR(__xludf.DUMMYFUNCTION("""COMPUTED_VALUE"""),"Hand")</f>
        <v>Hand</v>
      </c>
      <c r="C287" s="1"/>
      <c r="D287" s="1" t="str">
        <f>IFERROR(__xludf.DUMMYFUNCTION("""COMPUTED_VALUE"""),"Sword")</f>
        <v>Sword</v>
      </c>
      <c r="E287" s="1">
        <f>IFERROR(__xludf.DUMMYFUNCTION("""COMPUTED_VALUE"""),1.0)</f>
        <v>1</v>
      </c>
      <c r="F287" s="2">
        <f>IFERROR(__xludf.DUMMYFUNCTION("""COMPUTED_VALUE"""),0.0)</f>
        <v>0</v>
      </c>
      <c r="G287" s="1" t="str">
        <f>IFERROR(__xludf.DUMMYFUNCTION("""COMPUTED_VALUE"""),"DMG")</f>
        <v>DMG</v>
      </c>
      <c r="H287" s="1">
        <f>IFERROR(__xludf.DUMMYFUNCTION("""COMPUTED_VALUE"""),300.0)</f>
        <v>300</v>
      </c>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t="str">
        <f>IFERROR(__xludf.DUMMYFUNCTION("""COMPUTED_VALUE"""),"Land of Spira")</f>
        <v>Land of Spira</v>
      </c>
      <c r="AH287" s="1" t="b">
        <f>IFERROR(__xludf.DUMMYFUNCTION("""COMPUTED_VALUE"""),TRUE)</f>
        <v>1</v>
      </c>
    </row>
    <row r="288">
      <c r="A288" s="1" t="str">
        <f>IFERROR(__xludf.DUMMYFUNCTION("""COMPUTED_VALUE"""),"Sword of The Abyss")</f>
        <v>Sword of The Abyss</v>
      </c>
      <c r="B288" s="1" t="str">
        <f>IFERROR(__xludf.DUMMYFUNCTION("""COMPUTED_VALUE"""),"Hand")</f>
        <v>Hand</v>
      </c>
      <c r="C288" s="1"/>
      <c r="D288" s="1" t="str">
        <f>IFERROR(__xludf.DUMMYFUNCTION("""COMPUTED_VALUE"""),"Sword")</f>
        <v>Sword</v>
      </c>
      <c r="E288" s="1">
        <f>IFERROR(__xludf.DUMMYFUNCTION("""COMPUTED_VALUE"""),260.0)</f>
        <v>260</v>
      </c>
      <c r="F288" s="2">
        <f>IFERROR(__xludf.DUMMYFUNCTION("""COMPUTED_VALUE"""),3250000.0)</f>
        <v>3250000</v>
      </c>
      <c r="G288" s="1" t="str">
        <f>IFERROR(__xludf.DUMMYFUNCTION("""COMPUTED_VALUE"""),"DMG")</f>
        <v>DMG</v>
      </c>
      <c r="H288" s="1">
        <f>IFERROR(__xludf.DUMMYFUNCTION("""COMPUTED_VALUE"""),8000.0)</f>
        <v>8000</v>
      </c>
      <c r="I288" s="1"/>
      <c r="J288" s="1"/>
      <c r="K288" s="1"/>
      <c r="L288" s="1"/>
      <c r="M288" s="1"/>
      <c r="N288" s="1"/>
      <c r="O288" s="1">
        <f>IFERROR(__xludf.DUMMYFUNCTION("""COMPUTED_VALUE"""),5000.0)</f>
        <v>5000</v>
      </c>
      <c r="P288" s="1"/>
      <c r="Q288" s="1"/>
      <c r="R288" s="1"/>
      <c r="S288" s="1"/>
      <c r="T288" s="1"/>
      <c r="U288" s="1"/>
      <c r="V288" s="1"/>
      <c r="W288" s="1"/>
      <c r="X288" s="1"/>
      <c r="Y288" s="1"/>
      <c r="Z288" s="1"/>
      <c r="AA288" s="1"/>
      <c r="AB288" s="1"/>
      <c r="AC288" s="1"/>
      <c r="AD288" s="1"/>
      <c r="AE288" s="1"/>
      <c r="AF288" s="1" t="str">
        <f>IFERROR(__xludf.DUMMYFUNCTION("""COMPUTED_VALUE"""),"++Abyss Embodiment - dark damage is increased by X2 for the user.")</f>
        <v>++Abyss Embodiment - dark damage is increased by X2 for the user.</v>
      </c>
      <c r="AG288" s="1" t="str">
        <f>IFERROR(__xludf.DUMMYFUNCTION("""COMPUTED_VALUE"""),"Land of Spira")</f>
        <v>Land of Spira</v>
      </c>
      <c r="AH288" s="1" t="b">
        <f>IFERROR(__xludf.DUMMYFUNCTION("""COMPUTED_VALUE"""),FALSE)</f>
        <v>0</v>
      </c>
    </row>
    <row r="289">
      <c r="A289" s="1" t="str">
        <f>IFERROR(__xludf.DUMMYFUNCTION("""COMPUTED_VALUE"""),"Sword of The Ancient Fire Serpent")</f>
        <v>Sword of The Ancient Fire Serpent</v>
      </c>
      <c r="B289" s="1" t="str">
        <f>IFERROR(__xludf.DUMMYFUNCTION("""COMPUTED_VALUE"""),"Hand")</f>
        <v>Hand</v>
      </c>
      <c r="C289" s="1"/>
      <c r="D289" s="1" t="str">
        <f>IFERROR(__xludf.DUMMYFUNCTION("""COMPUTED_VALUE"""),"Sword")</f>
        <v>Sword</v>
      </c>
      <c r="E289" s="1">
        <f>IFERROR(__xludf.DUMMYFUNCTION("""COMPUTED_VALUE"""),2000.0)</f>
        <v>2000</v>
      </c>
      <c r="F289" s="2">
        <f>IFERROR(__xludf.DUMMYFUNCTION("""COMPUTED_VALUE"""),1.99E8)</f>
        <v>199000000</v>
      </c>
      <c r="G289" s="1" t="str">
        <f>IFERROR(__xludf.DUMMYFUNCTION("""COMPUTED_VALUE"""),"DMG")</f>
        <v>DMG</v>
      </c>
      <c r="H289" s="3">
        <f>IFERROR(__xludf.DUMMYFUNCTION("""COMPUTED_VALUE"""),50000.0)</f>
        <v>50000</v>
      </c>
      <c r="I289" s="3">
        <f>IFERROR(__xludf.DUMMYFUNCTION("""COMPUTED_VALUE"""),50000.0)</f>
        <v>50000</v>
      </c>
      <c r="J289" s="1"/>
      <c r="K289" s="1"/>
      <c r="L289" s="1"/>
      <c r="M289" s="1"/>
      <c r="N289" s="1"/>
      <c r="O289" s="1"/>
      <c r="P289" s="1"/>
      <c r="Q289" s="1"/>
      <c r="R289" s="1"/>
      <c r="S289" s="1"/>
      <c r="T289" s="1"/>
      <c r="U289" s="1"/>
      <c r="V289" s="1"/>
      <c r="W289" s="1"/>
      <c r="X289" s="1"/>
      <c r="Y289" s="1"/>
      <c r="Z289" s="1"/>
      <c r="AA289" s="1"/>
      <c r="AB289" s="1"/>
      <c r="AC289" s="1"/>
      <c r="AD289" s="1"/>
      <c r="AE289" s="1"/>
      <c r="AF289" s="1" t="str">
        <f>IFERROR(__xludf.DUMMYFUNCTION("""COMPUTED_VALUE"""),"++ Burn 50,000. ++Serpents Luck - +5 can be added to the users d20 rolls. +-Cannot be duplicated.")</f>
        <v>++ Burn 50,000. ++Serpents Luck - +5 can be added to the users d20 rolls. +-Cannot be duplicated.</v>
      </c>
      <c r="AG289" s="1" t="str">
        <f>IFERROR(__xludf.DUMMYFUNCTION("""COMPUTED_VALUE"""),"Land of Spira")</f>
        <v>Land of Spira</v>
      </c>
      <c r="AH289" s="1" t="b">
        <f>IFERROR(__xludf.DUMMYFUNCTION("""COMPUTED_VALUE"""),TRUE)</f>
        <v>1</v>
      </c>
    </row>
    <row r="290">
      <c r="A290" s="1" t="str">
        <f>IFERROR(__xludf.DUMMYFUNCTION("""COMPUTED_VALUE"""),"Sword of The Burning Forest")</f>
        <v>Sword of The Burning Forest</v>
      </c>
      <c r="B290" s="1" t="str">
        <f>IFERROR(__xludf.DUMMYFUNCTION("""COMPUTED_VALUE"""),"Hand")</f>
        <v>Hand</v>
      </c>
      <c r="C290" s="1" t="str">
        <f>IFERROR(__xludf.DUMMYFUNCTION("""COMPUTED_VALUE"""),"A sword forged by mekana to obliterate natural environments.")</f>
        <v>A sword forged by mekana to obliterate natural environments.</v>
      </c>
      <c r="D290" s="1" t="str">
        <f>IFERROR(__xludf.DUMMYFUNCTION("""COMPUTED_VALUE"""),"Sword")</f>
        <v>Sword</v>
      </c>
      <c r="E290" s="1">
        <f>IFERROR(__xludf.DUMMYFUNCTION("""COMPUTED_VALUE"""),600.0)</f>
        <v>600</v>
      </c>
      <c r="F290" s="2">
        <f>IFERROR(__xludf.DUMMYFUNCTION("""COMPUTED_VALUE"""),1.77E7)</f>
        <v>17700000</v>
      </c>
      <c r="G290" s="1" t="str">
        <f>IFERROR(__xludf.DUMMYFUNCTION("""COMPUTED_VALUE"""),"DMG")</f>
        <v>DMG</v>
      </c>
      <c r="H290" s="3">
        <f>IFERROR(__xludf.DUMMYFUNCTION("""COMPUTED_VALUE"""),20000.0)</f>
        <v>20000</v>
      </c>
      <c r="I290" s="3">
        <f>IFERROR(__xludf.DUMMYFUNCTION("""COMPUTED_VALUE"""),10000.0)</f>
        <v>10000</v>
      </c>
      <c r="J290" s="1"/>
      <c r="K290" s="1"/>
      <c r="L290" s="1"/>
      <c r="M290" s="1"/>
      <c r="N290" s="1"/>
      <c r="O290" s="1"/>
      <c r="P290" s="1"/>
      <c r="Q290" s="1"/>
      <c r="R290" s="1"/>
      <c r="S290" s="1"/>
      <c r="T290" s="1"/>
      <c r="U290" s="1"/>
      <c r="V290" s="1"/>
      <c r="W290" s="1"/>
      <c r="X290" s="1"/>
      <c r="Y290" s="1"/>
      <c r="Z290" s="1"/>
      <c r="AA290" s="1"/>
      <c r="AB290" s="1"/>
      <c r="AC290" s="1"/>
      <c r="AD290" s="1"/>
      <c r="AE290" s="1"/>
      <c r="AF290" s="1" t="str">
        <f>IFERROR(__xludf.DUMMYFUNCTION("""COMPUTED_VALUE"""),"++Forest Fire- Burn 10,000, x4 fire damage while in a natural environment.")</f>
        <v>++Forest Fire- Burn 10,000, x4 fire damage while in a natural environment.</v>
      </c>
      <c r="AG290" s="1" t="str">
        <f>IFERROR(__xludf.DUMMYFUNCTION("""COMPUTED_VALUE"""),"Land of Spira")</f>
        <v>Land of Spira</v>
      </c>
      <c r="AH290" s="1" t="b">
        <f>IFERROR(__xludf.DUMMYFUNCTION("""COMPUTED_VALUE"""),FALSE)</f>
        <v>0</v>
      </c>
    </row>
    <row r="291">
      <c r="A291" s="1" t="str">
        <f>IFERROR(__xludf.DUMMYFUNCTION("""COMPUTED_VALUE"""),"Sword of The Crystal Chosen")</f>
        <v>Sword of The Crystal Chosen</v>
      </c>
      <c r="B291" s="1" t="str">
        <f>IFERROR(__xludf.DUMMYFUNCTION("""COMPUTED_VALUE"""),"Hand")</f>
        <v>Hand</v>
      </c>
      <c r="C291" s="1"/>
      <c r="D291" s="1" t="str">
        <f>IFERROR(__xludf.DUMMYFUNCTION("""COMPUTED_VALUE"""),"Sword")</f>
        <v>Sword</v>
      </c>
      <c r="E291" s="1">
        <f>IFERROR(__xludf.DUMMYFUNCTION("""COMPUTED_VALUE"""),400.0)</f>
        <v>400</v>
      </c>
      <c r="F291" s="2">
        <f>IFERROR(__xludf.DUMMYFUNCTION("""COMPUTED_VALUE"""),7800000.0)</f>
        <v>7800000</v>
      </c>
      <c r="G291" s="1" t="str">
        <f>IFERROR(__xludf.DUMMYFUNCTION("""COMPUTED_VALUE"""),"DMG")</f>
        <v>DMG</v>
      </c>
      <c r="H291" s="3">
        <f>IFERROR(__xludf.DUMMYFUNCTION("""COMPUTED_VALUE"""),10000.0)</f>
        <v>10000</v>
      </c>
      <c r="I291" s="1"/>
      <c r="J291" s="1"/>
      <c r="K291" s="1"/>
      <c r="L291" s="1"/>
      <c r="M291" s="3">
        <f>IFERROR(__xludf.DUMMYFUNCTION("""COMPUTED_VALUE"""),10000.0)</f>
        <v>10000</v>
      </c>
      <c r="N291" s="1"/>
      <c r="O291" s="1"/>
      <c r="P291" s="1"/>
      <c r="Q291" s="1"/>
      <c r="R291" s="1"/>
      <c r="S291" s="1"/>
      <c r="T291" s="1"/>
      <c r="U291" s="1"/>
      <c r="V291" s="1"/>
      <c r="W291" s="1"/>
      <c r="X291" s="1"/>
      <c r="Y291" s="1"/>
      <c r="Z291" s="1"/>
      <c r="AA291" s="1"/>
      <c r="AB291" s="1"/>
      <c r="AC291" s="1"/>
      <c r="AD291" s="1"/>
      <c r="AE291" s="1"/>
      <c r="AF291" s="1" t="str">
        <f>IFERROR(__xludf.DUMMYFUNCTION("""COMPUTED_VALUE"""),"++The Chosen Crystal - When Equipped any damage dealt by a Crystal or Gem related weapon is X4. +-Cannot be duplicated.")</f>
        <v>++The Chosen Crystal - When Equipped any damage dealt by a Crystal or Gem related weapon is X4. +-Cannot be duplicated.</v>
      </c>
      <c r="AG291" s="1" t="str">
        <f>IFERROR(__xludf.DUMMYFUNCTION("""COMPUTED_VALUE"""),"Land of Spira")</f>
        <v>Land of Spira</v>
      </c>
      <c r="AH291" s="1" t="b">
        <f>IFERROR(__xludf.DUMMYFUNCTION("""COMPUTED_VALUE"""),FALSE)</f>
        <v>0</v>
      </c>
    </row>
    <row r="292">
      <c r="A292" s="1" t="str">
        <f>IFERROR(__xludf.DUMMYFUNCTION("""COMPUTED_VALUE"""),"Sword Of The Cursed Naga")</f>
        <v>Sword Of The Cursed Naga</v>
      </c>
      <c r="B292" s="1" t="str">
        <f>IFERROR(__xludf.DUMMYFUNCTION("""COMPUTED_VALUE"""),"Hand")</f>
        <v>Hand</v>
      </c>
      <c r="C292" s="1"/>
      <c r="D292" s="1" t="str">
        <f>IFERROR(__xludf.DUMMYFUNCTION("""COMPUTED_VALUE"""),"Sword")</f>
        <v>Sword</v>
      </c>
      <c r="E292" s="1">
        <f>IFERROR(__xludf.DUMMYFUNCTION("""COMPUTED_VALUE"""),200.0)</f>
        <v>200</v>
      </c>
      <c r="F292" s="2">
        <f>IFERROR(__xludf.DUMMYFUNCTION("""COMPUTED_VALUE"""),2.868E8)</f>
        <v>286800000</v>
      </c>
      <c r="G292" s="1" t="str">
        <f>IFERROR(__xludf.DUMMYFUNCTION("""COMPUTED_VALUE"""),"DMG")</f>
        <v>DMG</v>
      </c>
      <c r="H292" s="1">
        <f>IFERROR(__xludf.DUMMYFUNCTION("""COMPUTED_VALUE"""),10000.0)</f>
        <v>10000</v>
      </c>
      <c r="I292" s="1"/>
      <c r="J292" s="1"/>
      <c r="K292" s="1"/>
      <c r="L292" s="1"/>
      <c r="M292" s="3">
        <f>IFERROR(__xludf.DUMMYFUNCTION("""COMPUTED_VALUE"""),50000.0)</f>
        <v>50000</v>
      </c>
      <c r="N292" s="1"/>
      <c r="O292" s="1"/>
      <c r="P292" s="1"/>
      <c r="Q292" s="1"/>
      <c r="R292" s="1"/>
      <c r="S292" s="1"/>
      <c r="T292" s="1"/>
      <c r="U292" s="1"/>
      <c r="V292" s="1"/>
      <c r="W292" s="1"/>
      <c r="X292" s="1"/>
      <c r="Y292" s="3">
        <f>IFERROR(__xludf.DUMMYFUNCTION("""COMPUTED_VALUE"""),50000.0)</f>
        <v>50000</v>
      </c>
      <c r="Z292" s="1"/>
      <c r="AA292" s="1"/>
      <c r="AB292" s="1"/>
      <c r="AC292" s="3">
        <f>IFERROR(__xludf.DUMMYFUNCTION("""COMPUTED_VALUE"""),10000.0)</f>
        <v>10000</v>
      </c>
      <c r="AD292" s="1"/>
      <c r="AE292" s="1"/>
      <c r="AF292" s="1" t="str">
        <f>IFERROR(__xludf.DUMMYFUNCTION("""COMPUTED_VALUE"""),"++Earth Charmer - Earth attacks will deal an additional X4 damage while this weapon is equipped.
++Poison Charmer - Poison 50,000 p/r.")</f>
        <v>++Earth Charmer - Earth attacks will deal an additional X4 damage while this weapon is equipped.
++Poison Charmer - Poison 50,000 p/r.</v>
      </c>
      <c r="AG292" s="1" t="str">
        <f>IFERROR(__xludf.DUMMYFUNCTION("""COMPUTED_VALUE"""),"Land of Spira")</f>
        <v>Land of Spira</v>
      </c>
      <c r="AH292" s="1" t="b">
        <f>IFERROR(__xludf.DUMMYFUNCTION("""COMPUTED_VALUE"""),FALSE)</f>
        <v>0</v>
      </c>
    </row>
    <row r="293">
      <c r="A293" s="1" t="str">
        <f>IFERROR(__xludf.DUMMYFUNCTION("""COMPUTED_VALUE"""),"Sword Of The Dragons Blood")</f>
        <v>Sword Of The Dragons Blood</v>
      </c>
      <c r="B293" s="1" t="str">
        <f>IFERROR(__xludf.DUMMYFUNCTION("""COMPUTED_VALUE"""),"Hand")</f>
        <v>Hand</v>
      </c>
      <c r="C293" s="1"/>
      <c r="D293" s="1" t="str">
        <f>IFERROR(__xludf.DUMMYFUNCTION("""COMPUTED_VALUE"""),"Sword")</f>
        <v>Sword</v>
      </c>
      <c r="E293" s="1">
        <f>IFERROR(__xludf.DUMMYFUNCTION("""COMPUTED_VALUE"""),1500.0)</f>
        <v>1500</v>
      </c>
      <c r="F293" s="2">
        <f>IFERROR(__xludf.DUMMYFUNCTION("""COMPUTED_VALUE"""),1.1175E8)</f>
        <v>111750000</v>
      </c>
      <c r="G293" s="1" t="str">
        <f>IFERROR(__xludf.DUMMYFUNCTION("""COMPUTED_VALUE"""),"DMG")</f>
        <v>DMG</v>
      </c>
      <c r="H293" s="1">
        <f>IFERROR(__xludf.DUMMYFUNCTION("""COMPUTED_VALUE"""),50000.0)</f>
        <v>50000</v>
      </c>
      <c r="I293" s="1"/>
      <c r="J293" s="1"/>
      <c r="K293" s="1"/>
      <c r="L293" s="1"/>
      <c r="M293" s="1"/>
      <c r="N293" s="1"/>
      <c r="O293" s="1"/>
      <c r="P293" s="1"/>
      <c r="Q293" s="1"/>
      <c r="R293" s="1"/>
      <c r="S293" s="1"/>
      <c r="T293" s="1"/>
      <c r="U293" s="1"/>
      <c r="V293" s="1"/>
      <c r="W293" s="1"/>
      <c r="X293" s="1"/>
      <c r="Y293" s="1">
        <f>IFERROR(__xludf.DUMMYFUNCTION("""COMPUTED_VALUE"""),25000.0)</f>
        <v>25000</v>
      </c>
      <c r="Z293" s="1"/>
      <c r="AA293" s="1"/>
      <c r="AB293" s="1"/>
      <c r="AC293" s="1"/>
      <c r="AD293" s="1"/>
      <c r="AE293" s="1"/>
      <c r="AF293" s="1" t="str">
        <f>IFERROR(__xludf.DUMMYFUNCTION("""COMPUTED_VALUE"""),"++Burning Blood: Upon a successful hit; 5000 bleed and burn until the enemy dies.")</f>
        <v>++Burning Blood: Upon a successful hit; 5000 bleed and burn until the enemy dies.</v>
      </c>
      <c r="AG293" s="1" t="str">
        <f>IFERROR(__xludf.DUMMYFUNCTION("""COMPUTED_VALUE"""),"Land of Spira")</f>
        <v>Land of Spira</v>
      </c>
      <c r="AH293" s="1" t="b">
        <f>IFERROR(__xludf.DUMMYFUNCTION("""COMPUTED_VALUE"""),TRUE)</f>
        <v>1</v>
      </c>
    </row>
    <row r="294">
      <c r="A294" s="1" t="str">
        <f>IFERROR(__xludf.DUMMYFUNCTION("""COMPUTED_VALUE"""),"Sword of The Haunted Mansion")</f>
        <v>Sword of The Haunted Mansion</v>
      </c>
      <c r="B294" s="1" t="str">
        <f>IFERROR(__xludf.DUMMYFUNCTION("""COMPUTED_VALUE"""),"Hand")</f>
        <v>Hand</v>
      </c>
      <c r="C294" s="1" t="str">
        <f>IFERROR(__xludf.DUMMYFUNCTION("""COMPUTED_VALUE"""),"Halloween exclusive")</f>
        <v>Halloween exclusive</v>
      </c>
      <c r="D294" s="1" t="str">
        <f>IFERROR(__xludf.DUMMYFUNCTION("""COMPUTED_VALUE"""),"Sword")</f>
        <v>Sword</v>
      </c>
      <c r="E294" s="1">
        <f>IFERROR(__xludf.DUMMYFUNCTION("""COMPUTED_VALUE"""),200.0)</f>
        <v>200</v>
      </c>
      <c r="F294" s="2">
        <f>IFERROR(__xludf.DUMMYFUNCTION("""COMPUTED_VALUE"""),1.99E8)</f>
        <v>199000000</v>
      </c>
      <c r="G294" s="1" t="str">
        <f>IFERROR(__xludf.DUMMYFUNCTION("""COMPUTED_VALUE"""),"DMG")</f>
        <v>DMG</v>
      </c>
      <c r="H294" s="3">
        <f>IFERROR(__xludf.DUMMYFUNCTION("""COMPUTED_VALUE"""),20000.0)</f>
        <v>20000</v>
      </c>
      <c r="I294" s="3">
        <f>IFERROR(__xludf.DUMMYFUNCTION("""COMPUTED_VALUE"""),20000.0)</f>
        <v>20000</v>
      </c>
      <c r="J294" s="1"/>
      <c r="K294" s="1"/>
      <c r="L294" s="1"/>
      <c r="M294" s="1"/>
      <c r="N294" s="1"/>
      <c r="O294" s="3">
        <f>IFERROR(__xludf.DUMMYFUNCTION("""COMPUTED_VALUE"""),20000.0)</f>
        <v>20000</v>
      </c>
      <c r="P294" s="1"/>
      <c r="Q294" s="1"/>
      <c r="R294" s="3">
        <f>IFERROR(__xludf.DUMMYFUNCTION("""COMPUTED_VALUE"""),20000.0)</f>
        <v>20000</v>
      </c>
      <c r="S294" s="1"/>
      <c r="T294" s="1"/>
      <c r="U294" s="1"/>
      <c r="V294" s="1"/>
      <c r="W294" s="1"/>
      <c r="X294" s="1"/>
      <c r="Y294" s="1"/>
      <c r="Z294" s="1"/>
      <c r="AA294" s="1"/>
      <c r="AB294" s="1"/>
      <c r="AC294" s="3">
        <f>IFERROR(__xludf.DUMMYFUNCTION("""COMPUTED_VALUE"""),20000.0)</f>
        <v>20000</v>
      </c>
      <c r="AD294" s="1"/>
      <c r="AE294" s="1"/>
      <c r="AF294" s="1" t="str">
        <f>IFERROR(__xludf.DUMMYFUNCTION("""COMPUTED_VALUE"""),"++Hallows Welcome: All enemies roll a d20 at the beginning of battle; All enemies that roll a 10 or lower start with 0 base defense and 0 evasion, All enemies that roll a 11 or higher start with X2 defense and ++5 additional evasion. +-Cannot be forged +-"&amp;"Cannot be duplicated")</f>
        <v>++Hallows Welcome: All enemies roll a d20 at the beginning of battle; All enemies that roll a 10 or lower start with 0 base defense and 0 evasion, All enemies that roll a 11 or higher start with X2 defense and ++5 additional evasion. +-Cannot be forged +-Cannot be duplicated</v>
      </c>
      <c r="AG294" s="1" t="str">
        <f>IFERROR(__xludf.DUMMYFUNCTION("""COMPUTED_VALUE"""),"Halloween Kingdom")</f>
        <v>Halloween Kingdom</v>
      </c>
      <c r="AH294" s="1" t="b">
        <f>IFERROR(__xludf.DUMMYFUNCTION("""COMPUTED_VALUE"""),FALSE)</f>
        <v>0</v>
      </c>
    </row>
    <row r="295">
      <c r="A295" s="1" t="str">
        <f>IFERROR(__xludf.DUMMYFUNCTION("""COMPUTED_VALUE"""),"Sword Of The Honorable Samurai")</f>
        <v>Sword Of The Honorable Samurai</v>
      </c>
      <c r="B295" s="1" t="str">
        <f>IFERROR(__xludf.DUMMYFUNCTION("""COMPUTED_VALUE"""),"Hand")</f>
        <v>Hand</v>
      </c>
      <c r="C295" s="1"/>
      <c r="D295" s="1" t="str">
        <f>IFERROR(__xludf.DUMMYFUNCTION("""COMPUTED_VALUE"""),"Sword")</f>
        <v>Sword</v>
      </c>
      <c r="E295" s="1">
        <f>IFERROR(__xludf.DUMMYFUNCTION("""COMPUTED_VALUE"""),400.0)</f>
        <v>400</v>
      </c>
      <c r="F295" s="2">
        <f>IFERROR(__xludf.DUMMYFUNCTION("""COMPUTED_VALUE"""),7800000.0)</f>
        <v>7800000</v>
      </c>
      <c r="G295" s="1" t="str">
        <f>IFERROR(__xludf.DUMMYFUNCTION("""COMPUTED_VALUE"""),"DMG")</f>
        <v>DMG</v>
      </c>
      <c r="H295" s="1">
        <f>IFERROR(__xludf.DUMMYFUNCTION("""COMPUTED_VALUE"""),10000.0)</f>
        <v>10000</v>
      </c>
      <c r="I295" s="1"/>
      <c r="J295" s="1"/>
      <c r="K295" s="1"/>
      <c r="L295" s="1"/>
      <c r="M295" s="1"/>
      <c r="N295" s="1">
        <f>IFERROR(__xludf.DUMMYFUNCTION("""COMPUTED_VALUE"""),5000.0)</f>
        <v>5000</v>
      </c>
      <c r="O295" s="1"/>
      <c r="P295" s="1"/>
      <c r="Q295" s="1">
        <f>IFERROR(__xludf.DUMMYFUNCTION("""COMPUTED_VALUE"""),5000.0)</f>
        <v>5000</v>
      </c>
      <c r="R295" s="1"/>
      <c r="S295" s="1"/>
      <c r="T295" s="1"/>
      <c r="U295" s="1"/>
      <c r="V295" s="1"/>
      <c r="W295" s="1"/>
      <c r="X295" s="1"/>
      <c r="Y295" s="1"/>
      <c r="Z295" s="1"/>
      <c r="AA295" s="1"/>
      <c r="AB295" s="1"/>
      <c r="AC295" s="1"/>
      <c r="AD295" s="1"/>
      <c r="AE295" s="1"/>
      <c r="AF295" s="1"/>
      <c r="AG295" s="1" t="str">
        <f>IFERROR(__xludf.DUMMYFUNCTION("""COMPUTED_VALUE"""),"Land of Spira")</f>
        <v>Land of Spira</v>
      </c>
      <c r="AH295" s="1" t="b">
        <f>IFERROR(__xludf.DUMMYFUNCTION("""COMPUTED_VALUE"""),TRUE)</f>
        <v>1</v>
      </c>
    </row>
    <row r="296">
      <c r="A296" s="1" t="str">
        <f>IFERROR(__xludf.DUMMYFUNCTION("""COMPUTED_VALUE"""),"Sword of The Crystal King")</f>
        <v>Sword of The Crystal King</v>
      </c>
      <c r="B296" s="1" t="str">
        <f>IFERROR(__xludf.DUMMYFUNCTION("""COMPUTED_VALUE"""),"Hand")</f>
        <v>Hand</v>
      </c>
      <c r="C296" s="1"/>
      <c r="D296" s="1" t="str">
        <f>IFERROR(__xludf.DUMMYFUNCTION("""COMPUTED_VALUE"""),"Sword")</f>
        <v>Sword</v>
      </c>
      <c r="E296" s="1">
        <f>IFERROR(__xludf.DUMMYFUNCTION("""COMPUTED_VALUE"""),200.0)</f>
        <v>200</v>
      </c>
      <c r="F296" s="2">
        <f>IFERROR(__xludf.DUMMYFUNCTION("""COMPUTED_VALUE"""),4.95E7)</f>
        <v>49500000</v>
      </c>
      <c r="G296" s="1" t="str">
        <f>IFERROR(__xludf.DUMMYFUNCTION("""COMPUTED_VALUE"""),"DMG")</f>
        <v>DMG</v>
      </c>
      <c r="H296" s="1">
        <f>IFERROR(__xludf.DUMMYFUNCTION("""COMPUTED_VALUE"""),20000.0)</f>
        <v>20000</v>
      </c>
      <c r="I296" s="1"/>
      <c r="J296" s="1"/>
      <c r="K296" s="1"/>
      <c r="L296" s="1"/>
      <c r="M296" s="1">
        <f>IFERROR(__xludf.DUMMYFUNCTION("""COMPUTED_VALUE"""),20000.0)</f>
        <v>20000</v>
      </c>
      <c r="N296" s="1"/>
      <c r="O296" s="1"/>
      <c r="P296" s="1"/>
      <c r="Q296" s="1"/>
      <c r="R296" s="1"/>
      <c r="S296" s="1"/>
      <c r="T296" s="1"/>
      <c r="U296" s="1"/>
      <c r="V296" s="1"/>
      <c r="W296" s="1"/>
      <c r="X296" s="1"/>
      <c r="Y296" s="1"/>
      <c r="Z296" s="1"/>
      <c r="AA296" s="1"/>
      <c r="AB296" s="1"/>
      <c r="AC296" s="1">
        <f>IFERROR(__xludf.DUMMYFUNCTION("""COMPUTED_VALUE"""),10000.0)</f>
        <v>10000</v>
      </c>
      <c r="AD296" s="1"/>
      <c r="AE296" s="1"/>
      <c r="AF296" s="1" t="str">
        <f>IFERROR(__xludf.DUMMYFUNCTION("""COMPUTED_VALUE"""),"++Crystal Kings Power - Damage dealt by this weapon gives you SP back equal to the damage you deal. ++ Crystal Embodyment - When Equipped any damage dealt by a Crystal or Gem related weapon is X8 for the user. +-Cannot be duplicated.")</f>
        <v>++Crystal Kings Power - Damage dealt by this weapon gives you SP back equal to the damage you deal. ++ Crystal Embodyment - When Equipped any damage dealt by a Crystal or Gem related weapon is X8 for the user. +-Cannot be duplicated.</v>
      </c>
      <c r="AG296" s="1" t="str">
        <f>IFERROR(__xludf.DUMMYFUNCTION("""COMPUTED_VALUE"""),"Land of Spira")</f>
        <v>Land of Spira</v>
      </c>
      <c r="AH296" s="1" t="b">
        <f>IFERROR(__xludf.DUMMYFUNCTION("""COMPUTED_VALUE"""),FALSE)</f>
        <v>0</v>
      </c>
    </row>
    <row r="297">
      <c r="A297" s="1" t="str">
        <f>IFERROR(__xludf.DUMMYFUNCTION("""COMPUTED_VALUE"""),"Sword of The Many Heroes")</f>
        <v>Sword of The Many Heroes</v>
      </c>
      <c r="B297" s="1" t="str">
        <f>IFERROR(__xludf.DUMMYFUNCTION("""COMPUTED_VALUE"""),"Hand")</f>
        <v>Hand</v>
      </c>
      <c r="C297" s="1"/>
      <c r="D297" s="1" t="str">
        <f>IFERROR(__xludf.DUMMYFUNCTION("""COMPUTED_VALUE"""),"Sword")</f>
        <v>Sword</v>
      </c>
      <c r="E297" s="1">
        <f>IFERROR(__xludf.DUMMYFUNCTION("""COMPUTED_VALUE"""),200.0)</f>
        <v>200</v>
      </c>
      <c r="F297" s="2">
        <f>IFERROR(__xludf.DUMMYFUNCTION("""COMPUTED_VALUE"""),7.194E9)</f>
        <v>7194000000</v>
      </c>
      <c r="G297" s="1" t="str">
        <f>IFERROR(__xludf.DUMMYFUNCTION("""COMPUTED_VALUE"""),"DMG")</f>
        <v>DMG</v>
      </c>
      <c r="H297" s="3">
        <f>IFERROR(__xludf.DUMMYFUNCTION("""COMPUTED_VALUE"""),100000.0)</f>
        <v>100000</v>
      </c>
      <c r="I297" s="1"/>
      <c r="J297" s="1"/>
      <c r="K297" s="1"/>
      <c r="L297" s="1"/>
      <c r="M297" s="1"/>
      <c r="N297" s="1"/>
      <c r="O297" s="1"/>
      <c r="P297" s="1"/>
      <c r="Q297" s="1"/>
      <c r="R297" s="1"/>
      <c r="S297" s="1"/>
      <c r="T297" s="1"/>
      <c r="U297" s="1"/>
      <c r="V297" s="1"/>
      <c r="W297" s="1"/>
      <c r="X297" s="1"/>
      <c r="Y297" s="1"/>
      <c r="Z297" s="1"/>
      <c r="AA297" s="1"/>
      <c r="AB297" s="1"/>
      <c r="AC297" s="3">
        <f>IFERROR(__xludf.DUMMYFUNCTION("""COMPUTED_VALUE"""),500000.0)</f>
        <v>500000</v>
      </c>
      <c r="AD297" s="1"/>
      <c r="AE297" s="1"/>
      <c r="AF297" s="1" t="str">
        <f>IFERROR(__xludf.DUMMYFUNCTION("""COMPUTED_VALUE"""),"++While you have this sword equipped and you have 4+ party members among your party, You and your allies deal X4 additional damage with weapons only. +-Cannot be duplicated")</f>
        <v>++While you have this sword equipped and you have 4+ party members among your party, You and your allies deal X4 additional damage with weapons only. +-Cannot be duplicated</v>
      </c>
      <c r="AG297" s="1" t="str">
        <f>IFERROR(__xludf.DUMMYFUNCTION("""COMPUTED_VALUE"""),"Abstara")</f>
        <v>Abstara</v>
      </c>
      <c r="AH297" s="1" t="b">
        <f>IFERROR(__xludf.DUMMYFUNCTION("""COMPUTED_VALUE"""),FALSE)</f>
        <v>0</v>
      </c>
    </row>
    <row r="298">
      <c r="A298" s="1" t="str">
        <f>IFERROR(__xludf.DUMMYFUNCTION("""COMPUTED_VALUE"""),"Sword Of The Reaper")</f>
        <v>Sword Of The Reaper</v>
      </c>
      <c r="B298" s="1" t="str">
        <f>IFERROR(__xludf.DUMMYFUNCTION("""COMPUTED_VALUE"""),"Hand")</f>
        <v>Hand</v>
      </c>
      <c r="C298" s="1"/>
      <c r="D298" s="1" t="str">
        <f>IFERROR(__xludf.DUMMYFUNCTION("""COMPUTED_VALUE"""),"Sword")</f>
        <v>Sword</v>
      </c>
      <c r="E298" s="1">
        <f>IFERROR(__xludf.DUMMYFUNCTION("""COMPUTED_VALUE"""),200.0)</f>
        <v>200</v>
      </c>
      <c r="F298" s="2">
        <f>IFERROR(__xludf.DUMMYFUNCTION("""COMPUTED_VALUE"""),660000.0)</f>
        <v>660000</v>
      </c>
      <c r="G298" s="1" t="str">
        <f>IFERROR(__xludf.DUMMYFUNCTION("""COMPUTED_VALUE"""),"DMG")</f>
        <v>DMG</v>
      </c>
      <c r="H298" s="1">
        <f>IFERROR(__xludf.DUMMYFUNCTION("""COMPUTED_VALUE"""),5000.0)</f>
        <v>5000</v>
      </c>
      <c r="I298" s="1"/>
      <c r="J298" s="1"/>
      <c r="K298" s="1"/>
      <c r="L298" s="1"/>
      <c r="M298" s="1"/>
      <c r="N298" s="1"/>
      <c r="O298" s="1"/>
      <c r="P298" s="1"/>
      <c r="Q298" s="1"/>
      <c r="R298" s="1"/>
      <c r="S298" s="1"/>
      <c r="T298" s="1"/>
      <c r="U298" s="1"/>
      <c r="V298" s="1"/>
      <c r="W298" s="1"/>
      <c r="X298" s="1"/>
      <c r="Y298" s="1"/>
      <c r="Z298" s="1"/>
      <c r="AA298" s="1"/>
      <c r="AB298" s="1"/>
      <c r="AC298" s="1">
        <f>IFERROR(__xludf.DUMMYFUNCTION("""COMPUTED_VALUE"""),1000.0)</f>
        <v>1000</v>
      </c>
      <c r="AD298" s="1"/>
      <c r="AE298" s="1"/>
      <c r="AF298" s="1" t="str">
        <f>IFERROR(__xludf.DUMMYFUNCTION("""COMPUTED_VALUE"""),"++Stop Targeting Me! - When targeted for an attack the base damage of this weapon will be increased by 1000 damage for the battle only.")</f>
        <v>++Stop Targeting Me! - When targeted for an attack the base damage of this weapon will be increased by 1000 damage for the battle only.</v>
      </c>
      <c r="AG298" s="1" t="str">
        <f>IFERROR(__xludf.DUMMYFUNCTION("""COMPUTED_VALUE"""),"Land of Spira")</f>
        <v>Land of Spira</v>
      </c>
      <c r="AH298" s="1" t="b">
        <f>IFERROR(__xludf.DUMMYFUNCTION("""COMPUTED_VALUE"""),FALSE)</f>
        <v>0</v>
      </c>
    </row>
    <row r="299">
      <c r="A299" s="1" t="str">
        <f>IFERROR(__xludf.DUMMYFUNCTION("""COMPUTED_VALUE"""),"Sword of The Sea Serpent")</f>
        <v>Sword of The Sea Serpent</v>
      </c>
      <c r="B299" s="1" t="str">
        <f>IFERROR(__xludf.DUMMYFUNCTION("""COMPUTED_VALUE"""),"Hand")</f>
        <v>Hand</v>
      </c>
      <c r="C299" s="1"/>
      <c r="D299" s="1" t="str">
        <f>IFERROR(__xludf.DUMMYFUNCTION("""COMPUTED_VALUE"""),"Sword")</f>
        <v>Sword</v>
      </c>
      <c r="E299" s="1">
        <f>IFERROR(__xludf.DUMMYFUNCTION("""COMPUTED_VALUE"""),400.0)</f>
        <v>400</v>
      </c>
      <c r="F299" s="2">
        <f>IFERROR(__xludf.DUMMYFUNCTION("""COMPUTED_VALUE"""),7800000.0)</f>
        <v>7800000</v>
      </c>
      <c r="G299" s="1" t="str">
        <f>IFERROR(__xludf.DUMMYFUNCTION("""COMPUTED_VALUE"""),"DMG")</f>
        <v>DMG</v>
      </c>
      <c r="H299" s="3">
        <f>IFERROR(__xludf.DUMMYFUNCTION("""COMPUTED_VALUE"""),10000.0)</f>
        <v>10000</v>
      </c>
      <c r="I299" s="1"/>
      <c r="J299" s="1"/>
      <c r="K299" s="3">
        <f>IFERROR(__xludf.DUMMYFUNCTION("""COMPUTED_VALUE"""),10000.0)</f>
        <v>10000</v>
      </c>
      <c r="L299" s="1"/>
      <c r="M299" s="1"/>
      <c r="N299" s="1"/>
      <c r="O299" s="1"/>
      <c r="P299" s="1"/>
      <c r="Q299" s="1"/>
      <c r="R299" s="1"/>
      <c r="S299" s="1"/>
      <c r="T299" s="1"/>
      <c r="U299" s="1"/>
      <c r="V299" s="1"/>
      <c r="W299" s="1"/>
      <c r="X299" s="1"/>
      <c r="Y299" s="1"/>
      <c r="Z299" s="1"/>
      <c r="AA299" s="1"/>
      <c r="AB299" s="1"/>
      <c r="AC299" s="1"/>
      <c r="AD299" s="1"/>
      <c r="AE299" s="1"/>
      <c r="AF299" s="1" t="str">
        <f>IFERROR(__xludf.DUMMYFUNCTION("""COMPUTED_VALUE"""),"++X2 Additional water damage for self, ++Sea Serpents Call: Upon a succesful hit there will be a 50% chance of summoning a sea serpent to aid you in battle if the battle is in water.")</f>
        <v>++X2 Additional water damage for self, ++Sea Serpents Call: Upon a succesful hit there will be a 50% chance of summoning a sea serpent to aid you in battle if the battle is in water.</v>
      </c>
      <c r="AG299" s="1" t="str">
        <f>IFERROR(__xludf.DUMMYFUNCTION("""COMPUTED_VALUE"""),"Land of Spira")</f>
        <v>Land of Spira</v>
      </c>
      <c r="AH299" s="1" t="b">
        <f>IFERROR(__xludf.DUMMYFUNCTION("""COMPUTED_VALUE"""),FALSE)</f>
        <v>0</v>
      </c>
    </row>
    <row r="300">
      <c r="A300" s="1" t="str">
        <f>IFERROR(__xludf.DUMMYFUNCTION("""COMPUTED_VALUE"""),"Sword of the Vampire’s Lust")</f>
        <v>Sword of the Vampire’s Lust</v>
      </c>
      <c r="B300" s="1" t="str">
        <f>IFERROR(__xludf.DUMMYFUNCTION("""COMPUTED_VALUE"""),"Hand")</f>
        <v>Hand</v>
      </c>
      <c r="C300" s="1"/>
      <c r="D300" s="1" t="str">
        <f>IFERROR(__xludf.DUMMYFUNCTION("""COMPUTED_VALUE"""),"Sword")</f>
        <v>Sword</v>
      </c>
      <c r="E300" s="1">
        <f>IFERROR(__xludf.DUMMYFUNCTION("""COMPUTED_VALUE"""),800.0)</f>
        <v>800</v>
      </c>
      <c r="F300" s="2">
        <f>IFERROR(__xludf.DUMMYFUNCTION("""COMPUTED_VALUE"""),3.16E7)</f>
        <v>31600000</v>
      </c>
      <c r="G300" s="1" t="str">
        <f>IFERROR(__xludf.DUMMYFUNCTION("""COMPUTED_VALUE"""),"DMG")</f>
        <v>DMG</v>
      </c>
      <c r="H300" s="3">
        <f>IFERROR(__xludf.DUMMYFUNCTION("""COMPUTED_VALUE"""),10000.0)</f>
        <v>10000</v>
      </c>
      <c r="I300" s="3">
        <f>IFERROR(__xludf.DUMMYFUNCTION("""COMPUTED_VALUE"""),10000.0)</f>
        <v>10000</v>
      </c>
      <c r="J300" s="1"/>
      <c r="K300" s="1"/>
      <c r="L300" s="1"/>
      <c r="M300" s="1"/>
      <c r="N300" s="1"/>
      <c r="O300" s="3">
        <f>IFERROR(__xludf.DUMMYFUNCTION("""COMPUTED_VALUE"""),10000.0)</f>
        <v>10000</v>
      </c>
      <c r="P300" s="3">
        <f>IFERROR(__xludf.DUMMYFUNCTION("""COMPUTED_VALUE"""),5000.0)</f>
        <v>5000</v>
      </c>
      <c r="Q300" s="1"/>
      <c r="R300" s="3">
        <f>IFERROR(__xludf.DUMMYFUNCTION("""COMPUTED_VALUE"""),5000.0)</f>
        <v>5000</v>
      </c>
      <c r="S300" s="1"/>
      <c r="T300" s="1"/>
      <c r="U300" s="1"/>
      <c r="V300" s="1"/>
      <c r="W300" s="1"/>
      <c r="X300" s="1"/>
      <c r="Y300" s="1"/>
      <c r="Z300" s="1"/>
      <c r="AA300" s="1"/>
      <c r="AB300" s="1"/>
      <c r="AC300" s="1"/>
      <c r="AD300" s="1"/>
      <c r="AE300" s="1"/>
      <c r="AF300" s="1" t="str">
        <f>IFERROR(__xludf.DUMMYFUNCTION("""COMPUTED_VALUE"""),"++Damage dealt by this weapon gives you hp back equal to the damage you deal")</f>
        <v>++Damage dealt by this weapon gives you hp back equal to the damage you deal</v>
      </c>
      <c r="AG300" s="1" t="str">
        <f>IFERROR(__xludf.DUMMYFUNCTION("""COMPUTED_VALUE"""),"Land of Spira")</f>
        <v>Land of Spira</v>
      </c>
      <c r="AH300" s="1" t="b">
        <f>IFERROR(__xludf.DUMMYFUNCTION("""COMPUTED_VALUE"""),FALSE)</f>
        <v>0</v>
      </c>
    </row>
    <row r="301">
      <c r="A301" s="1" t="str">
        <f>IFERROR(__xludf.DUMMYFUNCTION("""COMPUTED_VALUE"""),"Sword of The Waking Waters")</f>
        <v>Sword of The Waking Waters</v>
      </c>
      <c r="B301" s="1" t="str">
        <f>IFERROR(__xludf.DUMMYFUNCTION("""COMPUTED_VALUE"""),"Hand")</f>
        <v>Hand</v>
      </c>
      <c r="C301" s="1"/>
      <c r="D301" s="1" t="str">
        <f>IFERROR(__xludf.DUMMYFUNCTION("""COMPUTED_VALUE"""),"Sword")</f>
        <v>Sword</v>
      </c>
      <c r="E301" s="1">
        <f>IFERROR(__xludf.DUMMYFUNCTION("""COMPUTED_VALUE"""),800.0)</f>
        <v>800</v>
      </c>
      <c r="F301" s="2">
        <f>IFERROR(__xludf.DUMMYFUNCTION("""COMPUTED_VALUE"""),3.16E7)</f>
        <v>31600000</v>
      </c>
      <c r="G301" s="1" t="str">
        <f>IFERROR(__xludf.DUMMYFUNCTION("""COMPUTED_VALUE"""),"DMG")</f>
        <v>DMG</v>
      </c>
      <c r="H301" s="3">
        <f>IFERROR(__xludf.DUMMYFUNCTION("""COMPUTED_VALUE"""),20000.0)</f>
        <v>20000</v>
      </c>
      <c r="I301" s="1"/>
      <c r="J301" s="1"/>
      <c r="K301" s="3">
        <f>IFERROR(__xludf.DUMMYFUNCTION("""COMPUTED_VALUE"""),20000.0)</f>
        <v>20000</v>
      </c>
      <c r="L301" s="1"/>
      <c r="M301" s="1"/>
      <c r="N301" s="1"/>
      <c r="O301" s="1"/>
      <c r="P301" s="1"/>
      <c r="Q301" s="1"/>
      <c r="R301" s="1"/>
      <c r="S301" s="1"/>
      <c r="T301" s="1"/>
      <c r="U301" s="1"/>
      <c r="V301" s="1"/>
      <c r="W301" s="1"/>
      <c r="X301" s="1"/>
      <c r="Y301" s="1"/>
      <c r="Z301" s="1"/>
      <c r="AA301" s="1"/>
      <c r="AB301" s="1"/>
      <c r="AC301" s="1"/>
      <c r="AD301" s="1"/>
      <c r="AE301" s="1"/>
      <c r="AF301" s="1" t="str">
        <f>IFERROR(__xludf.DUMMYFUNCTION("""COMPUTED_VALUE"""),"++X4 additional Water damage for this weapon only. ++Waking Waters: When the battle is in water and you are attacking with this weapon your d20 roll becomes double. +-Cannot be duplicated")</f>
        <v>++X4 additional Water damage for this weapon only. ++Waking Waters: When the battle is in water and you are attacking with this weapon your d20 roll becomes double. +-Cannot be duplicated</v>
      </c>
      <c r="AG301" s="1" t="str">
        <f>IFERROR(__xludf.DUMMYFUNCTION("""COMPUTED_VALUE"""),"Land of Spira")</f>
        <v>Land of Spira</v>
      </c>
      <c r="AH301" s="1" t="b">
        <f>IFERROR(__xludf.DUMMYFUNCTION("""COMPUTED_VALUE"""),FALSE)</f>
        <v>0</v>
      </c>
    </row>
    <row r="302">
      <c r="A302" s="1" t="str">
        <f>IFERROR(__xludf.DUMMYFUNCTION("""COMPUTED_VALUE"""),"Sword of the Wicked")</f>
        <v>Sword of the Wicked</v>
      </c>
      <c r="B302" s="1" t="str">
        <f>IFERROR(__xludf.DUMMYFUNCTION("""COMPUTED_VALUE"""),"Hand")</f>
        <v>Hand</v>
      </c>
      <c r="C302" s="1"/>
      <c r="D302" s="1" t="str">
        <f>IFERROR(__xludf.DUMMYFUNCTION("""COMPUTED_VALUE"""),"Sword")</f>
        <v>Sword</v>
      </c>
      <c r="E302" s="1">
        <f>IFERROR(__xludf.DUMMYFUNCTION("""COMPUTED_VALUE"""),50.0)</f>
        <v>50</v>
      </c>
      <c r="F302" s="2">
        <f>IFERROR(__xludf.DUMMYFUNCTION("""COMPUTED_VALUE"""),100000.0)</f>
        <v>100000</v>
      </c>
      <c r="G302" s="1" t="str">
        <f>IFERROR(__xludf.DUMMYFUNCTION("""COMPUTED_VALUE"""),"DMG")</f>
        <v>DMG</v>
      </c>
      <c r="H302" s="1">
        <f>IFERROR(__xludf.DUMMYFUNCTION("""COMPUTED_VALUE"""),700.0)</f>
        <v>700</v>
      </c>
      <c r="I302" s="1"/>
      <c r="J302" s="1"/>
      <c r="K302" s="1"/>
      <c r="L302" s="1"/>
      <c r="M302" s="1"/>
      <c r="N302" s="1"/>
      <c r="O302" s="1">
        <f>IFERROR(__xludf.DUMMYFUNCTION("""COMPUTED_VALUE"""),900.0)</f>
        <v>900</v>
      </c>
      <c r="P302" s="1"/>
      <c r="Q302" s="1"/>
      <c r="R302" s="1">
        <f>IFERROR(__xludf.DUMMYFUNCTION("""COMPUTED_VALUE"""),900.0)</f>
        <v>900</v>
      </c>
      <c r="S302" s="1"/>
      <c r="T302" s="1"/>
      <c r="U302" s="1"/>
      <c r="V302" s="1"/>
      <c r="W302" s="1"/>
      <c r="X302" s="1"/>
      <c r="Y302" s="1"/>
      <c r="Z302" s="1"/>
      <c r="AA302" s="1"/>
      <c r="AB302" s="1"/>
      <c r="AC302" s="1"/>
      <c r="AD302" s="1"/>
      <c r="AE302" s="1"/>
      <c r="AF302" s="1"/>
      <c r="AG302" s="1" t="str">
        <f>IFERROR(__xludf.DUMMYFUNCTION("""COMPUTED_VALUE"""),"Land of Spira")</f>
        <v>Land of Spira</v>
      </c>
      <c r="AH302" s="1" t="b">
        <f>IFERROR(__xludf.DUMMYFUNCTION("""COMPUTED_VALUE"""),FALSE)</f>
        <v>0</v>
      </c>
    </row>
    <row r="303">
      <c r="A303" s="1" t="str">
        <f>IFERROR(__xludf.DUMMYFUNCTION("""COMPUTED_VALUE"""),"Sword Of Tritonoch")</f>
        <v>Sword Of Tritonoch</v>
      </c>
      <c r="B303" s="1" t="str">
        <f>IFERROR(__xludf.DUMMYFUNCTION("""COMPUTED_VALUE"""),"Hand")</f>
        <v>Hand</v>
      </c>
      <c r="C303" s="1"/>
      <c r="D303" s="1" t="str">
        <f>IFERROR(__xludf.DUMMYFUNCTION("""COMPUTED_VALUE"""),"Sword")</f>
        <v>Sword</v>
      </c>
      <c r="E303" s="1">
        <f>IFERROR(__xludf.DUMMYFUNCTION("""COMPUTED_VALUE"""),800.0)</f>
        <v>800</v>
      </c>
      <c r="F303" s="2">
        <f>IFERROR(__xludf.DUMMYFUNCTION("""COMPUTED_VALUE"""),3.16E7)</f>
        <v>31600000</v>
      </c>
      <c r="G303" s="1" t="str">
        <f>IFERROR(__xludf.DUMMYFUNCTION("""COMPUTED_VALUE"""),"DMG")</f>
        <v>DMG</v>
      </c>
      <c r="H303" s="1">
        <f>IFERROR(__xludf.DUMMYFUNCTION("""COMPUTED_VALUE"""),20000.0)</f>
        <v>20000</v>
      </c>
      <c r="I303" s="1"/>
      <c r="J303" s="1"/>
      <c r="K303" s="1">
        <f>IFERROR(__xludf.DUMMYFUNCTION("""COMPUTED_VALUE"""),20000.0)</f>
        <v>20000</v>
      </c>
      <c r="L303" s="1"/>
      <c r="M303" s="1"/>
      <c r="N303" s="1"/>
      <c r="O303" s="1"/>
      <c r="P303" s="1"/>
      <c r="Q303" s="1"/>
      <c r="R303" s="1"/>
      <c r="S303" s="1"/>
      <c r="T303" s="1"/>
      <c r="U303" s="1"/>
      <c r="V303" s="1"/>
      <c r="W303" s="1"/>
      <c r="X303" s="1"/>
      <c r="Y303" s="1"/>
      <c r="Z303" s="1"/>
      <c r="AA303" s="1"/>
      <c r="AB303" s="1"/>
      <c r="AC303" s="1"/>
      <c r="AD303" s="1"/>
      <c r="AE303" s="1"/>
      <c r="AF303" s="1" t="str">
        <f>IFERROR(__xludf.DUMMYFUNCTION("""COMPUTED_VALUE"""),"++Order of Atlanteans - +2 to your d20 roll, +5 charisma, ++Waves of Entitlement - x5 additional Water damage. +-Cannot be duplicated.")</f>
        <v>++Order of Atlanteans - +2 to your d20 roll, +5 charisma, ++Waves of Entitlement - x5 additional Water damage. +-Cannot be duplicated.</v>
      </c>
      <c r="AG303" s="1" t="str">
        <f>IFERROR(__xludf.DUMMYFUNCTION("""COMPUTED_VALUE"""),"Land of Spira")</f>
        <v>Land of Spira</v>
      </c>
      <c r="AH303" s="1" t="b">
        <f>IFERROR(__xludf.DUMMYFUNCTION("""COMPUTED_VALUE"""),FALSE)</f>
        <v>0</v>
      </c>
    </row>
    <row r="304">
      <c r="A304" s="1" t="str">
        <f>IFERROR(__xludf.DUMMYFUNCTION("""COMPUTED_VALUE"""),"Tentacle")</f>
        <v>Tentacle</v>
      </c>
      <c r="B304" s="1" t="str">
        <f>IFERROR(__xludf.DUMMYFUNCTION("""COMPUTED_VALUE"""),"Hand")</f>
        <v>Hand</v>
      </c>
      <c r="C304" s="1"/>
      <c r="D304" s="1" t="str">
        <f>IFERROR(__xludf.DUMMYFUNCTION("""COMPUTED_VALUE"""),"Claw")</f>
        <v>Claw</v>
      </c>
      <c r="E304" s="1">
        <f>IFERROR(__xludf.DUMMYFUNCTION("""COMPUTED_VALUE"""),30.0)</f>
        <v>30</v>
      </c>
      <c r="F304" s="2">
        <f>IFERROR(__xludf.DUMMYFUNCTION("""COMPUTED_VALUE"""),30000.0)</f>
        <v>30000</v>
      </c>
      <c r="G304" s="1" t="str">
        <f>IFERROR(__xludf.DUMMYFUNCTION("""COMPUTED_VALUE"""),"DMG")</f>
        <v>DMG</v>
      </c>
      <c r="H304" s="1">
        <f>IFERROR(__xludf.DUMMYFUNCTION("""COMPUTED_VALUE"""),1000.0)</f>
        <v>1000</v>
      </c>
      <c r="I304" s="1"/>
      <c r="J304" s="1"/>
      <c r="K304" s="1">
        <f>IFERROR(__xludf.DUMMYFUNCTION("""COMPUTED_VALUE"""),500.0)</f>
        <v>500</v>
      </c>
      <c r="L304" s="1"/>
      <c r="M304" s="1"/>
      <c r="N304" s="1"/>
      <c r="O304" s="1"/>
      <c r="P304" s="1"/>
      <c r="Q304" s="1"/>
      <c r="R304" s="1"/>
      <c r="S304" s="1"/>
      <c r="T304" s="1"/>
      <c r="U304" s="1"/>
      <c r="V304" s="1"/>
      <c r="W304" s="1"/>
      <c r="X304" s="1"/>
      <c r="Y304" s="1"/>
      <c r="Z304" s="1"/>
      <c r="AA304" s="1"/>
      <c r="AB304" s="1"/>
      <c r="AC304" s="1"/>
      <c r="AD304" s="1"/>
      <c r="AE304" s="1"/>
      <c r="AF304" s="1" t="str">
        <f>IFERROR(__xludf.DUMMYFUNCTION("""COMPUTED_VALUE"""),"++10% chance to remove target from battle")</f>
        <v>++10% chance to remove target from battle</v>
      </c>
      <c r="AG304" s="1" t="str">
        <f>IFERROR(__xludf.DUMMYFUNCTION("""COMPUTED_VALUE"""),"Land of Spira")</f>
        <v>Land of Spira</v>
      </c>
      <c r="AH304" s="1" t="b">
        <f>IFERROR(__xludf.DUMMYFUNCTION("""COMPUTED_VALUE"""),TRUE)</f>
        <v>1</v>
      </c>
    </row>
    <row r="305">
      <c r="A305" s="1" t="str">
        <f>IFERROR(__xludf.DUMMYFUNCTION("""COMPUTED_VALUE"""),"The Black Hook")</f>
        <v>The Black Hook</v>
      </c>
      <c r="B305" s="1" t="str">
        <f>IFERROR(__xludf.DUMMYFUNCTION("""COMPUTED_VALUE"""),"Hand")</f>
        <v>Hand</v>
      </c>
      <c r="C305" s="1"/>
      <c r="D305" s="1" t="str">
        <f>IFERROR(__xludf.DUMMYFUNCTION("""COMPUTED_VALUE"""),"Claw")</f>
        <v>Claw</v>
      </c>
      <c r="E305" s="1">
        <f>IFERROR(__xludf.DUMMYFUNCTION("""COMPUTED_VALUE"""),2500.0)</f>
        <v>2500</v>
      </c>
      <c r="F305" s="2">
        <f>IFERROR(__xludf.DUMMYFUNCTION("""COMPUTED_VALUE"""),3.1125E8)</f>
        <v>311250000</v>
      </c>
      <c r="G305" s="1" t="str">
        <f>IFERROR(__xludf.DUMMYFUNCTION("""COMPUTED_VALUE"""),"DMG")</f>
        <v>DMG</v>
      </c>
      <c r="H305" s="3">
        <f>IFERROR(__xludf.DUMMYFUNCTION("""COMPUTED_VALUE"""),50000.0)</f>
        <v>50000</v>
      </c>
      <c r="I305" s="1"/>
      <c r="J305" s="1"/>
      <c r="K305" s="1"/>
      <c r="L305" s="1"/>
      <c r="M305" s="1"/>
      <c r="N305" s="1"/>
      <c r="O305" s="3">
        <f>IFERROR(__xludf.DUMMYFUNCTION("""COMPUTED_VALUE"""),50000.0)</f>
        <v>50000</v>
      </c>
      <c r="P305" s="1"/>
      <c r="Q305" s="1"/>
      <c r="R305" s="1"/>
      <c r="S305" s="1"/>
      <c r="T305" s="1"/>
      <c r="U305" s="1"/>
      <c r="V305" s="1"/>
      <c r="W305" s="1"/>
      <c r="X305" s="1"/>
      <c r="Y305" s="3">
        <f>IFERROR(__xludf.DUMMYFUNCTION("""COMPUTED_VALUE"""),25000.0)</f>
        <v>25000</v>
      </c>
      <c r="Z305" s="1"/>
      <c r="AA305" s="1"/>
      <c r="AB305" s="1"/>
      <c r="AC305" s="1"/>
      <c r="AD305" s="1"/>
      <c r="AE305" s="1"/>
      <c r="AF305" s="1" t="str">
        <f>IFERROR(__xludf.DUMMYFUNCTION("""COMPUTED_VALUE"""),"++Increases blood and dark damage by X4 for the wielder of this claw, ++Decreases the HP cost of spells by half. ++35% chance to remove an enemy from battle")</f>
        <v>++Increases blood and dark damage by X4 for the wielder of this claw, ++Decreases the HP cost of spells by half. ++35% chance to remove an enemy from battle</v>
      </c>
      <c r="AG305" s="1" t="str">
        <f>IFERROR(__xludf.DUMMYFUNCTION("""COMPUTED_VALUE"""),"Abstara")</f>
        <v>Abstara</v>
      </c>
      <c r="AH305" s="1" t="b">
        <f>IFERROR(__xludf.DUMMYFUNCTION("""COMPUTED_VALUE"""),TRUE)</f>
        <v>1</v>
      </c>
    </row>
    <row r="306">
      <c r="A306" s="1" t="str">
        <f>IFERROR(__xludf.DUMMYFUNCTION("""COMPUTED_VALUE"""),"The Blade of the Chosen")</f>
        <v>The Blade of the Chosen</v>
      </c>
      <c r="B306" s="1" t="str">
        <f>IFERROR(__xludf.DUMMYFUNCTION("""COMPUTED_VALUE"""),"Hand")</f>
        <v>Hand</v>
      </c>
      <c r="C306" s="1"/>
      <c r="D306" s="1" t="str">
        <f>IFERROR(__xludf.DUMMYFUNCTION("""COMPUTED_VALUE"""),"Sword")</f>
        <v>Sword</v>
      </c>
      <c r="E306" s="1">
        <f>IFERROR(__xludf.DUMMYFUNCTION("""COMPUTED_VALUE"""),1000.0)</f>
        <v>1000</v>
      </c>
      <c r="F306" s="2">
        <f>IFERROR(__xludf.DUMMYFUNCTION("""COMPUTED_VALUE"""),4.95E7)</f>
        <v>49500000</v>
      </c>
      <c r="G306" s="1" t="str">
        <f>IFERROR(__xludf.DUMMYFUNCTION("""COMPUTED_VALUE"""),"DMG")</f>
        <v>DMG</v>
      </c>
      <c r="H306" s="3">
        <f>IFERROR(__xludf.DUMMYFUNCTION("""COMPUTED_VALUE"""),10000.0)</f>
        <v>10000</v>
      </c>
      <c r="I306" s="3">
        <f>IFERROR(__xludf.DUMMYFUNCTION("""COMPUTED_VALUE"""),10000.0)</f>
        <v>10000</v>
      </c>
      <c r="J306" s="1"/>
      <c r="K306" s="1"/>
      <c r="L306" s="1"/>
      <c r="M306" s="1"/>
      <c r="N306" s="1"/>
      <c r="O306" s="1"/>
      <c r="P306" s="1"/>
      <c r="Q306" s="3">
        <f>IFERROR(__xludf.DUMMYFUNCTION("""COMPUTED_VALUE"""),10000.0)</f>
        <v>10000</v>
      </c>
      <c r="R306" s="1"/>
      <c r="S306" s="3">
        <f>IFERROR(__xludf.DUMMYFUNCTION("""COMPUTED_VALUE"""),10000.0)</f>
        <v>10000</v>
      </c>
      <c r="T306" s="1"/>
      <c r="U306" s="1"/>
      <c r="V306" s="1"/>
      <c r="W306" s="1"/>
      <c r="X306" s="1"/>
      <c r="Y306" s="3">
        <f>IFERROR(__xludf.DUMMYFUNCTION("""COMPUTED_VALUE"""),10000.0)</f>
        <v>10000</v>
      </c>
      <c r="Z306" s="1"/>
      <c r="AA306" s="1"/>
      <c r="AB306" s="1"/>
      <c r="AC306" s="1"/>
      <c r="AD306" s="1"/>
      <c r="AE306" s="1"/>
      <c r="AF306" s="1" t="str">
        <f>IFERROR(__xludf.DUMMYFUNCTION("""COMPUTED_VALUE"""),"++Roll a d20 at the beginning of battle, 11 or higher = double the users defense and damage dealt for the current battle, 10 or lower = half the users defense and damage dealt for the current battle.")</f>
        <v>++Roll a d20 at the beginning of battle, 11 or higher = double the users defense and damage dealt for the current battle, 10 or lower = half the users defense and damage dealt for the current battle.</v>
      </c>
      <c r="AG306" s="1" t="str">
        <f>IFERROR(__xludf.DUMMYFUNCTION("""COMPUTED_VALUE"""),"Land of Spira")</f>
        <v>Land of Spira</v>
      </c>
      <c r="AH306" s="1" t="b">
        <f>IFERROR(__xludf.DUMMYFUNCTION("""COMPUTED_VALUE"""),FALSE)</f>
        <v>0</v>
      </c>
    </row>
    <row r="307">
      <c r="A307" s="1" t="str">
        <f>IFERROR(__xludf.DUMMYFUNCTION("""COMPUTED_VALUE"""),"The Bow of the Fallen Hero")</f>
        <v>The Bow of the Fallen Hero</v>
      </c>
      <c r="B307" s="1" t="str">
        <f>IFERROR(__xludf.DUMMYFUNCTION("""COMPUTED_VALUE"""),"Hand")</f>
        <v>Hand</v>
      </c>
      <c r="C307" s="1"/>
      <c r="D307" s="1" t="str">
        <f>IFERROR(__xludf.DUMMYFUNCTION("""COMPUTED_VALUE"""),"Bow")</f>
        <v>Bow</v>
      </c>
      <c r="E307" s="1">
        <f>IFERROR(__xludf.DUMMYFUNCTION("""COMPUTED_VALUE"""),100.0)</f>
        <v>100</v>
      </c>
      <c r="F307" s="2">
        <f>IFERROR(__xludf.DUMMYFUNCTION("""COMPUTED_VALUE"""),450000.0)</f>
        <v>450000</v>
      </c>
      <c r="G307" s="1" t="str">
        <f>IFERROR(__xludf.DUMMYFUNCTION("""COMPUTED_VALUE"""),"DMG")</f>
        <v>DMG</v>
      </c>
      <c r="H307" s="1">
        <f>IFERROR(__xludf.DUMMYFUNCTION("""COMPUTED_VALUE"""),5000.0)</f>
        <v>5000</v>
      </c>
      <c r="I307" s="1"/>
      <c r="J307" s="1"/>
      <c r="K307" s="1"/>
      <c r="L307" s="1"/>
      <c r="M307" s="1"/>
      <c r="N307" s="1"/>
      <c r="O307" s="1"/>
      <c r="P307" s="1"/>
      <c r="Q307" s="1"/>
      <c r="R307" s="1"/>
      <c r="S307" s="1"/>
      <c r="T307" s="1"/>
      <c r="U307" s="1"/>
      <c r="V307" s="1"/>
      <c r="W307" s="1"/>
      <c r="X307" s="1"/>
      <c r="Y307" s="1"/>
      <c r="Z307" s="1"/>
      <c r="AA307" s="1"/>
      <c r="AB307" s="1"/>
      <c r="AC307" s="1"/>
      <c r="AD307" s="1"/>
      <c r="AE307" s="1"/>
      <c r="AF307" s="1" t="str">
        <f>IFERROR(__xludf.DUMMYFUNCTION("""COMPUTED_VALUE"""),"++Dashing Arrows - You can use up to 6 arrows when attacking with this bow. ")</f>
        <v>++Dashing Arrows - You can use up to 6 arrows when attacking with this bow. </v>
      </c>
      <c r="AG307" s="1" t="str">
        <f>IFERROR(__xludf.DUMMYFUNCTION("""COMPUTED_VALUE"""),"Land of Spira")</f>
        <v>Land of Spira</v>
      </c>
      <c r="AH307" s="1" t="b">
        <f>IFERROR(__xludf.DUMMYFUNCTION("""COMPUTED_VALUE"""),FALSE)</f>
        <v>0</v>
      </c>
    </row>
    <row r="308">
      <c r="A308" s="1" t="str">
        <f>IFERROR(__xludf.DUMMYFUNCTION("""COMPUTED_VALUE"""),"The Bow of the Haunted")</f>
        <v>The Bow of the Haunted</v>
      </c>
      <c r="B308" s="1" t="str">
        <f>IFERROR(__xludf.DUMMYFUNCTION("""COMPUTED_VALUE"""),"Hand")</f>
        <v>Hand</v>
      </c>
      <c r="C308" s="1" t="str">
        <f>IFERROR(__xludf.DUMMYFUNCTION("""COMPUTED_VALUE"""),"Halloween exclusive")</f>
        <v>Halloween exclusive</v>
      </c>
      <c r="D308" s="1" t="str">
        <f>IFERROR(__xludf.DUMMYFUNCTION("""COMPUTED_VALUE"""),"Bow")</f>
        <v>Bow</v>
      </c>
      <c r="E308" s="1">
        <f>IFERROR(__xludf.DUMMYFUNCTION("""COMPUTED_VALUE"""),620.0)</f>
        <v>620</v>
      </c>
      <c r="F308" s="2">
        <f>IFERROR(__xludf.DUMMYFUNCTION("""COMPUTED_VALUE"""),1.891E7)</f>
        <v>18910000</v>
      </c>
      <c r="G308" s="1" t="str">
        <f>IFERROR(__xludf.DUMMYFUNCTION("""COMPUTED_VALUE"""),"DMG")</f>
        <v>DMG</v>
      </c>
      <c r="H308" s="1">
        <f>IFERROR(__xludf.DUMMYFUNCTION("""COMPUTED_VALUE"""),1000.0)</f>
        <v>1000</v>
      </c>
      <c r="I308" s="3">
        <f>IFERROR(__xludf.DUMMYFUNCTION("""COMPUTED_VALUE"""),10000.0)</f>
        <v>10000</v>
      </c>
      <c r="J308" s="1"/>
      <c r="K308" s="1"/>
      <c r="L308" s="1"/>
      <c r="M308" s="1"/>
      <c r="N308" s="1"/>
      <c r="O308" s="3">
        <f>IFERROR(__xludf.DUMMYFUNCTION("""COMPUTED_VALUE"""),10000.0)</f>
        <v>10000</v>
      </c>
      <c r="P308" s="1"/>
      <c r="Q308" s="1"/>
      <c r="R308" s="3">
        <f>IFERROR(__xludf.DUMMYFUNCTION("""COMPUTED_VALUE"""),10000.0)</f>
        <v>10000</v>
      </c>
      <c r="S308" s="1"/>
      <c r="T308" s="1"/>
      <c r="U308" s="1"/>
      <c r="V308" s="1"/>
      <c r="W308" s="1"/>
      <c r="X308" s="1"/>
      <c r="Y308" s="1"/>
      <c r="Z308" s="1"/>
      <c r="AA308" s="1"/>
      <c r="AB308" s="1"/>
      <c r="AC308" s="1"/>
      <c r="AD308" s="1"/>
      <c r="AE308" s="1"/>
      <c r="AF308" s="1" t="str">
        <f>IFERROR(__xludf.DUMMYFUNCTION("""COMPUTED_VALUE"""),"++You can use d20 arrows when attacking with this bow, rolls to see how many. Dark and Chaos damage is doubled when attacking with this bow.")</f>
        <v>++You can use d20 arrows when attacking with this bow, rolls to see how many. Dark and Chaos damage is doubled when attacking with this bow.</v>
      </c>
      <c r="AG308" s="1" t="str">
        <f>IFERROR(__xludf.DUMMYFUNCTION("""COMPUTED_VALUE"""),"Halloween Kingdom")</f>
        <v>Halloween Kingdom</v>
      </c>
      <c r="AH308" s="1" t="b">
        <f>IFERROR(__xludf.DUMMYFUNCTION("""COMPUTED_VALUE"""),FALSE)</f>
        <v>0</v>
      </c>
    </row>
    <row r="309">
      <c r="A309" s="1" t="str">
        <f>IFERROR(__xludf.DUMMYFUNCTION("""COMPUTED_VALUE"""),"The Bow of the Pandarian")</f>
        <v>The Bow of the Pandarian</v>
      </c>
      <c r="B309" s="1" t="str">
        <f>IFERROR(__xludf.DUMMYFUNCTION("""COMPUTED_VALUE"""),"Hand")</f>
        <v>Hand</v>
      </c>
      <c r="C309" s="1"/>
      <c r="D309" s="1" t="str">
        <f>IFERROR(__xludf.DUMMYFUNCTION("""COMPUTED_VALUE"""),"Bow")</f>
        <v>Bow</v>
      </c>
      <c r="E309" s="1">
        <f>IFERROR(__xludf.DUMMYFUNCTION("""COMPUTED_VALUE"""),40.0)</f>
        <v>40</v>
      </c>
      <c r="F309" s="2">
        <f>IFERROR(__xludf.DUMMYFUNCTION("""COMPUTED_VALUE"""),60000.0)</f>
        <v>60000</v>
      </c>
      <c r="G309" s="1" t="str">
        <f>IFERROR(__xludf.DUMMYFUNCTION("""COMPUTED_VALUE"""),"DMG")</f>
        <v>DMG</v>
      </c>
      <c r="H309" s="1">
        <f>IFERROR(__xludf.DUMMYFUNCTION("""COMPUTED_VALUE"""),2000.0)</f>
        <v>2000</v>
      </c>
      <c r="I309" s="1"/>
      <c r="J309" s="1"/>
      <c r="K309" s="1"/>
      <c r="L309" s="1"/>
      <c r="M309" s="1"/>
      <c r="N309" s="1"/>
      <c r="O309" s="1"/>
      <c r="P309" s="1"/>
      <c r="Q309" s="1"/>
      <c r="R309" s="1"/>
      <c r="S309" s="1"/>
      <c r="T309" s="1"/>
      <c r="U309" s="1"/>
      <c r="V309" s="1"/>
      <c r="W309" s="1"/>
      <c r="X309" s="1"/>
      <c r="Y309" s="1"/>
      <c r="Z309" s="1"/>
      <c r="AA309" s="1"/>
      <c r="AB309" s="1"/>
      <c r="AC309" s="1"/>
      <c r="AD309" s="1"/>
      <c r="AE309" s="1"/>
      <c r="AF309" s="1" t="str">
        <f>IFERROR(__xludf.DUMMYFUNCTION("""COMPUTED_VALUE"""),"++Half the Arrow - Ranged Spells cost half the sp cost, Ranger Enrage - All Ranged Attacks. do double in damage. ")</f>
        <v>++Half the Arrow - Ranged Spells cost half the sp cost, Ranger Enrage - All Ranged Attacks. do double in damage. </v>
      </c>
      <c r="AG309" s="1" t="str">
        <f>IFERROR(__xludf.DUMMYFUNCTION("""COMPUTED_VALUE"""),"Land of Spira")</f>
        <v>Land of Spira</v>
      </c>
      <c r="AH309" s="1" t="b">
        <f>IFERROR(__xludf.DUMMYFUNCTION("""COMPUTED_VALUE"""),FALSE)</f>
        <v>0</v>
      </c>
    </row>
    <row r="310">
      <c r="A310" s="1" t="str">
        <f>IFERROR(__xludf.DUMMYFUNCTION("""COMPUTED_VALUE"""),"The Buster")</f>
        <v>The Buster</v>
      </c>
      <c r="B310" s="1" t="str">
        <f>IFERROR(__xludf.DUMMYFUNCTION("""COMPUTED_VALUE"""),"Hand")</f>
        <v>Hand</v>
      </c>
      <c r="C310" s="1"/>
      <c r="D310" s="1" t="str">
        <f>IFERROR(__xludf.DUMMYFUNCTION("""COMPUTED_VALUE"""),"Sword")</f>
        <v>Sword</v>
      </c>
      <c r="E310" s="1">
        <f>IFERROR(__xludf.DUMMYFUNCTION("""COMPUTED_VALUE"""),400.0)</f>
        <v>400</v>
      </c>
      <c r="F310" s="2">
        <f>IFERROR(__xludf.DUMMYFUNCTION("""COMPUTED_VALUE"""),7800000.0)</f>
        <v>7800000</v>
      </c>
      <c r="G310" s="1" t="str">
        <f>IFERROR(__xludf.DUMMYFUNCTION("""COMPUTED_VALUE"""),"DMG")</f>
        <v>DMG</v>
      </c>
      <c r="H310" s="3">
        <f>IFERROR(__xludf.DUMMYFUNCTION("""COMPUTED_VALUE"""),20000.0)</f>
        <v>20000</v>
      </c>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t="str">
        <f>IFERROR(__xludf.DUMMYFUNCTION("""COMPUTED_VALUE"""),"Land of Spira")</f>
        <v>Land of Spira</v>
      </c>
      <c r="AH310" s="1" t="b">
        <f>IFERROR(__xludf.DUMMYFUNCTION("""COMPUTED_VALUE"""),TRUE)</f>
        <v>1</v>
      </c>
    </row>
    <row r="311">
      <c r="A311" s="1" t="str">
        <f>IFERROR(__xludf.DUMMYFUNCTION("""COMPUTED_VALUE"""),"The Dawn Splitter")</f>
        <v>The Dawn Splitter</v>
      </c>
      <c r="B311" s="1" t="str">
        <f>IFERROR(__xludf.DUMMYFUNCTION("""COMPUTED_VALUE"""),"Hand")</f>
        <v>Hand</v>
      </c>
      <c r="C311" s="1"/>
      <c r="D311" s="1" t="str">
        <f>IFERROR(__xludf.DUMMYFUNCTION("""COMPUTED_VALUE"""),"Sword")</f>
        <v>Sword</v>
      </c>
      <c r="E311" s="1">
        <f>IFERROR(__xludf.DUMMYFUNCTION("""COMPUTED_VALUE"""),200.0)</f>
        <v>200</v>
      </c>
      <c r="F311" s="2">
        <f>IFERROR(__xludf.DUMMYFUNCTION("""COMPUTED_VALUE"""),7.98E8)</f>
        <v>798000000</v>
      </c>
      <c r="G311" s="1" t="str">
        <f>IFERROR(__xludf.DUMMYFUNCTION("""COMPUTED_VALUE"""),"DMG")</f>
        <v>DMG</v>
      </c>
      <c r="H311" s="3">
        <f>IFERROR(__xludf.DUMMYFUNCTION("""COMPUTED_VALUE"""),50000.0)</f>
        <v>50000</v>
      </c>
      <c r="I311" s="3">
        <f>IFERROR(__xludf.DUMMYFUNCTION("""COMPUTED_VALUE"""),50000.0)</f>
        <v>50000</v>
      </c>
      <c r="J311" s="1"/>
      <c r="K311" s="1"/>
      <c r="L311" s="1"/>
      <c r="M311" s="1"/>
      <c r="N311" s="1"/>
      <c r="O311" s="3">
        <f>IFERROR(__xludf.DUMMYFUNCTION("""COMPUTED_VALUE"""),50000.0)</f>
        <v>50000</v>
      </c>
      <c r="P311" s="1"/>
      <c r="Q311" s="1"/>
      <c r="R311" s="1"/>
      <c r="S311" s="1"/>
      <c r="T311" s="1"/>
      <c r="U311" s="1"/>
      <c r="V311" s="1"/>
      <c r="W311" s="1"/>
      <c r="X311" s="1"/>
      <c r="Y311" s="1"/>
      <c r="Z311" s="1"/>
      <c r="AA311" s="1"/>
      <c r="AB311" s="1"/>
      <c r="AC311" s="3">
        <f>IFERROR(__xludf.DUMMYFUNCTION("""COMPUTED_VALUE"""),50000.0)</f>
        <v>50000</v>
      </c>
      <c r="AD311" s="1"/>
      <c r="AE311" s="1"/>
      <c r="AF311" s="1" t="str">
        <f>IFERROR(__xludf.DUMMYFUNCTION("""COMPUTED_VALUE"""),"++50% Chance to put the target to sleep.")</f>
        <v>++50% Chance to put the target to sleep.</v>
      </c>
      <c r="AG311" s="1" t="str">
        <f>IFERROR(__xludf.DUMMYFUNCTION("""COMPUTED_VALUE"""),"Abstara")</f>
        <v>Abstara</v>
      </c>
      <c r="AH311" s="1" t="b">
        <f>IFERROR(__xludf.DUMMYFUNCTION("""COMPUTED_VALUE"""),FALSE)</f>
        <v>0</v>
      </c>
    </row>
    <row r="312">
      <c r="A312" s="1" t="str">
        <f>IFERROR(__xludf.DUMMYFUNCTION("""COMPUTED_VALUE"""),"The Dragon King's Crown")</f>
        <v>The Dragon King's Crown</v>
      </c>
      <c r="B312" s="1" t="str">
        <f>IFERROR(__xludf.DUMMYFUNCTION("""COMPUTED_VALUE"""),"Head")</f>
        <v>Head</v>
      </c>
      <c r="C312" s="1"/>
      <c r="D312" s="1"/>
      <c r="E312" s="1">
        <f>IFERROR(__xludf.DUMMYFUNCTION("""COMPUTED_VALUE"""),400.0)</f>
        <v>400</v>
      </c>
      <c r="F312" s="2">
        <f>IFERROR(__xludf.DUMMYFUNCTION("""COMPUTED_VALUE"""),7800000.0)</f>
        <v>7800000</v>
      </c>
      <c r="G312" s="1" t="str">
        <f>IFERROR(__xludf.DUMMYFUNCTION("""COMPUTED_VALUE"""),"DEF")</f>
        <v>DEF</v>
      </c>
      <c r="H312" s="3">
        <f>IFERROR(__xludf.DUMMYFUNCTION("""COMPUTED_VALUE"""),20000.0)</f>
        <v>20000</v>
      </c>
      <c r="I312" s="1"/>
      <c r="J312" s="1"/>
      <c r="K312" s="1"/>
      <c r="L312" s="1"/>
      <c r="M312" s="1"/>
      <c r="N312" s="1"/>
      <c r="O312" s="1"/>
      <c r="P312" s="1"/>
      <c r="Q312" s="1"/>
      <c r="R312" s="1"/>
      <c r="S312" s="1"/>
      <c r="T312" s="1"/>
      <c r="U312" s="1"/>
      <c r="V312" s="1"/>
      <c r="W312" s="1"/>
      <c r="X312" s="1"/>
      <c r="Y312" s="1"/>
      <c r="Z312" s="1"/>
      <c r="AA312" s="1"/>
      <c r="AB312" s="1"/>
      <c r="AC312" s="1"/>
      <c r="AD312" s="1"/>
      <c r="AE312" s="1"/>
      <c r="AF312" s="1" t="str">
        <f>IFERROR(__xludf.DUMMYFUNCTION("""COMPUTED_VALUE"""),"++Immunity to damage from Natural Attacks...")</f>
        <v>++Immunity to damage from Natural Attacks...</v>
      </c>
      <c r="AG312" s="1" t="str">
        <f>IFERROR(__xludf.DUMMYFUNCTION("""COMPUTED_VALUE"""),"Land of Spira")</f>
        <v>Land of Spira</v>
      </c>
      <c r="AH312" s="1" t="b">
        <f>IFERROR(__xludf.DUMMYFUNCTION("""COMPUTED_VALUE"""),FALSE)</f>
        <v>0</v>
      </c>
    </row>
    <row r="313">
      <c r="A313" s="1" t="str">
        <f>IFERROR(__xludf.DUMMYFUNCTION("""COMPUTED_VALUE"""),"The Guardian Of Death's Sword")</f>
        <v>The Guardian Of Death's Sword</v>
      </c>
      <c r="B313" s="1" t="str">
        <f>IFERROR(__xludf.DUMMYFUNCTION("""COMPUTED_VALUE"""),"Hand")</f>
        <v>Hand</v>
      </c>
      <c r="C313" s="1"/>
      <c r="D313" s="1" t="str">
        <f>IFERROR(__xludf.DUMMYFUNCTION("""COMPUTED_VALUE"""),"Sword")</f>
        <v>Sword</v>
      </c>
      <c r="E313" s="1">
        <f>IFERROR(__xludf.DUMMYFUNCTION("""COMPUTED_VALUE"""),600.0)</f>
        <v>600</v>
      </c>
      <c r="F313" s="2">
        <f>IFERROR(__xludf.DUMMYFUNCTION("""COMPUTED_VALUE"""),1.77E7)</f>
        <v>17700000</v>
      </c>
      <c r="G313" s="1" t="str">
        <f>IFERROR(__xludf.DUMMYFUNCTION("""COMPUTED_VALUE"""),"DMG")</f>
        <v>DMG</v>
      </c>
      <c r="H313" s="1">
        <f>IFERROR(__xludf.DUMMYFUNCTION("""COMPUTED_VALUE"""),15000.0)</f>
        <v>15000</v>
      </c>
      <c r="I313" s="1"/>
      <c r="J313" s="1"/>
      <c r="K313" s="1"/>
      <c r="L313" s="1"/>
      <c r="M313" s="1"/>
      <c r="N313" s="1"/>
      <c r="O313" s="1">
        <f>IFERROR(__xludf.DUMMYFUNCTION("""COMPUTED_VALUE"""),5000.0)</f>
        <v>5000</v>
      </c>
      <c r="P313" s="1">
        <f>IFERROR(__xludf.DUMMYFUNCTION("""COMPUTED_VALUE"""),5000.0)</f>
        <v>5000</v>
      </c>
      <c r="Q313" s="1"/>
      <c r="R313" s="1">
        <f>IFERROR(__xludf.DUMMYFUNCTION("""COMPUTED_VALUE"""),5000.0)</f>
        <v>5000</v>
      </c>
      <c r="S313" s="1"/>
      <c r="T313" s="1"/>
      <c r="U313" s="1"/>
      <c r="V313" s="1"/>
      <c r="W313" s="1"/>
      <c r="X313" s="1"/>
      <c r="Y313" s="1"/>
      <c r="Z313" s="1"/>
      <c r="AA313" s="1"/>
      <c r="AB313" s="1"/>
      <c r="AC313" s="1"/>
      <c r="AD313" s="1"/>
      <c r="AE313" s="1"/>
      <c r="AF313" s="1"/>
      <c r="AG313" s="1" t="str">
        <f>IFERROR(__xludf.DUMMYFUNCTION("""COMPUTED_VALUE"""),"Land of Spira")</f>
        <v>Land of Spira</v>
      </c>
      <c r="AH313" s="1" t="b">
        <f>IFERROR(__xludf.DUMMYFUNCTION("""COMPUTED_VALUE"""),TRUE)</f>
        <v>1</v>
      </c>
    </row>
    <row r="314">
      <c r="A314" s="1" t="str">
        <f>IFERROR(__xludf.DUMMYFUNCTION("""COMPUTED_VALUE"""),"The Helm of Foul Night")</f>
        <v>The Helm of Foul Night</v>
      </c>
      <c r="B314" s="1" t="str">
        <f>IFERROR(__xludf.DUMMYFUNCTION("""COMPUTED_VALUE"""),"Head")</f>
        <v>Head</v>
      </c>
      <c r="C314" s="1"/>
      <c r="D314" s="1"/>
      <c r="E314" s="1">
        <f>IFERROR(__xludf.DUMMYFUNCTION("""COMPUTED_VALUE"""),200.0)</f>
        <v>200</v>
      </c>
      <c r="F314" s="2">
        <f>IFERROR(__xludf.DUMMYFUNCTION("""COMPUTED_VALUE"""),1900000.0)</f>
        <v>1900000</v>
      </c>
      <c r="G314" s="1" t="str">
        <f>IFERROR(__xludf.DUMMYFUNCTION("""COMPUTED_VALUE"""),"DEF")</f>
        <v>DEF</v>
      </c>
      <c r="H314" s="1">
        <f>IFERROR(__xludf.DUMMYFUNCTION("""COMPUTED_VALUE"""),5000.0)</f>
        <v>5000</v>
      </c>
      <c r="I314" s="1"/>
      <c r="J314" s="1"/>
      <c r="K314" s="1"/>
      <c r="L314" s="1"/>
      <c r="M314" s="1"/>
      <c r="N314" s="1"/>
      <c r="O314" s="1"/>
      <c r="P314" s="1"/>
      <c r="Q314" s="1"/>
      <c r="R314" s="1"/>
      <c r="S314" s="1">
        <f>IFERROR(__xludf.DUMMYFUNCTION("""COMPUTED_VALUE"""),5000.0)</f>
        <v>5000</v>
      </c>
      <c r="T314" s="1"/>
      <c r="U314" s="1"/>
      <c r="V314" s="1"/>
      <c r="W314" s="1"/>
      <c r="X314" s="1"/>
      <c r="Y314" s="1"/>
      <c r="Z314" s="1"/>
      <c r="AA314" s="1"/>
      <c r="AB314" s="1"/>
      <c r="AC314" s="1"/>
      <c r="AD314" s="1"/>
      <c r="AE314" s="1"/>
      <c r="AF314" s="1" t="str">
        <f>IFERROR(__xludf.DUMMYFUNCTION("""COMPUTED_VALUE"""),"(Foul Night Set) ++X2 Nature and Poison damage. ++Poison Immunity. ")</f>
        <v>(Foul Night Set) ++X2 Nature and Poison damage. ++Poison Immunity. </v>
      </c>
      <c r="AG314" s="1" t="str">
        <f>IFERROR(__xludf.DUMMYFUNCTION("""COMPUTED_VALUE"""),"Land of Spira")</f>
        <v>Land of Spira</v>
      </c>
      <c r="AH314" s="1" t="b">
        <f>IFERROR(__xludf.DUMMYFUNCTION("""COMPUTED_VALUE"""),FALSE)</f>
        <v>0</v>
      </c>
    </row>
    <row r="315">
      <c r="A315" s="1" t="str">
        <f>IFERROR(__xludf.DUMMYFUNCTION("""COMPUTED_VALUE"""),"The Invisible Spear")</f>
        <v>The Invisible Spear</v>
      </c>
      <c r="B315" s="1" t="str">
        <f>IFERROR(__xludf.DUMMYFUNCTION("""COMPUTED_VALUE"""),"Hand")</f>
        <v>Hand</v>
      </c>
      <c r="C315" s="1"/>
      <c r="D315" s="1" t="str">
        <f>IFERROR(__xludf.DUMMYFUNCTION("""COMPUTED_VALUE"""),"Spear")</f>
        <v>Spear</v>
      </c>
      <c r="E315" s="1">
        <f>IFERROR(__xludf.DUMMYFUNCTION("""COMPUTED_VALUE"""),1.0)</f>
        <v>1</v>
      </c>
      <c r="F315" s="2">
        <f>IFERROR(__xludf.DUMMYFUNCTION("""COMPUTED_VALUE"""),0.0)</f>
        <v>0</v>
      </c>
      <c r="G315" s="1" t="str">
        <f>IFERROR(__xludf.DUMMYFUNCTION("""COMPUTED_VALUE"""),"DMG")</f>
        <v>DMG</v>
      </c>
      <c r="H315" s="1">
        <f>IFERROR(__xludf.DUMMYFUNCTION("""COMPUTED_VALUE"""),200.0)</f>
        <v>200</v>
      </c>
      <c r="I315" s="1"/>
      <c r="J315" s="1"/>
      <c r="K315" s="1"/>
      <c r="L315" s="1"/>
      <c r="M315" s="1"/>
      <c r="N315" s="1"/>
      <c r="O315" s="1"/>
      <c r="P315" s="1"/>
      <c r="Q315" s="1"/>
      <c r="R315" s="1"/>
      <c r="S315" s="1"/>
      <c r="T315" s="1"/>
      <c r="U315" s="1"/>
      <c r="V315" s="1"/>
      <c r="W315" s="1"/>
      <c r="X315" s="1"/>
      <c r="Y315" s="1"/>
      <c r="Z315" s="1"/>
      <c r="AA315" s="1"/>
      <c r="AB315" s="1"/>
      <c r="AC315" s="1"/>
      <c r="AD315" s="1"/>
      <c r="AE315" s="1"/>
      <c r="AF315" s="1" t="str">
        <f>IFERROR(__xludf.DUMMYFUNCTION("""COMPUTED_VALUE"""),"++ignores evasion")</f>
        <v>++ignores evasion</v>
      </c>
      <c r="AG315" s="1" t="str">
        <f>IFERROR(__xludf.DUMMYFUNCTION("""COMPUTED_VALUE"""),"Land of Spira")</f>
        <v>Land of Spira</v>
      </c>
      <c r="AH315" s="1" t="b">
        <f>IFERROR(__xludf.DUMMYFUNCTION("""COMPUTED_VALUE"""),FALSE)</f>
        <v>0</v>
      </c>
    </row>
    <row r="316">
      <c r="A316" s="1" t="str">
        <f>IFERROR(__xludf.DUMMYFUNCTION("""COMPUTED_VALUE"""),"The Mysterious Mirror")</f>
        <v>The Mysterious Mirror</v>
      </c>
      <c r="B316" s="1" t="str">
        <f>IFERROR(__xludf.DUMMYFUNCTION("""COMPUTED_VALUE"""),"Hand")</f>
        <v>Hand</v>
      </c>
      <c r="C316" s="1"/>
      <c r="D316" s="1" t="str">
        <f>IFERROR(__xludf.DUMMYFUNCTION("""COMPUTED_VALUE"""),"Towershield")</f>
        <v>Towershield</v>
      </c>
      <c r="E316" s="1">
        <f>IFERROR(__xludf.DUMMYFUNCTION("""COMPUTED_VALUE"""),1.0)</f>
        <v>1</v>
      </c>
      <c r="F316" s="2">
        <f>IFERROR(__xludf.DUMMYFUNCTION("""COMPUTED_VALUE"""),0.0)</f>
        <v>0</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t="str">
        <f>IFERROR(__xludf.DUMMYFUNCTION("""COMPUTED_VALUE"""),"++When the user would take damage from an enemy the damage is reflected back at all enemies instead, or you can choose to have the mirror absorb all damage taken from the first 2 attacks to add that damage on to your next attack, you may only choose up to"&amp;" 5 targets for the damage to be reflected back at. The mirrors effect only lasts for your first 2 turns. +-Cannot be forged +-Cannot be duplicated")</f>
        <v>++When the user would take damage from an enemy the damage is reflected back at all enemies instead, or you can choose to have the mirror absorb all damage taken from the first 2 attacks to add that damage on to your next attack, you may only choose up to 5 targets for the damage to be reflected back at. The mirrors effect only lasts for your first 2 turns. +-Cannot be forged +-Cannot be duplicated</v>
      </c>
      <c r="AG316" s="1" t="str">
        <f>IFERROR(__xludf.DUMMYFUNCTION("""COMPUTED_VALUE"""),"Land of The Forgotten")</f>
        <v>Land of The Forgotten</v>
      </c>
      <c r="AH316" s="1" t="b">
        <f>IFERROR(__xludf.DUMMYFUNCTION("""COMPUTED_VALUE"""),FALSE)</f>
        <v>0</v>
      </c>
    </row>
    <row r="317">
      <c r="A317" s="1" t="str">
        <f>IFERROR(__xludf.DUMMYFUNCTION("""COMPUTED_VALUE"""),"The Puppet Masters Amulet")</f>
        <v>The Puppet Masters Amulet</v>
      </c>
      <c r="B317" s="1" t="str">
        <f>IFERROR(__xludf.DUMMYFUNCTION("""COMPUTED_VALUE"""),"Neck")</f>
        <v>Neck</v>
      </c>
      <c r="C317" s="1"/>
      <c r="D317" s="1"/>
      <c r="E317" s="1">
        <f>IFERROR(__xludf.DUMMYFUNCTION("""COMPUTED_VALUE"""),1.0)</f>
        <v>1</v>
      </c>
      <c r="F317" s="2">
        <f>IFERROR(__xludf.DUMMYFUNCTION("""COMPUTED_VALUE"""),0.0)</f>
        <v>0</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t="str">
        <f>IFERROR(__xludf.DUMMYFUNCTION("""COMPUTED_VALUE"""),"++Immune to possession.  +-Cannot be duplicated.")</f>
        <v>++Immune to possession.  +-Cannot be duplicated.</v>
      </c>
      <c r="AG317" s="1" t="str">
        <f>IFERROR(__xludf.DUMMYFUNCTION("""COMPUTED_VALUE"""),"Land of The Forgotten")</f>
        <v>Land of The Forgotten</v>
      </c>
      <c r="AH317" s="1" t="b">
        <f>IFERROR(__xludf.DUMMYFUNCTION("""COMPUTED_VALUE"""),FALSE)</f>
        <v>0</v>
      </c>
    </row>
    <row r="318">
      <c r="A318" s="1" t="str">
        <f>IFERROR(__xludf.DUMMYFUNCTION("""COMPUTED_VALUE"""),"The Puppet Masters Cloak")</f>
        <v>The Puppet Masters Cloak</v>
      </c>
      <c r="B318" s="1" t="str">
        <f>IFERROR(__xludf.DUMMYFUNCTION("""COMPUTED_VALUE"""),"Torso")</f>
        <v>Torso</v>
      </c>
      <c r="C318" s="1"/>
      <c r="D318" s="1"/>
      <c r="E318" s="1">
        <f>IFERROR(__xludf.DUMMYFUNCTION("""COMPUTED_VALUE"""),1.0)</f>
        <v>1</v>
      </c>
      <c r="F318" s="2">
        <f>IFERROR(__xludf.DUMMYFUNCTION("""COMPUTED_VALUE"""),0.0)</f>
        <v>0</v>
      </c>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t="str">
        <f>IFERROR(__xludf.DUMMYFUNCTION("""COMPUTED_VALUE"""),"++User and allies gain immunity to chaos and dark damage while in the party. +-Cannot be duplicated")</f>
        <v>++User and allies gain immunity to chaos and dark damage while in the party. +-Cannot be duplicated</v>
      </c>
      <c r="AG318" s="1" t="str">
        <f>IFERROR(__xludf.DUMMYFUNCTION("""COMPUTED_VALUE"""),"Land of The Forgotten")</f>
        <v>Land of The Forgotten</v>
      </c>
      <c r="AH318" s="1" t="b">
        <f>IFERROR(__xludf.DUMMYFUNCTION("""COMPUTED_VALUE"""),FALSE)</f>
        <v>0</v>
      </c>
    </row>
    <row r="319">
      <c r="A319" s="1" t="str">
        <f>IFERROR(__xludf.DUMMYFUNCTION("""COMPUTED_VALUE"""),"The Puppet Masters Ring")</f>
        <v>The Puppet Masters Ring</v>
      </c>
      <c r="B319" s="1" t="str">
        <f>IFERROR(__xludf.DUMMYFUNCTION("""COMPUTED_VALUE"""),"Ring")</f>
        <v>Ring</v>
      </c>
      <c r="C319" s="1"/>
      <c r="D319" s="1"/>
      <c r="E319" s="1">
        <f>IFERROR(__xludf.DUMMYFUNCTION("""COMPUTED_VALUE"""),1.0)</f>
        <v>1</v>
      </c>
      <c r="F319" s="2">
        <f>IFERROR(__xludf.DUMMYFUNCTION("""COMPUTED_VALUE"""),0.0)</f>
        <v>0</v>
      </c>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t="str">
        <f>IFERROR(__xludf.DUMMYFUNCTION("""COMPUTED_VALUE"""),"++Take control of a target of choice. Fail/Succeed roll, (This effect counts as a possession)  +-Cannot be duplicated.")</f>
        <v>++Take control of a target of choice. Fail/Succeed roll, (This effect counts as a possession)  +-Cannot be duplicated.</v>
      </c>
      <c r="AG319" s="1" t="str">
        <f>IFERROR(__xludf.DUMMYFUNCTION("""COMPUTED_VALUE"""),"Land of The Forgotten")</f>
        <v>Land of The Forgotten</v>
      </c>
      <c r="AH319" s="1" t="b">
        <f>IFERROR(__xludf.DUMMYFUNCTION("""COMPUTED_VALUE"""),FALSE)</f>
        <v>0</v>
      </c>
    </row>
    <row r="320">
      <c r="A320" s="1" t="str">
        <f>IFERROR(__xludf.DUMMYFUNCTION("""COMPUTED_VALUE"""),"The Red Sword")</f>
        <v>The Red Sword</v>
      </c>
      <c r="B320" s="1" t="str">
        <f>IFERROR(__xludf.DUMMYFUNCTION("""COMPUTED_VALUE"""),"Hand")</f>
        <v>Hand</v>
      </c>
      <c r="C320" s="1" t="str">
        <f>IFERROR(__xludf.DUMMYFUNCTION("""COMPUTED_VALUE"""),"A Sword that was made of Vampire’s Blood")</f>
        <v>A Sword that was made of Vampire’s Blood</v>
      </c>
      <c r="D320" s="1" t="str">
        <f>IFERROR(__xludf.DUMMYFUNCTION("""COMPUTED_VALUE"""),"Sword")</f>
        <v>Sword</v>
      </c>
      <c r="E320" s="1">
        <f>IFERROR(__xludf.DUMMYFUNCTION("""COMPUTED_VALUE"""),1.0)</f>
        <v>1</v>
      </c>
      <c r="F320" s="2">
        <f>IFERROR(__xludf.DUMMYFUNCTION("""COMPUTED_VALUE"""),0.0)</f>
        <v>0</v>
      </c>
      <c r="G320" s="1" t="str">
        <f>IFERROR(__xludf.DUMMYFUNCTION("""COMPUTED_VALUE"""),"DMG")</f>
        <v>DMG</v>
      </c>
      <c r="H320" s="1">
        <f>IFERROR(__xludf.DUMMYFUNCTION("""COMPUTED_VALUE"""),300.0)</f>
        <v>300</v>
      </c>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t="str">
        <f>IFERROR(__xludf.DUMMYFUNCTION("""COMPUTED_VALUE"""),"Land of Spira")</f>
        <v>Land of Spira</v>
      </c>
      <c r="AH320" s="1" t="b">
        <f>IFERROR(__xludf.DUMMYFUNCTION("""COMPUTED_VALUE"""),TRUE)</f>
        <v>1</v>
      </c>
    </row>
    <row r="321">
      <c r="A321" s="1" t="str">
        <f>IFERROR(__xludf.DUMMYFUNCTION("""COMPUTED_VALUE"""),"The Servants Sword")</f>
        <v>The Servants Sword</v>
      </c>
      <c r="B321" s="1" t="str">
        <f>IFERROR(__xludf.DUMMYFUNCTION("""COMPUTED_VALUE"""),"Hand")</f>
        <v>Hand</v>
      </c>
      <c r="C321" s="1"/>
      <c r="D321" s="1" t="str">
        <f>IFERROR(__xludf.DUMMYFUNCTION("""COMPUTED_VALUE"""),"Sword")</f>
        <v>Sword</v>
      </c>
      <c r="E321" s="1">
        <f>IFERROR(__xludf.DUMMYFUNCTION("""COMPUTED_VALUE"""),600.0)</f>
        <v>600</v>
      </c>
      <c r="F321" s="2">
        <f>IFERROR(__xludf.DUMMYFUNCTION("""COMPUTED_VALUE"""),1.77E7)</f>
        <v>17700000</v>
      </c>
      <c r="G321" s="1" t="str">
        <f>IFERROR(__xludf.DUMMYFUNCTION("""COMPUTED_VALUE"""),"DMG")</f>
        <v>DMG</v>
      </c>
      <c r="H321" s="3">
        <f>IFERROR(__xludf.DUMMYFUNCTION("""COMPUTED_VALUE"""),20000.0)</f>
        <v>20000</v>
      </c>
      <c r="I321" s="1"/>
      <c r="J321" s="1"/>
      <c r="K321" s="1"/>
      <c r="L321" s="1"/>
      <c r="M321" s="1"/>
      <c r="N321" s="1"/>
      <c r="O321" s="1"/>
      <c r="P321" s="1"/>
      <c r="Q321" s="1"/>
      <c r="R321" s="3">
        <f>IFERROR(__xludf.DUMMYFUNCTION("""COMPUTED_VALUE"""),10000.0)</f>
        <v>10000</v>
      </c>
      <c r="S321" s="1"/>
      <c r="T321" s="1"/>
      <c r="U321" s="1"/>
      <c r="V321" s="1"/>
      <c r="W321" s="1"/>
      <c r="X321" s="1"/>
      <c r="Y321" s="1"/>
      <c r="Z321" s="1"/>
      <c r="AA321" s="1"/>
      <c r="AB321" s="1"/>
      <c r="AC321" s="1"/>
      <c r="AD321" s="1"/>
      <c r="AE321" s="1"/>
      <c r="AF321" s="1"/>
      <c r="AG321" s="1"/>
      <c r="AH321" s="1" t="b">
        <f>IFERROR(__xludf.DUMMYFUNCTION("""COMPUTED_VALUE"""),FALSE)</f>
        <v>0</v>
      </c>
    </row>
    <row r="322">
      <c r="A322" s="1" t="str">
        <f>IFERROR(__xludf.DUMMYFUNCTION("""COMPUTED_VALUE"""),"The Shield of Foul Night")</f>
        <v>The Shield of Foul Night</v>
      </c>
      <c r="B322" s="1" t="str">
        <f>IFERROR(__xludf.DUMMYFUNCTION("""COMPUTED_VALUE"""),"Hand")</f>
        <v>Hand</v>
      </c>
      <c r="C322" s="1"/>
      <c r="D322" s="1" t="str">
        <f>IFERROR(__xludf.DUMMYFUNCTION("""COMPUTED_VALUE"""),"Buckler")</f>
        <v>Buckler</v>
      </c>
      <c r="E322" s="1">
        <f>IFERROR(__xludf.DUMMYFUNCTION("""COMPUTED_VALUE"""),200.0)</f>
        <v>200</v>
      </c>
      <c r="F322" s="2">
        <f>IFERROR(__xludf.DUMMYFUNCTION("""COMPUTED_VALUE"""),1900000.0)</f>
        <v>1900000</v>
      </c>
      <c r="G322" s="1" t="str">
        <f>IFERROR(__xludf.DUMMYFUNCTION("""COMPUTED_VALUE"""),"DEF")</f>
        <v>DEF</v>
      </c>
      <c r="H322" s="1">
        <f>IFERROR(__xludf.DUMMYFUNCTION("""COMPUTED_VALUE"""),5000.0)</f>
        <v>5000</v>
      </c>
      <c r="I322" s="1"/>
      <c r="J322" s="1"/>
      <c r="K322" s="1"/>
      <c r="L322" s="1"/>
      <c r="M322" s="1"/>
      <c r="N322" s="1"/>
      <c r="O322" s="1"/>
      <c r="P322" s="1"/>
      <c r="Q322" s="1"/>
      <c r="R322" s="1"/>
      <c r="S322" s="1">
        <f>IFERROR(__xludf.DUMMYFUNCTION("""COMPUTED_VALUE"""),5000.0)</f>
        <v>5000</v>
      </c>
      <c r="T322" s="1"/>
      <c r="U322" s="1"/>
      <c r="V322" s="1"/>
      <c r="W322" s="1"/>
      <c r="X322" s="1"/>
      <c r="Y322" s="1"/>
      <c r="Z322" s="1"/>
      <c r="AA322" s="1"/>
      <c r="AB322" s="1"/>
      <c r="AC322" s="1"/>
      <c r="AD322" s="1"/>
      <c r="AE322" s="1"/>
      <c r="AF322" s="1" t="str">
        <f>IFERROR(__xludf.DUMMYFUNCTION("""COMPUTED_VALUE"""),"(Foul Night Set) ++Nature Immunity, Poison Immunity")</f>
        <v>(Foul Night Set) ++Nature Immunity, Poison Immunity</v>
      </c>
      <c r="AG322" s="1" t="str">
        <f>IFERROR(__xludf.DUMMYFUNCTION("""COMPUTED_VALUE"""),"Land of Spira")</f>
        <v>Land of Spira</v>
      </c>
      <c r="AH322" s="1" t="b">
        <f>IFERROR(__xludf.DUMMYFUNCTION("""COMPUTED_VALUE"""),FALSE)</f>
        <v>0</v>
      </c>
    </row>
    <row r="323">
      <c r="A323" s="1" t="str">
        <f>IFERROR(__xludf.DUMMYFUNCTION("""COMPUTED_VALUE"""),"The Staff of  Haunted Bones")</f>
        <v>The Staff of  Haunted Bones</v>
      </c>
      <c r="B323" s="1" t="str">
        <f>IFERROR(__xludf.DUMMYFUNCTION("""COMPUTED_VALUE"""),"Hand")</f>
        <v>Hand</v>
      </c>
      <c r="C323" s="1" t="str">
        <f>IFERROR(__xludf.DUMMYFUNCTION("""COMPUTED_VALUE"""),"Halloween exclusive")</f>
        <v>Halloween exclusive</v>
      </c>
      <c r="D323" s="1" t="str">
        <f>IFERROR(__xludf.DUMMYFUNCTION("""COMPUTED_VALUE"""),"Staff")</f>
        <v>Staff</v>
      </c>
      <c r="E323" s="1">
        <f>IFERROR(__xludf.DUMMYFUNCTION("""COMPUTED_VALUE"""),1.0)</f>
        <v>1</v>
      </c>
      <c r="F323" s="2">
        <f>IFERROR(__xludf.DUMMYFUNCTION("""COMPUTED_VALUE"""),0.0)</f>
        <v>0</v>
      </c>
      <c r="G323" s="1" t="str">
        <f>IFERROR(__xludf.DUMMYFUNCTION("""COMPUTED_VALUE"""),"DMG")</f>
        <v>DMG</v>
      </c>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t="str">
        <f>IFERROR(__xludf.DUMMYFUNCTION("""COMPUTED_VALUE"""),"X2 additional Dark, Chaos, and Spirit damage.")</f>
        <v>X2 additional Dark, Chaos, and Spirit damage.</v>
      </c>
      <c r="AG323" s="1" t="str">
        <f>IFERROR(__xludf.DUMMYFUNCTION("""COMPUTED_VALUE"""),"Halloween Kingdom")</f>
        <v>Halloween Kingdom</v>
      </c>
      <c r="AH323" s="1" t="b">
        <f>IFERROR(__xludf.DUMMYFUNCTION("""COMPUTED_VALUE"""),FALSE)</f>
        <v>0</v>
      </c>
    </row>
    <row r="324">
      <c r="A324" s="1" t="str">
        <f>IFERROR(__xludf.DUMMYFUNCTION("""COMPUTED_VALUE"""),"The Staff of the Aquas")</f>
        <v>The Staff of the Aquas</v>
      </c>
      <c r="B324" s="1" t="str">
        <f>IFERROR(__xludf.DUMMYFUNCTION("""COMPUTED_VALUE"""),"Hand")</f>
        <v>Hand</v>
      </c>
      <c r="C324" s="1"/>
      <c r="D324" s="1" t="str">
        <f>IFERROR(__xludf.DUMMYFUNCTION("""COMPUTED_VALUE"""),"Staff")</f>
        <v>Staff</v>
      </c>
      <c r="E324" s="1">
        <f>IFERROR(__xludf.DUMMYFUNCTION("""COMPUTED_VALUE"""),1.0)</f>
        <v>1</v>
      </c>
      <c r="F324" s="2">
        <f>IFERROR(__xludf.DUMMYFUNCTION("""COMPUTED_VALUE"""),0.0)</f>
        <v>0</v>
      </c>
      <c r="G324" s="1" t="str">
        <f>IFERROR(__xludf.DUMMYFUNCTION("""COMPUTED_VALUE"""),"DMG")</f>
        <v>DMG</v>
      </c>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t="str">
        <f>IFERROR(__xludf.DUMMYFUNCTION("""COMPUTED_VALUE"""),"++All Water Spells Deal x3 damage and cost half sp to use.")</f>
        <v>++All Water Spells Deal x3 damage and cost half sp to use.</v>
      </c>
      <c r="AG324" s="1" t="str">
        <f>IFERROR(__xludf.DUMMYFUNCTION("""COMPUTED_VALUE"""),"Land of Spira")</f>
        <v>Land of Spira</v>
      </c>
      <c r="AH324" s="1" t="b">
        <f>IFERROR(__xludf.DUMMYFUNCTION("""COMPUTED_VALUE"""),FALSE)</f>
        <v>0</v>
      </c>
    </row>
    <row r="325">
      <c r="A325" s="1" t="str">
        <f>IFERROR(__xludf.DUMMYFUNCTION("""COMPUTED_VALUE"""),"The Staff of The Pumpkin’s Curse")</f>
        <v>The Staff of The Pumpkin’s Curse</v>
      </c>
      <c r="B325" s="1" t="str">
        <f>IFERROR(__xludf.DUMMYFUNCTION("""COMPUTED_VALUE"""),"Hand")</f>
        <v>Hand</v>
      </c>
      <c r="C325" s="1"/>
      <c r="D325" s="1" t="str">
        <f>IFERROR(__xludf.DUMMYFUNCTION("""COMPUTED_VALUE"""),"Staff")</f>
        <v>Staff</v>
      </c>
      <c r="E325" s="1">
        <f>IFERROR(__xludf.DUMMYFUNCTION("""COMPUTED_VALUE"""),1.0)</f>
        <v>1</v>
      </c>
      <c r="F325" s="2">
        <f>IFERROR(__xludf.DUMMYFUNCTION("""COMPUTED_VALUE"""),0.0)</f>
        <v>0</v>
      </c>
      <c r="G325" s="1" t="str">
        <f>IFERROR(__xludf.DUMMYFUNCTION("""COMPUTED_VALUE"""),"DMG")</f>
        <v>DMG</v>
      </c>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t="str">
        <f>IFERROR(__xludf.DUMMYFUNCTION("""COMPUTED_VALUE"""),"++ Select a target, Any Fire Nature and Dark damage the target deals halved, Fail/Succeed.")</f>
        <v>++ Select a target, Any Fire Nature and Dark damage the target deals halved, Fail/Succeed.</v>
      </c>
      <c r="AG325" s="1" t="str">
        <f>IFERROR(__xludf.DUMMYFUNCTION("""COMPUTED_VALUE"""),"Land of Spira")</f>
        <v>Land of Spira</v>
      </c>
      <c r="AH325" s="1" t="b">
        <f>IFERROR(__xludf.DUMMYFUNCTION("""COMPUTED_VALUE"""),FALSE)</f>
        <v>0</v>
      </c>
    </row>
    <row r="326">
      <c r="A326" s="1" t="str">
        <f>IFERROR(__xludf.DUMMYFUNCTION("""COMPUTED_VALUE"""),"The Stick of the Panda")</f>
        <v>The Stick of the Panda</v>
      </c>
      <c r="B326" s="1" t="str">
        <f>IFERROR(__xludf.DUMMYFUNCTION("""COMPUTED_VALUE"""),"Hand")</f>
        <v>Hand</v>
      </c>
      <c r="C326" s="1"/>
      <c r="D326" s="1" t="str">
        <f>IFERROR(__xludf.DUMMYFUNCTION("""COMPUTED_VALUE"""),"Club")</f>
        <v>Club</v>
      </c>
      <c r="E326" s="1">
        <f>IFERROR(__xludf.DUMMYFUNCTION("""COMPUTED_VALUE"""),400.0)</f>
        <v>400</v>
      </c>
      <c r="F326" s="2">
        <f>IFERROR(__xludf.DUMMYFUNCTION("""COMPUTED_VALUE"""),7800000.0)</f>
        <v>7800000</v>
      </c>
      <c r="G326" s="1" t="str">
        <f>IFERROR(__xludf.DUMMYFUNCTION("""COMPUTED_VALUE"""),"DMG")</f>
        <v>DMG</v>
      </c>
      <c r="H326" s="3">
        <f>IFERROR(__xludf.DUMMYFUNCTION("""COMPUTED_VALUE"""),10000.0)</f>
        <v>10000</v>
      </c>
      <c r="I326" s="1"/>
      <c r="J326" s="1"/>
      <c r="K326" s="1"/>
      <c r="L326" s="1"/>
      <c r="M326" s="1"/>
      <c r="N326" s="1"/>
      <c r="O326" s="1"/>
      <c r="P326" s="1"/>
      <c r="Q326" s="1"/>
      <c r="R326" s="1"/>
      <c r="S326" s="3">
        <f>IFERROR(__xludf.DUMMYFUNCTION("""COMPUTED_VALUE"""),10000.0)</f>
        <v>10000</v>
      </c>
      <c r="T326" s="1"/>
      <c r="U326" s="1"/>
      <c r="V326" s="1"/>
      <c r="W326" s="1"/>
      <c r="X326" s="1"/>
      <c r="Y326" s="1"/>
      <c r="Z326" s="1"/>
      <c r="AA326" s="1"/>
      <c r="AB326" s="1"/>
      <c r="AC326" s="1"/>
      <c r="AD326" s="1"/>
      <c r="AE326" s="1"/>
      <c r="AF326" s="1" t="str">
        <f>IFERROR(__xludf.DUMMYFUNCTION("""COMPUTED_VALUE"""),"++When you find an herb you get 2 of the herb found instead of 1. +-Cannot be duplicated")</f>
        <v>++When you find an herb you get 2 of the herb found instead of 1. +-Cannot be duplicated</v>
      </c>
      <c r="AG326" s="1" t="str">
        <f>IFERROR(__xludf.DUMMYFUNCTION("""COMPUTED_VALUE"""),"Land of Spira")</f>
        <v>Land of Spira</v>
      </c>
      <c r="AH326" s="1" t="b">
        <f>IFERROR(__xludf.DUMMYFUNCTION("""COMPUTED_VALUE"""),FALSE)</f>
        <v>0</v>
      </c>
    </row>
    <row r="327">
      <c r="A327" s="1" t="str">
        <f>IFERROR(__xludf.DUMMYFUNCTION("""COMPUTED_VALUE"""),"The Sword Of Death")</f>
        <v>The Sword Of Death</v>
      </c>
      <c r="B327" s="1" t="str">
        <f>IFERROR(__xludf.DUMMYFUNCTION("""COMPUTED_VALUE"""),"Hand")</f>
        <v>Hand</v>
      </c>
      <c r="C327" s="1"/>
      <c r="D327" s="1" t="str">
        <f>IFERROR(__xludf.DUMMYFUNCTION("""COMPUTED_VALUE"""),"Sword")</f>
        <v>Sword</v>
      </c>
      <c r="E327" s="1">
        <f>IFERROR(__xludf.DUMMYFUNCTION("""COMPUTED_VALUE"""),1.0)</f>
        <v>1</v>
      </c>
      <c r="F327" s="2">
        <f>IFERROR(__xludf.DUMMYFUNCTION("""COMPUTED_VALUE"""),0.0)</f>
        <v>0</v>
      </c>
      <c r="G327" s="1" t="str">
        <f>IFERROR(__xludf.DUMMYFUNCTION("""COMPUTED_VALUE"""),"DMG")</f>
        <v>DMG</v>
      </c>
      <c r="H327" s="1">
        <f>IFERROR(__xludf.DUMMYFUNCTION("""COMPUTED_VALUE"""),250.0)</f>
        <v>250</v>
      </c>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t="str">
        <f>IFERROR(__xludf.DUMMYFUNCTION("""COMPUTED_VALUE"""),"Land of Spira")</f>
        <v>Land of Spira</v>
      </c>
      <c r="AH327" s="1" t="b">
        <f>IFERROR(__xludf.DUMMYFUNCTION("""COMPUTED_VALUE"""),TRUE)</f>
        <v>1</v>
      </c>
    </row>
    <row r="328">
      <c r="A328" s="1" t="str">
        <f>IFERROR(__xludf.DUMMYFUNCTION("""COMPUTED_VALUE"""),"The Sword Of Easter's Gathering (Exclusive)")</f>
        <v>The Sword Of Easter's Gathering (Exclusive)</v>
      </c>
      <c r="B328" s="1" t="str">
        <f>IFERROR(__xludf.DUMMYFUNCTION("""COMPUTED_VALUE"""),"Hand")</f>
        <v>Hand</v>
      </c>
      <c r="C328" s="1"/>
      <c r="D328" s="1" t="str">
        <f>IFERROR(__xludf.DUMMYFUNCTION("""COMPUTED_VALUE"""),"Sword")</f>
        <v>Sword</v>
      </c>
      <c r="E328" s="1">
        <f>IFERROR(__xludf.DUMMYFUNCTION("""COMPUTED_VALUE"""),200.0)</f>
        <v>200</v>
      </c>
      <c r="F328" s="2">
        <f>IFERROR(__xludf.DUMMYFUNCTION("""COMPUTED_VALUE"""),7800000.0)</f>
        <v>7800000</v>
      </c>
      <c r="G328" s="1" t="str">
        <f>IFERROR(__xludf.DUMMYFUNCTION("""COMPUTED_VALUE"""),"DMG")</f>
        <v>DMG</v>
      </c>
      <c r="H328" s="1"/>
      <c r="I328" s="1"/>
      <c r="J328" s="1"/>
      <c r="K328" s="1"/>
      <c r="L328" s="1"/>
      <c r="M328" s="1"/>
      <c r="N328" s="1"/>
      <c r="O328" s="1"/>
      <c r="P328" s="1"/>
      <c r="Q328" s="1"/>
      <c r="R328" s="1"/>
      <c r="S328" s="1">
        <f>IFERROR(__xludf.DUMMYFUNCTION("""COMPUTED_VALUE"""),10000.0)</f>
        <v>10000</v>
      </c>
      <c r="T328" s="1"/>
      <c r="U328" s="1"/>
      <c r="V328" s="1"/>
      <c r="W328" s="1"/>
      <c r="X328" s="1"/>
      <c r="Y328" s="1"/>
      <c r="Z328" s="1"/>
      <c r="AA328" s="1"/>
      <c r="AB328" s="1"/>
      <c r="AC328" s="1">
        <f>IFERROR(__xludf.DUMMYFUNCTION("""COMPUTED_VALUE"""),10000.0)</f>
        <v>10000</v>
      </c>
      <c r="AD328" s="1"/>
      <c r="AE328" s="1"/>
      <c r="AF328" s="1" t="str">
        <f>IFERROR(__xludf.DUMMYFUNCTION("""COMPUTED_VALUE"""),"++Doubles all elemental damage when held, ++2 on all rolls while in battle, +-Cannot be forged +-Cannot be duplicated")</f>
        <v>++Doubles all elemental damage when held, ++2 on all rolls while in battle, +-Cannot be forged +-Cannot be duplicated</v>
      </c>
      <c r="AG328" s="1" t="str">
        <f>IFERROR(__xludf.DUMMYFUNCTION("""COMPUTED_VALUE"""),"Land of Spira")</f>
        <v>Land of Spira</v>
      </c>
      <c r="AH328" s="1" t="b">
        <f>IFERROR(__xludf.DUMMYFUNCTION("""COMPUTED_VALUE"""),FALSE)</f>
        <v>0</v>
      </c>
    </row>
    <row r="329">
      <c r="A329" s="1" t="str">
        <f>IFERROR(__xludf.DUMMYFUNCTION("""COMPUTED_VALUE"""),"The Sword of Manannán (Exclusive)")</f>
        <v>The Sword of Manannán (Exclusive)</v>
      </c>
      <c r="B329" s="1" t="str">
        <f>IFERROR(__xludf.DUMMYFUNCTION("""COMPUTED_VALUE"""),"Hand")</f>
        <v>Hand</v>
      </c>
      <c r="C329" s="1" t="str">
        <f>IFERROR(__xludf.DUMMYFUNCTION("""COMPUTED_VALUE"""),"Lugh's Sword he wielded in battle")</f>
        <v>Lugh's Sword he wielded in battle</v>
      </c>
      <c r="D329" s="1" t="str">
        <f>IFERROR(__xludf.DUMMYFUNCTION("""COMPUTED_VALUE"""),"Sword")</f>
        <v>Sword</v>
      </c>
      <c r="E329" s="1">
        <f>IFERROR(__xludf.DUMMYFUNCTION("""COMPUTED_VALUE"""),200.0)</f>
        <v>200</v>
      </c>
      <c r="F329" s="2">
        <f>IFERROR(__xludf.DUMMYFUNCTION("""COMPUTED_VALUE"""),4.485E8)</f>
        <v>448500000</v>
      </c>
      <c r="G329" s="1" t="str">
        <f>IFERROR(__xludf.DUMMYFUNCTION("""COMPUTED_VALUE"""),"DMG")</f>
        <v>DMG</v>
      </c>
      <c r="H329" s="3">
        <f>IFERROR(__xludf.DUMMYFUNCTION("""COMPUTED_VALUE"""),75000.0)</f>
        <v>75000</v>
      </c>
      <c r="I329" s="1"/>
      <c r="J329" s="1"/>
      <c r="K329" s="1"/>
      <c r="L329" s="1"/>
      <c r="M329" s="1"/>
      <c r="N329" s="1"/>
      <c r="O329" s="1"/>
      <c r="P329" s="1"/>
      <c r="Q329" s="1"/>
      <c r="R329" s="1"/>
      <c r="S329" s="1"/>
      <c r="T329" s="1"/>
      <c r="U329" s="1"/>
      <c r="V329" s="1"/>
      <c r="W329" s="1"/>
      <c r="X329" s="1"/>
      <c r="Y329" s="1"/>
      <c r="Z329" s="1"/>
      <c r="AA329" s="1"/>
      <c r="AB329" s="1"/>
      <c r="AC329" s="3">
        <f>IFERROR(__xludf.DUMMYFUNCTION("""COMPUTED_VALUE"""),75000.0)</f>
        <v>75000</v>
      </c>
      <c r="AD329" s="1"/>
      <c r="AE329" s="1"/>
      <c r="AF329" s="1" t="str">
        <f>IFERROR(__xludf.DUMMYFUNCTION("""COMPUTED_VALUE"""),"++Intimidation and Charisma stat is double while equipped")</f>
        <v>++Intimidation and Charisma stat is double while equipped</v>
      </c>
      <c r="AG329" s="1" t="str">
        <f>IFERROR(__xludf.DUMMYFUNCTION("""COMPUTED_VALUE"""),"Land of Spira")</f>
        <v>Land of Spira</v>
      </c>
      <c r="AH329" s="1" t="b">
        <f>IFERROR(__xludf.DUMMYFUNCTION("""COMPUTED_VALUE"""),TRUE)</f>
        <v>1</v>
      </c>
    </row>
    <row r="330">
      <c r="A330" s="1" t="str">
        <f>IFERROR(__xludf.DUMMYFUNCTION("""COMPUTED_VALUE"""),"The Waking Ash of the Serpent’s Pendent")</f>
        <v>The Waking Ash of the Serpent’s Pendent</v>
      </c>
      <c r="B330" s="1" t="str">
        <f>IFERROR(__xludf.DUMMYFUNCTION("""COMPUTED_VALUE"""),"Neck")</f>
        <v>Neck</v>
      </c>
      <c r="C330" s="1"/>
      <c r="D330" s="1"/>
      <c r="E330" s="1">
        <f>IFERROR(__xludf.DUMMYFUNCTION("""COMPUTED_VALUE"""),1.0)</f>
        <v>1</v>
      </c>
      <c r="F330" s="2">
        <f>IFERROR(__xludf.DUMMYFUNCTION("""COMPUTED_VALUE"""),0.0)</f>
        <v>0</v>
      </c>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t="str">
        <f>IFERROR(__xludf.DUMMYFUNCTION("""COMPUTED_VALUE"""),"++When attacked with a fire spell or fire weapon you may absorb the damage you take from that 1 attack and add the damage you would have taken to your next attack as additional fire damage, This effect can only be used once per battle. +-Cannot be duplica"&amp;"ted.")</f>
        <v>++When attacked with a fire spell or fire weapon you may absorb the damage you take from that 1 attack and add the damage you would have taken to your next attack as additional fire damage, This effect can only be used once per battle. +-Cannot be duplicated.</v>
      </c>
      <c r="AG330" s="1" t="str">
        <f>IFERROR(__xludf.DUMMYFUNCTION("""COMPUTED_VALUE"""),"Abstara")</f>
        <v>Abstara</v>
      </c>
      <c r="AH330" s="1" t="b">
        <f>IFERROR(__xludf.DUMMYFUNCTION("""COMPUTED_VALUE"""),FALSE)</f>
        <v>0</v>
      </c>
    </row>
    <row r="331">
      <c r="A331" s="1" t="str">
        <f>IFERROR(__xludf.DUMMYFUNCTION("""COMPUTED_VALUE"""),"The Wand of Aquatic Beasts")</f>
        <v>The Wand of Aquatic Beasts</v>
      </c>
      <c r="B331" s="1" t="str">
        <f>IFERROR(__xludf.DUMMYFUNCTION("""COMPUTED_VALUE"""),"Hand")</f>
        <v>Hand</v>
      </c>
      <c r="C331" s="1"/>
      <c r="D331" s="1" t="str">
        <f>IFERROR(__xludf.DUMMYFUNCTION("""COMPUTED_VALUE"""),"Wand")</f>
        <v>Wand</v>
      </c>
      <c r="E331" s="1">
        <f>IFERROR(__xludf.DUMMYFUNCTION("""COMPUTED_VALUE"""),1.0)</f>
        <v>1</v>
      </c>
      <c r="F331" s="2">
        <f>IFERROR(__xludf.DUMMYFUNCTION("""COMPUTED_VALUE"""),0.0)</f>
        <v>0</v>
      </c>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t="str">
        <f>IFERROR(__xludf.DUMMYFUNCTION("""COMPUTED_VALUE"""),"++All water and storm spells are decreased by half sp.")</f>
        <v>++All water and storm spells are decreased by half sp.</v>
      </c>
      <c r="AG331" s="1" t="str">
        <f>IFERROR(__xludf.DUMMYFUNCTION("""COMPUTED_VALUE"""),"Land of Spira")</f>
        <v>Land of Spira</v>
      </c>
      <c r="AH331" s="1" t="b">
        <f>IFERROR(__xludf.DUMMYFUNCTION("""COMPUTED_VALUE"""),FALSE)</f>
        <v>0</v>
      </c>
    </row>
    <row r="332">
      <c r="A332" s="1" t="str">
        <f>IFERROR(__xludf.DUMMYFUNCTION("""COMPUTED_VALUE"""),"Titanic Two Hander")</f>
        <v>Titanic Two Hander</v>
      </c>
      <c r="B332" s="1" t="str">
        <f>IFERROR(__xludf.DUMMYFUNCTION("""COMPUTED_VALUE"""),"Hand")</f>
        <v>Hand</v>
      </c>
      <c r="C332" s="1"/>
      <c r="D332" s="1" t="str">
        <f>IFERROR(__xludf.DUMMYFUNCTION("""COMPUTED_VALUE"""),"Sword")</f>
        <v>Sword</v>
      </c>
      <c r="E332" s="1">
        <f>IFERROR(__xludf.DUMMYFUNCTION("""COMPUTED_VALUE"""),200.0)</f>
        <v>200</v>
      </c>
      <c r="F332" s="2">
        <f>IFERROR(__xludf.DUMMYFUNCTION("""COMPUTED_VALUE"""),1900000.0)</f>
        <v>1900000</v>
      </c>
      <c r="G332" s="1" t="str">
        <f>IFERROR(__xludf.DUMMYFUNCTION("""COMPUTED_VALUE"""),"DMG")</f>
        <v>DMG</v>
      </c>
      <c r="H332" s="3">
        <f>IFERROR(__xludf.DUMMYFUNCTION("""COMPUTED_VALUE"""),10000.0)</f>
        <v>10000</v>
      </c>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t="str">
        <f>IFERROR(__xludf.DUMMYFUNCTION("""COMPUTED_VALUE"""),"Land of Spira")</f>
        <v>Land of Spira</v>
      </c>
      <c r="AH332" s="1" t="b">
        <f>IFERROR(__xludf.DUMMYFUNCTION("""COMPUTED_VALUE"""),TRUE)</f>
        <v>1</v>
      </c>
    </row>
    <row r="333">
      <c r="A333" s="1" t="str">
        <f>IFERROR(__xludf.DUMMYFUNCTION("""COMPUTED_VALUE"""),"Top Hat")</f>
        <v>Top Hat</v>
      </c>
      <c r="B333" s="1" t="str">
        <f>IFERROR(__xludf.DUMMYFUNCTION("""COMPUTED_VALUE"""),"Head")</f>
        <v>Head</v>
      </c>
      <c r="C333" s="1" t="str">
        <f>IFERROR(__xludf.DUMMYFUNCTION("""COMPUTED_VALUE"""),"nothing like good ol abraham")</f>
        <v>nothing like good ol abraham</v>
      </c>
      <c r="D333" s="1"/>
      <c r="E333" s="1">
        <f>IFERROR(__xludf.DUMMYFUNCTION("""COMPUTED_VALUE"""),1.0)</f>
        <v>1</v>
      </c>
      <c r="F333" s="2">
        <f>IFERROR(__xludf.DUMMYFUNCTION("""COMPUTED_VALUE"""),0.0)</f>
        <v>0</v>
      </c>
      <c r="G333" s="1" t="str">
        <f>IFERROR(__xludf.DUMMYFUNCTION("""COMPUTED_VALUE"""),"DEF")</f>
        <v>DEF</v>
      </c>
      <c r="H333" s="1">
        <f>IFERROR(__xludf.DUMMYFUNCTION("""COMPUTED_VALUE"""),1.0)</f>
        <v>1</v>
      </c>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t="str">
        <f>IFERROR(__xludf.DUMMYFUNCTION("""COMPUTED_VALUE"""),"Land of Spira")</f>
        <v>Land of Spira</v>
      </c>
      <c r="AH333" s="1" t="b">
        <f>IFERROR(__xludf.DUMMYFUNCTION("""COMPUTED_VALUE"""),FALSE)</f>
        <v>0</v>
      </c>
    </row>
    <row r="334">
      <c r="A334" s="1" t="str">
        <f>IFERROR(__xludf.DUMMYFUNCTION("""COMPUTED_VALUE"""),"Trident")</f>
        <v>Trident</v>
      </c>
      <c r="B334" s="1" t="str">
        <f>IFERROR(__xludf.DUMMYFUNCTION("""COMPUTED_VALUE"""),"Hand")</f>
        <v>Hand</v>
      </c>
      <c r="C334" s="1"/>
      <c r="D334" s="1" t="str">
        <f>IFERROR(__xludf.DUMMYFUNCTION("""COMPUTED_VALUE"""),"Spear")</f>
        <v>Spear</v>
      </c>
      <c r="E334" s="1">
        <f>IFERROR(__xludf.DUMMYFUNCTION("""COMPUTED_VALUE"""),20.0)</f>
        <v>20</v>
      </c>
      <c r="F334" s="2">
        <f>IFERROR(__xludf.DUMMYFUNCTION("""COMPUTED_VALUE"""),1000.0)</f>
        <v>1000</v>
      </c>
      <c r="G334" s="1" t="str">
        <f>IFERROR(__xludf.DUMMYFUNCTION("""COMPUTED_VALUE"""),"DMG")</f>
        <v>DMG</v>
      </c>
      <c r="H334" s="1">
        <f>IFERROR(__xludf.DUMMYFUNCTION("""COMPUTED_VALUE"""),600.0)</f>
        <v>600</v>
      </c>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t="str">
        <f>IFERROR(__xludf.DUMMYFUNCTION("""COMPUTED_VALUE"""),"Land of Spira")</f>
        <v>Land of Spira</v>
      </c>
      <c r="AH334" s="1" t="b">
        <f>IFERROR(__xludf.DUMMYFUNCTION("""COMPUTED_VALUE"""),TRUE)</f>
        <v>1</v>
      </c>
    </row>
    <row r="335">
      <c r="A335" s="1" t="str">
        <f>IFERROR(__xludf.DUMMYFUNCTION("""COMPUTED_VALUE"""),"Tundra Staff")</f>
        <v>Tundra Staff</v>
      </c>
      <c r="B335" s="1" t="str">
        <f>IFERROR(__xludf.DUMMYFUNCTION("""COMPUTED_VALUE"""),"Hand")</f>
        <v>Hand</v>
      </c>
      <c r="C335" s="1"/>
      <c r="D335" s="1" t="str">
        <f>IFERROR(__xludf.DUMMYFUNCTION("""COMPUTED_VALUE"""),"Staff")</f>
        <v>Staff</v>
      </c>
      <c r="E335" s="1">
        <f>IFERROR(__xludf.DUMMYFUNCTION("""COMPUTED_VALUE"""),200.0)</f>
        <v>200</v>
      </c>
      <c r="F335" s="2">
        <f>IFERROR(__xludf.DUMMYFUNCTION("""COMPUTED_VALUE"""),1900000.0)</f>
        <v>1900000</v>
      </c>
      <c r="G335" s="1"/>
      <c r="H335" s="1"/>
      <c r="I335" s="1"/>
      <c r="J335" s="1"/>
      <c r="K335" s="1"/>
      <c r="L335" s="1"/>
      <c r="M335" s="3">
        <f>IFERROR(__xludf.DUMMYFUNCTION("""COMPUTED_VALUE"""),10000.0)</f>
        <v>10000</v>
      </c>
      <c r="N335" s="1"/>
      <c r="O335" s="1"/>
      <c r="P335" s="1"/>
      <c r="Q335" s="1"/>
      <c r="R335" s="1"/>
      <c r="S335" s="1"/>
      <c r="T335" s="1"/>
      <c r="U335" s="1"/>
      <c r="V335" s="1"/>
      <c r="W335" s="1"/>
      <c r="X335" s="1"/>
      <c r="Y335" s="1"/>
      <c r="Z335" s="1"/>
      <c r="AA335" s="1"/>
      <c r="AB335" s="1"/>
      <c r="AC335" s="1"/>
      <c r="AD335" s="1"/>
      <c r="AE335" s="1"/>
      <c r="AF335" s="1" t="str">
        <f>IFERROR(__xludf.DUMMYFUNCTION("""COMPUTED_VALUE"""),"++X2 Earth damage. +-Cannot be duplicated")</f>
        <v>++X2 Earth damage. +-Cannot be duplicated</v>
      </c>
      <c r="AG335" s="1" t="str">
        <f>IFERROR(__xludf.DUMMYFUNCTION("""COMPUTED_VALUE"""),"Land of Spira")</f>
        <v>Land of Spira</v>
      </c>
      <c r="AH335" s="1" t="b">
        <f>IFERROR(__xludf.DUMMYFUNCTION("""COMPUTED_VALUE"""),FALSE)</f>
        <v>0</v>
      </c>
    </row>
    <row r="336">
      <c r="A336" s="1" t="str">
        <f>IFERROR(__xludf.DUMMYFUNCTION("""COMPUTED_VALUE"""),"Twilight Bow")</f>
        <v>Twilight Bow</v>
      </c>
      <c r="B336" s="1" t="str">
        <f>IFERROR(__xludf.DUMMYFUNCTION("""COMPUTED_VALUE"""),"Hand")</f>
        <v>Hand</v>
      </c>
      <c r="C336" s="1"/>
      <c r="D336" s="1" t="str">
        <f>IFERROR(__xludf.DUMMYFUNCTION("""COMPUTED_VALUE"""),"Bow")</f>
        <v>Bow</v>
      </c>
      <c r="E336" s="1">
        <f>IFERROR(__xludf.DUMMYFUNCTION("""COMPUTED_VALUE"""),400.0)</f>
        <v>400</v>
      </c>
      <c r="F336" s="2">
        <f>IFERROR(__xludf.DUMMYFUNCTION("""COMPUTED_VALUE"""),7800000.0)</f>
        <v>7800000</v>
      </c>
      <c r="G336" s="1" t="str">
        <f>IFERROR(__xludf.DUMMYFUNCTION("""COMPUTED_VALUE"""),"DMG")</f>
        <v>DMG</v>
      </c>
      <c r="H336" s="3">
        <f>IFERROR(__xludf.DUMMYFUNCTION("""COMPUTED_VALUE"""),10000.0)</f>
        <v>10000</v>
      </c>
      <c r="I336" s="1"/>
      <c r="J336" s="1"/>
      <c r="K336" s="1"/>
      <c r="L336" s="1"/>
      <c r="M336" s="1"/>
      <c r="N336" s="1"/>
      <c r="O336" s="1"/>
      <c r="P336" s="1"/>
      <c r="Q336" s="1"/>
      <c r="R336" s="1"/>
      <c r="S336" s="1"/>
      <c r="T336" s="1"/>
      <c r="U336" s="1"/>
      <c r="V336" s="1"/>
      <c r="W336" s="3">
        <f>IFERROR(__xludf.DUMMYFUNCTION("""COMPUTED_VALUE"""),10000.0)</f>
        <v>10000</v>
      </c>
      <c r="X336" s="1"/>
      <c r="Y336" s="1"/>
      <c r="Z336" s="1"/>
      <c r="AA336" s="1"/>
      <c r="AB336" s="1"/>
      <c r="AC336" s="1"/>
      <c r="AD336" s="1"/>
      <c r="AE336" s="1"/>
      <c r="AF336" s="1"/>
      <c r="AG336" s="1" t="str">
        <f>IFERROR(__xludf.DUMMYFUNCTION("""COMPUTED_VALUE"""),"Land of Spira")</f>
        <v>Land of Spira</v>
      </c>
      <c r="AH336" s="1" t="b">
        <f>IFERROR(__xludf.DUMMYFUNCTION("""COMPUTED_VALUE"""),TRUE)</f>
        <v>1</v>
      </c>
    </row>
    <row r="337">
      <c r="A337" s="1" t="str">
        <f>IFERROR(__xludf.DUMMYFUNCTION("""COMPUTED_VALUE"""),"Twilight Crystal Sword of Evil's Bane")</f>
        <v>Twilight Crystal Sword of Evil's Bane</v>
      </c>
      <c r="B337" s="1" t="str">
        <f>IFERROR(__xludf.DUMMYFUNCTION("""COMPUTED_VALUE"""),"Hand")</f>
        <v>Hand</v>
      </c>
      <c r="C337" s="1" t="str">
        <f>IFERROR(__xludf.DUMMYFUNCTION("""COMPUTED_VALUE"""),"Halloween Event Exclusive Item")</f>
        <v>Halloween Event Exclusive Item</v>
      </c>
      <c r="D337" s="1" t="str">
        <f>IFERROR(__xludf.DUMMYFUNCTION("""COMPUTED_VALUE"""),"Sword")</f>
        <v>Sword</v>
      </c>
      <c r="E337" s="1">
        <f>IFERROR(__xludf.DUMMYFUNCTION("""COMPUTED_VALUE"""),200.0)</f>
        <v>200</v>
      </c>
      <c r="F337" s="2">
        <f>IFERROR(__xludf.DUMMYFUNCTION("""COMPUTED_VALUE"""),4.95E7)</f>
        <v>49500000</v>
      </c>
      <c r="G337" s="1" t="str">
        <f>IFERROR(__xludf.DUMMYFUNCTION("""COMPUTED_VALUE"""),"DMG")</f>
        <v>DMG</v>
      </c>
      <c r="H337" s="3">
        <f>IFERROR(__xludf.DUMMYFUNCTION("""COMPUTED_VALUE"""),20000.0)</f>
        <v>20000</v>
      </c>
      <c r="I337" s="1"/>
      <c r="J337" s="1"/>
      <c r="K337" s="1"/>
      <c r="L337" s="1"/>
      <c r="M337" s="1"/>
      <c r="N337" s="1"/>
      <c r="O337" s="1"/>
      <c r="P337" s="1"/>
      <c r="Q337" s="1"/>
      <c r="R337" s="1"/>
      <c r="S337" s="1"/>
      <c r="T337" s="1"/>
      <c r="U337" s="1"/>
      <c r="V337" s="1"/>
      <c r="W337" s="3">
        <f>IFERROR(__xludf.DUMMYFUNCTION("""COMPUTED_VALUE"""),20000.0)</f>
        <v>20000</v>
      </c>
      <c r="X337" s="1"/>
      <c r="Y337" s="1"/>
      <c r="Z337" s="1"/>
      <c r="AA337" s="1"/>
      <c r="AB337" s="1"/>
      <c r="AC337" s="3">
        <f>IFERROR(__xludf.DUMMYFUNCTION("""COMPUTED_VALUE"""),10000.0)</f>
        <v>10000</v>
      </c>
      <c r="AD337" s="1"/>
      <c r="AE337" s="1"/>
      <c r="AF337" s="1" t="str">
        <f>IFERROR(__xludf.DUMMYFUNCTION("""COMPUTED_VALUE"""),"++X4 Order, Light, Chaos, and Dark damage for the user and party. +-Cannot be forged +-Cannot be duplicated")</f>
        <v>++X4 Order, Light, Chaos, and Dark damage for the user and party. +-Cannot be forged +-Cannot be duplicated</v>
      </c>
      <c r="AG337" s="1" t="str">
        <f>IFERROR(__xludf.DUMMYFUNCTION("""COMPUTED_VALUE"""),"Land of Spira")</f>
        <v>Land of Spira</v>
      </c>
      <c r="AH337" s="1" t="b">
        <f>IFERROR(__xludf.DUMMYFUNCTION("""COMPUTED_VALUE"""),FALSE)</f>
        <v>0</v>
      </c>
    </row>
    <row r="338">
      <c r="A338" s="1" t="str">
        <f>IFERROR(__xludf.DUMMYFUNCTION("""COMPUTED_VALUE"""),"Twilight Sword")</f>
        <v>Twilight Sword</v>
      </c>
      <c r="B338" s="1" t="str">
        <f>IFERROR(__xludf.DUMMYFUNCTION("""COMPUTED_VALUE"""),"Hand")</f>
        <v>Hand</v>
      </c>
      <c r="C338" s="1"/>
      <c r="D338" s="1" t="str">
        <f>IFERROR(__xludf.DUMMYFUNCTION("""COMPUTED_VALUE"""),"Sword")</f>
        <v>Sword</v>
      </c>
      <c r="E338" s="1">
        <f>IFERROR(__xludf.DUMMYFUNCTION("""COMPUTED_VALUE"""),20.0)</f>
        <v>20</v>
      </c>
      <c r="F338" s="2">
        <f>IFERROR(__xludf.DUMMYFUNCTION("""COMPUTED_VALUE"""),1000.0)</f>
        <v>1000</v>
      </c>
      <c r="G338" s="1" t="str">
        <f>IFERROR(__xludf.DUMMYFUNCTION("""COMPUTED_VALUE"""),"DMG")</f>
        <v>DMG</v>
      </c>
      <c r="H338" s="1">
        <f>IFERROR(__xludf.DUMMYFUNCTION("""COMPUTED_VALUE"""),500.0)</f>
        <v>500</v>
      </c>
      <c r="I338" s="1"/>
      <c r="J338" s="1"/>
      <c r="K338" s="1"/>
      <c r="L338" s="1"/>
      <c r="M338" s="1"/>
      <c r="N338" s="1"/>
      <c r="O338" s="1"/>
      <c r="P338" s="1"/>
      <c r="Q338" s="1"/>
      <c r="R338" s="1"/>
      <c r="S338" s="1"/>
      <c r="T338" s="1"/>
      <c r="U338" s="1"/>
      <c r="V338" s="1"/>
      <c r="W338" s="1">
        <f>IFERROR(__xludf.DUMMYFUNCTION("""COMPUTED_VALUE"""),200.0)</f>
        <v>200</v>
      </c>
      <c r="X338" s="1"/>
      <c r="Y338" s="1"/>
      <c r="Z338" s="1"/>
      <c r="AA338" s="1"/>
      <c r="AB338" s="1"/>
      <c r="AC338" s="1"/>
      <c r="AD338" s="1"/>
      <c r="AE338" s="1"/>
      <c r="AF338" s="1"/>
      <c r="AG338" s="1" t="str">
        <f>IFERROR(__xludf.DUMMYFUNCTION("""COMPUTED_VALUE"""),"Land of Spira")</f>
        <v>Land of Spira</v>
      </c>
      <c r="AH338" s="1" t="b">
        <f>IFERROR(__xludf.DUMMYFUNCTION("""COMPUTED_VALUE"""),TRUE)</f>
        <v>1</v>
      </c>
    </row>
    <row r="339">
      <c r="A339" s="1" t="str">
        <f>IFERROR(__xludf.DUMMYFUNCTION("""COMPUTED_VALUE"""),"Unknown Amulet")</f>
        <v>Unknown Amulet</v>
      </c>
      <c r="B339" s="1" t="str">
        <f>IFERROR(__xludf.DUMMYFUNCTION("""COMPUTED_VALUE"""),"Neck")</f>
        <v>Neck</v>
      </c>
      <c r="C339" s="1"/>
      <c r="D339" s="1"/>
      <c r="E339" s="1">
        <f>IFERROR(__xludf.DUMMYFUNCTION("""COMPUTED_VALUE"""),1.0)</f>
        <v>1</v>
      </c>
      <c r="F339" s="2">
        <f>IFERROR(__xludf.DUMMYFUNCTION("""COMPUTED_VALUE"""),0.0)</f>
        <v>0</v>
      </c>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t="str">
        <f>IFERROR(__xludf.DUMMYFUNCTION("""COMPUTED_VALUE"""),"++At the beginning of battle, roll a d20. If the number is 1-5, everyone in the battle loses 1 HP. If the number is 6-10, all enemies lose 25% of their current HP. If the number is 11-19, the wearer loses 40% current HP. If the number is 20, the battle is"&amp;" instantly won. (If you roll above a 20 , double your loot amount of each item)")</f>
        <v>++At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v>
      </c>
      <c r="AG339" s="1" t="str">
        <f>IFERROR(__xludf.DUMMYFUNCTION("""COMPUTED_VALUE"""),"Land of Spira")</f>
        <v>Land of Spira</v>
      </c>
      <c r="AH339" s="1" t="b">
        <f>IFERROR(__xludf.DUMMYFUNCTION("""COMPUTED_VALUE"""),FALSE)</f>
        <v>0</v>
      </c>
    </row>
    <row r="340">
      <c r="A340" s="1" t="str">
        <f>IFERROR(__xludf.DUMMYFUNCTION("""COMPUTED_VALUE"""),"Vambraces of Waking Waters")</f>
        <v>Vambraces of Waking Waters</v>
      </c>
      <c r="B340" s="1" t="str">
        <f>IFERROR(__xludf.DUMMYFUNCTION("""COMPUTED_VALUE"""),"Arms")</f>
        <v>Arms</v>
      </c>
      <c r="C340" s="1"/>
      <c r="D340" s="1"/>
      <c r="E340" s="1">
        <f>IFERROR(__xludf.DUMMYFUNCTION("""COMPUTED_VALUE"""),200.0)</f>
        <v>200</v>
      </c>
      <c r="F340" s="2">
        <f>IFERROR(__xludf.DUMMYFUNCTION("""COMPUTED_VALUE"""),1900000.0)</f>
        <v>1900000</v>
      </c>
      <c r="G340" s="1" t="str">
        <f>IFERROR(__xludf.DUMMYFUNCTION("""COMPUTED_VALUE"""),"DEF")</f>
        <v>DEF</v>
      </c>
      <c r="H340" s="1">
        <f>IFERROR(__xludf.DUMMYFUNCTION("""COMPUTED_VALUE"""),5000.0)</f>
        <v>5000</v>
      </c>
      <c r="I340" s="1"/>
      <c r="J340" s="1"/>
      <c r="K340" s="1">
        <f>IFERROR(__xludf.DUMMYFUNCTION("""COMPUTED_VALUE"""),5000.0)</f>
        <v>5000</v>
      </c>
      <c r="L340" s="1"/>
      <c r="M340" s="1"/>
      <c r="N340" s="1"/>
      <c r="O340" s="1"/>
      <c r="P340" s="1"/>
      <c r="Q340" s="1"/>
      <c r="R340" s="1"/>
      <c r="S340" s="1"/>
      <c r="T340" s="1"/>
      <c r="U340" s="1"/>
      <c r="V340" s="1"/>
      <c r="W340" s="1"/>
      <c r="X340" s="1"/>
      <c r="Y340" s="1"/>
      <c r="Z340" s="1"/>
      <c r="AA340" s="1"/>
      <c r="AB340" s="1"/>
      <c r="AC340" s="1"/>
      <c r="AD340" s="1"/>
      <c r="AE340" s="1"/>
      <c r="AF340" s="1" t="str">
        <f>IFERROR(__xludf.DUMMYFUNCTION("""COMPUTED_VALUE"""),"++X4 additional Water damage.")</f>
        <v>++X4 additional Water damage.</v>
      </c>
      <c r="AG340" s="1" t="str">
        <f>IFERROR(__xludf.DUMMYFUNCTION("""COMPUTED_VALUE"""),"Land of Spira")</f>
        <v>Land of Spira</v>
      </c>
      <c r="AH340" s="1" t="b">
        <f>IFERROR(__xludf.DUMMYFUNCTION("""COMPUTED_VALUE"""),FALSE)</f>
        <v>0</v>
      </c>
    </row>
    <row r="341">
      <c r="A341" s="1"/>
      <c r="B341" s="1"/>
      <c r="C341" s="1"/>
      <c r="D341" s="1"/>
      <c r="E341" s="1">
        <f>IFERROR(__xludf.DUMMYFUNCTION("""COMPUTED_VALUE"""),1.0)</f>
        <v>1</v>
      </c>
      <c r="F341" s="2">
        <f>IFERROR(__xludf.DUMMYFUNCTION("""COMPUTED_VALUE"""),0.0)</f>
        <v>0</v>
      </c>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t="str">
        <f>IFERROR(__xludf.DUMMYFUNCTION("""COMPUTED_VALUE"""),"Land of Spira")</f>
        <v>Land of Spira</v>
      </c>
      <c r="AH341" s="1" t="b">
        <f>IFERROR(__xludf.DUMMYFUNCTION("""COMPUTED_VALUE"""),FALSE)</f>
        <v>0</v>
      </c>
    </row>
    <row r="342">
      <c r="A342" s="1"/>
      <c r="B342" s="1"/>
      <c r="C342" s="1"/>
      <c r="D342" s="1"/>
      <c r="E342" s="1">
        <f>IFERROR(__xludf.DUMMYFUNCTION("""COMPUTED_VALUE"""),1.0)</f>
        <v>1</v>
      </c>
      <c r="F342" s="2">
        <f>IFERROR(__xludf.DUMMYFUNCTION("""COMPUTED_VALUE"""),0.0)</f>
        <v>0</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t="str">
        <f>IFERROR(__xludf.DUMMYFUNCTION("""COMPUTED_VALUE"""),"Land of Spira")</f>
        <v>Land of Spira</v>
      </c>
      <c r="AH342" s="1" t="b">
        <f>IFERROR(__xludf.DUMMYFUNCTION("""COMPUTED_VALUE"""),FALSE)</f>
        <v>0</v>
      </c>
    </row>
    <row r="343">
      <c r="A343" s="1" t="str">
        <f>IFERROR(__xludf.DUMMYFUNCTION("""COMPUTED_VALUE"""),"Viking Helm")</f>
        <v>Viking Helm</v>
      </c>
      <c r="B343" s="1" t="str">
        <f>IFERROR(__xludf.DUMMYFUNCTION("""COMPUTED_VALUE"""),"Head")</f>
        <v>Head</v>
      </c>
      <c r="C343" s="1"/>
      <c r="D343" s="1"/>
      <c r="E343" s="1">
        <f>IFERROR(__xludf.DUMMYFUNCTION("""COMPUTED_VALUE"""),1.0)</f>
        <v>1</v>
      </c>
      <c r="F343" s="2">
        <f>IFERROR(__xludf.DUMMYFUNCTION("""COMPUTED_VALUE"""),0.0)</f>
        <v>0</v>
      </c>
      <c r="G343" s="1" t="str">
        <f>IFERROR(__xludf.DUMMYFUNCTION("""COMPUTED_VALUE"""),"DEF")</f>
        <v>DEF</v>
      </c>
      <c r="H343" s="1">
        <f>IFERROR(__xludf.DUMMYFUNCTION("""COMPUTED_VALUE"""),200.0)</f>
        <v>200</v>
      </c>
      <c r="I343" s="1"/>
      <c r="J343" s="1"/>
      <c r="K343" s="1"/>
      <c r="L343" s="1"/>
      <c r="M343" s="1"/>
      <c r="N343" s="1"/>
      <c r="O343" s="1"/>
      <c r="P343" s="1"/>
      <c r="Q343" s="1"/>
      <c r="R343" s="1"/>
      <c r="S343" s="1"/>
      <c r="T343" s="1"/>
      <c r="U343" s="1"/>
      <c r="V343" s="1"/>
      <c r="W343" s="1"/>
      <c r="X343" s="1"/>
      <c r="Y343" s="1"/>
      <c r="Z343" s="1"/>
      <c r="AA343" s="1"/>
      <c r="AB343" s="1"/>
      <c r="AC343" s="1"/>
      <c r="AD343" s="1"/>
      <c r="AE343" s="1"/>
      <c r="AF343" s="1" t="str">
        <f>IFERROR(__xludf.DUMMYFUNCTION("""COMPUTED_VALUE"""),"(Viking Set)")</f>
        <v>(Viking Set)</v>
      </c>
      <c r="AG343" s="1" t="str">
        <f>IFERROR(__xludf.DUMMYFUNCTION("""COMPUTED_VALUE"""),"Land of Spira")</f>
        <v>Land of Spira</v>
      </c>
      <c r="AH343" s="1" t="b">
        <f>IFERROR(__xludf.DUMMYFUNCTION("""COMPUTED_VALUE"""),TRUE)</f>
        <v>1</v>
      </c>
    </row>
    <row r="344">
      <c r="A344" s="1" t="str">
        <f>IFERROR(__xludf.DUMMYFUNCTION("""COMPUTED_VALUE"""),"Void sword")</f>
        <v>Void sword</v>
      </c>
      <c r="B344" s="1" t="str">
        <f>IFERROR(__xludf.DUMMYFUNCTION("""COMPUTED_VALUE"""),"Hand")</f>
        <v>Hand</v>
      </c>
      <c r="C344" s="1"/>
      <c r="D344" s="1" t="str">
        <f>IFERROR(__xludf.DUMMYFUNCTION("""COMPUTED_VALUE"""),"Sword")</f>
        <v>Sword</v>
      </c>
      <c r="E344" s="1">
        <f>IFERROR(__xludf.DUMMYFUNCTION("""COMPUTED_VALUE"""),200.0)</f>
        <v>200</v>
      </c>
      <c r="F344" s="2">
        <f>IFERROR(__xludf.DUMMYFUNCTION("""COMPUTED_VALUE"""),0.0)</f>
        <v>0</v>
      </c>
      <c r="G344" s="1"/>
      <c r="H344" s="1"/>
      <c r="I344" s="1"/>
      <c r="J344" s="1"/>
      <c r="K344" s="1"/>
      <c r="L344" s="1"/>
      <c r="M344" s="1"/>
      <c r="N344" s="1"/>
      <c r="O344" s="1"/>
      <c r="P344" s="1"/>
      <c r="Q344" s="1"/>
      <c r="R344" s="1"/>
      <c r="S344" s="1"/>
      <c r="T344" s="1"/>
      <c r="U344" s="1"/>
      <c r="V344" s="1"/>
      <c r="W344" s="1"/>
      <c r="X344" s="1"/>
      <c r="Y344" s="1"/>
      <c r="Z344" s="1"/>
      <c r="AA344" s="1"/>
      <c r="AB344" s="1"/>
      <c r="AC344" s="1">
        <f>IFERROR(__xludf.DUMMYFUNCTION("""COMPUTED_VALUE"""),1.0)</f>
        <v>1</v>
      </c>
      <c r="AD344" s="1"/>
      <c r="AE344" s="1"/>
      <c r="AF344" s="1" t="str">
        <f>IFERROR(__xludf.DUMMYFUNCTION("""COMPUTED_VALUE"""),"++100% chance of instant death. Breaks upon instant death and causes a giant explosion causing 10,000,000 Celestial damage to all enemies..")</f>
        <v>++100% chance of instant death. Breaks upon instant death and causes a giant explosion causing 10,000,000 Celestial damage to all enemies..</v>
      </c>
      <c r="AG344" s="1" t="str">
        <f>IFERROR(__xludf.DUMMYFUNCTION("""COMPUTED_VALUE"""),"Land of Spira")</f>
        <v>Land of Spira</v>
      </c>
      <c r="AH344" s="1" t="b">
        <f>IFERROR(__xludf.DUMMYFUNCTION("""COMPUTED_VALUE"""),FALSE)</f>
        <v>0</v>
      </c>
    </row>
    <row r="345">
      <c r="A345" s="1" t="str">
        <f>IFERROR(__xludf.DUMMYFUNCTION("""COMPUTED_VALUE"""),"Volcanic Sword of Destruction")</f>
        <v>Volcanic Sword of Destruction</v>
      </c>
      <c r="B345" s="1" t="str">
        <f>IFERROR(__xludf.DUMMYFUNCTION("""COMPUTED_VALUE"""),"Hand")</f>
        <v>Hand</v>
      </c>
      <c r="C345" s="1"/>
      <c r="D345" s="1" t="str">
        <f>IFERROR(__xludf.DUMMYFUNCTION("""COMPUTED_VALUE"""),"Sword")</f>
        <v>Sword</v>
      </c>
      <c r="E345" s="1">
        <f>IFERROR(__xludf.DUMMYFUNCTION("""COMPUTED_VALUE"""),200.0)</f>
        <v>200</v>
      </c>
      <c r="F345" s="2">
        <f>IFERROR(__xludf.DUMMYFUNCTION("""COMPUTED_VALUE"""),4.995E9)</f>
        <v>4995000000</v>
      </c>
      <c r="G345" s="1" t="str">
        <f>IFERROR(__xludf.DUMMYFUNCTION("""COMPUTED_VALUE"""),"DMG")</f>
        <v>DMG</v>
      </c>
      <c r="H345" s="3">
        <f>IFERROR(__xludf.DUMMYFUNCTION("""COMPUTED_VALUE"""),100000.0)</f>
        <v>100000</v>
      </c>
      <c r="I345" s="3">
        <f>IFERROR(__xludf.DUMMYFUNCTION("""COMPUTED_VALUE"""),300000.0)</f>
        <v>300000</v>
      </c>
      <c r="J345" s="1"/>
      <c r="K345" s="1"/>
      <c r="L345" s="1"/>
      <c r="M345" s="1"/>
      <c r="N345" s="1"/>
      <c r="O345" s="1"/>
      <c r="P345" s="1"/>
      <c r="Q345" s="1"/>
      <c r="R345" s="1"/>
      <c r="S345" s="1"/>
      <c r="T345" s="1"/>
      <c r="U345" s="1"/>
      <c r="V345" s="1"/>
      <c r="W345" s="1"/>
      <c r="X345" s="1"/>
      <c r="Y345" s="1"/>
      <c r="Z345" s="1"/>
      <c r="AA345" s="1"/>
      <c r="AB345" s="1"/>
      <c r="AC345" s="3">
        <f>IFERROR(__xludf.DUMMYFUNCTION("""COMPUTED_VALUE"""),100000.0)</f>
        <v>100000</v>
      </c>
      <c r="AD345" s="1"/>
      <c r="AE345" s="1"/>
      <c r="AF345" s="1" t="str">
        <f>IFERROR(__xludf.DUMMYFUNCTION("""COMPUTED_VALUE"""),"++Volcanic Valves - Increase the damage of fire weapons and fire spells by x3, When you attack and miss the target with this sword the damage this sword deals will double each time you miss. +-Cannot be forged +-Cannot be duplicated")</f>
        <v>++Volcanic Valves - Increase the damage of fire weapons and fire spells by x3, When you attack and miss the target with this sword the damage this sword deals will double each time you miss. +-Cannot be forged +-Cannot be duplicated</v>
      </c>
      <c r="AG345" s="1" t="str">
        <f>IFERROR(__xludf.DUMMYFUNCTION("""COMPUTED_VALUE"""),"Abstara")</f>
        <v>Abstara</v>
      </c>
      <c r="AH345" s="1" t="b">
        <f>IFERROR(__xludf.DUMMYFUNCTION("""COMPUTED_VALUE"""),FALSE)</f>
        <v>0</v>
      </c>
    </row>
    <row r="346">
      <c r="A346" s="1" t="str">
        <f>IFERROR(__xludf.DUMMYFUNCTION("""COMPUTED_VALUE"""),"Wand of Grey")</f>
        <v>Wand of Grey</v>
      </c>
      <c r="B346" s="1" t="str">
        <f>IFERROR(__xludf.DUMMYFUNCTION("""COMPUTED_VALUE"""),"Hand")</f>
        <v>Hand</v>
      </c>
      <c r="C346" s="1"/>
      <c r="D346" s="1" t="str">
        <f>IFERROR(__xludf.DUMMYFUNCTION("""COMPUTED_VALUE"""),"Wand")</f>
        <v>Wand</v>
      </c>
      <c r="E346" s="1">
        <f>IFERROR(__xludf.DUMMYFUNCTION("""COMPUTED_VALUE"""),1.0)</f>
        <v>1</v>
      </c>
      <c r="F346" s="2">
        <f>IFERROR(__xludf.DUMMYFUNCTION("""COMPUTED_VALUE"""),0.0)</f>
        <v>0</v>
      </c>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t="str">
        <f>IFERROR(__xludf.DUMMYFUNCTION("""COMPUTED_VALUE"""),"++X2 more damage to all spells. +-Cannot be duplicated.")</f>
        <v>++X2 more damage to all spells. +-Cannot be duplicated.</v>
      </c>
      <c r="AG346" s="1" t="str">
        <f>IFERROR(__xludf.DUMMYFUNCTION("""COMPUTED_VALUE"""),"Land of Spira")</f>
        <v>Land of Spira</v>
      </c>
      <c r="AH346" s="1" t="b">
        <f>IFERROR(__xludf.DUMMYFUNCTION("""COMPUTED_VALUE"""),FALSE)</f>
        <v>0</v>
      </c>
    </row>
    <row r="347">
      <c r="A347" s="1" t="str">
        <f>IFERROR(__xludf.DUMMYFUNCTION("""COMPUTED_VALUE"""),"Wand of Multi-Color")</f>
        <v>Wand of Multi-Color</v>
      </c>
      <c r="B347" s="1" t="str">
        <f>IFERROR(__xludf.DUMMYFUNCTION("""COMPUTED_VALUE"""),"Hand")</f>
        <v>Hand</v>
      </c>
      <c r="C347" s="1"/>
      <c r="D347" s="1" t="str">
        <f>IFERROR(__xludf.DUMMYFUNCTION("""COMPUTED_VALUE"""),"Wand")</f>
        <v>Wand</v>
      </c>
      <c r="E347" s="1">
        <f>IFERROR(__xludf.DUMMYFUNCTION("""COMPUTED_VALUE"""),1.0)</f>
        <v>1</v>
      </c>
      <c r="F347" s="2">
        <f>IFERROR(__xludf.DUMMYFUNCTION("""COMPUTED_VALUE"""),0.0)</f>
        <v>0</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t="str">
        <f>IFERROR(__xludf.DUMMYFUNCTION("""COMPUTED_VALUE"""),"++All types of spells are reduced by half sp. +-Cannot be duplicated. +-Can only equip one")</f>
        <v>++All types of spells are reduced by half sp. +-Cannot be duplicated. +-Can only equip one</v>
      </c>
      <c r="AG347" s="1" t="str">
        <f>IFERROR(__xludf.DUMMYFUNCTION("""COMPUTED_VALUE"""),"Land of Spira")</f>
        <v>Land of Spira</v>
      </c>
      <c r="AH347" s="1" t="b">
        <f>IFERROR(__xludf.DUMMYFUNCTION("""COMPUTED_VALUE"""),FALSE)</f>
        <v>0</v>
      </c>
    </row>
    <row r="348">
      <c r="A348" s="1" t="str">
        <f>IFERROR(__xludf.DUMMYFUNCTION("""COMPUTED_VALUE"""),"Warlock’s Armored Chestplate")</f>
        <v>Warlock’s Armored Chestplate</v>
      </c>
      <c r="B348" s="1" t="str">
        <f>IFERROR(__xludf.DUMMYFUNCTION("""COMPUTED_VALUE"""),"Torso")</f>
        <v>Torso</v>
      </c>
      <c r="C348" s="1"/>
      <c r="D348" s="1"/>
      <c r="E348" s="1">
        <f>IFERROR(__xludf.DUMMYFUNCTION("""COMPUTED_VALUE"""),100.0)</f>
        <v>100</v>
      </c>
      <c r="F348" s="2">
        <f>IFERROR(__xludf.DUMMYFUNCTION("""COMPUTED_VALUE"""),450000.0)</f>
        <v>450000</v>
      </c>
      <c r="G348" s="1" t="str">
        <f>IFERROR(__xludf.DUMMYFUNCTION("""COMPUTED_VALUE"""),"DEF")</f>
        <v>DEF</v>
      </c>
      <c r="H348" s="3">
        <f>IFERROR(__xludf.DUMMYFUNCTION("""COMPUTED_VALUE"""),5000.0)</f>
        <v>5000</v>
      </c>
      <c r="I348" s="1"/>
      <c r="J348" s="1"/>
      <c r="K348" s="1"/>
      <c r="L348" s="1"/>
      <c r="M348" s="1"/>
      <c r="N348" s="1"/>
      <c r="O348" s="1"/>
      <c r="P348" s="1"/>
      <c r="Q348" s="1"/>
      <c r="R348" s="1"/>
      <c r="S348" s="1"/>
      <c r="T348" s="1"/>
      <c r="U348" s="1"/>
      <c r="V348" s="1"/>
      <c r="W348" s="1"/>
      <c r="X348" s="1"/>
      <c r="Y348" s="1"/>
      <c r="Z348" s="1"/>
      <c r="AA348" s="1"/>
      <c r="AB348" s="1"/>
      <c r="AC348" s="1"/>
      <c r="AD348" s="1"/>
      <c r="AE348" s="1"/>
      <c r="AF348" s="1" t="str">
        <f>IFERROR(__xludf.DUMMYFUNCTION("""COMPUTED_VALUE"""),"++All Dark, and Weapon attacks deal X2 more damage, All SP costs for Melee, Dark, and Physical Spells are reduced to half. ++Immunity to Dark and Chaos Damage.")</f>
        <v>++All Dark, and Weapon attacks deal X2 more damage, All SP costs for Melee, Dark, and Physical Spells are reduced to half. ++Immunity to Dark and Chaos Damage.</v>
      </c>
      <c r="AG348" s="1" t="str">
        <f>IFERROR(__xludf.DUMMYFUNCTION("""COMPUTED_VALUE"""),"Land of Spira")</f>
        <v>Land of Spira</v>
      </c>
      <c r="AH348" s="1" t="b">
        <f>IFERROR(__xludf.DUMMYFUNCTION("""COMPUTED_VALUE"""),FALSE)</f>
        <v>0</v>
      </c>
    </row>
    <row r="349">
      <c r="A349" s="1" t="str">
        <f>IFERROR(__xludf.DUMMYFUNCTION("""COMPUTED_VALUE"""),"Water Warhammer")</f>
        <v>Water Warhammer</v>
      </c>
      <c r="B349" s="1" t="str">
        <f>IFERROR(__xludf.DUMMYFUNCTION("""COMPUTED_VALUE"""),"Hand")</f>
        <v>Hand</v>
      </c>
      <c r="C349" s="1"/>
      <c r="D349" s="1" t="str">
        <f>IFERROR(__xludf.DUMMYFUNCTION("""COMPUTED_VALUE"""),"Club")</f>
        <v>Club</v>
      </c>
      <c r="E349" s="1">
        <f>IFERROR(__xludf.DUMMYFUNCTION("""COMPUTED_VALUE"""),200.0)</f>
        <v>200</v>
      </c>
      <c r="F349" s="2">
        <f>IFERROR(__xludf.DUMMYFUNCTION("""COMPUTED_VALUE"""),1900000.0)</f>
        <v>1900000</v>
      </c>
      <c r="G349" s="1" t="str">
        <f>IFERROR(__xludf.DUMMYFUNCTION("""COMPUTED_VALUE"""),"DMG")</f>
        <v>DMG</v>
      </c>
      <c r="H349" s="1">
        <f>IFERROR(__xludf.DUMMYFUNCTION("""COMPUTED_VALUE"""),5000.0)</f>
        <v>5000</v>
      </c>
      <c r="I349" s="1"/>
      <c r="J349" s="1"/>
      <c r="K349" s="1">
        <f>IFERROR(__xludf.DUMMYFUNCTION("""COMPUTED_VALUE"""),5000.0)</f>
        <v>5000</v>
      </c>
      <c r="L349" s="1"/>
      <c r="M349" s="1"/>
      <c r="N349" s="1"/>
      <c r="O349" s="1"/>
      <c r="P349" s="1"/>
      <c r="Q349" s="1"/>
      <c r="R349" s="1"/>
      <c r="S349" s="1"/>
      <c r="T349" s="1"/>
      <c r="U349" s="1"/>
      <c r="V349" s="1"/>
      <c r="W349" s="1"/>
      <c r="X349" s="1"/>
      <c r="Y349" s="1"/>
      <c r="Z349" s="1"/>
      <c r="AA349" s="1"/>
      <c r="AB349" s="1"/>
      <c r="AC349" s="1"/>
      <c r="AD349" s="1"/>
      <c r="AE349" s="1"/>
      <c r="AF349" s="1"/>
      <c r="AG349" s="1" t="str">
        <f>IFERROR(__xludf.DUMMYFUNCTION("""COMPUTED_VALUE"""),"Land of Spira")</f>
        <v>Land of Spira</v>
      </c>
      <c r="AH349" s="1" t="b">
        <f>IFERROR(__xludf.DUMMYFUNCTION("""COMPUTED_VALUE"""),TRUE)</f>
        <v>1</v>
      </c>
    </row>
    <row r="350">
      <c r="A350" s="1" t="str">
        <f>IFERROR(__xludf.DUMMYFUNCTION("""COMPUTED_VALUE"""),"Weaponized Bamboo Hat")</f>
        <v>Weaponized Bamboo Hat</v>
      </c>
      <c r="B350" s="1" t="str">
        <f>IFERROR(__xludf.DUMMYFUNCTION("""COMPUTED_VALUE"""),"Head")</f>
        <v>Head</v>
      </c>
      <c r="C350" s="1"/>
      <c r="D350" s="1" t="str">
        <f>IFERROR(__xludf.DUMMYFUNCTION("""COMPUTED_VALUE"""),"Knife")</f>
        <v>Knife</v>
      </c>
      <c r="E350" s="1">
        <f>IFERROR(__xludf.DUMMYFUNCTION("""COMPUTED_VALUE"""),40.0)</f>
        <v>40</v>
      </c>
      <c r="F350" s="2">
        <f>IFERROR(__xludf.DUMMYFUNCTION("""COMPUTED_VALUE"""),60000.0)</f>
        <v>60000</v>
      </c>
      <c r="G350" s="1" t="str">
        <f>IFERROR(__xludf.DUMMYFUNCTION("""COMPUTED_VALUE"""),"DEF")</f>
        <v>DEF</v>
      </c>
      <c r="H350" s="1">
        <f>IFERROR(__xludf.DUMMYFUNCTION("""COMPUTED_VALUE"""),1000.0)</f>
        <v>1000</v>
      </c>
      <c r="I350" s="1"/>
      <c r="J350" s="1"/>
      <c r="K350" s="1"/>
      <c r="L350" s="1"/>
      <c r="M350" s="1"/>
      <c r="N350" s="1"/>
      <c r="O350" s="1"/>
      <c r="P350" s="1"/>
      <c r="Q350" s="1"/>
      <c r="R350" s="1"/>
      <c r="S350" s="1">
        <f>IFERROR(__xludf.DUMMYFUNCTION("""COMPUTED_VALUE"""),1000.0)</f>
        <v>1000</v>
      </c>
      <c r="T350" s="1"/>
      <c r="U350" s="1"/>
      <c r="V350" s="1"/>
      <c r="W350" s="1"/>
      <c r="X350" s="1"/>
      <c r="Y350" s="1"/>
      <c r="Z350" s="1"/>
      <c r="AA350" s="1"/>
      <c r="AB350" s="1"/>
      <c r="AC350" s="1"/>
      <c r="AD350" s="1"/>
      <c r="AE350" s="1"/>
      <c r="AF350" s="1" t="str">
        <f>IFERROR(__xludf.DUMMYFUNCTION("""COMPUTED_VALUE"""),"++10,000 damage when thrown, this item will return to you after thrown.")</f>
        <v>++10,000 damage when thrown, this item will return to you after thrown.</v>
      </c>
      <c r="AG350" s="1" t="str">
        <f>IFERROR(__xludf.DUMMYFUNCTION("""COMPUTED_VALUE"""),"Land of Spira")</f>
        <v>Land of Spira</v>
      </c>
      <c r="AH350" s="1" t="b">
        <f>IFERROR(__xludf.DUMMYFUNCTION("""COMPUTED_VALUE"""),FALSE)</f>
        <v>0</v>
      </c>
    </row>
    <row r="351">
      <c r="A351" s="1" t="str">
        <f>IFERROR(__xludf.DUMMYFUNCTION("""COMPUTED_VALUE"""),"Wig of Temper Fire")</f>
        <v>Wig of Temper Fire</v>
      </c>
      <c r="B351" s="1" t="str">
        <f>IFERROR(__xludf.DUMMYFUNCTION("""COMPUTED_VALUE"""),"Head")</f>
        <v>Head</v>
      </c>
      <c r="C351" s="1"/>
      <c r="D351" s="1"/>
      <c r="E351" s="1">
        <f>IFERROR(__xludf.DUMMYFUNCTION("""COMPUTED_VALUE"""),1.0)</f>
        <v>1</v>
      </c>
      <c r="F351" s="2">
        <f>IFERROR(__xludf.DUMMYFUNCTION("""COMPUTED_VALUE"""),0.0)</f>
        <v>0</v>
      </c>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t="str">
        <f>IFERROR(__xludf.DUMMYFUNCTION("""COMPUTED_VALUE"""),"++reduces any fire damage to 1 +-Cannot be duplicated")</f>
        <v>++reduces any fire damage to 1 +-Cannot be duplicated</v>
      </c>
      <c r="AG351" s="1" t="str">
        <f>IFERROR(__xludf.DUMMYFUNCTION("""COMPUTED_VALUE"""),"Land of Spira")</f>
        <v>Land of Spira</v>
      </c>
      <c r="AH351" s="1" t="b">
        <f>IFERROR(__xludf.DUMMYFUNCTION("""COMPUTED_VALUE"""),FALSE)</f>
        <v>0</v>
      </c>
    </row>
    <row r="352">
      <c r="A352" s="1" t="str">
        <f>IFERROR(__xludf.DUMMYFUNCTION("""COMPUTED_VALUE"""),"Woodsman’s Hacker")</f>
        <v>Woodsman’s Hacker</v>
      </c>
      <c r="B352" s="1" t="str">
        <f>IFERROR(__xludf.DUMMYFUNCTION("""COMPUTED_VALUE"""),"Hand")</f>
        <v>Hand</v>
      </c>
      <c r="C352" s="1"/>
      <c r="D352" s="1" t="str">
        <f>IFERROR(__xludf.DUMMYFUNCTION("""COMPUTED_VALUE"""),"Axe")</f>
        <v>Axe</v>
      </c>
      <c r="E352" s="1">
        <f>IFERROR(__xludf.DUMMYFUNCTION("""COMPUTED_VALUE"""),10.0)</f>
        <v>10</v>
      </c>
      <c r="F352" s="2">
        <f>IFERROR(__xludf.DUMMYFUNCTION("""COMPUTED_VALUE"""),1000.0)</f>
        <v>1000</v>
      </c>
      <c r="G352" s="1" t="str">
        <f>IFERROR(__xludf.DUMMYFUNCTION("""COMPUTED_VALUE"""),"DMG")</f>
        <v>DMG</v>
      </c>
      <c r="H352" s="1">
        <f>IFERROR(__xludf.DUMMYFUNCTION("""COMPUTED_VALUE"""),500.0)</f>
        <v>500</v>
      </c>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t="str">
        <f>IFERROR(__xludf.DUMMYFUNCTION("""COMPUTED_VALUE"""),"Land of Spira")</f>
        <v>Land of Spira</v>
      </c>
      <c r="AH352" s="1" t="b">
        <f>IFERROR(__xludf.DUMMYFUNCTION("""COMPUTED_VALUE"""),TRUE)</f>
        <v>1</v>
      </c>
    </row>
    <row r="353">
      <c r="A353" s="1" t="str">
        <f>IFERROR(__xludf.DUMMYFUNCTION("""COMPUTED_VALUE"""),"World Tree Sword")</f>
        <v>World Tree Sword</v>
      </c>
      <c r="B353" s="1" t="str">
        <f>IFERROR(__xludf.DUMMYFUNCTION("""COMPUTED_VALUE"""),"Hand")</f>
        <v>Hand</v>
      </c>
      <c r="C353" s="1"/>
      <c r="D353" s="1"/>
      <c r="E353" s="1">
        <f>IFERROR(__xludf.DUMMYFUNCTION("""COMPUTED_VALUE"""),200.0)</f>
        <v>200</v>
      </c>
      <c r="F353" s="2">
        <f>IFERROR(__xludf.DUMMYFUNCTION("""COMPUTED_VALUE"""),3.196E9)</f>
        <v>3196000000</v>
      </c>
      <c r="G353" s="1" t="str">
        <f>IFERROR(__xludf.DUMMYFUNCTION("""COMPUTED_VALUE"""),"DMG")</f>
        <v>DMG</v>
      </c>
      <c r="H353" s="3">
        <f>IFERROR(__xludf.DUMMYFUNCTION("""COMPUTED_VALUE"""),100000.0)</f>
        <v>100000</v>
      </c>
      <c r="I353" s="1"/>
      <c r="J353" s="1"/>
      <c r="K353" s="1"/>
      <c r="L353" s="1"/>
      <c r="M353" s="3">
        <f>IFERROR(__xludf.DUMMYFUNCTION("""COMPUTED_VALUE"""),50000.0)</f>
        <v>50000</v>
      </c>
      <c r="N353" s="3">
        <f>IFERROR(__xludf.DUMMYFUNCTION("""COMPUTED_VALUE"""),50000.0)</f>
        <v>50000</v>
      </c>
      <c r="O353" s="1"/>
      <c r="P353" s="3">
        <f>IFERROR(__xludf.DUMMYFUNCTION("""COMPUTED_VALUE"""),50000.0)</f>
        <v>50000</v>
      </c>
      <c r="Q353" s="3">
        <f>IFERROR(__xludf.DUMMYFUNCTION("""COMPUTED_VALUE"""),50000.0)</f>
        <v>50000</v>
      </c>
      <c r="R353" s="1"/>
      <c r="S353" s="3">
        <f>IFERROR(__xludf.DUMMYFUNCTION("""COMPUTED_VALUE"""),50000.0)</f>
        <v>50000</v>
      </c>
      <c r="T353" s="1"/>
      <c r="U353" s="1"/>
      <c r="V353" s="1"/>
      <c r="W353" s="1"/>
      <c r="X353" s="1"/>
      <c r="Y353" s="1"/>
      <c r="Z353" s="1"/>
      <c r="AA353" s="1"/>
      <c r="AB353" s="1"/>
      <c r="AC353" s="3">
        <f>IFERROR(__xludf.DUMMYFUNCTION("""COMPUTED_VALUE"""),50000.0)</f>
        <v>50000</v>
      </c>
      <c r="AD353" s="1"/>
      <c r="AE353" s="1"/>
      <c r="AF353" s="1" t="str">
        <f>IFERROR(__xludf.DUMMYFUNCTION("""COMPUTED_VALUE"""),"++If you kill an enemy with this weapon your HP and SP will fully be restored. +-Cannot be forged +-Cannot be duplicated")</f>
        <v>++If you kill an enemy with this weapon your HP and SP will fully be restored. +-Cannot be forged +-Cannot be duplicated</v>
      </c>
      <c r="AG353" s="1" t="str">
        <f>IFERROR(__xludf.DUMMYFUNCTION("""COMPUTED_VALUE"""),"Land of Spira")</f>
        <v>Land of Spira</v>
      </c>
      <c r="AH353" s="1" t="b">
        <f>IFERROR(__xludf.DUMMYFUNCTION("""COMPUTED_VALUE"""),FALSE)</f>
        <v>0</v>
      </c>
    </row>
    <row r="354">
      <c r="A354" s="1" t="str">
        <f>IFERROR(__xludf.DUMMYFUNCTION("""COMPUTED_VALUE"""),"Tear of the Dragon Pendant")</f>
        <v>Tear of the Dragon Pendant</v>
      </c>
      <c r="B354" s="1" t="str">
        <f>IFERROR(__xludf.DUMMYFUNCTION("""COMPUTED_VALUE"""),"Neck")</f>
        <v>Neck</v>
      </c>
      <c r="C354" s="1"/>
      <c r="D354" s="1"/>
      <c r="E354" s="1">
        <f>IFERROR(__xludf.DUMMYFUNCTION("""COMPUTED_VALUE"""),1.0)</f>
        <v>1</v>
      </c>
      <c r="F354" s="2">
        <f>IFERROR(__xludf.DUMMYFUNCTION("""COMPUTED_VALUE"""),0.0)</f>
        <v>0</v>
      </c>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t="str">
        <f>IFERROR(__xludf.DUMMYFUNCTION("""COMPUTED_VALUE"""),"++Plus 5 or Minus 5 on your attack and percentage rolls, Users choice. +-Cannot be duplicated.")</f>
        <v>++Plus 5 or Minus 5 on your attack and percentage rolls, Users choice. +-Cannot be duplicated.</v>
      </c>
      <c r="AG354" s="1" t="str">
        <f>IFERROR(__xludf.DUMMYFUNCTION("""COMPUTED_VALUE"""),"Dragonscale Island")</f>
        <v>Dragonscale Island</v>
      </c>
      <c r="AH354" s="1" t="b">
        <f>IFERROR(__xludf.DUMMYFUNCTION("""COMPUTED_VALUE"""),FALSE)</f>
        <v>0</v>
      </c>
    </row>
    <row r="355">
      <c r="A355" s="1" t="str">
        <f>IFERROR(__xludf.DUMMYFUNCTION("""COMPUTED_VALUE"""),"Luck of the Dragon Pendant")</f>
        <v>Luck of the Dragon Pendant</v>
      </c>
      <c r="B355" s="1" t="str">
        <f>IFERROR(__xludf.DUMMYFUNCTION("""COMPUTED_VALUE"""),"Neck")</f>
        <v>Neck</v>
      </c>
      <c r="C355" s="1"/>
      <c r="D355" s="1"/>
      <c r="E355" s="1">
        <f>IFERROR(__xludf.DUMMYFUNCTION("""COMPUTED_VALUE"""),1.0)</f>
        <v>1</v>
      </c>
      <c r="F355" s="2">
        <f>IFERROR(__xludf.DUMMYFUNCTION("""COMPUTED_VALUE"""),0.0)</f>
        <v>0</v>
      </c>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t="str">
        <f>IFERROR(__xludf.DUMMYFUNCTION("""COMPUTED_VALUE"""),"++Plus 5 or Minus 5 on your Loot and Fail/Succeed rolls, Users choice. +-Cannot be duplicated.")</f>
        <v>++Plus 5 or Minus 5 on your Loot and Fail/Succeed rolls, Users choice. +-Cannot be duplicated.</v>
      </c>
      <c r="AG355" s="1" t="str">
        <f>IFERROR(__xludf.DUMMYFUNCTION("""COMPUTED_VALUE"""),"Dragonscale Island")</f>
        <v>Dragonscale Island</v>
      </c>
      <c r="AH355" s="1" t="b">
        <f>IFERROR(__xludf.DUMMYFUNCTION("""COMPUTED_VALUE"""),FALSE)</f>
        <v>0</v>
      </c>
    </row>
    <row r="356">
      <c r="A356" s="1" t="str">
        <f>IFERROR(__xludf.DUMMYFUNCTION("""COMPUTED_VALUE"""),"Scale of the Dragon Pendant")</f>
        <v>Scale of the Dragon Pendant</v>
      </c>
      <c r="B356" s="1" t="str">
        <f>IFERROR(__xludf.DUMMYFUNCTION("""COMPUTED_VALUE"""),"Neck")</f>
        <v>Neck</v>
      </c>
      <c r="C356" s="1"/>
      <c r="D356" s="1"/>
      <c r="E356" s="1">
        <f>IFERROR(__xludf.DUMMYFUNCTION("""COMPUTED_VALUE"""),1.0)</f>
        <v>1</v>
      </c>
      <c r="F356" s="2">
        <f>IFERROR(__xludf.DUMMYFUNCTION("""COMPUTED_VALUE"""),0.0)</f>
        <v>0</v>
      </c>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t="str">
        <f>IFERROR(__xludf.DUMMYFUNCTION("""COMPUTED_VALUE"""),"++Allows you to use a companions SP as your own if the companion is a dragon. +-Cannot be duplicated.")</f>
        <v>++Allows you to use a companions SP as your own if the companion is a dragon. +-Cannot be duplicated.</v>
      </c>
      <c r="AG356" s="1" t="str">
        <f>IFERROR(__xludf.DUMMYFUNCTION("""COMPUTED_VALUE"""),"Dragonscale Island")</f>
        <v>Dragonscale Island</v>
      </c>
      <c r="AH356" s="1" t="b">
        <f>IFERROR(__xludf.DUMMYFUNCTION("""COMPUTED_VALUE"""),FALSE)</f>
        <v>0</v>
      </c>
    </row>
    <row r="357">
      <c r="A357" s="1" t="str">
        <f>IFERROR(__xludf.DUMMYFUNCTION("""COMPUTED_VALUE"""),"Guard Pauldrons")</f>
        <v>Guard Pauldrons</v>
      </c>
      <c r="B357" s="1" t="str">
        <f>IFERROR(__xludf.DUMMYFUNCTION("""COMPUTED_VALUE"""),"Shoulders")</f>
        <v>Shoulders</v>
      </c>
      <c r="C357" s="1" t="str">
        <f>IFERROR(__xludf.DUMMYFUNCTION("""COMPUTED_VALUE"""),"Quest Item")</f>
        <v>Quest Item</v>
      </c>
      <c r="D357" s="1"/>
      <c r="E357" s="1">
        <f>IFERROR(__xludf.DUMMYFUNCTION("""COMPUTED_VALUE"""),200.0)</f>
        <v>200</v>
      </c>
      <c r="F357" s="2">
        <f>IFERROR(__xludf.DUMMYFUNCTION("""COMPUTED_VALUE"""),1.1175E8)</f>
        <v>111750000</v>
      </c>
      <c r="G357" s="1" t="str">
        <f>IFERROR(__xludf.DUMMYFUNCTION("""COMPUTED_VALUE"""),"DEF")</f>
        <v>DEF</v>
      </c>
      <c r="H357" s="3">
        <f>IFERROR(__xludf.DUMMYFUNCTION("""COMPUTED_VALUE"""),25000.0)</f>
        <v>25000</v>
      </c>
      <c r="I357" s="1"/>
      <c r="J357" s="1"/>
      <c r="K357" s="1"/>
      <c r="L357" s="1"/>
      <c r="M357" s="1"/>
      <c r="N357" s="3">
        <f>IFERROR(__xludf.DUMMYFUNCTION("""COMPUTED_VALUE"""),25000.0)</f>
        <v>25000</v>
      </c>
      <c r="O357" s="1"/>
      <c r="P357" s="1"/>
      <c r="Q357" s="1"/>
      <c r="R357" s="1"/>
      <c r="S357" s="1"/>
      <c r="T357" s="1"/>
      <c r="U357" s="1"/>
      <c r="V357" s="1"/>
      <c r="W357" s="1"/>
      <c r="X357" s="1"/>
      <c r="Y357" s="1"/>
      <c r="Z357" s="1"/>
      <c r="AA357" s="1"/>
      <c r="AB357" s="1"/>
      <c r="AC357" s="3">
        <f>IFERROR(__xludf.DUMMYFUNCTION("""COMPUTED_VALUE"""),25000.0)</f>
        <v>25000</v>
      </c>
      <c r="AD357" s="1"/>
      <c r="AE357" s="1"/>
      <c r="AF357" s="1" t="str">
        <f>IFERROR(__xludf.DUMMYFUNCTION("""COMPUTED_VALUE"""),"+-Cannot be duplicated")</f>
        <v>+-Cannot be duplicated</v>
      </c>
      <c r="AG357" s="1" t="str">
        <f>IFERROR(__xludf.DUMMYFUNCTION("""COMPUTED_VALUE"""),"Land of Spira")</f>
        <v>Land of Spira</v>
      </c>
      <c r="AH357" s="1" t="b">
        <f>IFERROR(__xludf.DUMMYFUNCTION("""COMPUTED_VALUE"""),FALSE)</f>
        <v>0</v>
      </c>
    </row>
    <row r="358">
      <c r="A358" s="1" t="str">
        <f>IFERROR(__xludf.DUMMYFUNCTION("""COMPUTED_VALUE"""),"Guard Vambraces")</f>
        <v>Guard Vambraces</v>
      </c>
      <c r="B358" s="1" t="str">
        <f>IFERROR(__xludf.DUMMYFUNCTION("""COMPUTED_VALUE"""),"Arms")</f>
        <v>Arms</v>
      </c>
      <c r="C358" s="1" t="str">
        <f>IFERROR(__xludf.DUMMYFUNCTION("""COMPUTED_VALUE"""),"Quest Item")</f>
        <v>Quest Item</v>
      </c>
      <c r="D358" s="1"/>
      <c r="E358" s="1">
        <f>IFERROR(__xludf.DUMMYFUNCTION("""COMPUTED_VALUE"""),200.0)</f>
        <v>200</v>
      </c>
      <c r="F358" s="2">
        <f>IFERROR(__xludf.DUMMYFUNCTION("""COMPUTED_VALUE"""),1.1175E8)</f>
        <v>111750000</v>
      </c>
      <c r="G358" s="1" t="str">
        <f>IFERROR(__xludf.DUMMYFUNCTION("""COMPUTED_VALUE"""),"DEF")</f>
        <v>DEF</v>
      </c>
      <c r="H358" s="3">
        <f>IFERROR(__xludf.DUMMYFUNCTION("""COMPUTED_VALUE"""),25000.0)</f>
        <v>25000</v>
      </c>
      <c r="I358" s="1"/>
      <c r="J358" s="1"/>
      <c r="K358" s="1"/>
      <c r="L358" s="1"/>
      <c r="M358" s="1"/>
      <c r="N358" s="3">
        <f>IFERROR(__xludf.DUMMYFUNCTION("""COMPUTED_VALUE"""),25000.0)</f>
        <v>25000</v>
      </c>
      <c r="O358" s="1"/>
      <c r="P358" s="1"/>
      <c r="Q358" s="1"/>
      <c r="R358" s="1"/>
      <c r="S358" s="1"/>
      <c r="T358" s="1"/>
      <c r="U358" s="1"/>
      <c r="V358" s="1"/>
      <c r="W358" s="1"/>
      <c r="X358" s="1"/>
      <c r="Y358" s="1"/>
      <c r="Z358" s="1"/>
      <c r="AA358" s="1"/>
      <c r="AB358" s="1"/>
      <c r="AC358" s="3">
        <f>IFERROR(__xludf.DUMMYFUNCTION("""COMPUTED_VALUE"""),25000.0)</f>
        <v>25000</v>
      </c>
      <c r="AD358" s="1"/>
      <c r="AE358" s="1"/>
      <c r="AF358" s="1" t="str">
        <f>IFERROR(__xludf.DUMMYFUNCTION("""COMPUTED_VALUE"""),"+-Cannot be duplicated")</f>
        <v>+-Cannot be duplicated</v>
      </c>
      <c r="AG358" s="1" t="str">
        <f>IFERROR(__xludf.DUMMYFUNCTION("""COMPUTED_VALUE"""),"Land of Spira")</f>
        <v>Land of Spira</v>
      </c>
      <c r="AH358" s="1" t="b">
        <f>IFERROR(__xludf.DUMMYFUNCTION("""COMPUTED_VALUE"""),FALSE)</f>
        <v>0</v>
      </c>
    </row>
    <row r="359">
      <c r="A359" s="1" t="str">
        <f>IFERROR(__xludf.DUMMYFUNCTION("""COMPUTED_VALUE"""),"Royal Guard Pauldrons")</f>
        <v>Royal Guard Pauldrons</v>
      </c>
      <c r="B359" s="1" t="str">
        <f>IFERROR(__xludf.DUMMYFUNCTION("""COMPUTED_VALUE"""),"Shoulders")</f>
        <v>Shoulders</v>
      </c>
      <c r="C359" s="1" t="str">
        <f>IFERROR(__xludf.DUMMYFUNCTION("""COMPUTED_VALUE"""),"Quest Item")</f>
        <v>Quest Item</v>
      </c>
      <c r="D359" s="1"/>
      <c r="E359" s="1">
        <f>IFERROR(__xludf.DUMMYFUNCTION("""COMPUTED_VALUE"""),200.0)</f>
        <v>200</v>
      </c>
      <c r="F359" s="2">
        <f>IFERROR(__xludf.DUMMYFUNCTION("""COMPUTED_VALUE"""),4.485E8)</f>
        <v>448500000</v>
      </c>
      <c r="G359" s="1" t="str">
        <f>IFERROR(__xludf.DUMMYFUNCTION("""COMPUTED_VALUE"""),"DEF")</f>
        <v>DEF</v>
      </c>
      <c r="H359" s="3">
        <f>IFERROR(__xludf.DUMMYFUNCTION("""COMPUTED_VALUE"""),50000.0)</f>
        <v>50000</v>
      </c>
      <c r="I359" s="1"/>
      <c r="J359" s="1"/>
      <c r="K359" s="1"/>
      <c r="L359" s="1"/>
      <c r="M359" s="1"/>
      <c r="N359" s="3">
        <f>IFERROR(__xludf.DUMMYFUNCTION("""COMPUTED_VALUE"""),50000.0)</f>
        <v>50000</v>
      </c>
      <c r="O359" s="1"/>
      <c r="P359" s="1"/>
      <c r="Q359" s="1"/>
      <c r="R359" s="1"/>
      <c r="S359" s="1"/>
      <c r="T359" s="1"/>
      <c r="U359" s="1"/>
      <c r="V359" s="1"/>
      <c r="W359" s="1"/>
      <c r="X359" s="1"/>
      <c r="Y359" s="1"/>
      <c r="Z359" s="1"/>
      <c r="AA359" s="1"/>
      <c r="AB359" s="1"/>
      <c r="AC359" s="3">
        <f>IFERROR(__xludf.DUMMYFUNCTION("""COMPUTED_VALUE"""),50000.0)</f>
        <v>50000</v>
      </c>
      <c r="AD359" s="1"/>
      <c r="AE359" s="1"/>
      <c r="AF359" s="1" t="str">
        <f>IFERROR(__xludf.DUMMYFUNCTION("""COMPUTED_VALUE"""),"+-Cannot be duplicated")</f>
        <v>+-Cannot be duplicated</v>
      </c>
      <c r="AG359" s="1" t="str">
        <f>IFERROR(__xludf.DUMMYFUNCTION("""COMPUTED_VALUE"""),"Land of Spira")</f>
        <v>Land of Spira</v>
      </c>
      <c r="AH359" s="1" t="b">
        <f>IFERROR(__xludf.DUMMYFUNCTION("""COMPUTED_VALUE"""),FALSE)</f>
        <v>0</v>
      </c>
    </row>
    <row r="360">
      <c r="A360" s="1" t="str">
        <f>IFERROR(__xludf.DUMMYFUNCTION("""COMPUTED_VALUE"""),"Royal Guard Vambraces")</f>
        <v>Royal Guard Vambraces</v>
      </c>
      <c r="B360" s="1" t="str">
        <f>IFERROR(__xludf.DUMMYFUNCTION("""COMPUTED_VALUE"""),"Arms")</f>
        <v>Arms</v>
      </c>
      <c r="C360" s="1" t="str">
        <f>IFERROR(__xludf.DUMMYFUNCTION("""COMPUTED_VALUE"""),"Quest Item")</f>
        <v>Quest Item</v>
      </c>
      <c r="D360" s="1"/>
      <c r="E360" s="1">
        <f>IFERROR(__xludf.DUMMYFUNCTION("""COMPUTED_VALUE"""),200.0)</f>
        <v>200</v>
      </c>
      <c r="F360" s="2">
        <f>IFERROR(__xludf.DUMMYFUNCTION("""COMPUTED_VALUE"""),4.485E8)</f>
        <v>448500000</v>
      </c>
      <c r="G360" s="1" t="str">
        <f>IFERROR(__xludf.DUMMYFUNCTION("""COMPUTED_VALUE"""),"DEF")</f>
        <v>DEF</v>
      </c>
      <c r="H360" s="3">
        <f>IFERROR(__xludf.DUMMYFUNCTION("""COMPUTED_VALUE"""),50000.0)</f>
        <v>50000</v>
      </c>
      <c r="I360" s="1"/>
      <c r="J360" s="1"/>
      <c r="K360" s="1"/>
      <c r="L360" s="1"/>
      <c r="M360" s="1"/>
      <c r="N360" s="3">
        <f>IFERROR(__xludf.DUMMYFUNCTION("""COMPUTED_VALUE"""),50000.0)</f>
        <v>50000</v>
      </c>
      <c r="O360" s="1"/>
      <c r="P360" s="1"/>
      <c r="Q360" s="1"/>
      <c r="R360" s="1"/>
      <c r="S360" s="1"/>
      <c r="T360" s="1"/>
      <c r="U360" s="1"/>
      <c r="V360" s="1"/>
      <c r="W360" s="1"/>
      <c r="X360" s="1"/>
      <c r="Y360" s="1"/>
      <c r="Z360" s="1"/>
      <c r="AA360" s="1"/>
      <c r="AB360" s="1"/>
      <c r="AC360" s="3">
        <f>IFERROR(__xludf.DUMMYFUNCTION("""COMPUTED_VALUE"""),50000.0)</f>
        <v>50000</v>
      </c>
      <c r="AD360" s="1"/>
      <c r="AE360" s="1"/>
      <c r="AF360" s="1" t="str">
        <f>IFERROR(__xludf.DUMMYFUNCTION("""COMPUTED_VALUE"""),"+-Cannot be duplicated")</f>
        <v>+-Cannot be duplicated</v>
      </c>
      <c r="AG360" s="1" t="str">
        <f>IFERROR(__xludf.DUMMYFUNCTION("""COMPUTED_VALUE"""),"Land of Spira")</f>
        <v>Land of Spira</v>
      </c>
      <c r="AH360" s="1" t="b">
        <f>IFERROR(__xludf.DUMMYFUNCTION("""COMPUTED_VALUE"""),FALSE)</f>
        <v>0</v>
      </c>
    </row>
    <row r="361">
      <c r="A361" s="1" t="str">
        <f>IFERROR(__xludf.DUMMYFUNCTION("""COMPUTED_VALUE"""),"Celestian Royal Pauldrons")</f>
        <v>Celestian Royal Pauldrons</v>
      </c>
      <c r="B361" s="1" t="str">
        <f>IFERROR(__xludf.DUMMYFUNCTION("""COMPUTED_VALUE"""),"Shoulders")</f>
        <v>Shoulders</v>
      </c>
      <c r="C361" s="1" t="str">
        <f>IFERROR(__xludf.DUMMYFUNCTION("""COMPUTED_VALUE"""),"Quest Item")</f>
        <v>Quest Item</v>
      </c>
      <c r="D361" s="1"/>
      <c r="E361" s="1">
        <f>IFERROR(__xludf.DUMMYFUNCTION("""COMPUTED_VALUE"""),200.0)</f>
        <v>200</v>
      </c>
      <c r="F361" s="2">
        <f>IFERROR(__xludf.DUMMYFUNCTION("""COMPUTED_VALUE"""),3.196E9)</f>
        <v>3196000000</v>
      </c>
      <c r="G361" s="1" t="str">
        <f>IFERROR(__xludf.DUMMYFUNCTION("""COMPUTED_VALUE"""),"DEF")</f>
        <v>DEF</v>
      </c>
      <c r="H361" s="3">
        <f>IFERROR(__xludf.DUMMYFUNCTION("""COMPUTED_VALUE"""),100000.0)</f>
        <v>100000</v>
      </c>
      <c r="I361" s="1"/>
      <c r="J361" s="1"/>
      <c r="K361" s="1"/>
      <c r="L361" s="1"/>
      <c r="M361" s="1"/>
      <c r="N361" s="3">
        <f>IFERROR(__xludf.DUMMYFUNCTION("""COMPUTED_VALUE"""),100000.0)</f>
        <v>100000</v>
      </c>
      <c r="O361" s="3">
        <f>IFERROR(__xludf.DUMMYFUNCTION("""COMPUTED_VALUE"""),100000.0)</f>
        <v>100000</v>
      </c>
      <c r="P361" s="1"/>
      <c r="Q361" s="1"/>
      <c r="R361" s="1"/>
      <c r="S361" s="1"/>
      <c r="T361" s="1"/>
      <c r="U361" s="1"/>
      <c r="V361" s="1"/>
      <c r="W361" s="1"/>
      <c r="X361" s="1"/>
      <c r="Y361" s="1"/>
      <c r="Z361" s="1"/>
      <c r="AA361" s="1"/>
      <c r="AB361" s="1"/>
      <c r="AC361" s="3">
        <f>IFERROR(__xludf.DUMMYFUNCTION("""COMPUTED_VALUE"""),100000.0)</f>
        <v>100000</v>
      </c>
      <c r="AD361" s="1"/>
      <c r="AE361" s="1"/>
      <c r="AF361" s="1" t="str">
        <f>IFERROR(__xludf.DUMMYFUNCTION("""COMPUTED_VALUE"""),"++X2 Celestial Damage. +-Cannot be duplicated.")</f>
        <v>++X2 Celestial Damage. +-Cannot be duplicated.</v>
      </c>
      <c r="AG361" s="1" t="str">
        <f>IFERROR(__xludf.DUMMYFUNCTION("""COMPUTED_VALUE"""),"Land of Spira")</f>
        <v>Land of Spira</v>
      </c>
      <c r="AH361" s="1" t="b">
        <f>IFERROR(__xludf.DUMMYFUNCTION("""COMPUTED_VALUE"""),FALSE)</f>
        <v>0</v>
      </c>
    </row>
    <row r="362">
      <c r="A362" s="1" t="str">
        <f>IFERROR(__xludf.DUMMYFUNCTION("""COMPUTED_VALUE"""),"Celestian Royal Vambraces")</f>
        <v>Celestian Royal Vambraces</v>
      </c>
      <c r="B362" s="1" t="str">
        <f>IFERROR(__xludf.DUMMYFUNCTION("""COMPUTED_VALUE"""),"Arms")</f>
        <v>Arms</v>
      </c>
      <c r="C362" s="1" t="str">
        <f>IFERROR(__xludf.DUMMYFUNCTION("""COMPUTED_VALUE"""),"Quest Item")</f>
        <v>Quest Item</v>
      </c>
      <c r="D362" s="1"/>
      <c r="E362" s="1">
        <f>IFERROR(__xludf.DUMMYFUNCTION("""COMPUTED_VALUE"""),200.0)</f>
        <v>200</v>
      </c>
      <c r="F362" s="2">
        <f>IFERROR(__xludf.DUMMYFUNCTION("""COMPUTED_VALUE"""),3.196E9)</f>
        <v>3196000000</v>
      </c>
      <c r="G362" s="1" t="str">
        <f>IFERROR(__xludf.DUMMYFUNCTION("""COMPUTED_VALUE"""),"DEF")</f>
        <v>DEF</v>
      </c>
      <c r="H362" s="3">
        <f>IFERROR(__xludf.DUMMYFUNCTION("""COMPUTED_VALUE"""),100000.0)</f>
        <v>100000</v>
      </c>
      <c r="I362" s="1"/>
      <c r="J362" s="1"/>
      <c r="K362" s="1"/>
      <c r="L362" s="1"/>
      <c r="M362" s="1"/>
      <c r="N362" s="3">
        <f>IFERROR(__xludf.DUMMYFUNCTION("""COMPUTED_VALUE"""),100000.0)</f>
        <v>100000</v>
      </c>
      <c r="O362" s="3">
        <f>IFERROR(__xludf.DUMMYFUNCTION("""COMPUTED_VALUE"""),100000.0)</f>
        <v>100000</v>
      </c>
      <c r="P362" s="1"/>
      <c r="Q362" s="1"/>
      <c r="R362" s="1"/>
      <c r="S362" s="1"/>
      <c r="T362" s="1"/>
      <c r="U362" s="1"/>
      <c r="V362" s="1"/>
      <c r="W362" s="1"/>
      <c r="X362" s="1"/>
      <c r="Y362" s="1"/>
      <c r="Z362" s="1"/>
      <c r="AA362" s="1"/>
      <c r="AB362" s="1"/>
      <c r="AC362" s="3">
        <f>IFERROR(__xludf.DUMMYFUNCTION("""COMPUTED_VALUE"""),100000.0)</f>
        <v>100000</v>
      </c>
      <c r="AD362" s="1"/>
      <c r="AE362" s="1"/>
      <c r="AF362" s="1" t="str">
        <f>IFERROR(__xludf.DUMMYFUNCTION("""COMPUTED_VALUE"""),"++X2 Celestial Damage. +-Cannot be duplicated.")</f>
        <v>++X2 Celestial Damage. +-Cannot be duplicated.</v>
      </c>
      <c r="AG362" s="1" t="str">
        <f>IFERROR(__xludf.DUMMYFUNCTION("""COMPUTED_VALUE"""),"Land of Spira")</f>
        <v>Land of Spira</v>
      </c>
      <c r="AH362" s="1" t="b">
        <f>IFERROR(__xludf.DUMMYFUNCTION("""COMPUTED_VALUE"""),FALSE)</f>
        <v>0</v>
      </c>
    </row>
    <row r="363">
      <c r="A363" s="1" t="str">
        <f>IFERROR(__xludf.DUMMYFUNCTION("""COMPUTED_VALUE"""),"Royal Guard Shield")</f>
        <v>Royal Guard Shield</v>
      </c>
      <c r="B363" s="1" t="str">
        <f>IFERROR(__xludf.DUMMYFUNCTION("""COMPUTED_VALUE"""),"Hand")</f>
        <v>Hand</v>
      </c>
      <c r="C363" s="1" t="str">
        <f>IFERROR(__xludf.DUMMYFUNCTION("""COMPUTED_VALUE"""),"Quest Item")</f>
        <v>Quest Item</v>
      </c>
      <c r="D363" s="1" t="str">
        <f>IFERROR(__xludf.DUMMYFUNCTION("""COMPUTED_VALUE"""),"Towershield")</f>
        <v>Towershield</v>
      </c>
      <c r="E363" s="1">
        <f>IFERROR(__xludf.DUMMYFUNCTION("""COMPUTED_VALUE"""),200.0)</f>
        <v>200</v>
      </c>
      <c r="F363" s="2">
        <f>IFERROR(__xludf.DUMMYFUNCTION("""COMPUTED_VALUE"""),7.98E8)</f>
        <v>798000000</v>
      </c>
      <c r="G363" s="1" t="str">
        <f>IFERROR(__xludf.DUMMYFUNCTION("""COMPUTED_VALUE"""),"DEF")</f>
        <v>DEF</v>
      </c>
      <c r="H363" s="3">
        <f>IFERROR(__xludf.DUMMYFUNCTION("""COMPUTED_VALUE"""),50000.0)</f>
        <v>50000</v>
      </c>
      <c r="I363" s="1"/>
      <c r="J363" s="1"/>
      <c r="K363" s="1"/>
      <c r="L363" s="1"/>
      <c r="M363" s="1"/>
      <c r="N363" s="3">
        <f>IFERROR(__xludf.DUMMYFUNCTION("""COMPUTED_VALUE"""),50000.0)</f>
        <v>50000</v>
      </c>
      <c r="O363" s="3">
        <f>IFERROR(__xludf.DUMMYFUNCTION("""COMPUTED_VALUE"""),50000.0)</f>
        <v>50000</v>
      </c>
      <c r="P363" s="1"/>
      <c r="Q363" s="1"/>
      <c r="R363" s="1"/>
      <c r="S363" s="1"/>
      <c r="T363" s="1"/>
      <c r="U363" s="1"/>
      <c r="V363" s="1"/>
      <c r="W363" s="1"/>
      <c r="X363" s="1"/>
      <c r="Y363" s="1"/>
      <c r="Z363" s="1"/>
      <c r="AA363" s="1"/>
      <c r="AB363" s="1"/>
      <c r="AC363" s="3">
        <f>IFERROR(__xludf.DUMMYFUNCTION("""COMPUTED_VALUE"""),50000.0)</f>
        <v>50000</v>
      </c>
      <c r="AD363" s="1"/>
      <c r="AE363" s="1"/>
      <c r="AF363" s="1" t="str">
        <f>IFERROR(__xludf.DUMMYFUNCTION("""COMPUTED_VALUE"""),"++X2 Celestial Defense. +-Cannot be duplicated.")</f>
        <v>++X2 Celestial Defense. +-Cannot be duplicated.</v>
      </c>
      <c r="AG363" s="1" t="str">
        <f>IFERROR(__xludf.DUMMYFUNCTION("""COMPUTED_VALUE"""),"Land of Spira")</f>
        <v>Land of Spira</v>
      </c>
      <c r="AH363" s="1" t="b">
        <f>IFERROR(__xludf.DUMMYFUNCTION("""COMPUTED_VALUE"""),FALSE)</f>
        <v>0</v>
      </c>
    </row>
    <row r="364">
      <c r="A364" s="1" t="str">
        <f>IFERROR(__xludf.DUMMYFUNCTION("""COMPUTED_VALUE"""),"Guard Leggings")</f>
        <v>Guard Leggings</v>
      </c>
      <c r="B364" s="1" t="str">
        <f>IFERROR(__xludf.DUMMYFUNCTION("""COMPUTED_VALUE"""),"Legs")</f>
        <v>Legs</v>
      </c>
      <c r="C364" s="1" t="str">
        <f>IFERROR(__xludf.DUMMYFUNCTION("""COMPUTED_VALUE"""),"Quest Item")</f>
        <v>Quest Item</v>
      </c>
      <c r="D364" s="1"/>
      <c r="E364" s="1">
        <f>IFERROR(__xludf.DUMMYFUNCTION("""COMPUTED_VALUE"""),200.0)</f>
        <v>200</v>
      </c>
      <c r="F364" s="2">
        <f>IFERROR(__xludf.DUMMYFUNCTION("""COMPUTED_VALUE"""),1.1175E8)</f>
        <v>111750000</v>
      </c>
      <c r="G364" s="1" t="str">
        <f>IFERROR(__xludf.DUMMYFUNCTION("""COMPUTED_VALUE"""),"DEF")</f>
        <v>DEF</v>
      </c>
      <c r="H364" s="3">
        <f>IFERROR(__xludf.DUMMYFUNCTION("""COMPUTED_VALUE"""),25000.0)</f>
        <v>25000</v>
      </c>
      <c r="I364" s="1"/>
      <c r="J364" s="1"/>
      <c r="K364" s="1"/>
      <c r="L364" s="1"/>
      <c r="M364" s="1"/>
      <c r="N364" s="3">
        <f>IFERROR(__xludf.DUMMYFUNCTION("""COMPUTED_VALUE"""),25000.0)</f>
        <v>25000</v>
      </c>
      <c r="O364" s="1"/>
      <c r="P364" s="1"/>
      <c r="Q364" s="1"/>
      <c r="R364" s="1"/>
      <c r="S364" s="1"/>
      <c r="T364" s="1"/>
      <c r="U364" s="1"/>
      <c r="V364" s="1"/>
      <c r="W364" s="1"/>
      <c r="X364" s="1"/>
      <c r="Y364" s="1"/>
      <c r="Z364" s="1"/>
      <c r="AA364" s="1"/>
      <c r="AB364" s="1"/>
      <c r="AC364" s="3">
        <f>IFERROR(__xludf.DUMMYFUNCTION("""COMPUTED_VALUE"""),25000.0)</f>
        <v>25000</v>
      </c>
      <c r="AD364" s="1"/>
      <c r="AE364" s="1"/>
      <c r="AF364" s="1" t="str">
        <f>IFERROR(__xludf.DUMMYFUNCTION("""COMPUTED_VALUE"""),"+-Cannot be duplicated")</f>
        <v>+-Cannot be duplicated</v>
      </c>
      <c r="AG364" s="1" t="str">
        <f>IFERROR(__xludf.DUMMYFUNCTION("""COMPUTED_VALUE"""),"Land of Spira")</f>
        <v>Land of Spira</v>
      </c>
      <c r="AH364" s="1" t="b">
        <f>IFERROR(__xludf.DUMMYFUNCTION("""COMPUTED_VALUE"""),FALSE)</f>
        <v>0</v>
      </c>
    </row>
    <row r="365">
      <c r="A365" s="1" t="str">
        <f>IFERROR(__xludf.DUMMYFUNCTION("""COMPUTED_VALUE"""),"Guard Boots")</f>
        <v>Guard Boots</v>
      </c>
      <c r="B365" s="1" t="str">
        <f>IFERROR(__xludf.DUMMYFUNCTION("""COMPUTED_VALUE"""),"Feet")</f>
        <v>Feet</v>
      </c>
      <c r="C365" s="1" t="str">
        <f>IFERROR(__xludf.DUMMYFUNCTION("""COMPUTED_VALUE"""),"Quest Item")</f>
        <v>Quest Item</v>
      </c>
      <c r="D365" s="1"/>
      <c r="E365" s="1">
        <f>IFERROR(__xludf.DUMMYFUNCTION("""COMPUTED_VALUE"""),200.0)</f>
        <v>200</v>
      </c>
      <c r="F365" s="2">
        <f>IFERROR(__xludf.DUMMYFUNCTION("""COMPUTED_VALUE"""),1.1175E8)</f>
        <v>111750000</v>
      </c>
      <c r="G365" s="1" t="str">
        <f>IFERROR(__xludf.DUMMYFUNCTION("""COMPUTED_VALUE"""),"DEF")</f>
        <v>DEF</v>
      </c>
      <c r="H365" s="3">
        <f>IFERROR(__xludf.DUMMYFUNCTION("""COMPUTED_VALUE"""),25000.0)</f>
        <v>25000</v>
      </c>
      <c r="I365" s="1"/>
      <c r="J365" s="1"/>
      <c r="K365" s="1"/>
      <c r="L365" s="1"/>
      <c r="M365" s="1"/>
      <c r="N365" s="3">
        <f>IFERROR(__xludf.DUMMYFUNCTION("""COMPUTED_VALUE"""),25000.0)</f>
        <v>25000</v>
      </c>
      <c r="O365" s="1"/>
      <c r="P365" s="1"/>
      <c r="Q365" s="1"/>
      <c r="R365" s="1"/>
      <c r="S365" s="1"/>
      <c r="T365" s="1"/>
      <c r="U365" s="1"/>
      <c r="V365" s="1"/>
      <c r="W365" s="1"/>
      <c r="X365" s="1"/>
      <c r="Y365" s="1"/>
      <c r="Z365" s="1"/>
      <c r="AA365" s="1"/>
      <c r="AB365" s="1"/>
      <c r="AC365" s="3">
        <f>IFERROR(__xludf.DUMMYFUNCTION("""COMPUTED_VALUE"""),25000.0)</f>
        <v>25000</v>
      </c>
      <c r="AD365" s="1"/>
      <c r="AE365" s="1"/>
      <c r="AF365" s="1" t="str">
        <f>IFERROR(__xludf.DUMMYFUNCTION("""COMPUTED_VALUE"""),"+-Cannot be duplicated")</f>
        <v>+-Cannot be duplicated</v>
      </c>
      <c r="AG365" s="1" t="str">
        <f>IFERROR(__xludf.DUMMYFUNCTION("""COMPUTED_VALUE"""),"Land of Spira")</f>
        <v>Land of Spira</v>
      </c>
      <c r="AH365" s="1" t="b">
        <f>IFERROR(__xludf.DUMMYFUNCTION("""COMPUTED_VALUE"""),FALSE)</f>
        <v>0</v>
      </c>
    </row>
    <row r="366">
      <c r="A366" s="1" t="str">
        <f>IFERROR(__xludf.DUMMYFUNCTION("""COMPUTED_VALUE"""),"Celestian Royal Boots")</f>
        <v>Celestian Royal Boots</v>
      </c>
      <c r="B366" s="1" t="str">
        <f>IFERROR(__xludf.DUMMYFUNCTION("""COMPUTED_VALUE"""),"Feet")</f>
        <v>Feet</v>
      </c>
      <c r="C366" s="1" t="str">
        <f>IFERROR(__xludf.DUMMYFUNCTION("""COMPUTED_VALUE"""),"Quest Item")</f>
        <v>Quest Item</v>
      </c>
      <c r="D366" s="1"/>
      <c r="E366" s="1">
        <f>IFERROR(__xludf.DUMMYFUNCTION("""COMPUTED_VALUE"""),200.0)</f>
        <v>200</v>
      </c>
      <c r="F366" s="2">
        <f>IFERROR(__xludf.DUMMYFUNCTION("""COMPUTED_VALUE"""),3.196E9)</f>
        <v>3196000000</v>
      </c>
      <c r="G366" s="1" t="str">
        <f>IFERROR(__xludf.DUMMYFUNCTION("""COMPUTED_VALUE"""),"DEF")</f>
        <v>DEF</v>
      </c>
      <c r="H366" s="3">
        <f>IFERROR(__xludf.DUMMYFUNCTION("""COMPUTED_VALUE"""),100000.0)</f>
        <v>100000</v>
      </c>
      <c r="I366" s="1"/>
      <c r="J366" s="1"/>
      <c r="K366" s="1"/>
      <c r="L366" s="1"/>
      <c r="M366" s="1"/>
      <c r="N366" s="3">
        <f>IFERROR(__xludf.DUMMYFUNCTION("""COMPUTED_VALUE"""),100000.0)</f>
        <v>100000</v>
      </c>
      <c r="O366" s="3">
        <f>IFERROR(__xludf.DUMMYFUNCTION("""COMPUTED_VALUE"""),100000.0)</f>
        <v>100000</v>
      </c>
      <c r="P366" s="1"/>
      <c r="Q366" s="1"/>
      <c r="R366" s="1"/>
      <c r="S366" s="1"/>
      <c r="T366" s="1"/>
      <c r="U366" s="1"/>
      <c r="V366" s="1"/>
      <c r="W366" s="1"/>
      <c r="X366" s="1"/>
      <c r="Y366" s="1"/>
      <c r="Z366" s="1"/>
      <c r="AA366" s="1"/>
      <c r="AB366" s="1"/>
      <c r="AC366" s="3">
        <f>IFERROR(__xludf.DUMMYFUNCTION("""COMPUTED_VALUE"""),100000.0)</f>
        <v>100000</v>
      </c>
      <c r="AD366" s="1"/>
      <c r="AE366" s="1"/>
      <c r="AF366" s="1" t="str">
        <f>IFERROR(__xludf.DUMMYFUNCTION("""COMPUTED_VALUE"""),"++X6 Celestial Damage. +-Cannot be duplicated.")</f>
        <v>++X6 Celestial Damage. +-Cannot be duplicated.</v>
      </c>
      <c r="AG366" s="1" t="str">
        <f>IFERROR(__xludf.DUMMYFUNCTION("""COMPUTED_VALUE"""),"Land of Spira")</f>
        <v>Land of Spira</v>
      </c>
      <c r="AH366" s="1" t="b">
        <f>IFERROR(__xludf.DUMMYFUNCTION("""COMPUTED_VALUE"""),FALSE)</f>
        <v>0</v>
      </c>
    </row>
    <row r="367">
      <c r="A367" s="1" t="str">
        <f>IFERROR(__xludf.DUMMYFUNCTION("""COMPUTED_VALUE"""),"Celestian Royal Leggings")</f>
        <v>Celestian Royal Leggings</v>
      </c>
      <c r="B367" s="1" t="str">
        <f>IFERROR(__xludf.DUMMYFUNCTION("""COMPUTED_VALUE"""),"Legs")</f>
        <v>Legs</v>
      </c>
      <c r="C367" s="1" t="str">
        <f>IFERROR(__xludf.DUMMYFUNCTION("""COMPUTED_VALUE"""),"Quest Item")</f>
        <v>Quest Item</v>
      </c>
      <c r="D367" s="1"/>
      <c r="E367" s="1">
        <f>IFERROR(__xludf.DUMMYFUNCTION("""COMPUTED_VALUE"""),200.0)</f>
        <v>200</v>
      </c>
      <c r="F367" s="2">
        <f>IFERROR(__xludf.DUMMYFUNCTION("""COMPUTED_VALUE"""),3.196E9)</f>
        <v>3196000000</v>
      </c>
      <c r="G367" s="1" t="str">
        <f>IFERROR(__xludf.DUMMYFUNCTION("""COMPUTED_VALUE"""),"DEF")</f>
        <v>DEF</v>
      </c>
      <c r="H367" s="3">
        <f>IFERROR(__xludf.DUMMYFUNCTION("""COMPUTED_VALUE"""),100000.0)</f>
        <v>100000</v>
      </c>
      <c r="I367" s="1"/>
      <c r="J367" s="1"/>
      <c r="K367" s="1"/>
      <c r="L367" s="1"/>
      <c r="M367" s="1"/>
      <c r="N367" s="3">
        <f>IFERROR(__xludf.DUMMYFUNCTION("""COMPUTED_VALUE"""),100000.0)</f>
        <v>100000</v>
      </c>
      <c r="O367" s="3">
        <f>IFERROR(__xludf.DUMMYFUNCTION("""COMPUTED_VALUE"""),100000.0)</f>
        <v>100000</v>
      </c>
      <c r="P367" s="1"/>
      <c r="Q367" s="1"/>
      <c r="R367" s="1"/>
      <c r="S367" s="1"/>
      <c r="T367" s="1"/>
      <c r="U367" s="1"/>
      <c r="V367" s="1"/>
      <c r="W367" s="1"/>
      <c r="X367" s="1"/>
      <c r="Y367" s="1"/>
      <c r="Z367" s="1"/>
      <c r="AA367" s="1"/>
      <c r="AB367" s="1"/>
      <c r="AC367" s="3">
        <f>IFERROR(__xludf.DUMMYFUNCTION("""COMPUTED_VALUE"""),100000.0)</f>
        <v>100000</v>
      </c>
      <c r="AD367" s="1"/>
      <c r="AE367" s="1"/>
      <c r="AF367" s="1" t="str">
        <f>IFERROR(__xludf.DUMMYFUNCTION("""COMPUTED_VALUE"""),"++X6 Celestial Damage. +-Cannot be duplicated.")</f>
        <v>++X6 Celestial Damage. +-Cannot be duplicated.</v>
      </c>
      <c r="AG367" s="1" t="str">
        <f>IFERROR(__xludf.DUMMYFUNCTION("""COMPUTED_VALUE"""),"Land of Spira")</f>
        <v>Land of Spira</v>
      </c>
      <c r="AH367" s="1" t="b">
        <f>IFERROR(__xludf.DUMMYFUNCTION("""COMPUTED_VALUE"""),FALSE)</f>
        <v>0</v>
      </c>
    </row>
    <row r="368">
      <c r="A368" s="1" t="str">
        <f>IFERROR(__xludf.DUMMYFUNCTION("""COMPUTED_VALUE"""),"Celestian Royal Helmet")</f>
        <v>Celestian Royal Helmet</v>
      </c>
      <c r="B368" s="1" t="str">
        <f>IFERROR(__xludf.DUMMYFUNCTION("""COMPUTED_VALUE"""),"Head")</f>
        <v>Head</v>
      </c>
      <c r="C368" s="1" t="str">
        <f>IFERROR(__xludf.DUMMYFUNCTION("""COMPUTED_VALUE"""),"Quest Item")</f>
        <v>Quest Item</v>
      </c>
      <c r="D368" s="1"/>
      <c r="E368" s="1">
        <f>IFERROR(__xludf.DUMMYFUNCTION("""COMPUTED_VALUE"""),200.0)</f>
        <v>200</v>
      </c>
      <c r="F368" s="2">
        <f>IFERROR(__xludf.DUMMYFUNCTION("""COMPUTED_VALUE"""),3.196E9)</f>
        <v>3196000000</v>
      </c>
      <c r="G368" s="1" t="str">
        <f>IFERROR(__xludf.DUMMYFUNCTION("""COMPUTED_VALUE"""),"DEF")</f>
        <v>DEF</v>
      </c>
      <c r="H368" s="3">
        <f>IFERROR(__xludf.DUMMYFUNCTION("""COMPUTED_VALUE"""),100000.0)</f>
        <v>100000</v>
      </c>
      <c r="I368" s="1"/>
      <c r="J368" s="1"/>
      <c r="K368" s="1"/>
      <c r="L368" s="1"/>
      <c r="M368" s="1"/>
      <c r="N368" s="3">
        <f>IFERROR(__xludf.DUMMYFUNCTION("""COMPUTED_VALUE"""),100000.0)</f>
        <v>100000</v>
      </c>
      <c r="O368" s="3">
        <f>IFERROR(__xludf.DUMMYFUNCTION("""COMPUTED_VALUE"""),100000.0)</f>
        <v>100000</v>
      </c>
      <c r="P368" s="1"/>
      <c r="Q368" s="1"/>
      <c r="R368" s="1"/>
      <c r="S368" s="1"/>
      <c r="T368" s="1"/>
      <c r="U368" s="1"/>
      <c r="V368" s="1"/>
      <c r="W368" s="1"/>
      <c r="X368" s="1"/>
      <c r="Y368" s="1"/>
      <c r="Z368" s="1"/>
      <c r="AA368" s="1"/>
      <c r="AB368" s="1"/>
      <c r="AC368" s="3">
        <f>IFERROR(__xludf.DUMMYFUNCTION("""COMPUTED_VALUE"""),100000.0)</f>
        <v>100000</v>
      </c>
      <c r="AD368" s="1"/>
      <c r="AE368" s="1"/>
      <c r="AF368" s="1" t="str">
        <f>IFERROR(__xludf.DUMMYFUNCTION("""COMPUTED_VALUE"""),"++X6 Celestial Damage. +-Cannot be duplicated.")</f>
        <v>++X6 Celestial Damage. +-Cannot be duplicated.</v>
      </c>
      <c r="AG368" s="1" t="str">
        <f>IFERROR(__xludf.DUMMYFUNCTION("""COMPUTED_VALUE"""),"Land of Spira")</f>
        <v>Land of Spira</v>
      </c>
      <c r="AH368" s="1" t="b">
        <f>IFERROR(__xludf.DUMMYFUNCTION("""COMPUTED_VALUE"""),FALSE)</f>
        <v>0</v>
      </c>
    </row>
    <row r="369">
      <c r="A369" s="1" t="str">
        <f>IFERROR(__xludf.DUMMYFUNCTION("""COMPUTED_VALUE"""),"Celestian Royal Chestplate")</f>
        <v>Celestian Royal Chestplate</v>
      </c>
      <c r="B369" s="1" t="str">
        <f>IFERROR(__xludf.DUMMYFUNCTION("""COMPUTED_VALUE"""),"Torso")</f>
        <v>Torso</v>
      </c>
      <c r="C369" s="1" t="str">
        <f>IFERROR(__xludf.DUMMYFUNCTION("""COMPUTED_VALUE"""),"Quest Item")</f>
        <v>Quest Item</v>
      </c>
      <c r="D369" s="1"/>
      <c r="E369" s="1">
        <f>IFERROR(__xludf.DUMMYFUNCTION("""COMPUTED_VALUE"""),200.0)</f>
        <v>200</v>
      </c>
      <c r="F369" s="2">
        <f>IFERROR(__xludf.DUMMYFUNCTION("""COMPUTED_VALUE"""),3.196E9)</f>
        <v>3196000000</v>
      </c>
      <c r="G369" s="1" t="str">
        <f>IFERROR(__xludf.DUMMYFUNCTION("""COMPUTED_VALUE"""),"DEF")</f>
        <v>DEF</v>
      </c>
      <c r="H369" s="3">
        <f>IFERROR(__xludf.DUMMYFUNCTION("""COMPUTED_VALUE"""),100000.0)</f>
        <v>100000</v>
      </c>
      <c r="I369" s="1"/>
      <c r="J369" s="1"/>
      <c r="K369" s="1"/>
      <c r="L369" s="1"/>
      <c r="M369" s="1"/>
      <c r="N369" s="3">
        <f>IFERROR(__xludf.DUMMYFUNCTION("""COMPUTED_VALUE"""),100000.0)</f>
        <v>100000</v>
      </c>
      <c r="O369" s="3">
        <f>IFERROR(__xludf.DUMMYFUNCTION("""COMPUTED_VALUE"""),100000.0)</f>
        <v>100000</v>
      </c>
      <c r="P369" s="1"/>
      <c r="Q369" s="1"/>
      <c r="R369" s="1"/>
      <c r="S369" s="1"/>
      <c r="T369" s="1"/>
      <c r="U369" s="1"/>
      <c r="V369" s="1"/>
      <c r="W369" s="1"/>
      <c r="X369" s="1"/>
      <c r="Y369" s="1"/>
      <c r="Z369" s="1"/>
      <c r="AA369" s="1"/>
      <c r="AB369" s="1"/>
      <c r="AC369" s="3">
        <f>IFERROR(__xludf.DUMMYFUNCTION("""COMPUTED_VALUE"""),100000.0)</f>
        <v>100000</v>
      </c>
      <c r="AD369" s="1"/>
      <c r="AE369" s="1"/>
      <c r="AF369" s="1" t="str">
        <f>IFERROR(__xludf.DUMMYFUNCTION("""COMPUTED_VALUE"""),"++X6 Celestial Damage. +-Cannot be duplicated.")</f>
        <v>++X6 Celestial Damage. +-Cannot be duplicated.</v>
      </c>
      <c r="AG369" s="1" t="str">
        <f>IFERROR(__xludf.DUMMYFUNCTION("""COMPUTED_VALUE"""),"Land of Spira")</f>
        <v>Land of Spira</v>
      </c>
      <c r="AH369" s="1" t="b">
        <f>IFERROR(__xludf.DUMMYFUNCTION("""COMPUTED_VALUE"""),FALSE)</f>
        <v>0</v>
      </c>
    </row>
    <row r="370">
      <c r="A370" s="1" t="str">
        <f>IFERROR(__xludf.DUMMYFUNCTION("""COMPUTED_VALUE"""),"Guard Chestplate")</f>
        <v>Guard Chestplate</v>
      </c>
      <c r="B370" s="1" t="str">
        <f>IFERROR(__xludf.DUMMYFUNCTION("""COMPUTED_VALUE"""),"Torso")</f>
        <v>Torso</v>
      </c>
      <c r="C370" s="1" t="str">
        <f>IFERROR(__xludf.DUMMYFUNCTION("""COMPUTED_VALUE"""),"Quest Item")</f>
        <v>Quest Item</v>
      </c>
      <c r="D370" s="1"/>
      <c r="E370" s="1">
        <f>IFERROR(__xludf.DUMMYFUNCTION("""COMPUTED_VALUE"""),200.0)</f>
        <v>200</v>
      </c>
      <c r="F370" s="2">
        <f>IFERROR(__xludf.DUMMYFUNCTION("""COMPUTED_VALUE"""),1.1175E8)</f>
        <v>111750000</v>
      </c>
      <c r="G370" s="1" t="str">
        <f>IFERROR(__xludf.DUMMYFUNCTION("""COMPUTED_VALUE"""),"DEF")</f>
        <v>DEF</v>
      </c>
      <c r="H370" s="3">
        <f>IFERROR(__xludf.DUMMYFUNCTION("""COMPUTED_VALUE"""),25000.0)</f>
        <v>25000</v>
      </c>
      <c r="I370" s="1"/>
      <c r="J370" s="1"/>
      <c r="K370" s="1"/>
      <c r="L370" s="1"/>
      <c r="M370" s="1"/>
      <c r="N370" s="3">
        <f>IFERROR(__xludf.DUMMYFUNCTION("""COMPUTED_VALUE"""),25000.0)</f>
        <v>25000</v>
      </c>
      <c r="O370" s="1"/>
      <c r="P370" s="1"/>
      <c r="Q370" s="1"/>
      <c r="R370" s="1"/>
      <c r="S370" s="1"/>
      <c r="T370" s="1"/>
      <c r="U370" s="1"/>
      <c r="V370" s="1"/>
      <c r="W370" s="1"/>
      <c r="X370" s="1"/>
      <c r="Y370" s="1"/>
      <c r="Z370" s="1"/>
      <c r="AA370" s="1"/>
      <c r="AB370" s="1"/>
      <c r="AC370" s="3">
        <f>IFERROR(__xludf.DUMMYFUNCTION("""COMPUTED_VALUE"""),25000.0)</f>
        <v>25000</v>
      </c>
      <c r="AD370" s="1"/>
      <c r="AE370" s="1"/>
      <c r="AF370" s="1" t="str">
        <f>IFERROR(__xludf.DUMMYFUNCTION("""COMPUTED_VALUE"""),"+-Cannot be duplicated.")</f>
        <v>+-Cannot be duplicated.</v>
      </c>
      <c r="AG370" s="1" t="str">
        <f>IFERROR(__xludf.DUMMYFUNCTION("""COMPUTED_VALUE"""),"Land of Spira")</f>
        <v>Land of Spira</v>
      </c>
      <c r="AH370" s="1" t="b">
        <f>IFERROR(__xludf.DUMMYFUNCTION("""COMPUTED_VALUE"""),FALSE)</f>
        <v>0</v>
      </c>
    </row>
    <row r="371">
      <c r="A371" s="1" t="str">
        <f>IFERROR(__xludf.DUMMYFUNCTION("""COMPUTED_VALUE"""),"Revolver")</f>
        <v>Revolver</v>
      </c>
      <c r="B371" s="1" t="str">
        <f>IFERROR(__xludf.DUMMYFUNCTION("""COMPUTED_VALUE"""),"Hand")</f>
        <v>Hand</v>
      </c>
      <c r="C371" s="1"/>
      <c r="D371" s="1" t="str">
        <f>IFERROR(__xludf.DUMMYFUNCTION("""COMPUTED_VALUE"""),"Firearm")</f>
        <v>Firearm</v>
      </c>
      <c r="E371" s="1">
        <f>IFERROR(__xludf.DUMMYFUNCTION("""COMPUTED_VALUE"""),200.0)</f>
        <v>200</v>
      </c>
      <c r="F371" s="2">
        <f>IFERROR(__xludf.DUMMYFUNCTION("""COMPUTED_VALUE"""),1900000.0)</f>
        <v>1900000</v>
      </c>
      <c r="G371" s="1" t="str">
        <f>IFERROR(__xludf.DUMMYFUNCTION("""COMPUTED_VALUE"""),"DMG")</f>
        <v>DMG</v>
      </c>
      <c r="H371" s="3">
        <f>IFERROR(__xludf.DUMMYFUNCTION("""COMPUTED_VALUE"""),5000.0)</f>
        <v>5000</v>
      </c>
      <c r="I371" s="1"/>
      <c r="J371" s="1"/>
      <c r="K371" s="1"/>
      <c r="L371" s="1"/>
      <c r="M371" s="1"/>
      <c r="N371" s="1"/>
      <c r="O371" s="1"/>
      <c r="P371" s="1"/>
      <c r="Q371" s="1"/>
      <c r="R371" s="1"/>
      <c r="S371" s="1"/>
      <c r="T371" s="1"/>
      <c r="U371" s="1"/>
      <c r="V371" s="1"/>
      <c r="W371" s="1"/>
      <c r="X371" s="1"/>
      <c r="Y371" s="1">
        <f>IFERROR(__xludf.DUMMYFUNCTION("""COMPUTED_VALUE"""),5000.0)</f>
        <v>5000</v>
      </c>
      <c r="Z371" s="1"/>
      <c r="AA371" s="1"/>
      <c r="AB371" s="1"/>
      <c r="AC371" s="1"/>
      <c r="AD371" s="1"/>
      <c r="AE371" s="1"/>
      <c r="AF371" s="1"/>
      <c r="AG371" s="1" t="str">
        <f>IFERROR(__xludf.DUMMYFUNCTION("""COMPUTED_VALUE"""),"Land of Spira")</f>
        <v>Land of Spira</v>
      </c>
      <c r="AH371" s="1" t="b">
        <f>IFERROR(__xludf.DUMMYFUNCTION("""COMPUTED_VALUE"""),FALSE)</f>
        <v>0</v>
      </c>
    </row>
    <row r="372">
      <c r="A372" s="1" t="str">
        <f>IFERROR(__xludf.DUMMYFUNCTION("""COMPUTED_VALUE"""),"Musket")</f>
        <v>Musket</v>
      </c>
      <c r="B372" s="1" t="str">
        <f>IFERROR(__xludf.DUMMYFUNCTION("""COMPUTED_VALUE"""),"Hand")</f>
        <v>Hand</v>
      </c>
      <c r="C372" s="1"/>
      <c r="D372" s="1" t="str">
        <f>IFERROR(__xludf.DUMMYFUNCTION("""COMPUTED_VALUE"""),"Firearm")</f>
        <v>Firearm</v>
      </c>
      <c r="E372" s="1">
        <f>IFERROR(__xludf.DUMMYFUNCTION("""COMPUTED_VALUE"""),400.0)</f>
        <v>400</v>
      </c>
      <c r="F372" s="2">
        <f>IFERROR(__xludf.DUMMYFUNCTION("""COMPUTED_VALUE"""),7800000.0)</f>
        <v>7800000</v>
      </c>
      <c r="G372" s="1" t="str">
        <f>IFERROR(__xludf.DUMMYFUNCTION("""COMPUTED_VALUE"""),"DMG")</f>
        <v>DMG</v>
      </c>
      <c r="H372" s="3">
        <f>IFERROR(__xludf.DUMMYFUNCTION("""COMPUTED_VALUE"""),10000.0)</f>
        <v>10000</v>
      </c>
      <c r="I372" s="1"/>
      <c r="J372" s="1"/>
      <c r="K372" s="1"/>
      <c r="L372" s="1"/>
      <c r="M372" s="1"/>
      <c r="N372" s="1"/>
      <c r="O372" s="1"/>
      <c r="P372" s="1"/>
      <c r="Q372" s="1"/>
      <c r="R372" s="1"/>
      <c r="S372" s="1"/>
      <c r="T372" s="1"/>
      <c r="U372" s="1"/>
      <c r="V372" s="1"/>
      <c r="W372" s="1"/>
      <c r="X372" s="1"/>
      <c r="Y372" s="3">
        <f>IFERROR(__xludf.DUMMYFUNCTION("""COMPUTED_VALUE"""),10000.0)</f>
        <v>10000</v>
      </c>
      <c r="Z372" s="1"/>
      <c r="AA372" s="1"/>
      <c r="AB372" s="1"/>
      <c r="AC372" s="1"/>
      <c r="AD372" s="1"/>
      <c r="AE372" s="1"/>
      <c r="AF372" s="1"/>
      <c r="AG372" s="1" t="str">
        <f>IFERROR(__xludf.DUMMYFUNCTION("""COMPUTED_VALUE"""),"Land of Spira")</f>
        <v>Land of Spira</v>
      </c>
      <c r="AH372" s="1" t="b">
        <f>IFERROR(__xludf.DUMMYFUNCTION("""COMPUTED_VALUE"""),FALSE)</f>
        <v>0</v>
      </c>
    </row>
    <row r="373">
      <c r="A373" s="1" t="str">
        <f>IFERROR(__xludf.DUMMYFUNCTION("""COMPUTED_VALUE"""),"Lazer Infused Railgun")</f>
        <v>Lazer Infused Railgun</v>
      </c>
      <c r="B373" s="1" t="str">
        <f>IFERROR(__xludf.DUMMYFUNCTION("""COMPUTED_VALUE"""),"Hand")</f>
        <v>Hand</v>
      </c>
      <c r="C373" s="1"/>
      <c r="D373" s="1" t="str">
        <f>IFERROR(__xludf.DUMMYFUNCTION("""COMPUTED_VALUE"""),"Firearm")</f>
        <v>Firearm</v>
      </c>
      <c r="E373" s="1">
        <f>IFERROR(__xludf.DUMMYFUNCTION("""COMPUTED_VALUE"""),1600.0)</f>
        <v>1600</v>
      </c>
      <c r="F373" s="2">
        <f>IFERROR(__xludf.DUMMYFUNCTION("""COMPUTED_VALUE"""),1.272E8)</f>
        <v>127200000</v>
      </c>
      <c r="G373" s="1" t="str">
        <f>IFERROR(__xludf.DUMMYFUNCTION("""COMPUTED_VALUE"""),"DMG")</f>
        <v>DMG</v>
      </c>
      <c r="H373" s="3">
        <f>IFERROR(__xludf.DUMMYFUNCTION("""COMPUTED_VALUE"""),40000.0)</f>
        <v>40000</v>
      </c>
      <c r="I373" s="1"/>
      <c r="J373" s="1"/>
      <c r="K373" s="1"/>
      <c r="L373" s="1"/>
      <c r="M373" s="1"/>
      <c r="N373" s="1"/>
      <c r="O373" s="1"/>
      <c r="P373" s="1"/>
      <c r="Q373" s="1"/>
      <c r="R373" s="1"/>
      <c r="S373" s="1"/>
      <c r="T373" s="1"/>
      <c r="U373" s="1"/>
      <c r="V373" s="1"/>
      <c r="W373" s="1"/>
      <c r="X373" s="1"/>
      <c r="Y373" s="3">
        <f>IFERROR(__xludf.DUMMYFUNCTION("""COMPUTED_VALUE"""),40000.0)</f>
        <v>40000</v>
      </c>
      <c r="Z373" s="1"/>
      <c r="AA373" s="1"/>
      <c r="AB373" s="1"/>
      <c r="AC373" s="1"/>
      <c r="AD373" s="1"/>
      <c r="AE373" s="1"/>
      <c r="AF373" s="1" t="str">
        <f>IFERROR(__xludf.DUMMYFUNCTION("""COMPUTED_VALUE"""),"++Damages all enemies, Cannot Avoid. ++Ignores defense, ++Does not need ammunition. +-Cannot be forged. ")</f>
        <v>++Damages all enemies, Cannot Avoid. ++Ignores defense, ++Does not need ammunition. +-Cannot be forged. </v>
      </c>
      <c r="AG373" s="1" t="str">
        <f>IFERROR(__xludf.DUMMYFUNCTION("""COMPUTED_VALUE"""),"Land of Spira")</f>
        <v>Land of Spira</v>
      </c>
      <c r="AH373" s="1" t="b">
        <f>IFERROR(__xludf.DUMMYFUNCTION("""COMPUTED_VALUE"""),FALSE)</f>
        <v>0</v>
      </c>
    </row>
    <row r="374">
      <c r="A374" s="1" t="str">
        <f>IFERROR(__xludf.DUMMYFUNCTION("""COMPUTED_VALUE"""),"Minigun")</f>
        <v>Minigun</v>
      </c>
      <c r="B374" s="1" t="str">
        <f>IFERROR(__xludf.DUMMYFUNCTION("""COMPUTED_VALUE"""),"Hand")</f>
        <v>Hand</v>
      </c>
      <c r="C374" s="1"/>
      <c r="D374" s="1" t="str">
        <f>IFERROR(__xludf.DUMMYFUNCTION("""COMPUTED_VALUE"""),"Firearm")</f>
        <v>Firearm</v>
      </c>
      <c r="E374" s="1">
        <f>IFERROR(__xludf.DUMMYFUNCTION("""COMPUTED_VALUE"""),1200.0)</f>
        <v>1200</v>
      </c>
      <c r="F374" s="2">
        <f>IFERROR(__xludf.DUMMYFUNCTION("""COMPUTED_VALUE"""),7.14E7)</f>
        <v>71400000</v>
      </c>
      <c r="G374" s="1" t="str">
        <f>IFERROR(__xludf.DUMMYFUNCTION("""COMPUTED_VALUE"""),"DMG")</f>
        <v>DMG</v>
      </c>
      <c r="H374" s="3">
        <f>IFERROR(__xludf.DUMMYFUNCTION("""COMPUTED_VALUE"""),30000.0)</f>
        <v>30000</v>
      </c>
      <c r="I374" s="1"/>
      <c r="J374" s="1"/>
      <c r="K374" s="1"/>
      <c r="L374" s="1"/>
      <c r="M374" s="1"/>
      <c r="N374" s="1"/>
      <c r="O374" s="1"/>
      <c r="P374" s="1"/>
      <c r="Q374" s="1"/>
      <c r="R374" s="1"/>
      <c r="S374" s="1"/>
      <c r="T374" s="1"/>
      <c r="U374" s="1"/>
      <c r="V374" s="1"/>
      <c r="W374" s="1"/>
      <c r="X374" s="1"/>
      <c r="Y374" s="3">
        <f>IFERROR(__xludf.DUMMYFUNCTION("""COMPUTED_VALUE"""),30000.0)</f>
        <v>30000</v>
      </c>
      <c r="Z374" s="1"/>
      <c r="AA374" s="1"/>
      <c r="AB374" s="1"/>
      <c r="AC374" s="1"/>
      <c r="AD374" s="1"/>
      <c r="AE374" s="1"/>
      <c r="AF374" s="1" t="str">
        <f>IFERROR(__xludf.DUMMYFUNCTION("""COMPUTED_VALUE"""),"++Damages all enemies, Cannot Avoid, Roll a d100 the turn you use this weapon to see how many bullets it shoots.")</f>
        <v>++Damages all enemies, Cannot Avoid, Roll a d100 the turn you use this weapon to see how many bullets it shoots.</v>
      </c>
      <c r="AG374" s="1" t="str">
        <f>IFERROR(__xludf.DUMMYFUNCTION("""COMPUTED_VALUE"""),"Land of Spira")</f>
        <v>Land of Spira</v>
      </c>
      <c r="AH374" s="1" t="b">
        <f>IFERROR(__xludf.DUMMYFUNCTION("""COMPUTED_VALUE"""),FALSE)</f>
        <v>0</v>
      </c>
    </row>
    <row r="375">
      <c r="A375" s="1" t="str">
        <f>IFERROR(__xludf.DUMMYFUNCTION("""COMPUTED_VALUE"""),"Seahorse’s Ring")</f>
        <v>Seahorse’s Ring</v>
      </c>
      <c r="B375" s="1" t="str">
        <f>IFERROR(__xludf.DUMMYFUNCTION("""COMPUTED_VALUE"""),"Ring")</f>
        <v>Ring</v>
      </c>
      <c r="C375" s="1"/>
      <c r="D375" s="1"/>
      <c r="E375" s="1">
        <f>IFERROR(__xludf.DUMMYFUNCTION("""COMPUTED_VALUE"""),20.0)</f>
        <v>20</v>
      </c>
      <c r="F375" s="2">
        <f>IFERROR(__xludf.DUMMYFUNCTION("""COMPUTED_VALUE"""),10000.0)</f>
        <v>10000</v>
      </c>
      <c r="G375" s="1"/>
      <c r="H375" s="1"/>
      <c r="I375" s="1"/>
      <c r="J375" s="1"/>
      <c r="K375" s="1"/>
      <c r="L375" s="1"/>
      <c r="M375" s="1"/>
      <c r="N375" s="1"/>
      <c r="O375" s="1"/>
      <c r="P375" s="1"/>
      <c r="Q375" s="1"/>
      <c r="R375" s="1"/>
      <c r="S375" s="1">
        <f>IFERROR(__xludf.DUMMYFUNCTION("""COMPUTED_VALUE"""),1000.0)</f>
        <v>1000</v>
      </c>
      <c r="T375" s="1"/>
      <c r="U375" s="1"/>
      <c r="V375" s="1"/>
      <c r="W375" s="1"/>
      <c r="X375" s="1"/>
      <c r="Y375" s="1"/>
      <c r="Z375" s="1"/>
      <c r="AA375" s="1"/>
      <c r="AB375" s="1"/>
      <c r="AC375" s="1"/>
      <c r="AD375" s="1"/>
      <c r="AE375" s="1"/>
      <c r="AF375" s="1" t="str">
        <f>IFERROR(__xludf.DUMMYFUNCTION("""COMPUTED_VALUE"""),"++When fishing you have a 5% chance to encounter a rare seahorse, and he will give you a unique item (Chosen by a DM/GM)")</f>
        <v>++When fishing you have a 5% chance to encounter a rare seahorse, and he will give you a unique item (Chosen by a DM/GM)</v>
      </c>
      <c r="AG375" s="1" t="str">
        <f>IFERROR(__xludf.DUMMYFUNCTION("""COMPUTED_VALUE"""),"Land of Spira")</f>
        <v>Land of Spira</v>
      </c>
      <c r="AH375" s="1" t="b">
        <f>IFERROR(__xludf.DUMMYFUNCTION("""COMPUTED_VALUE"""),FALSE)</f>
        <v>0</v>
      </c>
    </row>
    <row r="376">
      <c r="A376" s="1" t="str">
        <f>IFERROR(__xludf.DUMMYFUNCTION("""COMPUTED_VALUE"""),"Bamboo Vambraces")</f>
        <v>Bamboo Vambraces</v>
      </c>
      <c r="B376" s="1" t="str">
        <f>IFERROR(__xludf.DUMMYFUNCTION("""COMPUTED_VALUE"""),"Arms")</f>
        <v>Arms</v>
      </c>
      <c r="C376" s="1"/>
      <c r="D376" s="1"/>
      <c r="E376" s="1">
        <f>IFERROR(__xludf.DUMMYFUNCTION("""COMPUTED_VALUE"""),40.0)</f>
        <v>40</v>
      </c>
      <c r="F376" s="2">
        <f>IFERROR(__xludf.DUMMYFUNCTION("""COMPUTED_VALUE"""),60000.0)</f>
        <v>60000</v>
      </c>
      <c r="G376" s="1" t="str">
        <f>IFERROR(__xludf.DUMMYFUNCTION("""COMPUTED_VALUE"""),"DEF")</f>
        <v>DEF</v>
      </c>
      <c r="H376" s="1">
        <f>IFERROR(__xludf.DUMMYFUNCTION("""COMPUTED_VALUE"""),1000.0)</f>
        <v>1000</v>
      </c>
      <c r="I376" s="1"/>
      <c r="J376" s="1"/>
      <c r="K376" s="1"/>
      <c r="L376" s="1"/>
      <c r="M376" s="1"/>
      <c r="N376" s="1"/>
      <c r="O376" s="1"/>
      <c r="P376" s="1"/>
      <c r="Q376" s="1"/>
      <c r="R376" s="1"/>
      <c r="S376" s="1">
        <f>IFERROR(__xludf.DUMMYFUNCTION("""COMPUTED_VALUE"""),1000.0)</f>
        <v>1000</v>
      </c>
      <c r="T376" s="1"/>
      <c r="U376" s="1"/>
      <c r="V376" s="1"/>
      <c r="W376" s="1"/>
      <c r="X376" s="1"/>
      <c r="Y376" s="1"/>
      <c r="Z376" s="1"/>
      <c r="AA376" s="1"/>
      <c r="AB376" s="1"/>
      <c r="AC376" s="1"/>
      <c r="AD376" s="1"/>
      <c r="AE376" s="1"/>
      <c r="AF376" s="1"/>
      <c r="AG376" s="1" t="str">
        <f>IFERROR(__xludf.DUMMYFUNCTION("""COMPUTED_VALUE"""),"Land of Spira")</f>
        <v>Land of Spira</v>
      </c>
      <c r="AH376" s="1" t="b">
        <f>IFERROR(__xludf.DUMMYFUNCTION("""COMPUTED_VALUE"""),FALSE)</f>
        <v>0</v>
      </c>
    </row>
    <row r="377">
      <c r="A377" s="1" t="str">
        <f>IFERROR(__xludf.DUMMYFUNCTION("""COMPUTED_VALUE"""),"Bamboo Pauldrons")</f>
        <v>Bamboo Pauldrons</v>
      </c>
      <c r="B377" s="1" t="str">
        <f>IFERROR(__xludf.DUMMYFUNCTION("""COMPUTED_VALUE"""),"Shoulders")</f>
        <v>Shoulders</v>
      </c>
      <c r="C377" s="1"/>
      <c r="D377" s="1"/>
      <c r="E377" s="1">
        <f>IFERROR(__xludf.DUMMYFUNCTION("""COMPUTED_VALUE"""),40.0)</f>
        <v>40</v>
      </c>
      <c r="F377" s="2">
        <f>IFERROR(__xludf.DUMMYFUNCTION("""COMPUTED_VALUE"""),60000.0)</f>
        <v>60000</v>
      </c>
      <c r="G377" s="1" t="str">
        <f>IFERROR(__xludf.DUMMYFUNCTION("""COMPUTED_VALUE"""),"DEF")</f>
        <v>DEF</v>
      </c>
      <c r="H377" s="1">
        <f>IFERROR(__xludf.DUMMYFUNCTION("""COMPUTED_VALUE"""),1000.0)</f>
        <v>1000</v>
      </c>
      <c r="I377" s="1"/>
      <c r="J377" s="1"/>
      <c r="K377" s="1"/>
      <c r="L377" s="1"/>
      <c r="M377" s="1"/>
      <c r="N377" s="1"/>
      <c r="O377" s="1"/>
      <c r="P377" s="1"/>
      <c r="Q377" s="1"/>
      <c r="R377" s="1"/>
      <c r="S377" s="1">
        <f>IFERROR(__xludf.DUMMYFUNCTION("""COMPUTED_VALUE"""),1000.0)</f>
        <v>1000</v>
      </c>
      <c r="T377" s="1"/>
      <c r="U377" s="1"/>
      <c r="V377" s="1"/>
      <c r="W377" s="1"/>
      <c r="X377" s="1"/>
      <c r="Y377" s="1"/>
      <c r="Z377" s="1"/>
      <c r="AA377" s="1"/>
      <c r="AB377" s="1"/>
      <c r="AC377" s="1"/>
      <c r="AD377" s="1"/>
      <c r="AE377" s="1"/>
      <c r="AF377" s="1"/>
      <c r="AG377" s="1" t="str">
        <f>IFERROR(__xludf.DUMMYFUNCTION("""COMPUTED_VALUE"""),"Land of Spira")</f>
        <v>Land of Spira</v>
      </c>
      <c r="AH377" s="1" t="b">
        <f>IFERROR(__xludf.DUMMYFUNCTION("""COMPUTED_VALUE"""),FALSE)</f>
        <v>0</v>
      </c>
    </row>
    <row r="378">
      <c r="A378" s="1" t="str">
        <f>IFERROR(__xludf.DUMMYFUNCTION("""COMPUTED_VALUE"""),"Bamboo Chestplate")</f>
        <v>Bamboo Chestplate</v>
      </c>
      <c r="B378" s="1" t="str">
        <f>IFERROR(__xludf.DUMMYFUNCTION("""COMPUTED_VALUE"""),"Torso")</f>
        <v>Torso</v>
      </c>
      <c r="C378" s="1"/>
      <c r="D378" s="1"/>
      <c r="E378" s="1">
        <f>IFERROR(__xludf.DUMMYFUNCTION("""COMPUTED_VALUE"""),40.0)</f>
        <v>40</v>
      </c>
      <c r="F378" s="2">
        <f>IFERROR(__xludf.DUMMYFUNCTION("""COMPUTED_VALUE"""),60000.0)</f>
        <v>60000</v>
      </c>
      <c r="G378" s="1" t="str">
        <f>IFERROR(__xludf.DUMMYFUNCTION("""COMPUTED_VALUE"""),"DEF")</f>
        <v>DEF</v>
      </c>
      <c r="H378" s="1">
        <f>IFERROR(__xludf.DUMMYFUNCTION("""COMPUTED_VALUE"""),1000.0)</f>
        <v>1000</v>
      </c>
      <c r="I378" s="1"/>
      <c r="J378" s="1"/>
      <c r="K378" s="1"/>
      <c r="L378" s="1"/>
      <c r="M378" s="1"/>
      <c r="N378" s="1"/>
      <c r="O378" s="1"/>
      <c r="P378" s="1"/>
      <c r="Q378" s="1"/>
      <c r="R378" s="1"/>
      <c r="S378" s="1">
        <f>IFERROR(__xludf.DUMMYFUNCTION("""COMPUTED_VALUE"""),1000.0)</f>
        <v>1000</v>
      </c>
      <c r="T378" s="1"/>
      <c r="U378" s="1"/>
      <c r="V378" s="1"/>
      <c r="W378" s="1"/>
      <c r="X378" s="1"/>
      <c r="Y378" s="1"/>
      <c r="Z378" s="1"/>
      <c r="AA378" s="1"/>
      <c r="AB378" s="1"/>
      <c r="AC378" s="1"/>
      <c r="AD378" s="1"/>
      <c r="AE378" s="1"/>
      <c r="AF378" s="1"/>
      <c r="AG378" s="1" t="str">
        <f>IFERROR(__xludf.DUMMYFUNCTION("""COMPUTED_VALUE"""),"Land of Spira")</f>
        <v>Land of Spira</v>
      </c>
      <c r="AH378" s="1" t="b">
        <f>IFERROR(__xludf.DUMMYFUNCTION("""COMPUTED_VALUE"""),FALSE)</f>
        <v>0</v>
      </c>
    </row>
    <row r="379">
      <c r="A379" s="1" t="str">
        <f>IFERROR(__xludf.DUMMYFUNCTION("""COMPUTED_VALUE"""),"Bamboo Greaves")</f>
        <v>Bamboo Greaves</v>
      </c>
      <c r="B379" s="1" t="str">
        <f>IFERROR(__xludf.DUMMYFUNCTION("""COMPUTED_VALUE"""),"Legs")</f>
        <v>Legs</v>
      </c>
      <c r="C379" s="1"/>
      <c r="D379" s="1"/>
      <c r="E379" s="1">
        <f>IFERROR(__xludf.DUMMYFUNCTION("""COMPUTED_VALUE"""),40.0)</f>
        <v>40</v>
      </c>
      <c r="F379" s="2">
        <f>IFERROR(__xludf.DUMMYFUNCTION("""COMPUTED_VALUE"""),60000.0)</f>
        <v>60000</v>
      </c>
      <c r="G379" s="1" t="str">
        <f>IFERROR(__xludf.DUMMYFUNCTION("""COMPUTED_VALUE"""),"DEF")</f>
        <v>DEF</v>
      </c>
      <c r="H379" s="1">
        <f>IFERROR(__xludf.DUMMYFUNCTION("""COMPUTED_VALUE"""),1000.0)</f>
        <v>1000</v>
      </c>
      <c r="I379" s="1"/>
      <c r="J379" s="1"/>
      <c r="K379" s="1"/>
      <c r="L379" s="1"/>
      <c r="M379" s="1"/>
      <c r="N379" s="1"/>
      <c r="O379" s="1"/>
      <c r="P379" s="1"/>
      <c r="Q379" s="1"/>
      <c r="R379" s="1"/>
      <c r="S379" s="1">
        <f>IFERROR(__xludf.DUMMYFUNCTION("""COMPUTED_VALUE"""),1000.0)</f>
        <v>1000</v>
      </c>
      <c r="T379" s="1"/>
      <c r="U379" s="1"/>
      <c r="V379" s="1"/>
      <c r="W379" s="1"/>
      <c r="X379" s="1"/>
      <c r="Y379" s="1"/>
      <c r="Z379" s="1"/>
      <c r="AA379" s="1"/>
      <c r="AB379" s="1"/>
      <c r="AC379" s="1"/>
      <c r="AD379" s="1"/>
      <c r="AE379" s="1"/>
      <c r="AF379" s="1"/>
      <c r="AG379" s="1" t="str">
        <f>IFERROR(__xludf.DUMMYFUNCTION("""COMPUTED_VALUE"""),"Land of Spira")</f>
        <v>Land of Spira</v>
      </c>
      <c r="AH379" s="1" t="b">
        <f>IFERROR(__xludf.DUMMYFUNCTION("""COMPUTED_VALUE"""),FALSE)</f>
        <v>0</v>
      </c>
    </row>
    <row r="380">
      <c r="A380" s="1" t="str">
        <f>IFERROR(__xludf.DUMMYFUNCTION("""COMPUTED_VALUE"""),"Strengthened Bamboo Sword")</f>
        <v>Strengthened Bamboo Sword</v>
      </c>
      <c r="B380" s="1" t="str">
        <f>IFERROR(__xludf.DUMMYFUNCTION("""COMPUTED_VALUE"""),"Hand")</f>
        <v>Hand</v>
      </c>
      <c r="C380" s="1"/>
      <c r="D380" s="1" t="str">
        <f>IFERROR(__xludf.DUMMYFUNCTION("""COMPUTED_VALUE"""),"Sword")</f>
        <v>Sword</v>
      </c>
      <c r="E380" s="1">
        <f>IFERROR(__xludf.DUMMYFUNCTION("""COMPUTED_VALUE"""),40.0)</f>
        <v>40</v>
      </c>
      <c r="F380" s="2">
        <f>IFERROR(__xludf.DUMMYFUNCTION("""COMPUTED_VALUE"""),60000.0)</f>
        <v>60000</v>
      </c>
      <c r="G380" s="1" t="str">
        <f>IFERROR(__xludf.DUMMYFUNCTION("""COMPUTED_VALUE"""),"DMG")</f>
        <v>DMG</v>
      </c>
      <c r="H380" s="1">
        <f>IFERROR(__xludf.DUMMYFUNCTION("""COMPUTED_VALUE"""),1000.0)</f>
        <v>1000</v>
      </c>
      <c r="I380" s="1"/>
      <c r="J380" s="1"/>
      <c r="K380" s="1"/>
      <c r="L380" s="1"/>
      <c r="M380" s="1"/>
      <c r="N380" s="1"/>
      <c r="O380" s="1"/>
      <c r="P380" s="1"/>
      <c r="Q380" s="1"/>
      <c r="R380" s="1"/>
      <c r="S380" s="1">
        <f>IFERROR(__xludf.DUMMYFUNCTION("""COMPUTED_VALUE"""),1000.0)</f>
        <v>1000</v>
      </c>
      <c r="T380" s="1"/>
      <c r="U380" s="1"/>
      <c r="V380" s="1"/>
      <c r="W380" s="1"/>
      <c r="X380" s="1"/>
      <c r="Y380" s="1"/>
      <c r="Z380" s="1"/>
      <c r="AA380" s="1"/>
      <c r="AB380" s="1"/>
      <c r="AC380" s="1"/>
      <c r="AD380" s="1"/>
      <c r="AE380" s="1"/>
      <c r="AF380" s="1" t="str">
        <f>IFERROR(__xludf.DUMMYFUNCTION("""COMPUTED_VALUE"""),"++X4 damage for this weapon if the battle is in a Forest or Jungle.")</f>
        <v>++X4 damage for this weapon if the battle is in a Forest or Jungle.</v>
      </c>
      <c r="AG380" s="1" t="str">
        <f>IFERROR(__xludf.DUMMYFUNCTION("""COMPUTED_VALUE"""),"Land of Spira")</f>
        <v>Land of Spira</v>
      </c>
      <c r="AH380" s="1" t="b">
        <f>IFERROR(__xludf.DUMMYFUNCTION("""COMPUTED_VALUE"""),FALSE)</f>
        <v>0</v>
      </c>
    </row>
    <row r="381">
      <c r="A381" s="1" t="str">
        <f>IFERROR(__xludf.DUMMYFUNCTION("""COMPUTED_VALUE"""),"Bamboo Sandals")</f>
        <v>Bamboo Sandals</v>
      </c>
      <c r="B381" s="1" t="str">
        <f>IFERROR(__xludf.DUMMYFUNCTION("""COMPUTED_VALUE"""),"Feet")</f>
        <v>Feet</v>
      </c>
      <c r="C381" s="1"/>
      <c r="D381" s="1"/>
      <c r="E381" s="1">
        <f>IFERROR(__xludf.DUMMYFUNCTION("""COMPUTED_VALUE"""),40.0)</f>
        <v>40</v>
      </c>
      <c r="F381" s="2">
        <f>IFERROR(__xludf.DUMMYFUNCTION("""COMPUTED_VALUE"""),60000.0)</f>
        <v>60000</v>
      </c>
      <c r="G381" s="1" t="str">
        <f>IFERROR(__xludf.DUMMYFUNCTION("""COMPUTED_VALUE"""),"DEF")</f>
        <v>DEF</v>
      </c>
      <c r="H381" s="1">
        <f>IFERROR(__xludf.DUMMYFUNCTION("""COMPUTED_VALUE"""),1000.0)</f>
        <v>1000</v>
      </c>
      <c r="I381" s="1"/>
      <c r="J381" s="1"/>
      <c r="K381" s="1"/>
      <c r="L381" s="1"/>
      <c r="M381" s="1"/>
      <c r="N381" s="1"/>
      <c r="O381" s="1"/>
      <c r="P381" s="1"/>
      <c r="Q381" s="1"/>
      <c r="R381" s="1"/>
      <c r="S381" s="1">
        <f>IFERROR(__xludf.DUMMYFUNCTION("""COMPUTED_VALUE"""),1000.0)</f>
        <v>1000</v>
      </c>
      <c r="T381" s="1"/>
      <c r="U381" s="1"/>
      <c r="V381" s="1"/>
      <c r="W381" s="1"/>
      <c r="X381" s="1"/>
      <c r="Y381" s="1"/>
      <c r="Z381" s="1"/>
      <c r="AA381" s="1"/>
      <c r="AB381" s="1"/>
      <c r="AC381" s="1"/>
      <c r="AD381" s="1"/>
      <c r="AE381" s="1"/>
      <c r="AF381" s="1"/>
      <c r="AG381" s="1" t="str">
        <f>IFERROR(__xludf.DUMMYFUNCTION("""COMPUTED_VALUE"""),"Land of Spira")</f>
        <v>Land of Spira</v>
      </c>
      <c r="AH381" s="1" t="b">
        <f>IFERROR(__xludf.DUMMYFUNCTION("""COMPUTED_VALUE"""),FALSE)</f>
        <v>0</v>
      </c>
    </row>
    <row r="382">
      <c r="A382" s="1" t="str">
        <f>IFERROR(__xludf.DUMMYFUNCTION("""COMPUTED_VALUE"""),"Greaves of Foul Night")</f>
        <v>Greaves of Foul Night</v>
      </c>
      <c r="B382" s="1" t="str">
        <f>IFERROR(__xludf.DUMMYFUNCTION("""COMPUTED_VALUE"""),"Legs")</f>
        <v>Legs</v>
      </c>
      <c r="C382" s="1"/>
      <c r="D382" s="1"/>
      <c r="E382" s="1">
        <f>IFERROR(__xludf.DUMMYFUNCTION("""COMPUTED_VALUE"""),200.0)</f>
        <v>200</v>
      </c>
      <c r="F382" s="2">
        <f>IFERROR(__xludf.DUMMYFUNCTION("""COMPUTED_VALUE"""),1900000.0)</f>
        <v>1900000</v>
      </c>
      <c r="G382" s="1" t="str">
        <f>IFERROR(__xludf.DUMMYFUNCTION("""COMPUTED_VALUE"""),"DEF")</f>
        <v>DEF</v>
      </c>
      <c r="H382" s="1">
        <f>IFERROR(__xludf.DUMMYFUNCTION("""COMPUTED_VALUE"""),5000.0)</f>
        <v>5000</v>
      </c>
      <c r="I382" s="1"/>
      <c r="J382" s="1"/>
      <c r="K382" s="1"/>
      <c r="L382" s="1"/>
      <c r="M382" s="1"/>
      <c r="N382" s="1"/>
      <c r="O382" s="1"/>
      <c r="P382" s="1"/>
      <c r="Q382" s="1"/>
      <c r="R382" s="1"/>
      <c r="S382" s="1">
        <f>IFERROR(__xludf.DUMMYFUNCTION("""COMPUTED_VALUE"""),5000.0)</f>
        <v>5000</v>
      </c>
      <c r="T382" s="1"/>
      <c r="U382" s="1"/>
      <c r="V382" s="1"/>
      <c r="W382" s="1"/>
      <c r="X382" s="1"/>
      <c r="Y382" s="1"/>
      <c r="Z382" s="1"/>
      <c r="AA382" s="1"/>
      <c r="AB382" s="1"/>
      <c r="AC382" s="1"/>
      <c r="AD382" s="1"/>
      <c r="AE382" s="1"/>
      <c r="AF382" s="1" t="str">
        <f>IFERROR(__xludf.DUMMYFUNCTION("""COMPUTED_VALUE"""),"(Foul Night Set) ++X2 Nature and Poison damage, Poison Immunity.")</f>
        <v>(Foul Night Set) ++X2 Nature and Poison damage, Poison Immunity.</v>
      </c>
      <c r="AG382" s="1" t="str">
        <f>IFERROR(__xludf.DUMMYFUNCTION("""COMPUTED_VALUE"""),"Land of Spira")</f>
        <v>Land of Spira</v>
      </c>
      <c r="AH382" s="1" t="b">
        <f>IFERROR(__xludf.DUMMYFUNCTION("""COMPUTED_VALUE"""),FALSE)</f>
        <v>0</v>
      </c>
    </row>
    <row r="383">
      <c r="A383" s="1" t="str">
        <f>IFERROR(__xludf.DUMMYFUNCTION("""COMPUTED_VALUE"""),"Vambraces of Foul Night")</f>
        <v>Vambraces of Foul Night</v>
      </c>
      <c r="B383" s="1" t="str">
        <f>IFERROR(__xludf.DUMMYFUNCTION("""COMPUTED_VALUE"""),"Arms")</f>
        <v>Arms</v>
      </c>
      <c r="C383" s="1"/>
      <c r="D383" s="1"/>
      <c r="E383" s="1">
        <f>IFERROR(__xludf.DUMMYFUNCTION("""COMPUTED_VALUE"""),200.0)</f>
        <v>200</v>
      </c>
      <c r="F383" s="2">
        <f>IFERROR(__xludf.DUMMYFUNCTION("""COMPUTED_VALUE"""),1900000.0)</f>
        <v>1900000</v>
      </c>
      <c r="G383" s="1" t="str">
        <f>IFERROR(__xludf.DUMMYFUNCTION("""COMPUTED_VALUE"""),"DEF")</f>
        <v>DEF</v>
      </c>
      <c r="H383" s="1">
        <f>IFERROR(__xludf.DUMMYFUNCTION("""COMPUTED_VALUE"""),5000.0)</f>
        <v>5000</v>
      </c>
      <c r="I383" s="1"/>
      <c r="J383" s="1"/>
      <c r="K383" s="1"/>
      <c r="L383" s="1"/>
      <c r="M383" s="1"/>
      <c r="N383" s="1"/>
      <c r="O383" s="1">
        <f>IFERROR(__xludf.DUMMYFUNCTION("""COMPUTED_VALUE"""),5000.0)</f>
        <v>5000</v>
      </c>
      <c r="P383" s="1"/>
      <c r="Q383" s="1"/>
      <c r="R383" s="1"/>
      <c r="S383" s="1"/>
      <c r="T383" s="1"/>
      <c r="U383" s="1"/>
      <c r="V383" s="1"/>
      <c r="W383" s="1"/>
      <c r="X383" s="1"/>
      <c r="Y383" s="1"/>
      <c r="Z383" s="1"/>
      <c r="AA383" s="1"/>
      <c r="AB383" s="1"/>
      <c r="AC383" s="1"/>
      <c r="AD383" s="1"/>
      <c r="AE383" s="1"/>
      <c r="AF383" s="1" t="str">
        <f>IFERROR(__xludf.DUMMYFUNCTION("""COMPUTED_VALUE"""),"(Foul Night Set) ++X2 Dark and Poison damage, Poison Immunity.")</f>
        <v>(Foul Night Set) ++X2 Dark and Poison damage, Poison Immunity.</v>
      </c>
      <c r="AG383" s="1" t="str">
        <f>IFERROR(__xludf.DUMMYFUNCTION("""COMPUTED_VALUE"""),"Land of Spira")</f>
        <v>Land of Spira</v>
      </c>
      <c r="AH383" s="1" t="b">
        <f>IFERROR(__xludf.DUMMYFUNCTION("""COMPUTED_VALUE"""),FALSE)</f>
        <v>0</v>
      </c>
    </row>
    <row r="384">
      <c r="A384" s="1" t="str">
        <f>IFERROR(__xludf.DUMMYFUNCTION("""COMPUTED_VALUE"""),"Boots of Foul Night")</f>
        <v>Boots of Foul Night</v>
      </c>
      <c r="B384" s="1" t="str">
        <f>IFERROR(__xludf.DUMMYFUNCTION("""COMPUTED_VALUE"""),"Feet")</f>
        <v>Feet</v>
      </c>
      <c r="C384" s="1"/>
      <c r="D384" s="1"/>
      <c r="E384" s="1">
        <f>IFERROR(__xludf.DUMMYFUNCTION("""COMPUTED_VALUE"""),200.0)</f>
        <v>200</v>
      </c>
      <c r="F384" s="2">
        <f>IFERROR(__xludf.DUMMYFUNCTION("""COMPUTED_VALUE"""),1900000.0)</f>
        <v>1900000</v>
      </c>
      <c r="G384" s="1" t="str">
        <f>IFERROR(__xludf.DUMMYFUNCTION("""COMPUTED_VALUE"""),"DEF")</f>
        <v>DEF</v>
      </c>
      <c r="H384" s="1">
        <f>IFERROR(__xludf.DUMMYFUNCTION("""COMPUTED_VALUE"""),5000.0)</f>
        <v>5000</v>
      </c>
      <c r="I384" s="1"/>
      <c r="J384" s="1"/>
      <c r="K384" s="1"/>
      <c r="L384" s="1"/>
      <c r="M384" s="1"/>
      <c r="N384" s="1"/>
      <c r="O384" s="1">
        <f>IFERROR(__xludf.DUMMYFUNCTION("""COMPUTED_VALUE"""),5000.0)</f>
        <v>5000</v>
      </c>
      <c r="P384" s="1"/>
      <c r="Q384" s="1"/>
      <c r="R384" s="1"/>
      <c r="S384" s="1"/>
      <c r="T384" s="1"/>
      <c r="U384" s="1"/>
      <c r="V384" s="1"/>
      <c r="W384" s="1"/>
      <c r="X384" s="1"/>
      <c r="Y384" s="1"/>
      <c r="Z384" s="1"/>
      <c r="AA384" s="1"/>
      <c r="AB384" s="1"/>
      <c r="AC384" s="1"/>
      <c r="AD384" s="1"/>
      <c r="AE384" s="1"/>
      <c r="AF384" s="1" t="str">
        <f>IFERROR(__xludf.DUMMYFUNCTION("""COMPUTED_VALUE"""),"(Foul Night Set) ++X2 Dark and Poison damage, Poison Immunity.")</f>
        <v>(Foul Night Set) ++X2 Dark and Poison damage, Poison Immunity.</v>
      </c>
      <c r="AG384" s="1" t="str">
        <f>IFERROR(__xludf.DUMMYFUNCTION("""COMPUTED_VALUE"""),"Land of Spira")</f>
        <v>Land of Spira</v>
      </c>
      <c r="AH384" s="1" t="b">
        <f>IFERROR(__xludf.DUMMYFUNCTION("""COMPUTED_VALUE"""),FALSE)</f>
        <v>0</v>
      </c>
    </row>
    <row r="385">
      <c r="A385" s="1" t="str">
        <f>IFERROR(__xludf.DUMMYFUNCTION("""COMPUTED_VALUE"""),"Pauldrons of Foul Night")</f>
        <v>Pauldrons of Foul Night</v>
      </c>
      <c r="B385" s="1" t="str">
        <f>IFERROR(__xludf.DUMMYFUNCTION("""COMPUTED_VALUE"""),"Shoulders")</f>
        <v>Shoulders</v>
      </c>
      <c r="C385" s="1"/>
      <c r="D385" s="1"/>
      <c r="E385" s="1">
        <f>IFERROR(__xludf.DUMMYFUNCTION("""COMPUTED_VALUE"""),200.0)</f>
        <v>200</v>
      </c>
      <c r="F385" s="2">
        <f>IFERROR(__xludf.DUMMYFUNCTION("""COMPUTED_VALUE"""),1900000.0)</f>
        <v>1900000</v>
      </c>
      <c r="G385" s="1" t="str">
        <f>IFERROR(__xludf.DUMMYFUNCTION("""COMPUTED_VALUE"""),"DEF")</f>
        <v>DEF</v>
      </c>
      <c r="H385" s="1">
        <f>IFERROR(__xludf.DUMMYFUNCTION("""COMPUTED_VALUE"""),5000.0)</f>
        <v>5000</v>
      </c>
      <c r="I385" s="1"/>
      <c r="J385" s="1"/>
      <c r="K385" s="1"/>
      <c r="L385" s="1"/>
      <c r="M385" s="1"/>
      <c r="N385" s="1"/>
      <c r="O385" s="1">
        <f>IFERROR(__xludf.DUMMYFUNCTION("""COMPUTED_VALUE"""),5000.0)</f>
        <v>5000</v>
      </c>
      <c r="P385" s="1"/>
      <c r="Q385" s="1"/>
      <c r="R385" s="1"/>
      <c r="S385" s="1"/>
      <c r="T385" s="1"/>
      <c r="U385" s="1"/>
      <c r="V385" s="1"/>
      <c r="W385" s="1"/>
      <c r="X385" s="1"/>
      <c r="Y385" s="1"/>
      <c r="Z385" s="1"/>
      <c r="AA385" s="1"/>
      <c r="AB385" s="1"/>
      <c r="AC385" s="1"/>
      <c r="AD385" s="1"/>
      <c r="AE385" s="1"/>
      <c r="AF385" s="1" t="str">
        <f>IFERROR(__xludf.DUMMYFUNCTION("""COMPUTED_VALUE"""),"(Foul Night Set) ++X2 Dark and Poison damage, Poison Immunity.")</f>
        <v>(Foul Night Set) ++X2 Dark and Poison damage, Poison Immunity.</v>
      </c>
      <c r="AG385" s="1" t="str">
        <f>IFERROR(__xludf.DUMMYFUNCTION("""COMPUTED_VALUE"""),"Land of Spira")</f>
        <v>Land of Spira</v>
      </c>
      <c r="AH385" s="1" t="b">
        <f>IFERROR(__xludf.DUMMYFUNCTION("""COMPUTED_VALUE"""),FALSE)</f>
        <v>0</v>
      </c>
    </row>
    <row r="386">
      <c r="A386" s="1" t="str">
        <f>IFERROR(__xludf.DUMMYFUNCTION("""COMPUTED_VALUE"""),"Crystal Forged Pauldrons")</f>
        <v>Crystal Forged Pauldrons</v>
      </c>
      <c r="B386" s="1" t="str">
        <f>IFERROR(__xludf.DUMMYFUNCTION("""COMPUTED_VALUE"""),"Shoulders")</f>
        <v>Shoulders</v>
      </c>
      <c r="C386" s="1"/>
      <c r="D386" s="1"/>
      <c r="E386" s="1">
        <f>IFERROR(__xludf.DUMMYFUNCTION("""COMPUTED_VALUE"""),200.0)</f>
        <v>200</v>
      </c>
      <c r="F386" s="2">
        <f>IFERROR(__xludf.DUMMYFUNCTION("""COMPUTED_VALUE"""),1900000.0)</f>
        <v>1900000</v>
      </c>
      <c r="G386" s="1" t="str">
        <f>IFERROR(__xludf.DUMMYFUNCTION("""COMPUTED_VALUE"""),"DEF")</f>
        <v>DEF</v>
      </c>
      <c r="H386" s="1">
        <f>IFERROR(__xludf.DUMMYFUNCTION("""COMPUTED_VALUE"""),5000.0)</f>
        <v>5000</v>
      </c>
      <c r="I386" s="1"/>
      <c r="J386" s="1"/>
      <c r="K386" s="1"/>
      <c r="L386" s="1"/>
      <c r="M386" s="1">
        <f>IFERROR(__xludf.DUMMYFUNCTION("""COMPUTED_VALUE"""),5000.0)</f>
        <v>5000</v>
      </c>
      <c r="N386" s="1"/>
      <c r="O386" s="1"/>
      <c r="P386" s="1"/>
      <c r="Q386" s="1"/>
      <c r="R386" s="1"/>
      <c r="S386" s="1"/>
      <c r="T386" s="1"/>
      <c r="U386" s="1"/>
      <c r="V386" s="1"/>
      <c r="W386" s="1"/>
      <c r="X386" s="1"/>
      <c r="Y386" s="1"/>
      <c r="Z386" s="1"/>
      <c r="AA386" s="1"/>
      <c r="AB386" s="1"/>
      <c r="AC386" s="1"/>
      <c r="AD386" s="1"/>
      <c r="AE386" s="1"/>
      <c r="AF386" s="1" t="str">
        <f>IFERROR(__xludf.DUMMYFUNCTION("""COMPUTED_VALUE"""),"++When equipped, Gem and Crystal related weapons deal an additional X2 damage for the user.")</f>
        <v>++When equipped, Gem and Crystal related weapons deal an additional X2 damage for the user.</v>
      </c>
      <c r="AG386" s="1" t="str">
        <f>IFERROR(__xludf.DUMMYFUNCTION("""COMPUTED_VALUE"""),"Land of Spira")</f>
        <v>Land of Spira</v>
      </c>
      <c r="AH386" s="1" t="b">
        <f>IFERROR(__xludf.DUMMYFUNCTION("""COMPUTED_VALUE"""),FALSE)</f>
        <v>0</v>
      </c>
    </row>
    <row r="387">
      <c r="A387" s="1" t="str">
        <f>IFERROR(__xludf.DUMMYFUNCTION("""COMPUTED_VALUE"""),"Crystal Forged Greaves")</f>
        <v>Crystal Forged Greaves</v>
      </c>
      <c r="B387" s="1" t="str">
        <f>IFERROR(__xludf.DUMMYFUNCTION("""COMPUTED_VALUE"""),"Legs")</f>
        <v>Legs</v>
      </c>
      <c r="C387" s="1"/>
      <c r="D387" s="1"/>
      <c r="E387" s="1">
        <f>IFERROR(__xludf.DUMMYFUNCTION("""COMPUTED_VALUE"""),200.0)</f>
        <v>200</v>
      </c>
      <c r="F387" s="2">
        <f>IFERROR(__xludf.DUMMYFUNCTION("""COMPUTED_VALUE"""),1900000.0)</f>
        <v>1900000</v>
      </c>
      <c r="G387" s="1" t="str">
        <f>IFERROR(__xludf.DUMMYFUNCTION("""COMPUTED_VALUE"""),"DEF")</f>
        <v>DEF</v>
      </c>
      <c r="H387" s="1">
        <f>IFERROR(__xludf.DUMMYFUNCTION("""COMPUTED_VALUE"""),5000.0)</f>
        <v>5000</v>
      </c>
      <c r="I387" s="1"/>
      <c r="J387" s="1"/>
      <c r="K387" s="1"/>
      <c r="L387" s="1"/>
      <c r="M387" s="1">
        <f>IFERROR(__xludf.DUMMYFUNCTION("""COMPUTED_VALUE"""),5000.0)</f>
        <v>5000</v>
      </c>
      <c r="N387" s="1"/>
      <c r="O387" s="1"/>
      <c r="P387" s="1"/>
      <c r="Q387" s="1"/>
      <c r="R387" s="1"/>
      <c r="S387" s="1"/>
      <c r="T387" s="1"/>
      <c r="U387" s="1"/>
      <c r="V387" s="1"/>
      <c r="W387" s="1"/>
      <c r="X387" s="1"/>
      <c r="Y387" s="1"/>
      <c r="Z387" s="1"/>
      <c r="AA387" s="1"/>
      <c r="AB387" s="1"/>
      <c r="AC387" s="1"/>
      <c r="AD387" s="1"/>
      <c r="AE387" s="1"/>
      <c r="AF387" s="1" t="str">
        <f>IFERROR(__xludf.DUMMYFUNCTION("""COMPUTED_VALUE"""),"++When equipped, Gem and Crystal related weapons deal an additional X2 damage for the user.")</f>
        <v>++When equipped, Gem and Crystal related weapons deal an additional X2 damage for the user.</v>
      </c>
      <c r="AG387" s="1" t="str">
        <f>IFERROR(__xludf.DUMMYFUNCTION("""COMPUTED_VALUE"""),"Land of Spira")</f>
        <v>Land of Spira</v>
      </c>
      <c r="AH387" s="1" t="b">
        <f>IFERROR(__xludf.DUMMYFUNCTION("""COMPUTED_VALUE"""),FALSE)</f>
        <v>0</v>
      </c>
    </row>
    <row r="388">
      <c r="A388" s="1" t="str">
        <f>IFERROR(__xludf.DUMMYFUNCTION("""COMPUTED_VALUE"""),"Crystal Forged Boots")</f>
        <v>Crystal Forged Boots</v>
      </c>
      <c r="B388" s="1" t="str">
        <f>IFERROR(__xludf.DUMMYFUNCTION("""COMPUTED_VALUE"""),"Feet")</f>
        <v>Feet</v>
      </c>
      <c r="C388" s="1"/>
      <c r="D388" s="1"/>
      <c r="E388" s="1">
        <f>IFERROR(__xludf.DUMMYFUNCTION("""COMPUTED_VALUE"""),200.0)</f>
        <v>200</v>
      </c>
      <c r="F388" s="2">
        <f>IFERROR(__xludf.DUMMYFUNCTION("""COMPUTED_VALUE"""),1900000.0)</f>
        <v>1900000</v>
      </c>
      <c r="G388" s="1" t="str">
        <f>IFERROR(__xludf.DUMMYFUNCTION("""COMPUTED_VALUE"""),"DEF")</f>
        <v>DEF</v>
      </c>
      <c r="H388" s="1">
        <f>IFERROR(__xludf.DUMMYFUNCTION("""COMPUTED_VALUE"""),5000.0)</f>
        <v>5000</v>
      </c>
      <c r="I388" s="1"/>
      <c r="J388" s="1"/>
      <c r="K388" s="1"/>
      <c r="L388" s="1"/>
      <c r="M388" s="1">
        <f>IFERROR(__xludf.DUMMYFUNCTION("""COMPUTED_VALUE"""),5000.0)</f>
        <v>5000</v>
      </c>
      <c r="N388" s="1"/>
      <c r="O388" s="1"/>
      <c r="P388" s="1"/>
      <c r="Q388" s="1"/>
      <c r="R388" s="1"/>
      <c r="S388" s="1"/>
      <c r="T388" s="1"/>
      <c r="U388" s="1"/>
      <c r="V388" s="1"/>
      <c r="W388" s="1"/>
      <c r="X388" s="1"/>
      <c r="Y388" s="1"/>
      <c r="Z388" s="1"/>
      <c r="AA388" s="1"/>
      <c r="AB388" s="1"/>
      <c r="AC388" s="1"/>
      <c r="AD388" s="1"/>
      <c r="AE388" s="1"/>
      <c r="AF388" s="1" t="str">
        <f>IFERROR(__xludf.DUMMYFUNCTION("""COMPUTED_VALUE"""),"++When equipped, Gem and Crystal related weapons deal an additional X2 damage for the user.")</f>
        <v>++When equipped, Gem and Crystal related weapons deal an additional X2 damage for the user.</v>
      </c>
      <c r="AG388" s="1" t="str">
        <f>IFERROR(__xludf.DUMMYFUNCTION("""COMPUTED_VALUE"""),"Land of Spira")</f>
        <v>Land of Spira</v>
      </c>
      <c r="AH388" s="1" t="b">
        <f>IFERROR(__xludf.DUMMYFUNCTION("""COMPUTED_VALUE"""),FALSE)</f>
        <v>0</v>
      </c>
    </row>
    <row r="389">
      <c r="A389" s="1" t="str">
        <f>IFERROR(__xludf.DUMMYFUNCTION("""COMPUTED_VALUE"""),"Crystal Forged Vambraces")</f>
        <v>Crystal Forged Vambraces</v>
      </c>
      <c r="B389" s="1" t="str">
        <f>IFERROR(__xludf.DUMMYFUNCTION("""COMPUTED_VALUE"""),"Arms")</f>
        <v>Arms</v>
      </c>
      <c r="C389" s="1"/>
      <c r="D389" s="1"/>
      <c r="E389" s="1">
        <f>IFERROR(__xludf.DUMMYFUNCTION("""COMPUTED_VALUE"""),200.0)</f>
        <v>200</v>
      </c>
      <c r="F389" s="2">
        <f>IFERROR(__xludf.DUMMYFUNCTION("""COMPUTED_VALUE"""),1900000.0)</f>
        <v>1900000</v>
      </c>
      <c r="G389" s="1" t="str">
        <f>IFERROR(__xludf.DUMMYFUNCTION("""COMPUTED_VALUE"""),"DEF")</f>
        <v>DEF</v>
      </c>
      <c r="H389" s="1">
        <f>IFERROR(__xludf.DUMMYFUNCTION("""COMPUTED_VALUE"""),5000.0)</f>
        <v>5000</v>
      </c>
      <c r="I389" s="1"/>
      <c r="J389" s="1"/>
      <c r="K389" s="1"/>
      <c r="L389" s="1"/>
      <c r="M389" s="1">
        <f>IFERROR(__xludf.DUMMYFUNCTION("""COMPUTED_VALUE"""),5000.0)</f>
        <v>5000</v>
      </c>
      <c r="N389" s="1"/>
      <c r="O389" s="1"/>
      <c r="P389" s="1"/>
      <c r="Q389" s="1"/>
      <c r="R389" s="1"/>
      <c r="S389" s="1"/>
      <c r="T389" s="1"/>
      <c r="U389" s="1"/>
      <c r="V389" s="1"/>
      <c r="W389" s="1"/>
      <c r="X389" s="1"/>
      <c r="Y389" s="1"/>
      <c r="Z389" s="1"/>
      <c r="AA389" s="1"/>
      <c r="AB389" s="1"/>
      <c r="AC389" s="1"/>
      <c r="AD389" s="1"/>
      <c r="AE389" s="1"/>
      <c r="AF389" s="1" t="str">
        <f>IFERROR(__xludf.DUMMYFUNCTION("""COMPUTED_VALUE"""),"++When equipped, Gem and Crystal related weapons deal an additional X2 damage for the user.")</f>
        <v>++When equipped, Gem and Crystal related weapons deal an additional X2 damage for the user.</v>
      </c>
      <c r="AG389" s="1" t="str">
        <f>IFERROR(__xludf.DUMMYFUNCTION("""COMPUTED_VALUE"""),"Land of Spira")</f>
        <v>Land of Spira</v>
      </c>
      <c r="AH389" s="1" t="b">
        <f>IFERROR(__xludf.DUMMYFUNCTION("""COMPUTED_VALUE"""),FALSE)</f>
        <v>0</v>
      </c>
    </row>
    <row r="390">
      <c r="A390" s="1" t="str">
        <f>IFERROR(__xludf.DUMMYFUNCTION("""COMPUTED_VALUE"""),"Fiddle")</f>
        <v>Fiddle</v>
      </c>
      <c r="B390" s="1" t="str">
        <f>IFERROR(__xludf.DUMMYFUNCTION("""COMPUTED_VALUE"""),"Hand")</f>
        <v>Hand</v>
      </c>
      <c r="C390" s="1"/>
      <c r="D390" s="1" t="str">
        <f>IFERROR(__xludf.DUMMYFUNCTION("""COMPUTED_VALUE"""),"Instrument")</f>
        <v>Instrument</v>
      </c>
      <c r="E390" s="1">
        <f>IFERROR(__xludf.DUMMYFUNCTION("""COMPUTED_VALUE"""),40.0)</f>
        <v>40</v>
      </c>
      <c r="F390" s="2">
        <f>IFERROR(__xludf.DUMMYFUNCTION("""COMPUTED_VALUE"""),60000.0)</f>
        <v>60000</v>
      </c>
      <c r="G390" s="1" t="str">
        <f>IFERROR(__xludf.DUMMYFUNCTION("""COMPUTED_VALUE"""),"DMG")</f>
        <v>DMG</v>
      </c>
      <c r="H390" s="1">
        <f>IFERROR(__xludf.DUMMYFUNCTION("""COMPUTED_VALUE"""),2000.0)</f>
        <v>2000</v>
      </c>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t="str">
        <f>IFERROR(__xludf.DUMMYFUNCTION("""COMPUTED_VALUE"""),"Land of Spira")</f>
        <v>Land of Spira</v>
      </c>
      <c r="AH390" s="1" t="b">
        <f>IFERROR(__xludf.DUMMYFUNCTION("""COMPUTED_VALUE"""),FALSE)</f>
        <v>0</v>
      </c>
    </row>
    <row r="391">
      <c r="A391" s="1" t="str">
        <f>IFERROR(__xludf.DUMMYFUNCTION("""COMPUTED_VALUE"""),"WyvernTail Blade")</f>
        <v>WyvernTail Blade</v>
      </c>
      <c r="B391" s="1" t="str">
        <f>IFERROR(__xludf.DUMMYFUNCTION("""COMPUTED_VALUE"""),"Hand")</f>
        <v>Hand</v>
      </c>
      <c r="C391" s="1"/>
      <c r="D391" s="1" t="str">
        <f>IFERROR(__xludf.DUMMYFUNCTION("""COMPUTED_VALUE"""),"Sword")</f>
        <v>Sword</v>
      </c>
      <c r="E391" s="1">
        <f>IFERROR(__xludf.DUMMYFUNCTION("""COMPUTED_VALUE"""),200.0)</f>
        <v>200</v>
      </c>
      <c r="F391" s="2">
        <f>IFERROR(__xludf.DUMMYFUNCTION("""COMPUTED_VALUE"""),1900000.0)</f>
        <v>1900000</v>
      </c>
      <c r="G391" s="1" t="str">
        <f>IFERROR(__xludf.DUMMYFUNCTION("""COMPUTED_VALUE"""),"DMG")</f>
        <v>DMG</v>
      </c>
      <c r="H391" s="1">
        <f>IFERROR(__xludf.DUMMYFUNCTION("""COMPUTED_VALUE"""),5000.0)</f>
        <v>5000</v>
      </c>
      <c r="I391" s="1"/>
      <c r="J391" s="1"/>
      <c r="K391" s="1">
        <f>IFERROR(__xludf.DUMMYFUNCTION("""COMPUTED_VALUE"""),5000.0)</f>
        <v>5000</v>
      </c>
      <c r="L391" s="1"/>
      <c r="M391" s="1"/>
      <c r="N391" s="1"/>
      <c r="O391" s="1"/>
      <c r="P391" s="1"/>
      <c r="Q391" s="1"/>
      <c r="R391" s="1"/>
      <c r="S391" s="1"/>
      <c r="T391" s="1"/>
      <c r="U391" s="1"/>
      <c r="V391" s="1"/>
      <c r="W391" s="1"/>
      <c r="X391" s="1"/>
      <c r="Y391" s="1"/>
      <c r="Z391" s="1"/>
      <c r="AA391" s="1"/>
      <c r="AB391" s="1"/>
      <c r="AC391" s="1"/>
      <c r="AD391" s="1"/>
      <c r="AE391" s="1"/>
      <c r="AF391" s="1" t="str">
        <f>IFERROR(__xludf.DUMMYFUNCTION("""COMPUTED_VALUE"""),"(Wyverntail Set) ++50% Chance to freeze the target being attacked by this weapon.")</f>
        <v>(Wyverntail Set) ++50% Chance to freeze the target being attacked by this weapon.</v>
      </c>
      <c r="AG391" s="1" t="str">
        <f>IFERROR(__xludf.DUMMYFUNCTION("""COMPUTED_VALUE"""),"Dragonscale Island")</f>
        <v>Dragonscale Island</v>
      </c>
      <c r="AH391" s="1" t="b">
        <f>IFERROR(__xludf.DUMMYFUNCTION("""COMPUTED_VALUE"""),TRUE)</f>
        <v>1</v>
      </c>
    </row>
    <row r="392">
      <c r="A392" s="1" t="str">
        <f>IFERROR(__xludf.DUMMYFUNCTION("""COMPUTED_VALUE"""),"WyvernTail Helm")</f>
        <v>WyvernTail Helm</v>
      </c>
      <c r="B392" s="1" t="str">
        <f>IFERROR(__xludf.DUMMYFUNCTION("""COMPUTED_VALUE"""),"Head")</f>
        <v>Head</v>
      </c>
      <c r="C392" s="1"/>
      <c r="D392" s="1"/>
      <c r="E392" s="1">
        <f>IFERROR(__xludf.DUMMYFUNCTION("""COMPUTED_VALUE"""),200.0)</f>
        <v>200</v>
      </c>
      <c r="F392" s="2">
        <f>IFERROR(__xludf.DUMMYFUNCTION("""COMPUTED_VALUE"""),1900000.0)</f>
        <v>1900000</v>
      </c>
      <c r="G392" s="1" t="str">
        <f>IFERROR(__xludf.DUMMYFUNCTION("""COMPUTED_VALUE"""),"DEF")</f>
        <v>DEF</v>
      </c>
      <c r="H392" s="1">
        <f>IFERROR(__xludf.DUMMYFUNCTION("""COMPUTED_VALUE"""),10000.0)</f>
        <v>10000</v>
      </c>
      <c r="I392" s="1"/>
      <c r="J392" s="1"/>
      <c r="K392" s="1"/>
      <c r="L392" s="1"/>
      <c r="M392" s="1"/>
      <c r="N392" s="1"/>
      <c r="O392" s="1"/>
      <c r="P392" s="1"/>
      <c r="Q392" s="1"/>
      <c r="R392" s="1"/>
      <c r="S392" s="1"/>
      <c r="T392" s="1"/>
      <c r="U392" s="1"/>
      <c r="V392" s="1"/>
      <c r="W392" s="1"/>
      <c r="X392" s="1"/>
      <c r="Y392" s="1"/>
      <c r="Z392" s="1"/>
      <c r="AA392" s="1"/>
      <c r="AB392" s="1"/>
      <c r="AC392" s="1"/>
      <c r="AD392" s="1"/>
      <c r="AE392" s="1"/>
      <c r="AF392" s="1" t="str">
        <f>IFERROR(__xludf.DUMMYFUNCTION("""COMPUTED_VALUE"""),"(Wyverntail Set) ++Freeze Immunity")</f>
        <v>(Wyverntail Set) ++Freeze Immunity</v>
      </c>
      <c r="AG392" s="1" t="str">
        <f>IFERROR(__xludf.DUMMYFUNCTION("""COMPUTED_VALUE"""),"Dragonscale Island")</f>
        <v>Dragonscale Island</v>
      </c>
      <c r="AH392" s="1" t="b">
        <f>IFERROR(__xludf.DUMMYFUNCTION("""COMPUTED_VALUE"""),TRUE)</f>
        <v>1</v>
      </c>
    </row>
    <row r="393">
      <c r="A393" s="1" t="str">
        <f>IFERROR(__xludf.DUMMYFUNCTION("""COMPUTED_VALUE"""),"WyvernTail Pauldrons")</f>
        <v>WyvernTail Pauldrons</v>
      </c>
      <c r="B393" s="1" t="str">
        <f>IFERROR(__xludf.DUMMYFUNCTION("""COMPUTED_VALUE"""),"Shoulders")</f>
        <v>Shoulders</v>
      </c>
      <c r="C393" s="1"/>
      <c r="D393" s="1"/>
      <c r="E393" s="1">
        <f>IFERROR(__xludf.DUMMYFUNCTION("""COMPUTED_VALUE"""),200.0)</f>
        <v>200</v>
      </c>
      <c r="F393" s="2">
        <f>IFERROR(__xludf.DUMMYFUNCTION("""COMPUTED_VALUE"""),1900000.0)</f>
        <v>1900000</v>
      </c>
      <c r="G393" s="1" t="str">
        <f>IFERROR(__xludf.DUMMYFUNCTION("""COMPUTED_VALUE"""),"DEF")</f>
        <v>DEF</v>
      </c>
      <c r="H393" s="1">
        <f>IFERROR(__xludf.DUMMYFUNCTION("""COMPUTED_VALUE"""),10000.0)</f>
        <v>10000</v>
      </c>
      <c r="I393" s="1"/>
      <c r="J393" s="1"/>
      <c r="K393" s="1"/>
      <c r="L393" s="1"/>
      <c r="M393" s="1"/>
      <c r="N393" s="1"/>
      <c r="O393" s="1"/>
      <c r="P393" s="1"/>
      <c r="Q393" s="1"/>
      <c r="R393" s="1"/>
      <c r="S393" s="1"/>
      <c r="T393" s="1"/>
      <c r="U393" s="1"/>
      <c r="V393" s="1"/>
      <c r="W393" s="1"/>
      <c r="X393" s="1"/>
      <c r="Y393" s="1"/>
      <c r="Z393" s="1"/>
      <c r="AA393" s="1"/>
      <c r="AB393" s="1"/>
      <c r="AC393" s="1"/>
      <c r="AD393" s="1"/>
      <c r="AE393" s="1"/>
      <c r="AF393" s="1" t="str">
        <f>IFERROR(__xludf.DUMMYFUNCTION("""COMPUTED_VALUE"""),"(Wyverntail Set) ++Freeze Immunity")</f>
        <v>(Wyverntail Set) ++Freeze Immunity</v>
      </c>
      <c r="AG393" s="1" t="str">
        <f>IFERROR(__xludf.DUMMYFUNCTION("""COMPUTED_VALUE"""),"Dragonscale Island")</f>
        <v>Dragonscale Island</v>
      </c>
      <c r="AH393" s="1" t="b">
        <f>IFERROR(__xludf.DUMMYFUNCTION("""COMPUTED_VALUE"""),TRUE)</f>
        <v>1</v>
      </c>
    </row>
    <row r="394">
      <c r="A394" s="1" t="str">
        <f>IFERROR(__xludf.DUMMYFUNCTION("""COMPUTED_VALUE"""),"WyvernTail Chestplate")</f>
        <v>WyvernTail Chestplate</v>
      </c>
      <c r="B394" s="1" t="str">
        <f>IFERROR(__xludf.DUMMYFUNCTION("""COMPUTED_VALUE"""),"Torso")</f>
        <v>Torso</v>
      </c>
      <c r="C394" s="1"/>
      <c r="D394" s="1"/>
      <c r="E394" s="1">
        <f>IFERROR(__xludf.DUMMYFUNCTION("""COMPUTED_VALUE"""),200.0)</f>
        <v>200</v>
      </c>
      <c r="F394" s="2">
        <f>IFERROR(__xludf.DUMMYFUNCTION("""COMPUTED_VALUE"""),1900000.0)</f>
        <v>1900000</v>
      </c>
      <c r="G394" s="1" t="str">
        <f>IFERROR(__xludf.DUMMYFUNCTION("""COMPUTED_VALUE"""),"DEF")</f>
        <v>DEF</v>
      </c>
      <c r="H394" s="1">
        <f>IFERROR(__xludf.DUMMYFUNCTION("""COMPUTED_VALUE"""),10000.0)</f>
        <v>10000</v>
      </c>
      <c r="I394" s="1"/>
      <c r="J394" s="1"/>
      <c r="K394" s="1"/>
      <c r="L394" s="1"/>
      <c r="M394" s="1"/>
      <c r="N394" s="1"/>
      <c r="O394" s="1"/>
      <c r="P394" s="1"/>
      <c r="Q394" s="1"/>
      <c r="R394" s="1"/>
      <c r="S394" s="1"/>
      <c r="T394" s="1"/>
      <c r="U394" s="1"/>
      <c r="V394" s="1"/>
      <c r="W394" s="1"/>
      <c r="X394" s="1"/>
      <c r="Y394" s="1"/>
      <c r="Z394" s="1"/>
      <c r="AA394" s="1"/>
      <c r="AB394" s="1"/>
      <c r="AC394" s="1"/>
      <c r="AD394" s="1"/>
      <c r="AE394" s="1"/>
      <c r="AF394" s="1" t="str">
        <f>IFERROR(__xludf.DUMMYFUNCTION("""COMPUTED_VALUE"""),"(Wyverntail Set) ++Freeze Immunity")</f>
        <v>(Wyverntail Set) ++Freeze Immunity</v>
      </c>
      <c r="AG394" s="1" t="str">
        <f>IFERROR(__xludf.DUMMYFUNCTION("""COMPUTED_VALUE"""),"Dragonscale Island")</f>
        <v>Dragonscale Island</v>
      </c>
      <c r="AH394" s="1" t="b">
        <f>IFERROR(__xludf.DUMMYFUNCTION("""COMPUTED_VALUE"""),TRUE)</f>
        <v>1</v>
      </c>
    </row>
    <row r="395">
      <c r="A395" s="1" t="str">
        <f>IFERROR(__xludf.DUMMYFUNCTION("""COMPUTED_VALUE"""),"WyvernTail Vambraces")</f>
        <v>WyvernTail Vambraces</v>
      </c>
      <c r="B395" s="1" t="str">
        <f>IFERROR(__xludf.DUMMYFUNCTION("""COMPUTED_VALUE"""),"Arms")</f>
        <v>Arms</v>
      </c>
      <c r="C395" s="1"/>
      <c r="D395" s="1"/>
      <c r="E395" s="1">
        <f>IFERROR(__xludf.DUMMYFUNCTION("""COMPUTED_VALUE"""),200.0)</f>
        <v>200</v>
      </c>
      <c r="F395" s="2">
        <f>IFERROR(__xludf.DUMMYFUNCTION("""COMPUTED_VALUE"""),1900000.0)</f>
        <v>1900000</v>
      </c>
      <c r="G395" s="1" t="str">
        <f>IFERROR(__xludf.DUMMYFUNCTION("""COMPUTED_VALUE"""),"DEF")</f>
        <v>DEF</v>
      </c>
      <c r="H395" s="1">
        <f>IFERROR(__xludf.DUMMYFUNCTION("""COMPUTED_VALUE"""),10000.0)</f>
        <v>10000</v>
      </c>
      <c r="I395" s="1"/>
      <c r="J395" s="1"/>
      <c r="K395" s="1"/>
      <c r="L395" s="1"/>
      <c r="M395" s="1"/>
      <c r="N395" s="1"/>
      <c r="O395" s="1"/>
      <c r="P395" s="1"/>
      <c r="Q395" s="1"/>
      <c r="R395" s="1"/>
      <c r="S395" s="1"/>
      <c r="T395" s="1"/>
      <c r="U395" s="1"/>
      <c r="V395" s="1"/>
      <c r="W395" s="1"/>
      <c r="X395" s="1"/>
      <c r="Y395" s="1"/>
      <c r="Z395" s="1"/>
      <c r="AA395" s="1"/>
      <c r="AB395" s="1"/>
      <c r="AC395" s="1"/>
      <c r="AD395" s="1"/>
      <c r="AE395" s="1"/>
      <c r="AF395" s="1" t="str">
        <f>IFERROR(__xludf.DUMMYFUNCTION("""COMPUTED_VALUE"""),"(Wyverntail Set) ++Freeze Immunity")</f>
        <v>(Wyverntail Set) ++Freeze Immunity</v>
      </c>
      <c r="AG395" s="1" t="str">
        <f>IFERROR(__xludf.DUMMYFUNCTION("""COMPUTED_VALUE"""),"Dragonscale Island")</f>
        <v>Dragonscale Island</v>
      </c>
      <c r="AH395" s="1" t="b">
        <f>IFERROR(__xludf.DUMMYFUNCTION("""COMPUTED_VALUE"""),TRUE)</f>
        <v>1</v>
      </c>
    </row>
    <row r="396">
      <c r="A396" s="1" t="str">
        <f>IFERROR(__xludf.DUMMYFUNCTION("""COMPUTED_VALUE"""),"WyvernTail Greaves")</f>
        <v>WyvernTail Greaves</v>
      </c>
      <c r="B396" s="1" t="str">
        <f>IFERROR(__xludf.DUMMYFUNCTION("""COMPUTED_VALUE"""),"Legs")</f>
        <v>Legs</v>
      </c>
      <c r="C396" s="1"/>
      <c r="D396" s="1"/>
      <c r="E396" s="1">
        <f>IFERROR(__xludf.DUMMYFUNCTION("""COMPUTED_VALUE"""),200.0)</f>
        <v>200</v>
      </c>
      <c r="F396" s="2">
        <f>IFERROR(__xludf.DUMMYFUNCTION("""COMPUTED_VALUE"""),1900000.0)</f>
        <v>1900000</v>
      </c>
      <c r="G396" s="1" t="str">
        <f>IFERROR(__xludf.DUMMYFUNCTION("""COMPUTED_VALUE"""),"DEF")</f>
        <v>DEF</v>
      </c>
      <c r="H396" s="1">
        <f>IFERROR(__xludf.DUMMYFUNCTION("""COMPUTED_VALUE"""),10000.0)</f>
        <v>10000</v>
      </c>
      <c r="I396" s="1"/>
      <c r="J396" s="1"/>
      <c r="K396" s="1"/>
      <c r="L396" s="1"/>
      <c r="M396" s="1"/>
      <c r="N396" s="1"/>
      <c r="O396" s="1"/>
      <c r="P396" s="1"/>
      <c r="Q396" s="1"/>
      <c r="R396" s="1"/>
      <c r="S396" s="1"/>
      <c r="T396" s="1"/>
      <c r="U396" s="1"/>
      <c r="V396" s="1"/>
      <c r="W396" s="1"/>
      <c r="X396" s="1"/>
      <c r="Y396" s="1"/>
      <c r="Z396" s="1"/>
      <c r="AA396" s="1"/>
      <c r="AB396" s="1"/>
      <c r="AC396" s="1"/>
      <c r="AD396" s="1"/>
      <c r="AE396" s="1"/>
      <c r="AF396" s="1" t="str">
        <f>IFERROR(__xludf.DUMMYFUNCTION("""COMPUTED_VALUE"""),"(Wyverntail Set) ++Freeze Immunity")</f>
        <v>(Wyverntail Set) ++Freeze Immunity</v>
      </c>
      <c r="AG396" s="1" t="str">
        <f>IFERROR(__xludf.DUMMYFUNCTION("""COMPUTED_VALUE"""),"Dragonscale Island")</f>
        <v>Dragonscale Island</v>
      </c>
      <c r="AH396" s="1" t="b">
        <f>IFERROR(__xludf.DUMMYFUNCTION("""COMPUTED_VALUE"""),TRUE)</f>
        <v>1</v>
      </c>
    </row>
    <row r="397">
      <c r="A397" s="1" t="str">
        <f>IFERROR(__xludf.DUMMYFUNCTION("""COMPUTED_VALUE"""),"WyvernTail Boots")</f>
        <v>WyvernTail Boots</v>
      </c>
      <c r="B397" s="1" t="str">
        <f>IFERROR(__xludf.DUMMYFUNCTION("""COMPUTED_VALUE"""),"Feet")</f>
        <v>Feet</v>
      </c>
      <c r="C397" s="1"/>
      <c r="D397" s="1"/>
      <c r="E397" s="1">
        <f>IFERROR(__xludf.DUMMYFUNCTION("""COMPUTED_VALUE"""),200.0)</f>
        <v>200</v>
      </c>
      <c r="F397" s="2">
        <f>IFERROR(__xludf.DUMMYFUNCTION("""COMPUTED_VALUE"""),1900000.0)</f>
        <v>1900000</v>
      </c>
      <c r="G397" s="1" t="str">
        <f>IFERROR(__xludf.DUMMYFUNCTION("""COMPUTED_VALUE"""),"DEF")</f>
        <v>DEF</v>
      </c>
      <c r="H397" s="1">
        <f>IFERROR(__xludf.DUMMYFUNCTION("""COMPUTED_VALUE"""),10000.0)</f>
        <v>10000</v>
      </c>
      <c r="I397" s="1"/>
      <c r="J397" s="1"/>
      <c r="K397" s="1"/>
      <c r="L397" s="1"/>
      <c r="M397" s="1"/>
      <c r="N397" s="1"/>
      <c r="O397" s="1"/>
      <c r="P397" s="1"/>
      <c r="Q397" s="1"/>
      <c r="R397" s="1"/>
      <c r="S397" s="1"/>
      <c r="T397" s="1"/>
      <c r="U397" s="1"/>
      <c r="V397" s="1"/>
      <c r="W397" s="1"/>
      <c r="X397" s="1"/>
      <c r="Y397" s="1"/>
      <c r="Z397" s="1"/>
      <c r="AA397" s="1"/>
      <c r="AB397" s="1"/>
      <c r="AC397" s="1"/>
      <c r="AD397" s="1"/>
      <c r="AE397" s="1"/>
      <c r="AF397" s="1" t="str">
        <f>IFERROR(__xludf.DUMMYFUNCTION("""COMPUTED_VALUE"""),"(Wyverntail Set) ++Freeze Immunity")</f>
        <v>(Wyverntail Set) ++Freeze Immunity</v>
      </c>
      <c r="AG397" s="1" t="str">
        <f>IFERROR(__xludf.DUMMYFUNCTION("""COMPUTED_VALUE"""),"Dragonscale Island")</f>
        <v>Dragonscale Island</v>
      </c>
      <c r="AH397" s="1" t="b">
        <f>IFERROR(__xludf.DUMMYFUNCTION("""COMPUTED_VALUE"""),TRUE)</f>
        <v>1</v>
      </c>
    </row>
    <row r="398">
      <c r="A398" s="1" t="str">
        <f>IFERROR(__xludf.DUMMYFUNCTION("""COMPUTED_VALUE"""),"WyvernTail Pendent")</f>
        <v>WyvernTail Pendent</v>
      </c>
      <c r="B398" s="1" t="str">
        <f>IFERROR(__xludf.DUMMYFUNCTION("""COMPUTED_VALUE"""),"Neck")</f>
        <v>Neck</v>
      </c>
      <c r="C398" s="1"/>
      <c r="D398" s="1"/>
      <c r="E398" s="1">
        <f>IFERROR(__xludf.DUMMYFUNCTION("""COMPUTED_VALUE"""),1.0)</f>
        <v>1</v>
      </c>
      <c r="F398" s="2">
        <f>IFERROR(__xludf.DUMMYFUNCTION("""COMPUTED_VALUE"""),0.0)</f>
        <v>0</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t="str">
        <f>IFERROR(__xludf.DUMMYFUNCTION("""COMPUTED_VALUE"""),"(Wyverntail Set) ++When you are attacked, the enemy that attacked you has a 25% Chance to Freeze.")</f>
        <v>(Wyverntail Set) ++When you are attacked, the enemy that attacked you has a 25% Chance to Freeze.</v>
      </c>
      <c r="AG398" s="1" t="str">
        <f>IFERROR(__xludf.DUMMYFUNCTION("""COMPUTED_VALUE"""),"Dragonscale Island")</f>
        <v>Dragonscale Island</v>
      </c>
      <c r="AH398" s="1" t="b">
        <f>IFERROR(__xludf.DUMMYFUNCTION("""COMPUTED_VALUE"""),FALSE)</f>
        <v>0</v>
      </c>
    </row>
    <row r="399">
      <c r="A399" s="1" t="str">
        <f>IFERROR(__xludf.DUMMYFUNCTION("""COMPUTED_VALUE"""),"WyvernTail Ring")</f>
        <v>WyvernTail Ring</v>
      </c>
      <c r="B399" s="1" t="str">
        <f>IFERROR(__xludf.DUMMYFUNCTION("""COMPUTED_VALUE"""),"Ring")</f>
        <v>Ring</v>
      </c>
      <c r="C399" s="1"/>
      <c r="D399" s="1"/>
      <c r="E399" s="1">
        <f>IFERROR(__xludf.DUMMYFUNCTION("""COMPUTED_VALUE"""),1.0)</f>
        <v>1</v>
      </c>
      <c r="F399" s="2">
        <f>IFERROR(__xludf.DUMMYFUNCTION("""COMPUTED_VALUE"""),0.0)</f>
        <v>0</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t="str">
        <f>IFERROR(__xludf.DUMMYFUNCTION("""COMPUTED_VALUE"""),"(Wyverntail Set) ++When you are attacked, the enemy that attacked you has a 25% Chance to Freeze. ")</f>
        <v>(Wyverntail Set) ++When you are attacked, the enemy that attacked you has a 25% Chance to Freeze. </v>
      </c>
      <c r="AG399" s="1" t="str">
        <f>IFERROR(__xludf.DUMMYFUNCTION("""COMPUTED_VALUE"""),"Dragonscale Island")</f>
        <v>Dragonscale Island</v>
      </c>
      <c r="AH399" s="1" t="b">
        <f>IFERROR(__xludf.DUMMYFUNCTION("""COMPUTED_VALUE"""),FALSE)</f>
        <v>0</v>
      </c>
    </row>
    <row r="400">
      <c r="A400" s="1" t="str">
        <f>IFERROR(__xludf.DUMMYFUNCTION("""COMPUTED_VALUE"""),"Sweltering Blade")</f>
        <v>Sweltering Blade</v>
      </c>
      <c r="B400" s="1" t="str">
        <f>IFERROR(__xludf.DUMMYFUNCTION("""COMPUTED_VALUE"""),"Hand")</f>
        <v>Hand</v>
      </c>
      <c r="C400" s="1"/>
      <c r="D400" s="1" t="str">
        <f>IFERROR(__xludf.DUMMYFUNCTION("""COMPUTED_VALUE"""),"Sword")</f>
        <v>Sword</v>
      </c>
      <c r="E400" s="1">
        <f>IFERROR(__xludf.DUMMYFUNCTION("""COMPUTED_VALUE"""),400.0)</f>
        <v>400</v>
      </c>
      <c r="F400" s="2">
        <f>IFERROR(__xludf.DUMMYFUNCTION("""COMPUTED_VALUE"""),7800000.0)</f>
        <v>7800000</v>
      </c>
      <c r="G400" s="1" t="str">
        <f>IFERROR(__xludf.DUMMYFUNCTION("""COMPUTED_VALUE"""),"DMG")</f>
        <v>DMG</v>
      </c>
      <c r="H400" s="1">
        <f>IFERROR(__xludf.DUMMYFUNCTION("""COMPUTED_VALUE"""),5000.0)</f>
        <v>5000</v>
      </c>
      <c r="I400" s="1">
        <f>IFERROR(__xludf.DUMMYFUNCTION("""COMPUTED_VALUE"""),5000.0)</f>
        <v>5000</v>
      </c>
      <c r="J400" s="1"/>
      <c r="K400" s="1">
        <f>IFERROR(__xludf.DUMMYFUNCTION("""COMPUTED_VALUE"""),5000.0)</f>
        <v>5000</v>
      </c>
      <c r="L400" s="1"/>
      <c r="M400" s="1"/>
      <c r="N400" s="1"/>
      <c r="O400" s="1"/>
      <c r="P400" s="1"/>
      <c r="Q400" s="1"/>
      <c r="R400" s="1"/>
      <c r="S400" s="1">
        <f>IFERROR(__xludf.DUMMYFUNCTION("""COMPUTED_VALUE"""),5000.0)</f>
        <v>5000</v>
      </c>
      <c r="T400" s="1"/>
      <c r="U400" s="1"/>
      <c r="V400" s="1"/>
      <c r="W400" s="1"/>
      <c r="X400" s="1"/>
      <c r="Y400" s="1"/>
      <c r="Z400" s="1"/>
      <c r="AA400" s="1"/>
      <c r="AB400" s="1"/>
      <c r="AC400" s="1"/>
      <c r="AD400" s="1"/>
      <c r="AE400" s="1"/>
      <c r="AF400" s="1" t="str">
        <f>IFERROR(__xludf.DUMMYFUNCTION("""COMPUTED_VALUE"""),"(Sweltering Set) ++X2 Nature, Water, and Fire Damage.")</f>
        <v>(Sweltering Set) ++X2 Nature, Water, and Fire Damage.</v>
      </c>
      <c r="AG400" s="1" t="str">
        <f>IFERROR(__xludf.DUMMYFUNCTION("""COMPUTED_VALUE"""),"Dragonscale Island")</f>
        <v>Dragonscale Island</v>
      </c>
      <c r="AH400" s="1" t="b">
        <f>IFERROR(__xludf.DUMMYFUNCTION("""COMPUTED_VALUE"""),TRUE)</f>
        <v>1</v>
      </c>
    </row>
    <row r="401">
      <c r="A401" s="1" t="str">
        <f>IFERROR(__xludf.DUMMYFUNCTION("""COMPUTED_VALUE"""),"Sweltering Helm")</f>
        <v>Sweltering Helm</v>
      </c>
      <c r="B401" s="1" t="str">
        <f>IFERROR(__xludf.DUMMYFUNCTION("""COMPUTED_VALUE"""),"Head")</f>
        <v>Head</v>
      </c>
      <c r="C401" s="1"/>
      <c r="D401" s="1"/>
      <c r="E401" s="1">
        <f>IFERROR(__xludf.DUMMYFUNCTION("""COMPUTED_VALUE"""),400.0)</f>
        <v>400</v>
      </c>
      <c r="F401" s="2">
        <f>IFERROR(__xludf.DUMMYFUNCTION("""COMPUTED_VALUE"""),7800000.0)</f>
        <v>7800000</v>
      </c>
      <c r="G401" s="1" t="str">
        <f>IFERROR(__xludf.DUMMYFUNCTION("""COMPUTED_VALUE"""),"DEF")</f>
        <v>DEF</v>
      </c>
      <c r="H401" s="1">
        <f>IFERROR(__xludf.DUMMYFUNCTION("""COMPUTED_VALUE"""),5000.0)</f>
        <v>5000</v>
      </c>
      <c r="I401" s="1">
        <f>IFERROR(__xludf.DUMMYFUNCTION("""COMPUTED_VALUE"""),5000.0)</f>
        <v>5000</v>
      </c>
      <c r="J401" s="1"/>
      <c r="K401" s="1">
        <f>IFERROR(__xludf.DUMMYFUNCTION("""COMPUTED_VALUE"""),5000.0)</f>
        <v>5000</v>
      </c>
      <c r="L401" s="1"/>
      <c r="M401" s="1"/>
      <c r="N401" s="1"/>
      <c r="O401" s="1"/>
      <c r="P401" s="1"/>
      <c r="Q401" s="1"/>
      <c r="R401" s="1"/>
      <c r="S401" s="1">
        <f>IFERROR(__xludf.DUMMYFUNCTION("""COMPUTED_VALUE"""),5000.0)</f>
        <v>5000</v>
      </c>
      <c r="T401" s="1"/>
      <c r="U401" s="1"/>
      <c r="V401" s="1"/>
      <c r="W401" s="1"/>
      <c r="X401" s="1"/>
      <c r="Y401" s="1"/>
      <c r="Z401" s="1"/>
      <c r="AA401" s="1"/>
      <c r="AB401" s="1"/>
      <c r="AC401" s="1"/>
      <c r="AD401" s="1"/>
      <c r="AE401" s="1"/>
      <c r="AF401" s="1" t="str">
        <f>IFERROR(__xludf.DUMMYFUNCTION("""COMPUTED_VALUE"""),"(Sweltering Set) ++X2 Nature, Water, and Fire Damage.")</f>
        <v>(Sweltering Set) ++X2 Nature, Water, and Fire Damage.</v>
      </c>
      <c r="AG401" s="1" t="str">
        <f>IFERROR(__xludf.DUMMYFUNCTION("""COMPUTED_VALUE"""),"Dragonscale Island")</f>
        <v>Dragonscale Island</v>
      </c>
      <c r="AH401" s="1" t="b">
        <f>IFERROR(__xludf.DUMMYFUNCTION("""COMPUTED_VALUE"""),TRUE)</f>
        <v>1</v>
      </c>
    </row>
    <row r="402">
      <c r="A402" s="1" t="str">
        <f>IFERROR(__xludf.DUMMYFUNCTION("""COMPUTED_VALUE"""),"Sweltering Pauldrons")</f>
        <v>Sweltering Pauldrons</v>
      </c>
      <c r="B402" s="1" t="str">
        <f>IFERROR(__xludf.DUMMYFUNCTION("""COMPUTED_VALUE"""),"Shoulders")</f>
        <v>Shoulders</v>
      </c>
      <c r="C402" s="1"/>
      <c r="D402" s="1"/>
      <c r="E402" s="1">
        <f>IFERROR(__xludf.DUMMYFUNCTION("""COMPUTED_VALUE"""),400.0)</f>
        <v>400</v>
      </c>
      <c r="F402" s="2">
        <f>IFERROR(__xludf.DUMMYFUNCTION("""COMPUTED_VALUE"""),7800000.0)</f>
        <v>7800000</v>
      </c>
      <c r="G402" s="1" t="str">
        <f>IFERROR(__xludf.DUMMYFUNCTION("""COMPUTED_VALUE"""),"DEF")</f>
        <v>DEF</v>
      </c>
      <c r="H402" s="1">
        <f>IFERROR(__xludf.DUMMYFUNCTION("""COMPUTED_VALUE"""),5000.0)</f>
        <v>5000</v>
      </c>
      <c r="I402" s="1">
        <f>IFERROR(__xludf.DUMMYFUNCTION("""COMPUTED_VALUE"""),5000.0)</f>
        <v>5000</v>
      </c>
      <c r="J402" s="1"/>
      <c r="K402" s="1">
        <f>IFERROR(__xludf.DUMMYFUNCTION("""COMPUTED_VALUE"""),5000.0)</f>
        <v>5000</v>
      </c>
      <c r="L402" s="1"/>
      <c r="M402" s="1"/>
      <c r="N402" s="1"/>
      <c r="O402" s="1"/>
      <c r="P402" s="1"/>
      <c r="Q402" s="1"/>
      <c r="R402" s="1"/>
      <c r="S402" s="1">
        <f>IFERROR(__xludf.DUMMYFUNCTION("""COMPUTED_VALUE"""),5000.0)</f>
        <v>5000</v>
      </c>
      <c r="T402" s="1"/>
      <c r="U402" s="1"/>
      <c r="V402" s="1"/>
      <c r="W402" s="1"/>
      <c r="X402" s="1"/>
      <c r="Y402" s="1"/>
      <c r="Z402" s="1"/>
      <c r="AA402" s="1"/>
      <c r="AB402" s="1"/>
      <c r="AC402" s="1"/>
      <c r="AD402" s="1"/>
      <c r="AE402" s="1"/>
      <c r="AF402" s="1" t="str">
        <f>IFERROR(__xludf.DUMMYFUNCTION("""COMPUTED_VALUE"""),"(Sweltering Set) ++X2 Nature, Water, and Fire Damage.")</f>
        <v>(Sweltering Set) ++X2 Nature, Water, and Fire Damage.</v>
      </c>
      <c r="AG402" s="1" t="str">
        <f>IFERROR(__xludf.DUMMYFUNCTION("""COMPUTED_VALUE"""),"Dragonscale Island")</f>
        <v>Dragonscale Island</v>
      </c>
      <c r="AH402" s="1" t="b">
        <f>IFERROR(__xludf.DUMMYFUNCTION("""COMPUTED_VALUE"""),TRUE)</f>
        <v>1</v>
      </c>
    </row>
    <row r="403">
      <c r="A403" s="1" t="str">
        <f>IFERROR(__xludf.DUMMYFUNCTION("""COMPUTED_VALUE"""),"Sweltering Chestplate")</f>
        <v>Sweltering Chestplate</v>
      </c>
      <c r="B403" s="1" t="str">
        <f>IFERROR(__xludf.DUMMYFUNCTION("""COMPUTED_VALUE"""),"Torso")</f>
        <v>Torso</v>
      </c>
      <c r="C403" s="1"/>
      <c r="D403" s="1"/>
      <c r="E403" s="1">
        <f>IFERROR(__xludf.DUMMYFUNCTION("""COMPUTED_VALUE"""),400.0)</f>
        <v>400</v>
      </c>
      <c r="F403" s="2">
        <f>IFERROR(__xludf.DUMMYFUNCTION("""COMPUTED_VALUE"""),7800000.0)</f>
        <v>7800000</v>
      </c>
      <c r="G403" s="1" t="str">
        <f>IFERROR(__xludf.DUMMYFUNCTION("""COMPUTED_VALUE"""),"DEF")</f>
        <v>DEF</v>
      </c>
      <c r="H403" s="1">
        <f>IFERROR(__xludf.DUMMYFUNCTION("""COMPUTED_VALUE"""),5000.0)</f>
        <v>5000</v>
      </c>
      <c r="I403" s="1">
        <f>IFERROR(__xludf.DUMMYFUNCTION("""COMPUTED_VALUE"""),5000.0)</f>
        <v>5000</v>
      </c>
      <c r="J403" s="1"/>
      <c r="K403" s="1">
        <f>IFERROR(__xludf.DUMMYFUNCTION("""COMPUTED_VALUE"""),5000.0)</f>
        <v>5000</v>
      </c>
      <c r="L403" s="1"/>
      <c r="M403" s="1"/>
      <c r="N403" s="1"/>
      <c r="O403" s="1"/>
      <c r="P403" s="1"/>
      <c r="Q403" s="1"/>
      <c r="R403" s="1"/>
      <c r="S403" s="1">
        <f>IFERROR(__xludf.DUMMYFUNCTION("""COMPUTED_VALUE"""),5000.0)</f>
        <v>5000</v>
      </c>
      <c r="T403" s="1"/>
      <c r="U403" s="1"/>
      <c r="V403" s="1"/>
      <c r="W403" s="1"/>
      <c r="X403" s="1"/>
      <c r="Y403" s="1"/>
      <c r="Z403" s="1"/>
      <c r="AA403" s="1"/>
      <c r="AB403" s="1"/>
      <c r="AC403" s="1"/>
      <c r="AD403" s="1"/>
      <c r="AE403" s="1"/>
      <c r="AF403" s="1" t="str">
        <f>IFERROR(__xludf.DUMMYFUNCTION("""COMPUTED_VALUE"""),"(Sweltering Set) ++X2 Nature, Water, and Fire Damage.")</f>
        <v>(Sweltering Set) ++X2 Nature, Water, and Fire Damage.</v>
      </c>
      <c r="AG403" s="1" t="str">
        <f>IFERROR(__xludf.DUMMYFUNCTION("""COMPUTED_VALUE"""),"Dragonscale Island")</f>
        <v>Dragonscale Island</v>
      </c>
      <c r="AH403" s="1" t="b">
        <f>IFERROR(__xludf.DUMMYFUNCTION("""COMPUTED_VALUE"""),TRUE)</f>
        <v>1</v>
      </c>
    </row>
    <row r="404">
      <c r="A404" s="1" t="str">
        <f>IFERROR(__xludf.DUMMYFUNCTION("""COMPUTED_VALUE"""),"Sweltering Vambraces")</f>
        <v>Sweltering Vambraces</v>
      </c>
      <c r="B404" s="1" t="str">
        <f>IFERROR(__xludf.DUMMYFUNCTION("""COMPUTED_VALUE"""),"Arms")</f>
        <v>Arms</v>
      </c>
      <c r="C404" s="1"/>
      <c r="D404" s="1"/>
      <c r="E404" s="1">
        <f>IFERROR(__xludf.DUMMYFUNCTION("""COMPUTED_VALUE"""),400.0)</f>
        <v>400</v>
      </c>
      <c r="F404" s="2">
        <f>IFERROR(__xludf.DUMMYFUNCTION("""COMPUTED_VALUE"""),7800000.0)</f>
        <v>7800000</v>
      </c>
      <c r="G404" s="1" t="str">
        <f>IFERROR(__xludf.DUMMYFUNCTION("""COMPUTED_VALUE"""),"DEF")</f>
        <v>DEF</v>
      </c>
      <c r="H404" s="1">
        <f>IFERROR(__xludf.DUMMYFUNCTION("""COMPUTED_VALUE"""),5000.0)</f>
        <v>5000</v>
      </c>
      <c r="I404" s="1">
        <f>IFERROR(__xludf.DUMMYFUNCTION("""COMPUTED_VALUE"""),5000.0)</f>
        <v>5000</v>
      </c>
      <c r="J404" s="1"/>
      <c r="K404" s="1">
        <f>IFERROR(__xludf.DUMMYFUNCTION("""COMPUTED_VALUE"""),5000.0)</f>
        <v>5000</v>
      </c>
      <c r="L404" s="1"/>
      <c r="M404" s="1"/>
      <c r="N404" s="1"/>
      <c r="O404" s="1"/>
      <c r="P404" s="1"/>
      <c r="Q404" s="1"/>
      <c r="R404" s="1"/>
      <c r="S404" s="1">
        <f>IFERROR(__xludf.DUMMYFUNCTION("""COMPUTED_VALUE"""),5000.0)</f>
        <v>5000</v>
      </c>
      <c r="T404" s="1"/>
      <c r="U404" s="1"/>
      <c r="V404" s="1"/>
      <c r="W404" s="1"/>
      <c r="X404" s="1"/>
      <c r="Y404" s="1"/>
      <c r="Z404" s="1"/>
      <c r="AA404" s="1"/>
      <c r="AB404" s="1"/>
      <c r="AC404" s="1"/>
      <c r="AD404" s="1"/>
      <c r="AE404" s="1"/>
      <c r="AF404" s="1" t="str">
        <f>IFERROR(__xludf.DUMMYFUNCTION("""COMPUTED_VALUE"""),"(Sweltering Set) ++X2 Nature, Water, and Fire Damage.")</f>
        <v>(Sweltering Set) ++X2 Nature, Water, and Fire Damage.</v>
      </c>
      <c r="AG404" s="1" t="str">
        <f>IFERROR(__xludf.DUMMYFUNCTION("""COMPUTED_VALUE"""),"Dragonscale Island")</f>
        <v>Dragonscale Island</v>
      </c>
      <c r="AH404" s="1" t="b">
        <f>IFERROR(__xludf.DUMMYFUNCTION("""COMPUTED_VALUE"""),TRUE)</f>
        <v>1</v>
      </c>
    </row>
    <row r="405">
      <c r="A405" s="1" t="str">
        <f>IFERROR(__xludf.DUMMYFUNCTION("""COMPUTED_VALUE"""),"Sweltering Greaves")</f>
        <v>Sweltering Greaves</v>
      </c>
      <c r="B405" s="1" t="str">
        <f>IFERROR(__xludf.DUMMYFUNCTION("""COMPUTED_VALUE"""),"Legs")</f>
        <v>Legs</v>
      </c>
      <c r="C405" s="1"/>
      <c r="D405" s="1"/>
      <c r="E405" s="1">
        <f>IFERROR(__xludf.DUMMYFUNCTION("""COMPUTED_VALUE"""),400.0)</f>
        <v>400</v>
      </c>
      <c r="F405" s="2">
        <f>IFERROR(__xludf.DUMMYFUNCTION("""COMPUTED_VALUE"""),7800000.0)</f>
        <v>7800000</v>
      </c>
      <c r="G405" s="1" t="str">
        <f>IFERROR(__xludf.DUMMYFUNCTION("""COMPUTED_VALUE"""),"DEF")</f>
        <v>DEF</v>
      </c>
      <c r="H405" s="1">
        <f>IFERROR(__xludf.DUMMYFUNCTION("""COMPUTED_VALUE"""),5000.0)</f>
        <v>5000</v>
      </c>
      <c r="I405" s="1">
        <f>IFERROR(__xludf.DUMMYFUNCTION("""COMPUTED_VALUE"""),5000.0)</f>
        <v>5000</v>
      </c>
      <c r="J405" s="1"/>
      <c r="K405" s="1">
        <f>IFERROR(__xludf.DUMMYFUNCTION("""COMPUTED_VALUE"""),5000.0)</f>
        <v>5000</v>
      </c>
      <c r="L405" s="1"/>
      <c r="M405" s="1"/>
      <c r="N405" s="1"/>
      <c r="O405" s="1"/>
      <c r="P405" s="1"/>
      <c r="Q405" s="1"/>
      <c r="R405" s="1"/>
      <c r="S405" s="1">
        <f>IFERROR(__xludf.DUMMYFUNCTION("""COMPUTED_VALUE"""),5000.0)</f>
        <v>5000</v>
      </c>
      <c r="T405" s="1"/>
      <c r="U405" s="1"/>
      <c r="V405" s="1"/>
      <c r="W405" s="1"/>
      <c r="X405" s="1"/>
      <c r="Y405" s="1"/>
      <c r="Z405" s="1"/>
      <c r="AA405" s="1"/>
      <c r="AB405" s="1"/>
      <c r="AC405" s="1"/>
      <c r="AD405" s="1"/>
      <c r="AE405" s="1"/>
      <c r="AF405" s="1" t="str">
        <f>IFERROR(__xludf.DUMMYFUNCTION("""COMPUTED_VALUE"""),"(Sweltering Set) ++X2 Nature, Water, and Fire Damage.")</f>
        <v>(Sweltering Set) ++X2 Nature, Water, and Fire Damage.</v>
      </c>
      <c r="AG405" s="1" t="str">
        <f>IFERROR(__xludf.DUMMYFUNCTION("""COMPUTED_VALUE"""),"Dragonscale Island")</f>
        <v>Dragonscale Island</v>
      </c>
      <c r="AH405" s="1" t="b">
        <f>IFERROR(__xludf.DUMMYFUNCTION("""COMPUTED_VALUE"""),TRUE)</f>
        <v>1</v>
      </c>
    </row>
    <row r="406">
      <c r="A406" s="1" t="str">
        <f>IFERROR(__xludf.DUMMYFUNCTION("""COMPUTED_VALUE"""),"Sweltering Boots")</f>
        <v>Sweltering Boots</v>
      </c>
      <c r="B406" s="1" t="str">
        <f>IFERROR(__xludf.DUMMYFUNCTION("""COMPUTED_VALUE"""),"Feet")</f>
        <v>Feet</v>
      </c>
      <c r="C406" s="1"/>
      <c r="D406" s="1"/>
      <c r="E406" s="1">
        <f>IFERROR(__xludf.DUMMYFUNCTION("""COMPUTED_VALUE"""),400.0)</f>
        <v>400</v>
      </c>
      <c r="F406" s="2">
        <f>IFERROR(__xludf.DUMMYFUNCTION("""COMPUTED_VALUE"""),7800000.0)</f>
        <v>7800000</v>
      </c>
      <c r="G406" s="1" t="str">
        <f>IFERROR(__xludf.DUMMYFUNCTION("""COMPUTED_VALUE"""),"DEF")</f>
        <v>DEF</v>
      </c>
      <c r="H406" s="1">
        <f>IFERROR(__xludf.DUMMYFUNCTION("""COMPUTED_VALUE"""),5000.0)</f>
        <v>5000</v>
      </c>
      <c r="I406" s="1">
        <f>IFERROR(__xludf.DUMMYFUNCTION("""COMPUTED_VALUE"""),5000.0)</f>
        <v>5000</v>
      </c>
      <c r="J406" s="1"/>
      <c r="K406" s="1">
        <f>IFERROR(__xludf.DUMMYFUNCTION("""COMPUTED_VALUE"""),5000.0)</f>
        <v>5000</v>
      </c>
      <c r="L406" s="1"/>
      <c r="M406" s="1"/>
      <c r="N406" s="1"/>
      <c r="O406" s="1"/>
      <c r="P406" s="1"/>
      <c r="Q406" s="1"/>
      <c r="R406" s="1"/>
      <c r="S406" s="1">
        <f>IFERROR(__xludf.DUMMYFUNCTION("""COMPUTED_VALUE"""),5000.0)</f>
        <v>5000</v>
      </c>
      <c r="T406" s="1"/>
      <c r="U406" s="1"/>
      <c r="V406" s="1"/>
      <c r="W406" s="1"/>
      <c r="X406" s="1"/>
      <c r="Y406" s="1"/>
      <c r="Z406" s="1"/>
      <c r="AA406" s="1"/>
      <c r="AB406" s="1"/>
      <c r="AC406" s="1"/>
      <c r="AD406" s="1"/>
      <c r="AE406" s="1"/>
      <c r="AF406" s="1" t="str">
        <f>IFERROR(__xludf.DUMMYFUNCTION("""COMPUTED_VALUE"""),"(Sweltering Set) ++X2 Nature, Water, and Fire Damage.")</f>
        <v>(Sweltering Set) ++X2 Nature, Water, and Fire Damage.</v>
      </c>
      <c r="AG406" s="1" t="str">
        <f>IFERROR(__xludf.DUMMYFUNCTION("""COMPUTED_VALUE"""),"Dragonscale Island")</f>
        <v>Dragonscale Island</v>
      </c>
      <c r="AH406" s="1" t="b">
        <f>IFERROR(__xludf.DUMMYFUNCTION("""COMPUTED_VALUE"""),TRUE)</f>
        <v>1</v>
      </c>
    </row>
    <row r="407">
      <c r="A407" s="1" t="str">
        <f>IFERROR(__xludf.DUMMYFUNCTION("""COMPUTED_VALUE"""),"Sweltering Pendent")</f>
        <v>Sweltering Pendent</v>
      </c>
      <c r="B407" s="1" t="str">
        <f>IFERROR(__xludf.DUMMYFUNCTION("""COMPUTED_VALUE"""),"Neck")</f>
        <v>Neck</v>
      </c>
      <c r="C407" s="1"/>
      <c r="D407" s="1"/>
      <c r="E407" s="1">
        <f>IFERROR(__xludf.DUMMYFUNCTION("""COMPUTED_VALUE"""),1.0)</f>
        <v>1</v>
      </c>
      <c r="F407" s="2">
        <f>IFERROR(__xludf.DUMMYFUNCTION("""COMPUTED_VALUE"""),0.0)</f>
        <v>0</v>
      </c>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t="str">
        <f>IFERROR(__xludf.DUMMYFUNCTION("""COMPUTED_VALUE"""),"(Sweltering Set) ++Fire, Nature, and Water immunity.")</f>
        <v>(Sweltering Set) ++Fire, Nature, and Water immunity.</v>
      </c>
      <c r="AG407" s="1" t="str">
        <f>IFERROR(__xludf.DUMMYFUNCTION("""COMPUTED_VALUE"""),"Dragonscale Island")</f>
        <v>Dragonscale Island</v>
      </c>
      <c r="AH407" s="1" t="b">
        <f>IFERROR(__xludf.DUMMYFUNCTION("""COMPUTED_VALUE"""),FALSE)</f>
        <v>0</v>
      </c>
    </row>
    <row r="408">
      <c r="A408" s="1" t="str">
        <f>IFERROR(__xludf.DUMMYFUNCTION("""COMPUTED_VALUE"""),"Sweltering Ring")</f>
        <v>Sweltering Ring</v>
      </c>
      <c r="B408" s="1" t="str">
        <f>IFERROR(__xludf.DUMMYFUNCTION("""COMPUTED_VALUE"""),"Ring")</f>
        <v>Ring</v>
      </c>
      <c r="C408" s="1"/>
      <c r="D408" s="1"/>
      <c r="E408" s="1">
        <f>IFERROR(__xludf.DUMMYFUNCTION("""COMPUTED_VALUE"""),1.0)</f>
        <v>1</v>
      </c>
      <c r="F408" s="2">
        <f>IFERROR(__xludf.DUMMYFUNCTION("""COMPUTED_VALUE"""),0.0)</f>
        <v>0</v>
      </c>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t="str">
        <f>IFERROR(__xludf.DUMMYFUNCTION("""COMPUTED_VALUE"""),"(Sweltering Set) ++Fire, Nature, and Water immunity.")</f>
        <v>(Sweltering Set) ++Fire, Nature, and Water immunity.</v>
      </c>
      <c r="AG408" s="1" t="str">
        <f>IFERROR(__xludf.DUMMYFUNCTION("""COMPUTED_VALUE"""),"Dragonscale Island")</f>
        <v>Dragonscale Island</v>
      </c>
      <c r="AH408" s="1" t="b">
        <f>IFERROR(__xludf.DUMMYFUNCTION("""COMPUTED_VALUE"""),FALSE)</f>
        <v>0</v>
      </c>
    </row>
    <row r="409">
      <c r="A409" s="1" t="str">
        <f>IFERROR(__xludf.DUMMYFUNCTION("""COMPUTED_VALUE"""),"Reinforced Tortoise Shell")</f>
        <v>Reinforced Tortoise Shell</v>
      </c>
      <c r="B409" s="1" t="str">
        <f>IFERROR(__xludf.DUMMYFUNCTION("""COMPUTED_VALUE"""),"Torso")</f>
        <v>Torso</v>
      </c>
      <c r="C409" s="1"/>
      <c r="D409" s="1"/>
      <c r="E409" s="1">
        <f>IFERROR(__xludf.DUMMYFUNCTION("""COMPUTED_VALUE"""),400.0)</f>
        <v>400</v>
      </c>
      <c r="F409" s="2">
        <f>IFERROR(__xludf.DUMMYFUNCTION("""COMPUTED_VALUE"""),7800000.0)</f>
        <v>7800000</v>
      </c>
      <c r="G409" s="1" t="str">
        <f>IFERROR(__xludf.DUMMYFUNCTION("""COMPUTED_VALUE"""),"DEF")</f>
        <v>DEF</v>
      </c>
      <c r="H409" s="1">
        <f>IFERROR(__xludf.DUMMYFUNCTION("""COMPUTED_VALUE"""),10000.0)</f>
        <v>10000</v>
      </c>
      <c r="I409" s="1"/>
      <c r="J409" s="1"/>
      <c r="K409" s="1">
        <f>IFERROR(__xludf.DUMMYFUNCTION("""COMPUTED_VALUE"""),5000.0)</f>
        <v>5000</v>
      </c>
      <c r="L409" s="1"/>
      <c r="M409" s="1"/>
      <c r="N409" s="1">
        <f>IFERROR(__xludf.DUMMYFUNCTION("""COMPUTED_VALUE"""),5000.0)</f>
        <v>5000</v>
      </c>
      <c r="O409" s="1"/>
      <c r="P409" s="1"/>
      <c r="Q409" s="1"/>
      <c r="R409" s="1"/>
      <c r="S409" s="1"/>
      <c r="T409" s="1"/>
      <c r="U409" s="1"/>
      <c r="V409" s="1"/>
      <c r="W409" s="1"/>
      <c r="X409" s="1"/>
      <c r="Y409" s="1"/>
      <c r="Z409" s="1"/>
      <c r="AA409" s="1"/>
      <c r="AB409" s="1"/>
      <c r="AC409" s="1"/>
      <c r="AD409" s="1"/>
      <c r="AE409" s="1"/>
      <c r="AF409" s="1" t="str">
        <f>IFERROR(__xludf.DUMMYFUNCTION("""COMPUTED_VALUE"""),"++X2 Defense for the wearer. +-Cannot be Duplicated.")</f>
        <v>++X2 Defense for the wearer. +-Cannot be Duplicated.</v>
      </c>
      <c r="AG409" s="1" t="str">
        <f>IFERROR(__xludf.DUMMYFUNCTION("""COMPUTED_VALUE"""),"Dragonscale Island")</f>
        <v>Dragonscale Island</v>
      </c>
      <c r="AH409" s="1" t="b">
        <f>IFERROR(__xludf.DUMMYFUNCTION("""COMPUTED_VALUE"""),TRUE)</f>
        <v>1</v>
      </c>
    </row>
    <row r="410">
      <c r="A410" s="1" t="str">
        <f>IFERROR(__xludf.DUMMYFUNCTION("""COMPUTED_VALUE"""),"Tortoise Shell Shield")</f>
        <v>Tortoise Shell Shield</v>
      </c>
      <c r="B410" s="1" t="str">
        <f>IFERROR(__xludf.DUMMYFUNCTION("""COMPUTED_VALUE"""),"Hand")</f>
        <v>Hand</v>
      </c>
      <c r="C410" s="1"/>
      <c r="D410" s="1" t="str">
        <f>IFERROR(__xludf.DUMMYFUNCTION("""COMPUTED_VALUE"""),"Towershield")</f>
        <v>Towershield</v>
      </c>
      <c r="E410" s="1">
        <f>IFERROR(__xludf.DUMMYFUNCTION("""COMPUTED_VALUE"""),400.0)</f>
        <v>400</v>
      </c>
      <c r="F410" s="2">
        <f>IFERROR(__xludf.DUMMYFUNCTION("""COMPUTED_VALUE"""),7800000.0)</f>
        <v>7800000</v>
      </c>
      <c r="G410" s="1" t="str">
        <f>IFERROR(__xludf.DUMMYFUNCTION("""COMPUTED_VALUE"""),"DEF")</f>
        <v>DEF</v>
      </c>
      <c r="H410" s="1">
        <f>IFERROR(__xludf.DUMMYFUNCTION("""COMPUTED_VALUE"""),20000.0)</f>
        <v>20000</v>
      </c>
      <c r="I410" s="1"/>
      <c r="J410" s="1"/>
      <c r="K410" s="1"/>
      <c r="L410" s="1"/>
      <c r="M410" s="1"/>
      <c r="N410" s="1"/>
      <c r="O410" s="1"/>
      <c r="P410" s="1"/>
      <c r="Q410" s="1"/>
      <c r="R410" s="1"/>
      <c r="S410" s="1"/>
      <c r="T410" s="1"/>
      <c r="U410" s="1"/>
      <c r="V410" s="1"/>
      <c r="W410" s="1"/>
      <c r="X410" s="1"/>
      <c r="Y410" s="1"/>
      <c r="Z410" s="1"/>
      <c r="AA410" s="1"/>
      <c r="AB410" s="1"/>
      <c r="AC410" s="1"/>
      <c r="AD410" s="1"/>
      <c r="AE410" s="1"/>
      <c r="AF410" s="1" t="str">
        <f>IFERROR(__xludf.DUMMYFUNCTION("""COMPUTED_VALUE"""),"++X2 Defense for the wearer. +-Cannot be Duplicated.")</f>
        <v>++X2 Defense for the wearer. +-Cannot be Duplicated.</v>
      </c>
      <c r="AG410" s="1" t="str">
        <f>IFERROR(__xludf.DUMMYFUNCTION("""COMPUTED_VALUE"""),"Dragonscale Island")</f>
        <v>Dragonscale Island</v>
      </c>
      <c r="AH410" s="1" t="b">
        <f>IFERROR(__xludf.DUMMYFUNCTION("""COMPUTED_VALUE"""),TRUE)</f>
        <v>1</v>
      </c>
    </row>
    <row r="411">
      <c r="A411" s="1" t="str">
        <f>IFERROR(__xludf.DUMMYFUNCTION("""COMPUTED_VALUE"""),"Stone of the Summit")</f>
        <v>Stone of the Summit</v>
      </c>
      <c r="B411" s="1" t="str">
        <f>IFERROR(__xludf.DUMMYFUNCTION("""COMPUTED_VALUE"""),"Hand")</f>
        <v>Hand</v>
      </c>
      <c r="C411" s="1"/>
      <c r="D411" s="1"/>
      <c r="E411" s="1">
        <f>IFERROR(__xludf.DUMMYFUNCTION("""COMPUTED_VALUE"""),1.0)</f>
        <v>1</v>
      </c>
      <c r="F411" s="2">
        <f>IFERROR(__xludf.DUMMYFUNCTION("""COMPUTED_VALUE"""),0.0)</f>
        <v>0</v>
      </c>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t="str">
        <f>IFERROR(__xludf.DUMMYFUNCTION("""COMPUTED_VALUE"""),"++X2 additional damage towards weapons for the user.")</f>
        <v>++X2 additional damage towards weapons for the user.</v>
      </c>
      <c r="AG411" s="1" t="str">
        <f>IFERROR(__xludf.DUMMYFUNCTION("""COMPUTED_VALUE"""),"Dragonscale Island")</f>
        <v>Dragonscale Island</v>
      </c>
      <c r="AH411" s="1" t="b">
        <f>IFERROR(__xludf.DUMMYFUNCTION("""COMPUTED_VALUE"""),FALSE)</f>
        <v>0</v>
      </c>
    </row>
    <row r="412">
      <c r="A412" s="1" t="str">
        <f>IFERROR(__xludf.DUMMYFUNCTION("""COMPUTED_VALUE"""),"Deep Blue Pearl")</f>
        <v>Deep Blue Pearl</v>
      </c>
      <c r="B412" s="1" t="str">
        <f>IFERROR(__xludf.DUMMYFUNCTION("""COMPUTED_VALUE"""),"Hand")</f>
        <v>Hand</v>
      </c>
      <c r="C412" s="1" t="str">
        <f>IFERROR(__xludf.DUMMYFUNCTION("""COMPUTED_VALUE"""),"A rare pearl found deep within the ocean of Dragonscale Island.")</f>
        <v>A rare pearl found deep within the ocean of Dragonscale Island.</v>
      </c>
      <c r="D412" s="1"/>
      <c r="E412" s="1">
        <f>IFERROR(__xludf.DUMMYFUNCTION("""COMPUTED_VALUE"""),200.0)</f>
        <v>200</v>
      </c>
      <c r="F412" s="2">
        <f>IFERROR(__xludf.DUMMYFUNCTION("""COMPUTED_VALUE"""),1900000.0)</f>
        <v>1900000</v>
      </c>
      <c r="G412" s="1" t="str">
        <f>IFERROR(__xludf.DUMMYFUNCTION("""COMPUTED_VALUE"""),"DEF")</f>
        <v>DEF</v>
      </c>
      <c r="H412" s="3">
        <f>IFERROR(__xludf.DUMMYFUNCTION("""COMPUTED_VALUE"""),10000.0)</f>
        <v>10000</v>
      </c>
      <c r="I412" s="1"/>
      <c r="J412" s="1"/>
      <c r="K412" s="1"/>
      <c r="L412" s="1"/>
      <c r="M412" s="1"/>
      <c r="N412" s="1"/>
      <c r="O412" s="1"/>
      <c r="P412" s="1"/>
      <c r="Q412" s="1"/>
      <c r="R412" s="1"/>
      <c r="S412" s="1"/>
      <c r="T412" s="1"/>
      <c r="U412" s="1"/>
      <c r="V412" s="1"/>
      <c r="W412" s="1"/>
      <c r="X412" s="1"/>
      <c r="Y412" s="1"/>
      <c r="Z412" s="1"/>
      <c r="AA412" s="1"/>
      <c r="AB412" s="1"/>
      <c r="AC412" s="1"/>
      <c r="AD412" s="1"/>
      <c r="AE412" s="1"/>
      <c r="AF412" s="1" t="str">
        <f>IFERROR(__xludf.DUMMYFUNCTION("""COMPUTED_VALUE"""),"++Water Immunity. ++Water damage dealt by you gives you sp back equal half the damage caused.")</f>
        <v>++Water Immunity. ++Water damage dealt by you gives you sp back equal half the damage caused.</v>
      </c>
      <c r="AG412" s="1" t="str">
        <f>IFERROR(__xludf.DUMMYFUNCTION("""COMPUTED_VALUE"""),"Dragonscale Island")</f>
        <v>Dragonscale Island</v>
      </c>
      <c r="AH412" s="1" t="b">
        <f>IFERROR(__xludf.DUMMYFUNCTION("""COMPUTED_VALUE"""),FALSE)</f>
        <v>0</v>
      </c>
    </row>
    <row r="413">
      <c r="A413" s="1" t="str">
        <f>IFERROR(__xludf.DUMMYFUNCTION("""COMPUTED_VALUE"""),"Tempests Lightning Rod")</f>
        <v>Tempests Lightning Rod</v>
      </c>
      <c r="B413" s="1" t="str">
        <f>IFERROR(__xludf.DUMMYFUNCTION("""COMPUTED_VALUE"""),"Hand")</f>
        <v>Hand</v>
      </c>
      <c r="C413" s="1"/>
      <c r="D413" s="1" t="str">
        <f>IFERROR(__xludf.DUMMYFUNCTION("""COMPUTED_VALUE"""),"Spear")</f>
        <v>Spear</v>
      </c>
      <c r="E413" s="1">
        <f>IFERROR(__xludf.DUMMYFUNCTION("""COMPUTED_VALUE"""),600.0)</f>
        <v>600</v>
      </c>
      <c r="F413" s="2">
        <f>IFERROR(__xludf.DUMMYFUNCTION("""COMPUTED_VALUE"""),1.77E7)</f>
        <v>17700000</v>
      </c>
      <c r="G413" s="1" t="str">
        <f>IFERROR(__xludf.DUMMYFUNCTION("""COMPUTED_VALUE"""),"DMG")</f>
        <v>DMG</v>
      </c>
      <c r="H413" s="3">
        <f>IFERROR(__xludf.DUMMYFUNCTION("""COMPUTED_VALUE"""),10000.0)</f>
        <v>10000</v>
      </c>
      <c r="I413" s="1"/>
      <c r="J413" s="1"/>
      <c r="K413" s="3">
        <f>IFERROR(__xludf.DUMMYFUNCTION("""COMPUTED_VALUE"""),10000.0)</f>
        <v>10000</v>
      </c>
      <c r="L413" s="3">
        <f>IFERROR(__xludf.DUMMYFUNCTION("""COMPUTED_VALUE"""),10000.0)</f>
        <v>10000</v>
      </c>
      <c r="M413" s="1"/>
      <c r="N413" s="1"/>
      <c r="O413" s="1"/>
      <c r="P413" s="1"/>
      <c r="Q413" s="1"/>
      <c r="R413" s="1"/>
      <c r="S413" s="1"/>
      <c r="T413" s="1"/>
      <c r="U413" s="1"/>
      <c r="V413" s="1"/>
      <c r="W413" s="1"/>
      <c r="X413" s="1"/>
      <c r="Y413" s="1"/>
      <c r="Z413" s="1"/>
      <c r="AA413" s="1"/>
      <c r="AB413" s="1"/>
      <c r="AC413" s="1"/>
      <c r="AD413" s="1"/>
      <c r="AE413" s="1"/>
      <c r="AF413" s="1" t="str">
        <f>IFERROR(__xludf.DUMMYFUNCTION("""COMPUTED_VALUE"""),"++X4 additional Storm Damage for the user, ++You may attack up to 3 times with this weapon in 1 turn, Roll a d3 to determine how many attacks this weapon does.")</f>
        <v>++X4 additional Storm Damage for the user, ++You may attack up to 3 times with this weapon in 1 turn, Roll a d3 to determine how many attacks this weapon does.</v>
      </c>
      <c r="AG413" s="1" t="str">
        <f>IFERROR(__xludf.DUMMYFUNCTION("""COMPUTED_VALUE"""),"Dragonscale Island")</f>
        <v>Dragonscale Island</v>
      </c>
      <c r="AH413" s="1" t="b">
        <f>IFERROR(__xludf.DUMMYFUNCTION("""COMPUTED_VALUE"""),TRUE)</f>
        <v>1</v>
      </c>
    </row>
    <row r="414">
      <c r="A414" s="1" t="str">
        <f>IFERROR(__xludf.DUMMYFUNCTION("""COMPUTED_VALUE"""),"Sword of Mystic Vagility")</f>
        <v>Sword of Mystic Vagility</v>
      </c>
      <c r="B414" s="1" t="str">
        <f>IFERROR(__xludf.DUMMYFUNCTION("""COMPUTED_VALUE"""),"Hand")</f>
        <v>Hand</v>
      </c>
      <c r="C414" s="1"/>
      <c r="D414" s="1" t="str">
        <f>IFERROR(__xludf.DUMMYFUNCTION("""COMPUTED_VALUE"""),"Sword")</f>
        <v>Sword</v>
      </c>
      <c r="E414" s="1">
        <f>IFERROR(__xludf.DUMMYFUNCTION("""COMPUTED_VALUE"""),200.0)</f>
        <v>200</v>
      </c>
      <c r="F414" s="2">
        <f>IFERROR(__xludf.DUMMYFUNCTION("""COMPUTED_VALUE"""),1.99E8)</f>
        <v>199000000</v>
      </c>
      <c r="G414" s="1" t="str">
        <f>IFERROR(__xludf.DUMMYFUNCTION("""COMPUTED_VALUE"""),"DMG")</f>
        <v>DMG</v>
      </c>
      <c r="H414" s="3">
        <f>IFERROR(__xludf.DUMMYFUNCTION("""COMPUTED_VALUE"""),50000.0)</f>
        <v>50000</v>
      </c>
      <c r="I414" s="1"/>
      <c r="J414" s="1"/>
      <c r="K414" s="1"/>
      <c r="L414" s="1"/>
      <c r="M414" s="1"/>
      <c r="N414" s="1"/>
      <c r="O414" s="1"/>
      <c r="P414" s="1"/>
      <c r="Q414" s="1"/>
      <c r="R414" s="1"/>
      <c r="S414" s="1"/>
      <c r="T414" s="1"/>
      <c r="U414" s="1"/>
      <c r="V414" s="1"/>
      <c r="W414" s="1"/>
      <c r="X414" s="1"/>
      <c r="Y414" s="1"/>
      <c r="Z414" s="1"/>
      <c r="AA414" s="1"/>
      <c r="AB414" s="1"/>
      <c r="AC414" s="3">
        <f>IFERROR(__xludf.DUMMYFUNCTION("""COMPUTED_VALUE"""),50000.0)</f>
        <v>50000</v>
      </c>
      <c r="AD414" s="1"/>
      <c r="AE414" s="1"/>
      <c r="AF414" s="1" t="str">
        <f>IFERROR(__xludf.DUMMYFUNCTION("""COMPUTED_VALUE"""),"++5 to d20 rolls, ++2 Evasion, ++2 Mobility. +-Cannot be duplicated.")</f>
        <v>++5 to d20 rolls, ++2 Evasion, ++2 Mobility. +-Cannot be duplicated.</v>
      </c>
      <c r="AG414" s="1" t="str">
        <f>IFERROR(__xludf.DUMMYFUNCTION("""COMPUTED_VALUE"""),"Land of Spira")</f>
        <v>Land of Spira</v>
      </c>
      <c r="AH414" s="1" t="b">
        <f>IFERROR(__xludf.DUMMYFUNCTION("""COMPUTED_VALUE"""),FALSE)</f>
        <v>0</v>
      </c>
    </row>
    <row r="415">
      <c r="A415" s="1" t="str">
        <f>IFERROR(__xludf.DUMMYFUNCTION("""COMPUTED_VALUE"""),".50 Caliber Machine Gun (car)")</f>
        <v>.50 Caliber Machine Gun (car)</v>
      </c>
      <c r="B415" s="1" t="str">
        <f>IFERROR(__xludf.DUMMYFUNCTION("""COMPUTED_VALUE"""),"CarGun")</f>
        <v>CarGun</v>
      </c>
      <c r="C415" s="1"/>
      <c r="D415" s="1" t="str">
        <f>IFERROR(__xludf.DUMMYFUNCTION("""COMPUTED_VALUE"""),"Firearm")</f>
        <v>Firearm</v>
      </c>
      <c r="E415" s="1">
        <f>IFERROR(__xludf.DUMMYFUNCTION("""COMPUTED_VALUE"""),400.0)</f>
        <v>400</v>
      </c>
      <c r="F415" s="2">
        <f>IFERROR(__xludf.DUMMYFUNCTION("""COMPUTED_VALUE"""),7800000.0)</f>
        <v>7800000</v>
      </c>
      <c r="G415" s="1" t="str">
        <f>IFERROR(__xludf.DUMMYFUNCTION("""COMPUTED_VALUE"""),"DMG")</f>
        <v>DMG</v>
      </c>
      <c r="H415" s="3">
        <f>IFERROR(__xludf.DUMMYFUNCTION("""COMPUTED_VALUE"""),20000.0)</f>
        <v>20000</v>
      </c>
      <c r="I415" s="1"/>
      <c r="J415" s="1"/>
      <c r="K415" s="1"/>
      <c r="L415" s="1"/>
      <c r="M415" s="1"/>
      <c r="N415" s="1"/>
      <c r="O415" s="1"/>
      <c r="P415" s="1"/>
      <c r="Q415" s="1"/>
      <c r="R415" s="1"/>
      <c r="S415" s="1"/>
      <c r="T415" s="1"/>
      <c r="U415" s="1"/>
      <c r="V415" s="1"/>
      <c r="W415" s="1"/>
      <c r="X415" s="1"/>
      <c r="Y415" s="1"/>
      <c r="Z415" s="1"/>
      <c r="AA415" s="1"/>
      <c r="AB415" s="1"/>
      <c r="AC415" s="1"/>
      <c r="AD415" s="1"/>
      <c r="AE415" s="1"/>
      <c r="AF415" s="1" t="str">
        <f>IFERROR(__xludf.DUMMYFUNCTION("""COMPUTED_VALUE"""),"++Roll a d500 to see how many bullets are used when you attack with this weapon. +-Uses bullets. ++Damages 2 targets. ++Cannot Avoid.")</f>
        <v>++Roll a d500 to see how many bullets are used when you attack with this weapon. +-Uses bullets. ++Damages 2 targets. ++Cannot Avoid.</v>
      </c>
      <c r="AG415" s="1" t="str">
        <f>IFERROR(__xludf.DUMMYFUNCTION("""COMPUTED_VALUE"""),"Land of Spira")</f>
        <v>Land of Spira</v>
      </c>
      <c r="AH415" s="1" t="b">
        <f>IFERROR(__xludf.DUMMYFUNCTION("""COMPUTED_VALUE"""),FALSE)</f>
        <v>0</v>
      </c>
    </row>
    <row r="416">
      <c r="A416" s="1" t="str">
        <f>IFERROR(__xludf.DUMMYFUNCTION("""COMPUTED_VALUE"""),"Auto Turret")</f>
        <v>Auto Turret</v>
      </c>
      <c r="B416" s="1" t="str">
        <f>IFERROR(__xludf.DUMMYFUNCTION("""COMPUTED_VALUE"""),"CarGun")</f>
        <v>CarGun</v>
      </c>
      <c r="C416" s="1"/>
      <c r="D416" s="1" t="str">
        <f>IFERROR(__xludf.DUMMYFUNCTION("""COMPUTED_VALUE"""),"Firearm")</f>
        <v>Firearm</v>
      </c>
      <c r="E416" s="1">
        <f>IFERROR(__xludf.DUMMYFUNCTION("""COMPUTED_VALUE"""),800.0)</f>
        <v>800</v>
      </c>
      <c r="F416" s="2">
        <f>IFERROR(__xludf.DUMMYFUNCTION("""COMPUTED_VALUE"""),3.16E7)</f>
        <v>31600000</v>
      </c>
      <c r="G416" s="1" t="str">
        <f>IFERROR(__xludf.DUMMYFUNCTION("""COMPUTED_VALUE"""),"DMG")</f>
        <v>DMG</v>
      </c>
      <c r="H416" s="3">
        <f>IFERROR(__xludf.DUMMYFUNCTION("""COMPUTED_VALUE"""),40000.0)</f>
        <v>40000</v>
      </c>
      <c r="I416" s="1"/>
      <c r="J416" s="1"/>
      <c r="K416" s="1"/>
      <c r="L416" s="1"/>
      <c r="M416" s="1"/>
      <c r="N416" s="1"/>
      <c r="O416" s="1"/>
      <c r="P416" s="1"/>
      <c r="Q416" s="1"/>
      <c r="R416" s="1"/>
      <c r="S416" s="1"/>
      <c r="T416" s="1"/>
      <c r="U416" s="1"/>
      <c r="V416" s="1"/>
      <c r="W416" s="1"/>
      <c r="X416" s="1"/>
      <c r="Y416" s="1"/>
      <c r="Z416" s="1"/>
      <c r="AA416" s="1"/>
      <c r="AB416" s="1"/>
      <c r="AC416" s="1"/>
      <c r="AD416" s="1"/>
      <c r="AE416" s="1"/>
      <c r="AF416" s="1" t="str">
        <f>IFERROR(__xludf.DUMMYFUNCTION("""COMPUTED_VALUE"""),"++Does not take an action to use, Acts as if it has a turn order of its own. ++Has unlimited bullets. +-Uses bullets ++Roll a d1000 to see how many bullets are used. ++Damages all targets. ++Cannot avoid.")</f>
        <v>++Does not take an action to use, Acts as if it has a turn order of its own. ++Has unlimited bullets. +-Uses bullets ++Roll a d1000 to see how many bullets are used. ++Damages all targets. ++Cannot avoid.</v>
      </c>
      <c r="AG416" s="1" t="str">
        <f>IFERROR(__xludf.DUMMYFUNCTION("""COMPUTED_VALUE"""),"Land of Spira")</f>
        <v>Land of Spira</v>
      </c>
      <c r="AH416" s="1" t="b">
        <f>IFERROR(__xludf.DUMMYFUNCTION("""COMPUTED_VALUE"""),FALSE)</f>
        <v>0</v>
      </c>
    </row>
    <row r="417">
      <c r="A417" s="1" t="str">
        <f>IFERROR(__xludf.DUMMYFUNCTION("""COMPUTED_VALUE"""),"Lazer Infused Cannon")</f>
        <v>Lazer Infused Cannon</v>
      </c>
      <c r="B417" s="1" t="str">
        <f>IFERROR(__xludf.DUMMYFUNCTION("""COMPUTED_VALUE"""),"BoatGun")</f>
        <v>BoatGun</v>
      </c>
      <c r="C417" s="1"/>
      <c r="D417" s="1" t="str">
        <f>IFERROR(__xludf.DUMMYFUNCTION("""COMPUTED_VALUE"""),"Firearm")</f>
        <v>Firearm</v>
      </c>
      <c r="E417" s="1">
        <f>IFERROR(__xludf.DUMMYFUNCTION("""COMPUTED_VALUE"""),5000.0)</f>
        <v>5000</v>
      </c>
      <c r="F417" s="2">
        <f>IFERROR(__xludf.DUMMYFUNCTION("""COMPUTED_VALUE"""),1.2475E9)</f>
        <v>1247500000</v>
      </c>
      <c r="G417" s="1" t="str">
        <f>IFERROR(__xludf.DUMMYFUNCTION("""COMPUTED_VALUE"""),"DMG")</f>
        <v>DMG</v>
      </c>
      <c r="H417" s="1"/>
      <c r="I417" s="3">
        <f>IFERROR(__xludf.DUMMYFUNCTION("""COMPUTED_VALUE"""),250000.0)</f>
        <v>250000</v>
      </c>
      <c r="J417" s="1"/>
      <c r="K417" s="1"/>
      <c r="L417" s="1"/>
      <c r="M417" s="1"/>
      <c r="N417" s="1"/>
      <c r="O417" s="1"/>
      <c r="P417" s="1"/>
      <c r="Q417" s="1"/>
      <c r="R417" s="1"/>
      <c r="S417" s="1"/>
      <c r="T417" s="1"/>
      <c r="U417" s="1"/>
      <c r="V417" s="1"/>
      <c r="W417" s="1"/>
      <c r="X417" s="1"/>
      <c r="Y417" s="1"/>
      <c r="Z417" s="1"/>
      <c r="AA417" s="1"/>
      <c r="AB417" s="1"/>
      <c r="AC417" s="1"/>
      <c r="AD417" s="1"/>
      <c r="AE417" s="1"/>
      <c r="AF417" s="1" t="str">
        <f>IFERROR(__xludf.DUMMYFUNCTION("""COMPUTED_VALUE"""),"++Does not use Ammunition. ++Cannot avoid, ++Damages all enemies.")</f>
        <v>++Does not use Ammunition. ++Cannot avoid, ++Damages all enemies.</v>
      </c>
      <c r="AG417" s="1" t="str">
        <f>IFERROR(__xludf.DUMMYFUNCTION("""COMPUTED_VALUE"""),"Land of Spira")</f>
        <v>Land of Spira</v>
      </c>
      <c r="AH417" s="1" t="b">
        <f>IFERROR(__xludf.DUMMYFUNCTION("""COMPUTED_VALUE"""),FALSE)</f>
        <v>0</v>
      </c>
    </row>
    <row r="418">
      <c r="A418" s="1" t="str">
        <f>IFERROR(__xludf.DUMMYFUNCTION("""COMPUTED_VALUE"""),"Roof Mounted Turret")</f>
        <v>Roof Mounted Turret</v>
      </c>
      <c r="B418" s="1" t="str">
        <f>IFERROR(__xludf.DUMMYFUNCTION("""COMPUTED_VALUE"""),"CarGun")</f>
        <v>CarGun</v>
      </c>
      <c r="C418" s="1"/>
      <c r="D418" s="1" t="str">
        <f>IFERROR(__xludf.DUMMYFUNCTION("""COMPUTED_VALUE"""),"Firearm")</f>
        <v>Firearm</v>
      </c>
      <c r="E418" s="1">
        <f>IFERROR(__xludf.DUMMYFUNCTION("""COMPUTED_VALUE"""),500.0)</f>
        <v>500</v>
      </c>
      <c r="F418" s="2">
        <f>IFERROR(__xludf.DUMMYFUNCTION("""COMPUTED_VALUE"""),1.225E7)</f>
        <v>12250000</v>
      </c>
      <c r="G418" s="1" t="str">
        <f>IFERROR(__xludf.DUMMYFUNCTION("""COMPUTED_VALUE"""),"DMG")</f>
        <v>DMG</v>
      </c>
      <c r="H418" s="3">
        <f>IFERROR(__xludf.DUMMYFUNCTION("""COMPUTED_VALUE"""),25000.0)</f>
        <v>25000</v>
      </c>
      <c r="I418" s="1"/>
      <c r="J418" s="1"/>
      <c r="K418" s="1"/>
      <c r="L418" s="1"/>
      <c r="M418" s="1"/>
      <c r="N418" s="1"/>
      <c r="O418" s="1"/>
      <c r="P418" s="1"/>
      <c r="Q418" s="1"/>
      <c r="R418" s="1"/>
      <c r="S418" s="1"/>
      <c r="T418" s="1"/>
      <c r="U418" s="1"/>
      <c r="V418" s="1"/>
      <c r="W418" s="1"/>
      <c r="X418" s="1"/>
      <c r="Y418" s="1"/>
      <c r="Z418" s="1"/>
      <c r="AA418" s="1"/>
      <c r="AB418" s="1"/>
      <c r="AC418" s="1"/>
      <c r="AD418" s="1"/>
      <c r="AE418" s="1"/>
      <c r="AF418" s="1" t="str">
        <f>IFERROR(__xludf.DUMMYFUNCTION("""COMPUTED_VALUE"""),"++Roll a d500 to see how many bullets are used when you attack with this weapon. +-Uses bullets ++Damages up to 2 targets.")</f>
        <v>++Roll a d500 to see how many bullets are used when you attack with this weapon. +-Uses bullets ++Damages up to 2 targets.</v>
      </c>
      <c r="AG418" s="1" t="str">
        <f>IFERROR(__xludf.DUMMYFUNCTION("""COMPUTED_VALUE"""),"Land of Spira")</f>
        <v>Land of Spira</v>
      </c>
      <c r="AH418" s="1" t="b">
        <f>IFERROR(__xludf.DUMMYFUNCTION("""COMPUTED_VALUE"""),FALSE)</f>
        <v>0</v>
      </c>
    </row>
    <row r="419">
      <c r="A419" s="1" t="str">
        <f>IFERROR(__xludf.DUMMYFUNCTION("""COMPUTED_VALUE"""),".50 Caliber Machine Gun (boat)")</f>
        <v>.50 Caliber Machine Gun (boat)</v>
      </c>
      <c r="B419" s="1" t="str">
        <f>IFERROR(__xludf.DUMMYFUNCTION("""COMPUTED_VALUE"""),"BoatGun")</f>
        <v>BoatGun</v>
      </c>
      <c r="C419" s="1"/>
      <c r="D419" s="1" t="str">
        <f>IFERROR(__xludf.DUMMYFUNCTION("""COMPUTED_VALUE"""),"Firearm")</f>
        <v>Firearm</v>
      </c>
      <c r="E419" s="1">
        <f>IFERROR(__xludf.DUMMYFUNCTION("""COMPUTED_VALUE"""),500.0)</f>
        <v>500</v>
      </c>
      <c r="F419" s="2">
        <f>IFERROR(__xludf.DUMMYFUNCTION("""COMPUTED_VALUE"""),1.225E7)</f>
        <v>12250000</v>
      </c>
      <c r="G419" s="1" t="str">
        <f>IFERROR(__xludf.DUMMYFUNCTION("""COMPUTED_VALUE"""),"DMG")</f>
        <v>DMG</v>
      </c>
      <c r="H419" s="3">
        <f>IFERROR(__xludf.DUMMYFUNCTION("""COMPUTED_VALUE"""),25000.0)</f>
        <v>25000</v>
      </c>
      <c r="I419" s="1"/>
      <c r="J419" s="1"/>
      <c r="K419" s="1"/>
      <c r="L419" s="1"/>
      <c r="M419" s="1"/>
      <c r="N419" s="1"/>
      <c r="O419" s="1"/>
      <c r="P419" s="1"/>
      <c r="Q419" s="1"/>
      <c r="R419" s="1"/>
      <c r="S419" s="1"/>
      <c r="T419" s="1"/>
      <c r="U419" s="1"/>
      <c r="V419" s="1"/>
      <c r="W419" s="1"/>
      <c r="X419" s="1"/>
      <c r="Y419" s="1"/>
      <c r="Z419" s="1"/>
      <c r="AA419" s="1"/>
      <c r="AB419" s="1"/>
      <c r="AC419" s="1"/>
      <c r="AD419" s="1"/>
      <c r="AE419" s="1"/>
      <c r="AF419" s="1" t="str">
        <f>IFERROR(__xludf.DUMMYFUNCTION("""COMPUTED_VALUE"""),"++Roll a d500 to see how many bullets are used when you attack with this weapon. +-Uses bullets")</f>
        <v>++Roll a d500 to see how many bullets are used when you attack with this weapon. +-Uses bullets</v>
      </c>
      <c r="AG419" s="1" t="str">
        <f>IFERROR(__xludf.DUMMYFUNCTION("""COMPUTED_VALUE"""),"Land of Spira")</f>
        <v>Land of Spira</v>
      </c>
      <c r="AH419" s="1" t="b">
        <f>IFERROR(__xludf.DUMMYFUNCTION("""COMPUTED_VALUE"""),FALSE)</f>
        <v>0</v>
      </c>
    </row>
    <row r="420">
      <c r="A420" s="1" t="str">
        <f>IFERROR(__xludf.DUMMYFUNCTION("""COMPUTED_VALUE"""),"Missile Turret (car)")</f>
        <v>Missile Turret (car)</v>
      </c>
      <c r="B420" s="1" t="str">
        <f>IFERROR(__xludf.DUMMYFUNCTION("""COMPUTED_VALUE"""),"CarGun")</f>
        <v>CarGun</v>
      </c>
      <c r="C420" s="1"/>
      <c r="D420" s="1" t="str">
        <f>IFERROR(__xludf.DUMMYFUNCTION("""COMPUTED_VALUE"""),"Firearm")</f>
        <v>Firearm</v>
      </c>
      <c r="E420" s="1">
        <f>IFERROR(__xludf.DUMMYFUNCTION("""COMPUTED_VALUE"""),2000.0)</f>
        <v>2000</v>
      </c>
      <c r="F420" s="2">
        <f>IFERROR(__xludf.DUMMYFUNCTION("""COMPUTED_VALUE"""),1.99E8)</f>
        <v>199000000</v>
      </c>
      <c r="G420" s="1" t="str">
        <f>IFERROR(__xludf.DUMMYFUNCTION("""COMPUTED_VALUE"""),"DMG")</f>
        <v>DMG</v>
      </c>
      <c r="H420" s="3">
        <f>IFERROR(__xludf.DUMMYFUNCTION("""COMPUTED_VALUE"""),50000.0)</f>
        <v>50000</v>
      </c>
      <c r="I420" s="3">
        <f>IFERROR(__xludf.DUMMYFUNCTION("""COMPUTED_VALUE"""),50000.0)</f>
        <v>50000</v>
      </c>
      <c r="J420" s="1"/>
      <c r="K420" s="1"/>
      <c r="L420" s="1"/>
      <c r="M420" s="1"/>
      <c r="N420" s="1"/>
      <c r="O420" s="1"/>
      <c r="P420" s="1"/>
      <c r="Q420" s="1"/>
      <c r="R420" s="1"/>
      <c r="S420" s="1"/>
      <c r="T420" s="1"/>
      <c r="U420" s="1"/>
      <c r="V420" s="1"/>
      <c r="W420" s="1"/>
      <c r="X420" s="1"/>
      <c r="Y420" s="1"/>
      <c r="Z420" s="1"/>
      <c r="AA420" s="1"/>
      <c r="AB420" s="1"/>
      <c r="AC420" s="1"/>
      <c r="AD420" s="1"/>
      <c r="AE420" s="1"/>
      <c r="AF420" s="1" t="str">
        <f>IFERROR(__xludf.DUMMYFUNCTION("""COMPUTED_VALUE"""),"++Damages all enemies. +-Uses Missiles.")</f>
        <v>++Damages all enemies. +-Uses Missiles.</v>
      </c>
      <c r="AG420" s="1" t="str">
        <f>IFERROR(__xludf.DUMMYFUNCTION("""COMPUTED_VALUE"""),"Land of Spira")</f>
        <v>Land of Spira</v>
      </c>
      <c r="AH420" s="1" t="b">
        <f>IFERROR(__xludf.DUMMYFUNCTION("""COMPUTED_VALUE"""),FALSE)</f>
        <v>0</v>
      </c>
    </row>
    <row r="421">
      <c r="A421" s="1" t="str">
        <f>IFERROR(__xludf.DUMMYFUNCTION("""COMPUTED_VALUE"""),"Missile Turret (boat)")</f>
        <v>Missile Turret (boat)</v>
      </c>
      <c r="B421" s="1" t="str">
        <f>IFERROR(__xludf.DUMMYFUNCTION("""COMPUTED_VALUE"""),"BoatGun")</f>
        <v>BoatGun</v>
      </c>
      <c r="C421" s="1"/>
      <c r="D421" s="1" t="str">
        <f>IFERROR(__xludf.DUMMYFUNCTION("""COMPUTED_VALUE"""),"Firearm")</f>
        <v>Firearm</v>
      </c>
      <c r="E421" s="1">
        <f>IFERROR(__xludf.DUMMYFUNCTION("""COMPUTED_VALUE"""),2000.0)</f>
        <v>2000</v>
      </c>
      <c r="F421" s="2">
        <f>IFERROR(__xludf.DUMMYFUNCTION("""COMPUTED_VALUE"""),1.99E8)</f>
        <v>199000000</v>
      </c>
      <c r="G421" s="1" t="str">
        <f>IFERROR(__xludf.DUMMYFUNCTION("""COMPUTED_VALUE"""),"DMG")</f>
        <v>DMG</v>
      </c>
      <c r="H421" s="3">
        <f>IFERROR(__xludf.DUMMYFUNCTION("""COMPUTED_VALUE"""),50000.0)</f>
        <v>50000</v>
      </c>
      <c r="I421" s="3">
        <f>IFERROR(__xludf.DUMMYFUNCTION("""COMPUTED_VALUE"""),50000.0)</f>
        <v>50000</v>
      </c>
      <c r="J421" s="1"/>
      <c r="K421" s="1"/>
      <c r="L421" s="1"/>
      <c r="M421" s="1"/>
      <c r="N421" s="1"/>
      <c r="O421" s="1"/>
      <c r="P421" s="1"/>
      <c r="Q421" s="1"/>
      <c r="R421" s="1"/>
      <c r="S421" s="1"/>
      <c r="T421" s="1"/>
      <c r="U421" s="1"/>
      <c r="V421" s="1"/>
      <c r="W421" s="1"/>
      <c r="X421" s="1"/>
      <c r="Y421" s="1"/>
      <c r="Z421" s="1"/>
      <c r="AA421" s="1"/>
      <c r="AB421" s="1"/>
      <c r="AC421" s="1"/>
      <c r="AD421" s="1"/>
      <c r="AE421" s="1"/>
      <c r="AF421" s="1" t="str">
        <f>IFERROR(__xludf.DUMMYFUNCTION("""COMPUTED_VALUE"""),"++Damages all enemies. +-Uses Missiles.")</f>
        <v>++Damages all enemies. +-Uses Missiles.</v>
      </c>
      <c r="AG421" s="1" t="str">
        <f>IFERROR(__xludf.DUMMYFUNCTION("""COMPUTED_VALUE"""),"Land of Spira")</f>
        <v>Land of Spira</v>
      </c>
      <c r="AH421" s="1" t="b">
        <f>IFERROR(__xludf.DUMMYFUNCTION("""COMPUTED_VALUE"""),FALSE)</f>
        <v>0</v>
      </c>
    </row>
    <row r="422">
      <c r="A422" s="1" t="str">
        <f>IFERROR(__xludf.DUMMYFUNCTION("""COMPUTED_VALUE"""),"Royal Sword of Dragonia")</f>
        <v>Royal Sword of Dragonia</v>
      </c>
      <c r="B422" s="1" t="str">
        <f>IFERROR(__xludf.DUMMYFUNCTION("""COMPUTED_VALUE"""),"Hand")</f>
        <v>Hand</v>
      </c>
      <c r="C422" s="1"/>
      <c r="D422" s="1" t="str">
        <f>IFERROR(__xludf.DUMMYFUNCTION("""COMPUTED_VALUE"""),"Sword")</f>
        <v>Sword</v>
      </c>
      <c r="E422" s="1">
        <f>IFERROR(__xludf.DUMMYFUNCTION("""COMPUTED_VALUE"""),200.0)</f>
        <v>200</v>
      </c>
      <c r="F422" s="2">
        <f>IFERROR(__xludf.DUMMYFUNCTION("""COMPUTED_VALUE"""),7.98E8)</f>
        <v>798000000</v>
      </c>
      <c r="G422" s="1" t="str">
        <f>IFERROR(__xludf.DUMMYFUNCTION("""COMPUTED_VALUE"""),"DMG")</f>
        <v>DMG</v>
      </c>
      <c r="H422" s="3">
        <f>IFERROR(__xludf.DUMMYFUNCTION("""COMPUTED_VALUE"""),50000.0)</f>
        <v>50000</v>
      </c>
      <c r="I422" s="3">
        <f>IFERROR(__xludf.DUMMYFUNCTION("""COMPUTED_VALUE"""),50000.0)</f>
        <v>50000</v>
      </c>
      <c r="J422" s="1"/>
      <c r="K422" s="1"/>
      <c r="L422" s="1"/>
      <c r="M422" s="1"/>
      <c r="N422" s="1"/>
      <c r="O422" s="1"/>
      <c r="P422" s="1"/>
      <c r="Q422" s="3">
        <f>IFERROR(__xludf.DUMMYFUNCTION("""COMPUTED_VALUE"""),50000.0)</f>
        <v>50000</v>
      </c>
      <c r="R422" s="1"/>
      <c r="S422" s="1"/>
      <c r="T422" s="1"/>
      <c r="U422" s="1"/>
      <c r="V422" s="1"/>
      <c r="W422" s="1"/>
      <c r="X422" s="1"/>
      <c r="Y422" s="3">
        <f>IFERROR(__xludf.DUMMYFUNCTION("""COMPUTED_VALUE"""),25000.0)</f>
        <v>25000</v>
      </c>
      <c r="Z422" s="1"/>
      <c r="AA422" s="1"/>
      <c r="AB422" s="1"/>
      <c r="AC422" s="3">
        <f>IFERROR(__xludf.DUMMYFUNCTION("""COMPUTED_VALUE"""),25000.0)</f>
        <v>25000</v>
      </c>
      <c r="AD422" s="1"/>
      <c r="AE422" s="1"/>
      <c r="AF422" s="1" t="str">
        <f>IFERROR(__xludf.DUMMYFUNCTION("""COMPUTED_VALUE"""),"++Dragons Luck II: If you have a dragon companion with you during the current battle add ++5 to your turn order roll. +-Cannot be forged +-Cannot be duplicated")</f>
        <v>++Dragons Luck II: If you have a dragon companion with you during the current battle add ++5 to your turn order roll. +-Cannot be forged +-Cannot be duplicated</v>
      </c>
      <c r="AG422" s="1" t="str">
        <f>IFERROR(__xludf.DUMMYFUNCTION("""COMPUTED_VALUE"""),"Dragonscale Island")</f>
        <v>Dragonscale Island</v>
      </c>
      <c r="AH422" s="1" t="b">
        <f>IFERROR(__xludf.DUMMYFUNCTION("""COMPUTED_VALUE"""),FALSE)</f>
        <v>0</v>
      </c>
    </row>
    <row r="423">
      <c r="A423" s="1" t="str">
        <f>IFERROR(__xludf.DUMMYFUNCTION("""COMPUTED_VALUE"""),"Dragonian Helm")</f>
        <v>Dragonian Helm</v>
      </c>
      <c r="B423" s="1" t="str">
        <f>IFERROR(__xludf.DUMMYFUNCTION("""COMPUTED_VALUE"""),"Head")</f>
        <v>Head</v>
      </c>
      <c r="C423" s="1"/>
      <c r="D423" s="1" t="str">
        <f>IFERROR(__xludf.DUMMYFUNCTION("""COMPUTED_VALUE"""),"Sword")</f>
        <v>Sword</v>
      </c>
      <c r="E423" s="1">
        <f>IFERROR(__xludf.DUMMYFUNCTION("""COMPUTED_VALUE"""),200.0)</f>
        <v>200</v>
      </c>
      <c r="F423" s="2">
        <f>IFERROR(__xludf.DUMMYFUNCTION("""COMPUTED_VALUE"""),7.98E8)</f>
        <v>798000000</v>
      </c>
      <c r="G423" s="1" t="str">
        <f>IFERROR(__xludf.DUMMYFUNCTION("""COMPUTED_VALUE"""),"DEF")</f>
        <v>DEF</v>
      </c>
      <c r="H423" s="3">
        <f>IFERROR(__xludf.DUMMYFUNCTION("""COMPUTED_VALUE"""),50000.0)</f>
        <v>50000</v>
      </c>
      <c r="I423" s="3">
        <f>IFERROR(__xludf.DUMMYFUNCTION("""COMPUTED_VALUE"""),50000.0)</f>
        <v>50000</v>
      </c>
      <c r="J423" s="1"/>
      <c r="K423" s="1"/>
      <c r="L423" s="1"/>
      <c r="M423" s="1"/>
      <c r="N423" s="1"/>
      <c r="O423" s="1"/>
      <c r="P423" s="1"/>
      <c r="Q423" s="3">
        <f>IFERROR(__xludf.DUMMYFUNCTION("""COMPUTED_VALUE"""),50000.0)</f>
        <v>50000</v>
      </c>
      <c r="R423" s="1"/>
      <c r="S423" s="1"/>
      <c r="T423" s="1"/>
      <c r="U423" s="1"/>
      <c r="V423" s="1"/>
      <c r="W423" s="1"/>
      <c r="X423" s="1"/>
      <c r="Y423" s="3">
        <f>IFERROR(__xludf.DUMMYFUNCTION("""COMPUTED_VALUE"""),25000.0)</f>
        <v>25000</v>
      </c>
      <c r="Z423" s="1"/>
      <c r="AA423" s="1"/>
      <c r="AB423" s="1"/>
      <c r="AC423" s="3">
        <f>IFERROR(__xludf.DUMMYFUNCTION("""COMPUTED_VALUE"""),25000.0)</f>
        <v>25000</v>
      </c>
      <c r="AD423" s="1"/>
      <c r="AE423" s="1"/>
      <c r="AF423" s="1" t="str">
        <f>IFERROR(__xludf.DUMMYFUNCTION("""COMPUTED_VALUE"""),"++Dragons Armor: Damage dealt to the wearer by a dragon becomes halved. +-Cannot be forged +-Cannot be duplicated")</f>
        <v>++Dragons Armor: Damage dealt to the wearer by a dragon becomes halved. +-Cannot be forged +-Cannot be duplicated</v>
      </c>
      <c r="AG423" s="1" t="str">
        <f>IFERROR(__xludf.DUMMYFUNCTION("""COMPUTED_VALUE"""),"Dragonscale Island")</f>
        <v>Dragonscale Island</v>
      </c>
      <c r="AH423" s="1" t="b">
        <f>IFERROR(__xludf.DUMMYFUNCTION("""COMPUTED_VALUE"""),FALSE)</f>
        <v>0</v>
      </c>
    </row>
    <row r="424">
      <c r="A424" s="1" t="str">
        <f>IFERROR(__xludf.DUMMYFUNCTION("""COMPUTED_VALUE"""),"Dragonian Pauldrons")</f>
        <v>Dragonian Pauldrons</v>
      </c>
      <c r="B424" s="1" t="str">
        <f>IFERROR(__xludf.DUMMYFUNCTION("""COMPUTED_VALUE"""),"Shoulders")</f>
        <v>Shoulders</v>
      </c>
      <c r="C424" s="1"/>
      <c r="D424" s="1"/>
      <c r="E424" s="1">
        <f>IFERROR(__xludf.DUMMYFUNCTION("""COMPUTED_VALUE"""),200.0)</f>
        <v>200</v>
      </c>
      <c r="F424" s="2">
        <f>IFERROR(__xludf.DUMMYFUNCTION("""COMPUTED_VALUE"""),7.98E8)</f>
        <v>798000000</v>
      </c>
      <c r="G424" s="1" t="str">
        <f>IFERROR(__xludf.DUMMYFUNCTION("""COMPUTED_VALUE"""),"DEF")</f>
        <v>DEF</v>
      </c>
      <c r="H424" s="3">
        <f>IFERROR(__xludf.DUMMYFUNCTION("""COMPUTED_VALUE"""),50000.0)</f>
        <v>50000</v>
      </c>
      <c r="I424" s="3">
        <f>IFERROR(__xludf.DUMMYFUNCTION("""COMPUTED_VALUE"""),50000.0)</f>
        <v>50000</v>
      </c>
      <c r="J424" s="1"/>
      <c r="K424" s="1"/>
      <c r="L424" s="1"/>
      <c r="M424" s="1"/>
      <c r="N424" s="1"/>
      <c r="O424" s="1"/>
      <c r="P424" s="1"/>
      <c r="Q424" s="3">
        <f>IFERROR(__xludf.DUMMYFUNCTION("""COMPUTED_VALUE"""),50000.0)</f>
        <v>50000</v>
      </c>
      <c r="R424" s="1"/>
      <c r="S424" s="1"/>
      <c r="T424" s="1"/>
      <c r="U424" s="1"/>
      <c r="V424" s="1"/>
      <c r="W424" s="1"/>
      <c r="X424" s="1"/>
      <c r="Y424" s="3">
        <f>IFERROR(__xludf.DUMMYFUNCTION("""COMPUTED_VALUE"""),25000.0)</f>
        <v>25000</v>
      </c>
      <c r="Z424" s="1"/>
      <c r="AA424" s="1"/>
      <c r="AB424" s="1"/>
      <c r="AC424" s="3">
        <f>IFERROR(__xludf.DUMMYFUNCTION("""COMPUTED_VALUE"""),25000.0)</f>
        <v>25000</v>
      </c>
      <c r="AD424" s="1"/>
      <c r="AE424" s="1"/>
      <c r="AF424" s="1" t="str">
        <f>IFERROR(__xludf.DUMMYFUNCTION("""COMPUTED_VALUE"""),"++Dragons Armor: Damage dealt to the wearer by a dragon becomes halved. +-Cannot be forged +-Cannot be duplicated")</f>
        <v>++Dragons Armor: Damage dealt to the wearer by a dragon becomes halved. +-Cannot be forged +-Cannot be duplicated</v>
      </c>
      <c r="AG424" s="1" t="str">
        <f>IFERROR(__xludf.DUMMYFUNCTION("""COMPUTED_VALUE"""),"Dragonscale Island")</f>
        <v>Dragonscale Island</v>
      </c>
      <c r="AH424" s="1" t="b">
        <f>IFERROR(__xludf.DUMMYFUNCTION("""COMPUTED_VALUE"""),FALSE)</f>
        <v>0</v>
      </c>
    </row>
    <row r="425">
      <c r="A425" s="1" t="str">
        <f>IFERROR(__xludf.DUMMYFUNCTION("""COMPUTED_VALUE"""),"Dragonian Chestplate")</f>
        <v>Dragonian Chestplate</v>
      </c>
      <c r="B425" s="1" t="str">
        <f>IFERROR(__xludf.DUMMYFUNCTION("""COMPUTED_VALUE"""),"Torso")</f>
        <v>Torso</v>
      </c>
      <c r="C425" s="1"/>
      <c r="D425" s="1"/>
      <c r="E425" s="1">
        <f>IFERROR(__xludf.DUMMYFUNCTION("""COMPUTED_VALUE"""),200.0)</f>
        <v>200</v>
      </c>
      <c r="F425" s="2">
        <f>IFERROR(__xludf.DUMMYFUNCTION("""COMPUTED_VALUE"""),7.98E8)</f>
        <v>798000000</v>
      </c>
      <c r="G425" s="1" t="str">
        <f>IFERROR(__xludf.DUMMYFUNCTION("""COMPUTED_VALUE"""),"DEF")</f>
        <v>DEF</v>
      </c>
      <c r="H425" s="3">
        <f>IFERROR(__xludf.DUMMYFUNCTION("""COMPUTED_VALUE"""),50000.0)</f>
        <v>50000</v>
      </c>
      <c r="I425" s="3">
        <f>IFERROR(__xludf.DUMMYFUNCTION("""COMPUTED_VALUE"""),50000.0)</f>
        <v>50000</v>
      </c>
      <c r="J425" s="1"/>
      <c r="K425" s="1"/>
      <c r="L425" s="1"/>
      <c r="M425" s="1"/>
      <c r="N425" s="1"/>
      <c r="O425" s="1"/>
      <c r="P425" s="1"/>
      <c r="Q425" s="3">
        <f>IFERROR(__xludf.DUMMYFUNCTION("""COMPUTED_VALUE"""),50000.0)</f>
        <v>50000</v>
      </c>
      <c r="R425" s="1"/>
      <c r="S425" s="1"/>
      <c r="T425" s="1"/>
      <c r="U425" s="1"/>
      <c r="V425" s="1"/>
      <c r="W425" s="1"/>
      <c r="X425" s="1"/>
      <c r="Y425" s="3">
        <f>IFERROR(__xludf.DUMMYFUNCTION("""COMPUTED_VALUE"""),25000.0)</f>
        <v>25000</v>
      </c>
      <c r="Z425" s="1"/>
      <c r="AA425" s="1"/>
      <c r="AB425" s="1"/>
      <c r="AC425" s="3">
        <f>IFERROR(__xludf.DUMMYFUNCTION("""COMPUTED_VALUE"""),25000.0)</f>
        <v>25000</v>
      </c>
      <c r="AD425" s="1"/>
      <c r="AE425" s="1"/>
      <c r="AF425" s="1" t="str">
        <f>IFERROR(__xludf.DUMMYFUNCTION("""COMPUTED_VALUE"""),"++Dragons Armor: Damage dealt to the wearer by a dragon becomes halved. +-Cannot be forged +-Cannot be duplicated")</f>
        <v>++Dragons Armor: Damage dealt to the wearer by a dragon becomes halved. +-Cannot be forged +-Cannot be duplicated</v>
      </c>
      <c r="AG425" s="1" t="str">
        <f>IFERROR(__xludf.DUMMYFUNCTION("""COMPUTED_VALUE"""),"Dragonscale Island")</f>
        <v>Dragonscale Island</v>
      </c>
      <c r="AH425" s="1" t="b">
        <f>IFERROR(__xludf.DUMMYFUNCTION("""COMPUTED_VALUE"""),FALSE)</f>
        <v>0</v>
      </c>
    </row>
    <row r="426">
      <c r="A426" s="1" t="str">
        <f>IFERROR(__xludf.DUMMYFUNCTION("""COMPUTED_VALUE"""),"Dragonian Vambraces")</f>
        <v>Dragonian Vambraces</v>
      </c>
      <c r="B426" s="1" t="str">
        <f>IFERROR(__xludf.DUMMYFUNCTION("""COMPUTED_VALUE"""),"Arms")</f>
        <v>Arms</v>
      </c>
      <c r="C426" s="1"/>
      <c r="D426" s="1"/>
      <c r="E426" s="1">
        <f>IFERROR(__xludf.DUMMYFUNCTION("""COMPUTED_VALUE"""),200.0)</f>
        <v>200</v>
      </c>
      <c r="F426" s="2">
        <f>IFERROR(__xludf.DUMMYFUNCTION("""COMPUTED_VALUE"""),7.98E8)</f>
        <v>798000000</v>
      </c>
      <c r="G426" s="1" t="str">
        <f>IFERROR(__xludf.DUMMYFUNCTION("""COMPUTED_VALUE"""),"DEF")</f>
        <v>DEF</v>
      </c>
      <c r="H426" s="3">
        <f>IFERROR(__xludf.DUMMYFUNCTION("""COMPUTED_VALUE"""),50000.0)</f>
        <v>50000</v>
      </c>
      <c r="I426" s="3">
        <f>IFERROR(__xludf.DUMMYFUNCTION("""COMPUTED_VALUE"""),50000.0)</f>
        <v>50000</v>
      </c>
      <c r="J426" s="1"/>
      <c r="K426" s="1"/>
      <c r="L426" s="1"/>
      <c r="M426" s="1"/>
      <c r="N426" s="1"/>
      <c r="O426" s="1"/>
      <c r="P426" s="1"/>
      <c r="Q426" s="3">
        <f>IFERROR(__xludf.DUMMYFUNCTION("""COMPUTED_VALUE"""),50000.0)</f>
        <v>50000</v>
      </c>
      <c r="R426" s="1"/>
      <c r="S426" s="1"/>
      <c r="T426" s="1"/>
      <c r="U426" s="1"/>
      <c r="V426" s="1"/>
      <c r="W426" s="1"/>
      <c r="X426" s="1"/>
      <c r="Y426" s="3">
        <f>IFERROR(__xludf.DUMMYFUNCTION("""COMPUTED_VALUE"""),25000.0)</f>
        <v>25000</v>
      </c>
      <c r="Z426" s="1"/>
      <c r="AA426" s="1"/>
      <c r="AB426" s="1"/>
      <c r="AC426" s="3">
        <f>IFERROR(__xludf.DUMMYFUNCTION("""COMPUTED_VALUE"""),25000.0)</f>
        <v>25000</v>
      </c>
      <c r="AD426" s="1"/>
      <c r="AE426" s="1"/>
      <c r="AF426" s="1" t="str">
        <f>IFERROR(__xludf.DUMMYFUNCTION("""COMPUTED_VALUE"""),"++Dragons Armor: Damage dealt to the wearer by a dragon becomes halved. +-Cannot be forged +-Cannot be duplicated")</f>
        <v>++Dragons Armor: Damage dealt to the wearer by a dragon becomes halved. +-Cannot be forged +-Cannot be duplicated</v>
      </c>
      <c r="AG426" s="1" t="str">
        <f>IFERROR(__xludf.DUMMYFUNCTION("""COMPUTED_VALUE"""),"Dragonscale Island")</f>
        <v>Dragonscale Island</v>
      </c>
      <c r="AH426" s="1" t="b">
        <f>IFERROR(__xludf.DUMMYFUNCTION("""COMPUTED_VALUE"""),FALSE)</f>
        <v>0</v>
      </c>
    </row>
    <row r="427">
      <c r="A427" s="1" t="str">
        <f>IFERROR(__xludf.DUMMYFUNCTION("""COMPUTED_VALUE"""),"Dragonian Greaves")</f>
        <v>Dragonian Greaves</v>
      </c>
      <c r="B427" s="1" t="str">
        <f>IFERROR(__xludf.DUMMYFUNCTION("""COMPUTED_VALUE"""),"Legs")</f>
        <v>Legs</v>
      </c>
      <c r="C427" s="1"/>
      <c r="D427" s="1"/>
      <c r="E427" s="1">
        <f>IFERROR(__xludf.DUMMYFUNCTION("""COMPUTED_VALUE"""),200.0)</f>
        <v>200</v>
      </c>
      <c r="F427" s="2">
        <f>IFERROR(__xludf.DUMMYFUNCTION("""COMPUTED_VALUE"""),7.98E8)</f>
        <v>798000000</v>
      </c>
      <c r="G427" s="1" t="str">
        <f>IFERROR(__xludf.DUMMYFUNCTION("""COMPUTED_VALUE"""),"DEF")</f>
        <v>DEF</v>
      </c>
      <c r="H427" s="3">
        <f>IFERROR(__xludf.DUMMYFUNCTION("""COMPUTED_VALUE"""),50000.0)</f>
        <v>50000</v>
      </c>
      <c r="I427" s="3">
        <f>IFERROR(__xludf.DUMMYFUNCTION("""COMPUTED_VALUE"""),50000.0)</f>
        <v>50000</v>
      </c>
      <c r="J427" s="1"/>
      <c r="K427" s="1"/>
      <c r="L427" s="1"/>
      <c r="M427" s="1"/>
      <c r="N427" s="1"/>
      <c r="O427" s="1"/>
      <c r="P427" s="1"/>
      <c r="Q427" s="3">
        <f>IFERROR(__xludf.DUMMYFUNCTION("""COMPUTED_VALUE"""),50000.0)</f>
        <v>50000</v>
      </c>
      <c r="R427" s="1"/>
      <c r="S427" s="1"/>
      <c r="T427" s="1"/>
      <c r="U427" s="1"/>
      <c r="V427" s="1"/>
      <c r="W427" s="1"/>
      <c r="X427" s="1"/>
      <c r="Y427" s="3">
        <f>IFERROR(__xludf.DUMMYFUNCTION("""COMPUTED_VALUE"""),25000.0)</f>
        <v>25000</v>
      </c>
      <c r="Z427" s="1"/>
      <c r="AA427" s="1"/>
      <c r="AB427" s="1"/>
      <c r="AC427" s="3">
        <f>IFERROR(__xludf.DUMMYFUNCTION("""COMPUTED_VALUE"""),25000.0)</f>
        <v>25000</v>
      </c>
      <c r="AD427" s="1"/>
      <c r="AE427" s="1"/>
      <c r="AF427" s="1" t="str">
        <f>IFERROR(__xludf.DUMMYFUNCTION("""COMPUTED_VALUE"""),"++Dragons Armor: Damage dealt to the wearer by a dragon becomes halved. +-Cannot be forged +-Cannot be duplicated")</f>
        <v>++Dragons Armor: Damage dealt to the wearer by a dragon becomes halved. +-Cannot be forged +-Cannot be duplicated</v>
      </c>
      <c r="AG427" s="1" t="str">
        <f>IFERROR(__xludf.DUMMYFUNCTION("""COMPUTED_VALUE"""),"Dragonscale Island")</f>
        <v>Dragonscale Island</v>
      </c>
      <c r="AH427" s="1" t="b">
        <f>IFERROR(__xludf.DUMMYFUNCTION("""COMPUTED_VALUE"""),FALSE)</f>
        <v>0</v>
      </c>
    </row>
    <row r="428">
      <c r="A428" s="1" t="str">
        <f>IFERROR(__xludf.DUMMYFUNCTION("""COMPUTED_VALUE"""),"Dragonian Boots")</f>
        <v>Dragonian Boots</v>
      </c>
      <c r="B428" s="1" t="str">
        <f>IFERROR(__xludf.DUMMYFUNCTION("""COMPUTED_VALUE"""),"Feet")</f>
        <v>Feet</v>
      </c>
      <c r="C428" s="1"/>
      <c r="D428" s="1"/>
      <c r="E428" s="1">
        <f>IFERROR(__xludf.DUMMYFUNCTION("""COMPUTED_VALUE"""),200.0)</f>
        <v>200</v>
      </c>
      <c r="F428" s="2">
        <f>IFERROR(__xludf.DUMMYFUNCTION("""COMPUTED_VALUE"""),7.98E8)</f>
        <v>798000000</v>
      </c>
      <c r="G428" s="1" t="str">
        <f>IFERROR(__xludf.DUMMYFUNCTION("""COMPUTED_VALUE"""),"DEF")</f>
        <v>DEF</v>
      </c>
      <c r="H428" s="3">
        <f>IFERROR(__xludf.DUMMYFUNCTION("""COMPUTED_VALUE"""),50000.0)</f>
        <v>50000</v>
      </c>
      <c r="I428" s="3">
        <f>IFERROR(__xludf.DUMMYFUNCTION("""COMPUTED_VALUE"""),50000.0)</f>
        <v>50000</v>
      </c>
      <c r="J428" s="1"/>
      <c r="K428" s="1"/>
      <c r="L428" s="1"/>
      <c r="M428" s="1"/>
      <c r="N428" s="1"/>
      <c r="O428" s="1"/>
      <c r="P428" s="1"/>
      <c r="Q428" s="3">
        <f>IFERROR(__xludf.DUMMYFUNCTION("""COMPUTED_VALUE"""),50000.0)</f>
        <v>50000</v>
      </c>
      <c r="R428" s="1"/>
      <c r="S428" s="1"/>
      <c r="T428" s="1"/>
      <c r="U428" s="1"/>
      <c r="V428" s="1"/>
      <c r="W428" s="1"/>
      <c r="X428" s="1"/>
      <c r="Y428" s="3">
        <f>IFERROR(__xludf.DUMMYFUNCTION("""COMPUTED_VALUE"""),25000.0)</f>
        <v>25000</v>
      </c>
      <c r="Z428" s="1"/>
      <c r="AA428" s="1"/>
      <c r="AB428" s="1"/>
      <c r="AC428" s="3">
        <f>IFERROR(__xludf.DUMMYFUNCTION("""COMPUTED_VALUE"""),25000.0)</f>
        <v>25000</v>
      </c>
      <c r="AD428" s="1"/>
      <c r="AE428" s="1"/>
      <c r="AF428" s="1" t="str">
        <f>IFERROR(__xludf.DUMMYFUNCTION("""COMPUTED_VALUE"""),"++Dragons Armor: Damage dealt to the wearer by a dragon becomes halved. +-Cannot be forged +-Cannot be duplicated")</f>
        <v>++Dragons Armor: Damage dealt to the wearer by a dragon becomes halved. +-Cannot be forged +-Cannot be duplicated</v>
      </c>
      <c r="AG428" s="1" t="str">
        <f>IFERROR(__xludf.DUMMYFUNCTION("""COMPUTED_VALUE"""),"Dragonscale Island")</f>
        <v>Dragonscale Island</v>
      </c>
      <c r="AH428" s="1" t="b">
        <f>IFERROR(__xludf.DUMMYFUNCTION("""COMPUTED_VALUE"""),FALSE)</f>
        <v>0</v>
      </c>
    </row>
    <row r="429">
      <c r="A429" s="1" t="str">
        <f>IFERROR(__xludf.DUMMYFUNCTION("""COMPUTED_VALUE"""),"Dragonian Pendent")</f>
        <v>Dragonian Pendent</v>
      </c>
      <c r="B429" s="1" t="str">
        <f>IFERROR(__xludf.DUMMYFUNCTION("""COMPUTED_VALUE"""),"Neck")</f>
        <v>Neck</v>
      </c>
      <c r="C429" s="1"/>
      <c r="D429" s="1"/>
      <c r="E429" s="1">
        <f>IFERROR(__xludf.DUMMYFUNCTION("""COMPUTED_VALUE"""),200.0)</f>
        <v>200</v>
      </c>
      <c r="F429" s="2">
        <f>IFERROR(__xludf.DUMMYFUNCTION("""COMPUTED_VALUE"""),4350000.0)</f>
        <v>4350000</v>
      </c>
      <c r="G429" s="1" t="str">
        <f>IFERROR(__xludf.DUMMYFUNCTION("""COMPUTED_VALUE"""),"DEF")</f>
        <v>DEF</v>
      </c>
      <c r="H429" s="1"/>
      <c r="I429" s="1"/>
      <c r="J429" s="1"/>
      <c r="K429" s="1"/>
      <c r="L429" s="1"/>
      <c r="M429" s="1"/>
      <c r="N429" s="1"/>
      <c r="O429" s="1"/>
      <c r="P429" s="1"/>
      <c r="Q429" s="1"/>
      <c r="R429" s="1"/>
      <c r="S429" s="1"/>
      <c r="T429" s="1"/>
      <c r="U429" s="1"/>
      <c r="V429" s="1"/>
      <c r="W429" s="1"/>
      <c r="X429" s="1"/>
      <c r="Y429" s="1"/>
      <c r="Z429" s="1"/>
      <c r="AA429" s="1"/>
      <c r="AB429" s="1"/>
      <c r="AC429" s="3">
        <f>IFERROR(__xludf.DUMMYFUNCTION("""COMPUTED_VALUE"""),15000.0)</f>
        <v>15000</v>
      </c>
      <c r="AD429" s="1"/>
      <c r="AE429" s="1"/>
      <c r="AF429" s="1" t="str">
        <f>IFERROR(__xludf.DUMMYFUNCTION("""COMPUTED_VALUE"""),"++Dragon Dealer: Damage dealt to dragons by the wearer is increased by X4. +-Cannot be forged +-Cannot be duplicated")</f>
        <v>++Dragon Dealer: Damage dealt to dragons by the wearer is increased by X4. +-Cannot be forged +-Cannot be duplicated</v>
      </c>
      <c r="AG429" s="1" t="str">
        <f>IFERROR(__xludf.DUMMYFUNCTION("""COMPUTED_VALUE"""),"Dragonscale Island")</f>
        <v>Dragonscale Island</v>
      </c>
      <c r="AH429" s="1" t="b">
        <f>IFERROR(__xludf.DUMMYFUNCTION("""COMPUTED_VALUE"""),FALSE)</f>
        <v>0</v>
      </c>
    </row>
    <row r="430">
      <c r="A430" s="1" t="str">
        <f>IFERROR(__xludf.DUMMYFUNCTION("""COMPUTED_VALUE"""),"Dragonian Ring")</f>
        <v>Dragonian Ring</v>
      </c>
      <c r="B430" s="1" t="str">
        <f>IFERROR(__xludf.DUMMYFUNCTION("""COMPUTED_VALUE"""),"Ring")</f>
        <v>Ring</v>
      </c>
      <c r="C430" s="1"/>
      <c r="D430" s="1"/>
      <c r="E430" s="1">
        <f>IFERROR(__xludf.DUMMYFUNCTION("""COMPUTED_VALUE"""),200.0)</f>
        <v>200</v>
      </c>
      <c r="F430" s="2">
        <f>IFERROR(__xludf.DUMMYFUNCTION("""COMPUTED_VALUE"""),4350000.0)</f>
        <v>4350000</v>
      </c>
      <c r="G430" s="1" t="str">
        <f>IFERROR(__xludf.DUMMYFUNCTION("""COMPUTED_VALUE"""),"DEF")</f>
        <v>DEF</v>
      </c>
      <c r="H430" s="1"/>
      <c r="I430" s="1"/>
      <c r="J430" s="1"/>
      <c r="K430" s="1"/>
      <c r="L430" s="1"/>
      <c r="M430" s="1"/>
      <c r="N430" s="1"/>
      <c r="O430" s="1"/>
      <c r="P430" s="1"/>
      <c r="Q430" s="1"/>
      <c r="R430" s="1"/>
      <c r="S430" s="1"/>
      <c r="T430" s="1"/>
      <c r="U430" s="1"/>
      <c r="V430" s="1"/>
      <c r="W430" s="1"/>
      <c r="X430" s="1"/>
      <c r="Y430" s="1"/>
      <c r="Z430" s="1"/>
      <c r="AA430" s="1"/>
      <c r="AB430" s="1"/>
      <c r="AC430" s="3">
        <f>IFERROR(__xludf.DUMMYFUNCTION("""COMPUTED_VALUE"""),15000.0)</f>
        <v>15000</v>
      </c>
      <c r="AD430" s="1"/>
      <c r="AE430" s="1"/>
      <c r="AF430" s="1" t="str">
        <f>IFERROR(__xludf.DUMMYFUNCTION("""COMPUTED_VALUE"""),"++Dragon Dealer: Damage dealt to dragons by the wearer is increased by X4. +-Cannot be forged +-Cannot be duplicated")</f>
        <v>++Dragon Dealer: Damage dealt to dragons by the wearer is increased by X4. +-Cannot be forged +-Cannot be duplicated</v>
      </c>
      <c r="AG430" s="1" t="str">
        <f>IFERROR(__xludf.DUMMYFUNCTION("""COMPUTED_VALUE"""),"Dragonscale Island")</f>
        <v>Dragonscale Island</v>
      </c>
      <c r="AH430" s="1" t="b">
        <f>IFERROR(__xludf.DUMMYFUNCTION("""COMPUTED_VALUE"""),FALSE)</f>
        <v>0</v>
      </c>
    </row>
    <row r="431">
      <c r="A431" s="1" t="str">
        <f>IFERROR(__xludf.DUMMYFUNCTION("""COMPUTED_VALUE"""),"Fishing Pole of Luck and Power")</f>
        <v>Fishing Pole of Luck and Power</v>
      </c>
      <c r="B431" s="1" t="str">
        <f>IFERROR(__xludf.DUMMYFUNCTION("""COMPUTED_VALUE"""),"Hand")</f>
        <v>Hand</v>
      </c>
      <c r="C431" s="1"/>
      <c r="D431" s="1" t="str">
        <f>IFERROR(__xludf.DUMMYFUNCTION("""COMPUTED_VALUE"""),"Club")</f>
        <v>Club</v>
      </c>
      <c r="E431" s="1">
        <f>IFERROR(__xludf.DUMMYFUNCTION("""COMPUTED_VALUE"""),1600.0)</f>
        <v>1600</v>
      </c>
      <c r="F431" s="2">
        <f>IFERROR(__xludf.DUMMYFUNCTION("""COMPUTED_VALUE"""),1.272E8)</f>
        <v>127200000</v>
      </c>
      <c r="G431" s="1" t="str">
        <f>IFERROR(__xludf.DUMMYFUNCTION("""COMPUTED_VALUE"""),"DMG")</f>
        <v>DMG</v>
      </c>
      <c r="H431" s="3">
        <f>IFERROR(__xludf.DUMMYFUNCTION("""COMPUTED_VALUE"""),20000.0)</f>
        <v>20000</v>
      </c>
      <c r="I431" s="3">
        <f>IFERROR(__xludf.DUMMYFUNCTION("""COMPUTED_VALUE"""),20000.0)</f>
        <v>20000</v>
      </c>
      <c r="J431" s="1"/>
      <c r="K431" s="3">
        <f>IFERROR(__xludf.DUMMYFUNCTION("""COMPUTED_VALUE"""),20000.0)</f>
        <v>20000</v>
      </c>
      <c r="L431" s="3">
        <f>IFERROR(__xludf.DUMMYFUNCTION("""COMPUTED_VALUE"""),20000.0)</f>
        <v>20000</v>
      </c>
      <c r="M431" s="1"/>
      <c r="N431" s="1"/>
      <c r="O431" s="1"/>
      <c r="P431" s="1"/>
      <c r="Q431" s="1"/>
      <c r="R431" s="1"/>
      <c r="S431" s="1"/>
      <c r="T431" s="1"/>
      <c r="U431" s="1"/>
      <c r="V431" s="1"/>
      <c r="W431" s="1"/>
      <c r="X431" s="1"/>
      <c r="Y431" s="1"/>
      <c r="Z431" s="1"/>
      <c r="AA431" s="1"/>
      <c r="AB431" s="1"/>
      <c r="AC431" s="1"/>
      <c r="AD431" s="1"/>
      <c r="AE431" s="1"/>
      <c r="AF431" s="1" t="str">
        <f>IFERROR(__xludf.DUMMYFUNCTION("""COMPUTED_VALUE"""),"++Can be used as a weapon or to fish, Will cook fish that are caught. ++When you deal damage to a target with this item it will have a 50% chance to remove them from battle.")</f>
        <v>++Can be used as a weapon or to fish, Will cook fish that are caught. ++When you deal damage to a target with this item it will have a 50% chance to remove them from battle.</v>
      </c>
      <c r="AG431" s="1" t="str">
        <f>IFERROR(__xludf.DUMMYFUNCTION("""COMPUTED_VALUE"""),"Land of Spira")</f>
        <v>Land of Spira</v>
      </c>
      <c r="AH431" s="1" t="b">
        <f>IFERROR(__xludf.DUMMYFUNCTION("""COMPUTED_VALUE"""),FALSE)</f>
        <v>0</v>
      </c>
    </row>
    <row r="432">
      <c r="A432" s="1" t="str">
        <f>IFERROR(__xludf.DUMMYFUNCTION("""COMPUTED_VALUE"""),"Ancient Oni Pauldrons")</f>
        <v>Ancient Oni Pauldrons</v>
      </c>
      <c r="B432" s="1" t="str">
        <f>IFERROR(__xludf.DUMMYFUNCTION("""COMPUTED_VALUE"""),"Shoulders")</f>
        <v>Shoulders</v>
      </c>
      <c r="C432" s="1" t="str">
        <f>IFERROR(__xludf.DUMMYFUNCTION("""COMPUTED_VALUE"""),"An ancient relic to Zhenmay")</f>
        <v>An ancient relic to Zhenmay</v>
      </c>
      <c r="D432" s="1"/>
      <c r="E432" s="1">
        <f>IFERROR(__xludf.DUMMYFUNCTION("""COMPUTED_VALUE"""),200.0)</f>
        <v>200</v>
      </c>
      <c r="F432" s="2">
        <f>IFERROR(__xludf.DUMMYFUNCTION("""COMPUTED_VALUE"""),5.104E8)</f>
        <v>510400000</v>
      </c>
      <c r="G432" s="1" t="str">
        <f>IFERROR(__xludf.DUMMYFUNCTION("""COMPUTED_VALUE"""),"DEF")</f>
        <v>DEF</v>
      </c>
      <c r="H432" s="3">
        <f>IFERROR(__xludf.DUMMYFUNCTION("""COMPUTED_VALUE"""),10000.0)</f>
        <v>10000</v>
      </c>
      <c r="I432" s="3">
        <f>IFERROR(__xludf.DUMMYFUNCTION("""COMPUTED_VALUE"""),10000.0)</f>
        <v>10000</v>
      </c>
      <c r="J432" s="3">
        <f>IFERROR(__xludf.DUMMYFUNCTION("""COMPUTED_VALUE"""),10000.0)</f>
        <v>10000</v>
      </c>
      <c r="K432" s="3">
        <f>IFERROR(__xludf.DUMMYFUNCTION("""COMPUTED_VALUE"""),10000.0)</f>
        <v>10000</v>
      </c>
      <c r="L432" s="3">
        <f>IFERROR(__xludf.DUMMYFUNCTION("""COMPUTED_VALUE"""),10000.0)</f>
        <v>10000</v>
      </c>
      <c r="M432" s="3">
        <f>IFERROR(__xludf.DUMMYFUNCTION("""COMPUTED_VALUE"""),10000.0)</f>
        <v>10000</v>
      </c>
      <c r="N432" s="3">
        <f>IFERROR(__xludf.DUMMYFUNCTION("""COMPUTED_VALUE"""),10000.0)</f>
        <v>10000</v>
      </c>
      <c r="O432" s="3">
        <f>IFERROR(__xludf.DUMMYFUNCTION("""COMPUTED_VALUE"""),10000.0)</f>
        <v>10000</v>
      </c>
      <c r="P432" s="3">
        <f>IFERROR(__xludf.DUMMYFUNCTION("""COMPUTED_VALUE"""),10000.0)</f>
        <v>10000</v>
      </c>
      <c r="Q432" s="3">
        <f>IFERROR(__xludf.DUMMYFUNCTION("""COMPUTED_VALUE"""),10000.0)</f>
        <v>10000</v>
      </c>
      <c r="R432" s="3">
        <f>IFERROR(__xludf.DUMMYFUNCTION("""COMPUTED_VALUE"""),10000.0)</f>
        <v>10000</v>
      </c>
      <c r="S432" s="3">
        <f>IFERROR(__xludf.DUMMYFUNCTION("""COMPUTED_VALUE"""),10000.0)</f>
        <v>10000</v>
      </c>
      <c r="T432" s="1"/>
      <c r="U432" s="1"/>
      <c r="V432" s="1"/>
      <c r="W432" s="1"/>
      <c r="X432" s="3">
        <f>IFERROR(__xludf.DUMMYFUNCTION("""COMPUTED_VALUE"""),10000.0)</f>
        <v>10000</v>
      </c>
      <c r="Y432" s="3">
        <f>IFERROR(__xludf.DUMMYFUNCTION("""COMPUTED_VALUE"""),10000.0)</f>
        <v>10000</v>
      </c>
      <c r="Z432" s="1"/>
      <c r="AA432" s="1"/>
      <c r="AB432" s="3">
        <f>IFERROR(__xludf.DUMMYFUNCTION("""COMPUTED_VALUE"""),10000.0)</f>
        <v>10000</v>
      </c>
      <c r="AC432" s="3">
        <f>IFERROR(__xludf.DUMMYFUNCTION("""COMPUTED_VALUE"""),10000.0)</f>
        <v>10000</v>
      </c>
      <c r="AD432" s="1"/>
      <c r="AE432" s="1"/>
      <c r="AF432" s="1" t="str">
        <f>IFERROR(__xludf.DUMMYFUNCTION("""COMPUTED_VALUE"""),"++X2 damage for all elements. +-Only Samurai's, Monks, and Ninjas can equip. +-Cannot be forged +-Cannot be duplicated")</f>
        <v>++X2 damage for all elements. +-Only Samurai's, Monks, and Ninjas can equip. +-Cannot be forged +-Cannot be duplicated</v>
      </c>
      <c r="AG432" s="1" t="str">
        <f>IFERROR(__xludf.DUMMYFUNCTION("""COMPUTED_VALUE"""),"Land of Spira")</f>
        <v>Land of Spira</v>
      </c>
      <c r="AH432" s="1" t="b">
        <f>IFERROR(__xludf.DUMMYFUNCTION("""COMPUTED_VALUE"""),FALSE)</f>
        <v>0</v>
      </c>
    </row>
    <row r="433">
      <c r="A433" s="1" t="str">
        <f>IFERROR(__xludf.DUMMYFUNCTION("""COMPUTED_VALUE"""),"Ancient Oni Vambraces")</f>
        <v>Ancient Oni Vambraces</v>
      </c>
      <c r="B433" s="1" t="str">
        <f>IFERROR(__xludf.DUMMYFUNCTION("""COMPUTED_VALUE"""),"Arms")</f>
        <v>Arms</v>
      </c>
      <c r="C433" s="1" t="str">
        <f>IFERROR(__xludf.DUMMYFUNCTION("""COMPUTED_VALUE"""),"An ancient relic to Zhenmay")</f>
        <v>An ancient relic to Zhenmay</v>
      </c>
      <c r="D433" s="1"/>
      <c r="E433" s="1">
        <f>IFERROR(__xludf.DUMMYFUNCTION("""COMPUTED_VALUE"""),200.0)</f>
        <v>200</v>
      </c>
      <c r="F433" s="2">
        <f>IFERROR(__xludf.DUMMYFUNCTION("""COMPUTED_VALUE"""),5.104E8)</f>
        <v>510400000</v>
      </c>
      <c r="G433" s="1" t="str">
        <f>IFERROR(__xludf.DUMMYFUNCTION("""COMPUTED_VALUE"""),"DEF")</f>
        <v>DEF</v>
      </c>
      <c r="H433" s="3">
        <f>IFERROR(__xludf.DUMMYFUNCTION("""COMPUTED_VALUE"""),10000.0)</f>
        <v>10000</v>
      </c>
      <c r="I433" s="3">
        <f>IFERROR(__xludf.DUMMYFUNCTION("""COMPUTED_VALUE"""),10000.0)</f>
        <v>10000</v>
      </c>
      <c r="J433" s="3">
        <f>IFERROR(__xludf.DUMMYFUNCTION("""COMPUTED_VALUE"""),10000.0)</f>
        <v>10000</v>
      </c>
      <c r="K433" s="3">
        <f>IFERROR(__xludf.DUMMYFUNCTION("""COMPUTED_VALUE"""),10000.0)</f>
        <v>10000</v>
      </c>
      <c r="L433" s="3">
        <f>IFERROR(__xludf.DUMMYFUNCTION("""COMPUTED_VALUE"""),10000.0)</f>
        <v>10000</v>
      </c>
      <c r="M433" s="3">
        <f>IFERROR(__xludf.DUMMYFUNCTION("""COMPUTED_VALUE"""),10000.0)</f>
        <v>10000</v>
      </c>
      <c r="N433" s="3">
        <f>IFERROR(__xludf.DUMMYFUNCTION("""COMPUTED_VALUE"""),10000.0)</f>
        <v>10000</v>
      </c>
      <c r="O433" s="3">
        <f>IFERROR(__xludf.DUMMYFUNCTION("""COMPUTED_VALUE"""),10000.0)</f>
        <v>10000</v>
      </c>
      <c r="P433" s="3">
        <f>IFERROR(__xludf.DUMMYFUNCTION("""COMPUTED_VALUE"""),10000.0)</f>
        <v>10000</v>
      </c>
      <c r="Q433" s="3">
        <f>IFERROR(__xludf.DUMMYFUNCTION("""COMPUTED_VALUE"""),10000.0)</f>
        <v>10000</v>
      </c>
      <c r="R433" s="3">
        <f>IFERROR(__xludf.DUMMYFUNCTION("""COMPUTED_VALUE"""),10000.0)</f>
        <v>10000</v>
      </c>
      <c r="S433" s="3">
        <f>IFERROR(__xludf.DUMMYFUNCTION("""COMPUTED_VALUE"""),10000.0)</f>
        <v>10000</v>
      </c>
      <c r="T433" s="1"/>
      <c r="U433" s="1"/>
      <c r="V433" s="1"/>
      <c r="W433" s="1"/>
      <c r="X433" s="3">
        <f>IFERROR(__xludf.DUMMYFUNCTION("""COMPUTED_VALUE"""),10000.0)</f>
        <v>10000</v>
      </c>
      <c r="Y433" s="3">
        <f>IFERROR(__xludf.DUMMYFUNCTION("""COMPUTED_VALUE"""),10000.0)</f>
        <v>10000</v>
      </c>
      <c r="Z433" s="1"/>
      <c r="AA433" s="1"/>
      <c r="AB433" s="3">
        <f>IFERROR(__xludf.DUMMYFUNCTION("""COMPUTED_VALUE"""),10000.0)</f>
        <v>10000</v>
      </c>
      <c r="AC433" s="3">
        <f>IFERROR(__xludf.DUMMYFUNCTION("""COMPUTED_VALUE"""),10000.0)</f>
        <v>10000</v>
      </c>
      <c r="AD433" s="1"/>
      <c r="AE433" s="1"/>
      <c r="AF433" s="1" t="str">
        <f>IFERROR(__xludf.DUMMYFUNCTION("""COMPUTED_VALUE"""),"++X2 additional damage for all elements. +-Only Samurai's, Monks, and Ninjas can equip. +-Cannot be forged +-Cannot be duplicated")</f>
        <v>++X2 additional damage for all elements. +-Only Samurai's, Monks, and Ninjas can equip. +-Cannot be forged +-Cannot be duplicated</v>
      </c>
      <c r="AG433" s="1" t="str">
        <f>IFERROR(__xludf.DUMMYFUNCTION("""COMPUTED_VALUE"""),"Land of Spira")</f>
        <v>Land of Spira</v>
      </c>
      <c r="AH433" s="1" t="b">
        <f>IFERROR(__xludf.DUMMYFUNCTION("""COMPUTED_VALUE"""),FALSE)</f>
        <v>0</v>
      </c>
    </row>
    <row r="434">
      <c r="A434" s="1" t="str">
        <f>IFERROR(__xludf.DUMMYFUNCTION("""COMPUTED_VALUE"""),"Ancient Oni Greaves")</f>
        <v>Ancient Oni Greaves</v>
      </c>
      <c r="B434" s="1" t="str">
        <f>IFERROR(__xludf.DUMMYFUNCTION("""COMPUTED_VALUE"""),"Legs")</f>
        <v>Legs</v>
      </c>
      <c r="C434" s="1" t="str">
        <f>IFERROR(__xludf.DUMMYFUNCTION("""COMPUTED_VALUE"""),"An ancient relic to Zhenmay")</f>
        <v>An ancient relic to Zhenmay</v>
      </c>
      <c r="D434" s="1"/>
      <c r="E434" s="1">
        <f>IFERROR(__xludf.DUMMYFUNCTION("""COMPUTED_VALUE"""),200.0)</f>
        <v>200</v>
      </c>
      <c r="F434" s="2">
        <f>IFERROR(__xludf.DUMMYFUNCTION("""COMPUTED_VALUE"""),5.104E8)</f>
        <v>510400000</v>
      </c>
      <c r="G434" s="1" t="str">
        <f>IFERROR(__xludf.DUMMYFUNCTION("""COMPUTED_VALUE"""),"DEF")</f>
        <v>DEF</v>
      </c>
      <c r="H434" s="3">
        <f>IFERROR(__xludf.DUMMYFUNCTION("""COMPUTED_VALUE"""),10000.0)</f>
        <v>10000</v>
      </c>
      <c r="I434" s="3">
        <f>IFERROR(__xludf.DUMMYFUNCTION("""COMPUTED_VALUE"""),10000.0)</f>
        <v>10000</v>
      </c>
      <c r="J434" s="3">
        <f>IFERROR(__xludf.DUMMYFUNCTION("""COMPUTED_VALUE"""),10000.0)</f>
        <v>10000</v>
      </c>
      <c r="K434" s="3">
        <f>IFERROR(__xludf.DUMMYFUNCTION("""COMPUTED_VALUE"""),10000.0)</f>
        <v>10000</v>
      </c>
      <c r="L434" s="3">
        <f>IFERROR(__xludf.DUMMYFUNCTION("""COMPUTED_VALUE"""),10000.0)</f>
        <v>10000</v>
      </c>
      <c r="M434" s="3">
        <f>IFERROR(__xludf.DUMMYFUNCTION("""COMPUTED_VALUE"""),10000.0)</f>
        <v>10000</v>
      </c>
      <c r="N434" s="3">
        <f>IFERROR(__xludf.DUMMYFUNCTION("""COMPUTED_VALUE"""),10000.0)</f>
        <v>10000</v>
      </c>
      <c r="O434" s="3">
        <f>IFERROR(__xludf.DUMMYFUNCTION("""COMPUTED_VALUE"""),10000.0)</f>
        <v>10000</v>
      </c>
      <c r="P434" s="3">
        <f>IFERROR(__xludf.DUMMYFUNCTION("""COMPUTED_VALUE"""),10000.0)</f>
        <v>10000</v>
      </c>
      <c r="Q434" s="3">
        <f>IFERROR(__xludf.DUMMYFUNCTION("""COMPUTED_VALUE"""),10000.0)</f>
        <v>10000</v>
      </c>
      <c r="R434" s="3">
        <f>IFERROR(__xludf.DUMMYFUNCTION("""COMPUTED_VALUE"""),10000.0)</f>
        <v>10000</v>
      </c>
      <c r="S434" s="3">
        <f>IFERROR(__xludf.DUMMYFUNCTION("""COMPUTED_VALUE"""),10000.0)</f>
        <v>10000</v>
      </c>
      <c r="T434" s="1"/>
      <c r="U434" s="1"/>
      <c r="V434" s="1"/>
      <c r="W434" s="1"/>
      <c r="X434" s="3">
        <f>IFERROR(__xludf.DUMMYFUNCTION("""COMPUTED_VALUE"""),10000.0)</f>
        <v>10000</v>
      </c>
      <c r="Y434" s="3">
        <f>IFERROR(__xludf.DUMMYFUNCTION("""COMPUTED_VALUE"""),10000.0)</f>
        <v>10000</v>
      </c>
      <c r="Z434" s="1"/>
      <c r="AA434" s="1"/>
      <c r="AB434" s="3">
        <f>IFERROR(__xludf.DUMMYFUNCTION("""COMPUTED_VALUE"""),10000.0)</f>
        <v>10000</v>
      </c>
      <c r="AC434" s="3">
        <f>IFERROR(__xludf.DUMMYFUNCTION("""COMPUTED_VALUE"""),10000.0)</f>
        <v>10000</v>
      </c>
      <c r="AD434" s="1"/>
      <c r="AE434" s="1"/>
      <c r="AF434" s="1" t="str">
        <f>IFERROR(__xludf.DUMMYFUNCTION("""COMPUTED_VALUE"""),"++X2 additional damage for all elements. +-Only Samurai's, Monks, and Ninjas can equip. +-Cannot be forged +-Cannot be duplicated")</f>
        <v>++X2 additional damage for all elements. +-Only Samurai's, Monks, and Ninjas can equip. +-Cannot be forged +-Cannot be duplicated</v>
      </c>
      <c r="AG434" s="1" t="str">
        <f>IFERROR(__xludf.DUMMYFUNCTION("""COMPUTED_VALUE"""),"Land of Spira")</f>
        <v>Land of Spira</v>
      </c>
      <c r="AH434" s="1" t="b">
        <f>IFERROR(__xludf.DUMMYFUNCTION("""COMPUTED_VALUE"""),FALSE)</f>
        <v>0</v>
      </c>
    </row>
    <row r="435">
      <c r="A435" s="1" t="str">
        <f>IFERROR(__xludf.DUMMYFUNCTION("""COMPUTED_VALUE"""),"Ancient Oni Boots")</f>
        <v>Ancient Oni Boots</v>
      </c>
      <c r="B435" s="1" t="str">
        <f>IFERROR(__xludf.DUMMYFUNCTION("""COMPUTED_VALUE"""),"Feet")</f>
        <v>Feet</v>
      </c>
      <c r="C435" s="1" t="str">
        <f>IFERROR(__xludf.DUMMYFUNCTION("""COMPUTED_VALUE"""),"An ancient relic to Zhenmay")</f>
        <v>An ancient relic to Zhenmay</v>
      </c>
      <c r="D435" s="1"/>
      <c r="E435" s="1">
        <f>IFERROR(__xludf.DUMMYFUNCTION("""COMPUTED_VALUE"""),200.0)</f>
        <v>200</v>
      </c>
      <c r="F435" s="2">
        <f>IFERROR(__xludf.DUMMYFUNCTION("""COMPUTED_VALUE"""),5.104E8)</f>
        <v>510400000</v>
      </c>
      <c r="G435" s="1" t="str">
        <f>IFERROR(__xludf.DUMMYFUNCTION("""COMPUTED_VALUE"""),"DEF")</f>
        <v>DEF</v>
      </c>
      <c r="H435" s="3">
        <f>IFERROR(__xludf.DUMMYFUNCTION("""COMPUTED_VALUE"""),10000.0)</f>
        <v>10000</v>
      </c>
      <c r="I435" s="3">
        <f>IFERROR(__xludf.DUMMYFUNCTION("""COMPUTED_VALUE"""),10000.0)</f>
        <v>10000</v>
      </c>
      <c r="J435" s="3">
        <f>IFERROR(__xludf.DUMMYFUNCTION("""COMPUTED_VALUE"""),10000.0)</f>
        <v>10000</v>
      </c>
      <c r="K435" s="3">
        <f>IFERROR(__xludf.DUMMYFUNCTION("""COMPUTED_VALUE"""),10000.0)</f>
        <v>10000</v>
      </c>
      <c r="L435" s="3">
        <f>IFERROR(__xludf.DUMMYFUNCTION("""COMPUTED_VALUE"""),10000.0)</f>
        <v>10000</v>
      </c>
      <c r="M435" s="3">
        <f>IFERROR(__xludf.DUMMYFUNCTION("""COMPUTED_VALUE"""),10000.0)</f>
        <v>10000</v>
      </c>
      <c r="N435" s="3">
        <f>IFERROR(__xludf.DUMMYFUNCTION("""COMPUTED_VALUE"""),10000.0)</f>
        <v>10000</v>
      </c>
      <c r="O435" s="3">
        <f>IFERROR(__xludf.DUMMYFUNCTION("""COMPUTED_VALUE"""),10000.0)</f>
        <v>10000</v>
      </c>
      <c r="P435" s="3">
        <f>IFERROR(__xludf.DUMMYFUNCTION("""COMPUTED_VALUE"""),10000.0)</f>
        <v>10000</v>
      </c>
      <c r="Q435" s="3">
        <f>IFERROR(__xludf.DUMMYFUNCTION("""COMPUTED_VALUE"""),10000.0)</f>
        <v>10000</v>
      </c>
      <c r="R435" s="3">
        <f>IFERROR(__xludf.DUMMYFUNCTION("""COMPUTED_VALUE"""),10000.0)</f>
        <v>10000</v>
      </c>
      <c r="S435" s="3">
        <f>IFERROR(__xludf.DUMMYFUNCTION("""COMPUTED_VALUE"""),10000.0)</f>
        <v>10000</v>
      </c>
      <c r="T435" s="1"/>
      <c r="U435" s="1"/>
      <c r="V435" s="1"/>
      <c r="W435" s="1"/>
      <c r="X435" s="3">
        <f>IFERROR(__xludf.DUMMYFUNCTION("""COMPUTED_VALUE"""),10000.0)</f>
        <v>10000</v>
      </c>
      <c r="Y435" s="3">
        <f>IFERROR(__xludf.DUMMYFUNCTION("""COMPUTED_VALUE"""),10000.0)</f>
        <v>10000</v>
      </c>
      <c r="Z435" s="1"/>
      <c r="AA435" s="1"/>
      <c r="AB435" s="3">
        <f>IFERROR(__xludf.DUMMYFUNCTION("""COMPUTED_VALUE"""),10000.0)</f>
        <v>10000</v>
      </c>
      <c r="AC435" s="3">
        <f>IFERROR(__xludf.DUMMYFUNCTION("""COMPUTED_VALUE"""),10000.0)</f>
        <v>10000</v>
      </c>
      <c r="AD435" s="1"/>
      <c r="AE435" s="1"/>
      <c r="AF435" s="1" t="str">
        <f>IFERROR(__xludf.DUMMYFUNCTION("""COMPUTED_VALUE"""),"++X2 additional damage for all elements. +-Only Samurai's, Monks, and Ninjas can equip. +-Cannot be forged +-Cannot be duplicated")</f>
        <v>++X2 additional damage for all elements. +-Only Samurai's, Monks, and Ninjas can equip. +-Cannot be forged +-Cannot be duplicated</v>
      </c>
      <c r="AG435" s="1" t="str">
        <f>IFERROR(__xludf.DUMMYFUNCTION("""COMPUTED_VALUE"""),"Land of Spira")</f>
        <v>Land of Spira</v>
      </c>
      <c r="AH435" s="1" t="b">
        <f>IFERROR(__xludf.DUMMYFUNCTION("""COMPUTED_VALUE"""),FALSE)</f>
        <v>0</v>
      </c>
    </row>
    <row r="436">
      <c r="A436" s="1" t="str">
        <f>IFERROR(__xludf.DUMMYFUNCTION("""COMPUTED_VALUE"""),"Ancient Oni Katana")</f>
        <v>Ancient Oni Katana</v>
      </c>
      <c r="B436" s="1" t="str">
        <f>IFERROR(__xludf.DUMMYFUNCTION("""COMPUTED_VALUE"""),"Hand")</f>
        <v>Hand</v>
      </c>
      <c r="C436" s="1" t="str">
        <f>IFERROR(__xludf.DUMMYFUNCTION("""COMPUTED_VALUE"""),"An ancient relic to Zhenmay")</f>
        <v>An ancient relic to Zhenmay</v>
      </c>
      <c r="D436" s="1" t="str">
        <f>IFERROR(__xludf.DUMMYFUNCTION("""COMPUTED_VALUE"""),"Sword")</f>
        <v>Sword</v>
      </c>
      <c r="E436" s="1">
        <f>IFERROR(__xludf.DUMMYFUNCTION("""COMPUTED_VALUE"""),200.0)</f>
        <v>200</v>
      </c>
      <c r="F436" s="2">
        <f>IFERROR(__xludf.DUMMYFUNCTION("""COMPUTED_VALUE"""),5.104E8)</f>
        <v>510400000</v>
      </c>
      <c r="G436" s="1" t="str">
        <f>IFERROR(__xludf.DUMMYFUNCTION("""COMPUTED_VALUE"""),"DMG")</f>
        <v>DMG</v>
      </c>
      <c r="H436" s="3">
        <f>IFERROR(__xludf.DUMMYFUNCTION("""COMPUTED_VALUE"""),10000.0)</f>
        <v>10000</v>
      </c>
      <c r="I436" s="3">
        <f>IFERROR(__xludf.DUMMYFUNCTION("""COMPUTED_VALUE"""),10000.0)</f>
        <v>10000</v>
      </c>
      <c r="J436" s="3">
        <f>IFERROR(__xludf.DUMMYFUNCTION("""COMPUTED_VALUE"""),10000.0)</f>
        <v>10000</v>
      </c>
      <c r="K436" s="3">
        <f>IFERROR(__xludf.DUMMYFUNCTION("""COMPUTED_VALUE"""),10000.0)</f>
        <v>10000</v>
      </c>
      <c r="L436" s="3">
        <f>IFERROR(__xludf.DUMMYFUNCTION("""COMPUTED_VALUE"""),10000.0)</f>
        <v>10000</v>
      </c>
      <c r="M436" s="3">
        <f>IFERROR(__xludf.DUMMYFUNCTION("""COMPUTED_VALUE"""),10000.0)</f>
        <v>10000</v>
      </c>
      <c r="N436" s="3">
        <f>IFERROR(__xludf.DUMMYFUNCTION("""COMPUTED_VALUE"""),10000.0)</f>
        <v>10000</v>
      </c>
      <c r="O436" s="3">
        <f>IFERROR(__xludf.DUMMYFUNCTION("""COMPUTED_VALUE"""),10000.0)</f>
        <v>10000</v>
      </c>
      <c r="P436" s="3">
        <f>IFERROR(__xludf.DUMMYFUNCTION("""COMPUTED_VALUE"""),10000.0)</f>
        <v>10000</v>
      </c>
      <c r="Q436" s="3">
        <f>IFERROR(__xludf.DUMMYFUNCTION("""COMPUTED_VALUE"""),10000.0)</f>
        <v>10000</v>
      </c>
      <c r="R436" s="3">
        <f>IFERROR(__xludf.DUMMYFUNCTION("""COMPUTED_VALUE"""),10000.0)</f>
        <v>10000</v>
      </c>
      <c r="S436" s="3">
        <f>IFERROR(__xludf.DUMMYFUNCTION("""COMPUTED_VALUE"""),10000.0)</f>
        <v>10000</v>
      </c>
      <c r="T436" s="1"/>
      <c r="U436" s="1"/>
      <c r="V436" s="1"/>
      <c r="W436" s="1"/>
      <c r="X436" s="3">
        <f>IFERROR(__xludf.DUMMYFUNCTION("""COMPUTED_VALUE"""),10000.0)</f>
        <v>10000</v>
      </c>
      <c r="Y436" s="3">
        <f>IFERROR(__xludf.DUMMYFUNCTION("""COMPUTED_VALUE"""),10000.0)</f>
        <v>10000</v>
      </c>
      <c r="Z436" s="1"/>
      <c r="AA436" s="1"/>
      <c r="AB436" s="3">
        <f>IFERROR(__xludf.DUMMYFUNCTION("""COMPUTED_VALUE"""),10000.0)</f>
        <v>10000</v>
      </c>
      <c r="AC436" s="3">
        <f>IFERROR(__xludf.DUMMYFUNCTION("""COMPUTED_VALUE"""),10000.0)</f>
        <v>10000</v>
      </c>
      <c r="AD436" s="1"/>
      <c r="AE436" s="1"/>
      <c r="AF436" s="1" t="str">
        <f>IFERROR(__xludf.DUMMYFUNCTION("""COMPUTED_VALUE"""),"++X2 additional damage for all elements. +-Only Samurai's, Monks, and Ninjas can equip. +-Cannot be forged +-Cannot be duplicated")</f>
        <v>++X2 additional damage for all elements. +-Only Samurai's, Monks, and Ninjas can equip. +-Cannot be forged +-Cannot be duplicated</v>
      </c>
      <c r="AG436" s="1" t="str">
        <f>IFERROR(__xludf.DUMMYFUNCTION("""COMPUTED_VALUE"""),"Land of Spira")</f>
        <v>Land of Spira</v>
      </c>
      <c r="AH436" s="1" t="b">
        <f>IFERROR(__xludf.DUMMYFUNCTION("""COMPUTED_VALUE"""),FALSE)</f>
        <v>0</v>
      </c>
    </row>
    <row r="437">
      <c r="A437" s="1" t="str">
        <f>IFERROR(__xludf.DUMMYFUNCTION("""COMPUTED_VALUE"""),"The Grand Staff of Evil Flames")</f>
        <v>The Grand Staff of Evil Flames</v>
      </c>
      <c r="B437" s="1" t="str">
        <f>IFERROR(__xludf.DUMMYFUNCTION("""COMPUTED_VALUE"""),"Hand")</f>
        <v>Hand</v>
      </c>
      <c r="C437" s="1"/>
      <c r="D437" s="1" t="str">
        <f>IFERROR(__xludf.DUMMYFUNCTION("""COMPUTED_VALUE"""),"Staff")</f>
        <v>Staff</v>
      </c>
      <c r="E437" s="1">
        <f>IFERROR(__xludf.DUMMYFUNCTION("""COMPUTED_VALUE"""),1200.0)</f>
        <v>1200</v>
      </c>
      <c r="F437" s="2">
        <f>IFERROR(__xludf.DUMMYFUNCTION("""COMPUTED_VALUE"""),7.14E7)</f>
        <v>71400000</v>
      </c>
      <c r="G437" s="1" t="str">
        <f>IFERROR(__xludf.DUMMYFUNCTION("""COMPUTED_VALUE"""),"DMG")</f>
        <v>DMG</v>
      </c>
      <c r="H437" s="1"/>
      <c r="I437" s="3">
        <f>IFERROR(__xludf.DUMMYFUNCTION("""COMPUTED_VALUE"""),20000.0)</f>
        <v>20000</v>
      </c>
      <c r="J437" s="1"/>
      <c r="K437" s="1"/>
      <c r="L437" s="1"/>
      <c r="M437" s="1"/>
      <c r="N437" s="1"/>
      <c r="O437" s="3">
        <f>IFERROR(__xludf.DUMMYFUNCTION("""COMPUTED_VALUE"""),20000.0)</f>
        <v>20000</v>
      </c>
      <c r="P437" s="1"/>
      <c r="Q437" s="1"/>
      <c r="R437" s="3">
        <f>IFERROR(__xludf.DUMMYFUNCTION("""COMPUTED_VALUE"""),20000.0)</f>
        <v>20000</v>
      </c>
      <c r="S437" s="1"/>
      <c r="T437" s="1"/>
      <c r="U437" s="1"/>
      <c r="V437" s="1"/>
      <c r="W437" s="1"/>
      <c r="X437" s="1"/>
      <c r="Y437" s="1"/>
      <c r="Z437" s="1"/>
      <c r="AA437" s="1"/>
      <c r="AB437" s="1"/>
      <c r="AC437" s="1"/>
      <c r="AD437" s="1"/>
      <c r="AE437" s="1"/>
      <c r="AF437" s="1" t="str">
        <f>IFERROR(__xludf.DUMMYFUNCTION("""COMPUTED_VALUE"""),"++X4 additional Dark, Fire, and Chaos damage for the user while equipped. +-Cannot be duplicated")</f>
        <v>++X4 additional Dark, Fire, and Chaos damage for the user while equipped. +-Cannot be duplicated</v>
      </c>
      <c r="AG437" s="1" t="str">
        <f>IFERROR(__xludf.DUMMYFUNCTION("""COMPUTED_VALUE"""),"Abstara")</f>
        <v>Abstara</v>
      </c>
      <c r="AH437" s="1" t="b">
        <f>IFERROR(__xludf.DUMMYFUNCTION("""COMPUTED_VALUE"""),TRUE)</f>
        <v>1</v>
      </c>
    </row>
    <row r="438">
      <c r="A438" s="1" t="str">
        <f>IFERROR(__xludf.DUMMYFUNCTION("""COMPUTED_VALUE"""),"Soul Sword of The Endless Realm")</f>
        <v>Soul Sword of The Endless Realm</v>
      </c>
      <c r="B438" s="1" t="str">
        <f>IFERROR(__xludf.DUMMYFUNCTION("""COMPUTED_VALUE"""),"Hand")</f>
        <v>Hand</v>
      </c>
      <c r="C438" s="1"/>
      <c r="D438" s="1" t="str">
        <f>IFERROR(__xludf.DUMMYFUNCTION("""COMPUTED_VALUE"""),"Sword")</f>
        <v>Sword</v>
      </c>
      <c r="E438" s="1">
        <f>IFERROR(__xludf.DUMMYFUNCTION("""COMPUTED_VALUE"""),200.0)</f>
        <v>200</v>
      </c>
      <c r="F438" s="2">
        <f>IFERROR(__xludf.DUMMYFUNCTION("""COMPUTED_VALUE"""),4.0455E9)</f>
        <v>4045500000</v>
      </c>
      <c r="G438" s="1" t="str">
        <f>IFERROR(__xludf.DUMMYFUNCTION("""COMPUTED_VALUE"""),"DMG")</f>
        <v>DMG</v>
      </c>
      <c r="H438" s="3">
        <f>IFERROR(__xludf.DUMMYFUNCTION("""COMPUTED_VALUE"""),150000.0)</f>
        <v>150000</v>
      </c>
      <c r="I438" s="1"/>
      <c r="J438" s="1"/>
      <c r="K438" s="1"/>
      <c r="L438" s="1"/>
      <c r="M438" s="1"/>
      <c r="N438" s="1"/>
      <c r="O438" s="3">
        <f>IFERROR(__xludf.DUMMYFUNCTION("""COMPUTED_VALUE"""),150000.0)</f>
        <v>150000</v>
      </c>
      <c r="P438" s="1"/>
      <c r="Q438" s="1"/>
      <c r="R438" s="1"/>
      <c r="S438" s="1"/>
      <c r="T438" s="1"/>
      <c r="U438" s="1"/>
      <c r="V438" s="1"/>
      <c r="W438" s="1"/>
      <c r="X438" s="1"/>
      <c r="Y438" s="1"/>
      <c r="Z438" s="1"/>
      <c r="AA438" s="1"/>
      <c r="AB438" s="1"/>
      <c r="AC438" s="3">
        <f>IFERROR(__xludf.DUMMYFUNCTION("""COMPUTED_VALUE"""),150000.0)</f>
        <v>150000</v>
      </c>
      <c r="AD438" s="1"/>
      <c r="AE438" s="1"/>
      <c r="AF438" s="1" t="str">
        <f>IFERROR(__xludf.DUMMYFUNCTION("""COMPUTED_VALUE"""),"++While equipped if you have other soul related items equipped this sword will deal X8 additional damage, ++SP Steal: Gain SP back equal to the damage caused with this weapon. +-Cannot be duplicated.")</f>
        <v>++While equipped if you have other soul related items equipped this sword will deal X8 additional damage, ++SP Steal: Gain SP back equal to the damage caused with this weapon. +-Cannot be duplicated.</v>
      </c>
      <c r="AG438" s="1" t="str">
        <f>IFERROR(__xludf.DUMMYFUNCTION("""COMPUTED_VALUE"""),"Abstara")</f>
        <v>Abstara</v>
      </c>
      <c r="AH438" s="1" t="b">
        <f>IFERROR(__xludf.DUMMYFUNCTION("""COMPUTED_VALUE"""),TRUE)</f>
        <v>1</v>
      </c>
    </row>
    <row r="439">
      <c r="A439" s="1" t="str">
        <f>IFERROR(__xludf.DUMMYFUNCTION("""COMPUTED_VALUE"""),"Rat King's Crown")</f>
        <v>Rat King's Crown</v>
      </c>
      <c r="B439" s="1" t="str">
        <f>IFERROR(__xludf.DUMMYFUNCTION("""COMPUTED_VALUE"""),"Head")</f>
        <v>Head</v>
      </c>
      <c r="C439" s="1"/>
      <c r="D439" s="1"/>
      <c r="E439" s="1">
        <f>IFERROR(__xludf.DUMMYFUNCTION("""COMPUTED_VALUE"""),1000.0)</f>
        <v>1000</v>
      </c>
      <c r="F439" s="2">
        <f>IFERROR(__xludf.DUMMYFUNCTION("""COMPUTED_VALUE"""),4.95E7)</f>
        <v>49500000</v>
      </c>
      <c r="G439" s="1" t="str">
        <f>IFERROR(__xludf.DUMMYFUNCTION("""COMPUTED_VALUE"""),"DEF")</f>
        <v>DEF</v>
      </c>
      <c r="H439" s="3">
        <f>IFERROR(__xludf.DUMMYFUNCTION("""COMPUTED_VALUE"""),50000.0)</f>
        <v>50000</v>
      </c>
      <c r="I439" s="1"/>
      <c r="J439" s="1"/>
      <c r="K439" s="1"/>
      <c r="L439" s="1"/>
      <c r="M439" s="1"/>
      <c r="N439" s="1"/>
      <c r="O439" s="1"/>
      <c r="P439" s="1"/>
      <c r="Q439" s="1"/>
      <c r="R439" s="1"/>
      <c r="S439" s="1"/>
      <c r="T439" s="1"/>
      <c r="U439" s="1"/>
      <c r="V439" s="1"/>
      <c r="W439" s="1"/>
      <c r="X439" s="1"/>
      <c r="Y439" s="1"/>
      <c r="Z439" s="1"/>
      <c r="AA439" s="1"/>
      <c r="AB439" s="1"/>
      <c r="AC439" s="1"/>
      <c r="AD439" s="1"/>
      <c r="AE439" s="1"/>
      <c r="AF439" s="1" t="str">
        <f>IFERROR(__xludf.DUMMYFUNCTION("""COMPUTED_VALUE"""),"++If you or a party member dies this crown will summon a d2 of Lava Rats, Level determined by DM/GM, This effect can only be applied once per battle. +-Cannot be duplicated.")</f>
        <v>++If you or a party member dies this crown will summon a d2 of Lava Rats, Level determined by DM/GM, This effect can only be applied once per battle. +-Cannot be duplicated.</v>
      </c>
      <c r="AG439" s="1" t="str">
        <f>IFERROR(__xludf.DUMMYFUNCTION("""COMPUTED_VALUE"""),"Abstara")</f>
        <v>Abstara</v>
      </c>
      <c r="AH439" s="1" t="b">
        <f>IFERROR(__xludf.DUMMYFUNCTION("""COMPUTED_VALUE"""),FALSE)</f>
        <v>0</v>
      </c>
    </row>
    <row r="440">
      <c r="A440" s="1" t="str">
        <f>IFERROR(__xludf.DUMMYFUNCTION("""COMPUTED_VALUE"""),"Vermouth's Crown of Tides")</f>
        <v>Vermouth's Crown of Tides</v>
      </c>
      <c r="B440" s="1" t="str">
        <f>IFERROR(__xludf.DUMMYFUNCTION("""COMPUTED_VALUE"""),"Head")</f>
        <v>Head</v>
      </c>
      <c r="C440" s="1" t="str">
        <f>IFERROR(__xludf.DUMMYFUNCTION("""COMPUTED_VALUE"""),"A magical artifact that grants control over water and weather, allowing the wearer to manipulate aquatic elements.")</f>
        <v>A magical artifact that grants control over water and weather, allowing the wearer to manipulate aquatic elements.</v>
      </c>
      <c r="D440" s="1"/>
      <c r="E440" s="1">
        <f>IFERROR(__xludf.DUMMYFUNCTION("""COMPUTED_VALUE"""),700.0)</f>
        <v>700</v>
      </c>
      <c r="F440" s="2">
        <f>IFERROR(__xludf.DUMMYFUNCTION("""COMPUTED_VALUE"""),2.415E7)</f>
        <v>24150000</v>
      </c>
      <c r="G440" s="1" t="str">
        <f>IFERROR(__xludf.DUMMYFUNCTION("""COMPUTED_VALUE"""),"DEF")</f>
        <v>DEF</v>
      </c>
      <c r="H440" s="3">
        <f>IFERROR(__xludf.DUMMYFUNCTION("""COMPUTED_VALUE"""),25000.0)</f>
        <v>25000</v>
      </c>
      <c r="I440" s="1"/>
      <c r="J440" s="1"/>
      <c r="K440" s="3">
        <f>IFERROR(__xludf.DUMMYFUNCTION("""COMPUTED_VALUE"""),10000.0)</f>
        <v>10000</v>
      </c>
      <c r="L440" s="1"/>
      <c r="M440" s="1"/>
      <c r="N440" s="1"/>
      <c r="O440" s="1"/>
      <c r="P440" s="1"/>
      <c r="Q440" s="1"/>
      <c r="R440" s="1"/>
      <c r="S440" s="1"/>
      <c r="T440" s="1"/>
      <c r="U440" s="1"/>
      <c r="V440" s="1"/>
      <c r="W440" s="1"/>
      <c r="X440" s="1"/>
      <c r="Y440" s="1"/>
      <c r="Z440" s="1"/>
      <c r="AA440" s="1"/>
      <c r="AB440" s="1"/>
      <c r="AC440" s="1"/>
      <c r="AD440" s="1"/>
      <c r="AE440" s="1"/>
      <c r="AF440" s="1" t="str">
        <f>IFERROR(__xludf.DUMMYFUNCTION("""COMPUTED_VALUE"""),"++Immunity to Water damage. ++X2 Additional Water damage for the user.")</f>
        <v>++Immunity to Water damage. ++X2 Additional Water damage for the user.</v>
      </c>
      <c r="AG440" s="1" t="str">
        <f>IFERROR(__xludf.DUMMYFUNCTION("""COMPUTED_VALUE"""),"Land of Spira")</f>
        <v>Land of Spira</v>
      </c>
      <c r="AH440" s="1" t="b">
        <f>IFERROR(__xludf.DUMMYFUNCTION("""COMPUTED_VALUE"""),FALSE)</f>
        <v>0</v>
      </c>
    </row>
    <row r="441">
      <c r="A441" s="1" t="str">
        <f>IFERROR(__xludf.DUMMYFUNCTION("""COMPUTED_VALUE"""),"ChronoMech Enigma")</f>
        <v>ChronoMech Enigma</v>
      </c>
      <c r="B441" s="1" t="str">
        <f>IFERROR(__xludf.DUMMYFUNCTION("""COMPUTED_VALUE"""),"Hand")</f>
        <v>Hand</v>
      </c>
      <c r="C441" s="1" t="str">
        <f>IFERROR(__xludf.DUMMYFUNCTION("""COMPUTED_VALUE"""),"A clockwork device that grants unique abilities.")</f>
        <v>A clockwork device that grants unique abilities.</v>
      </c>
      <c r="D441" s="1"/>
      <c r="E441" s="1">
        <f>IFERROR(__xludf.DUMMYFUNCTION("""COMPUTED_VALUE"""),200.0)</f>
        <v>200</v>
      </c>
      <c r="F441" s="2">
        <f>IFERROR(__xludf.DUMMYFUNCTION("""COMPUTED_VALUE"""),1900000.0)</f>
        <v>1900000</v>
      </c>
      <c r="G441" s="1" t="str">
        <f>IFERROR(__xludf.DUMMYFUNCTION("""COMPUTED_VALUE"""),"DEF")</f>
        <v>DEF</v>
      </c>
      <c r="H441" s="3">
        <f>IFERROR(__xludf.DUMMYFUNCTION("""COMPUTED_VALUE"""),10000.0)</f>
        <v>10000</v>
      </c>
      <c r="I441" s="1"/>
      <c r="J441" s="1"/>
      <c r="K441" s="1"/>
      <c r="L441" s="1"/>
      <c r="M441" s="1"/>
      <c r="N441" s="1"/>
      <c r="O441" s="1"/>
      <c r="P441" s="1"/>
      <c r="Q441" s="1"/>
      <c r="R441" s="1"/>
      <c r="S441" s="1"/>
      <c r="T441" s="1"/>
      <c r="U441" s="1"/>
      <c r="V441" s="1"/>
      <c r="W441" s="1"/>
      <c r="X441" s="1"/>
      <c r="Y441" s="1"/>
      <c r="Z441" s="1"/>
      <c r="AA441" s="1"/>
      <c r="AB441" s="1"/>
      <c r="AC441" s="1"/>
      <c r="AD441" s="1"/>
      <c r="AE441" s="1"/>
      <c r="AF441" s="1" t="str">
        <f>IFERROR(__xludf.DUMMYFUNCTION("""COMPUTED_VALUE"""),"++Allows you to change the time of day to day or night. Can only be used once per journey while traveling. ++Fail/Succeed. +-Cannot be duplicated.")</f>
        <v>++Allows you to change the time of day to day or night. Can only be used once per journey while traveling. ++Fail/Succeed. +-Cannot be duplicated.</v>
      </c>
      <c r="AG441" s="1" t="str">
        <f>IFERROR(__xludf.DUMMYFUNCTION("""COMPUTED_VALUE"""),"Land of Spira")</f>
        <v>Land of Spira</v>
      </c>
      <c r="AH441" s="1" t="b">
        <f>IFERROR(__xludf.DUMMYFUNCTION("""COMPUTED_VALUE"""),FALSE)</f>
        <v>0</v>
      </c>
    </row>
    <row r="442">
      <c r="A442" s="1" t="str">
        <f>IFERROR(__xludf.DUMMYFUNCTION("""COMPUTED_VALUE"""),"Royal Sword of The Halloween Kingdom")</f>
        <v>Royal Sword of The Halloween Kingdom</v>
      </c>
      <c r="B442" s="1" t="str">
        <f>IFERROR(__xludf.DUMMYFUNCTION("""COMPUTED_VALUE"""),"Hand")</f>
        <v>Hand</v>
      </c>
      <c r="C442" s="1" t="str">
        <f>IFERROR(__xludf.DUMMYFUNCTION("""COMPUTED_VALUE"""),"Halloween Exclusive")</f>
        <v>Halloween Exclusive</v>
      </c>
      <c r="D442" s="1" t="str">
        <f>IFERROR(__xludf.DUMMYFUNCTION("""COMPUTED_VALUE"""),"Sword")</f>
        <v>Sword</v>
      </c>
      <c r="E442" s="1">
        <f>IFERROR(__xludf.DUMMYFUNCTION("""COMPUTED_VALUE"""),200.0)</f>
        <v>200</v>
      </c>
      <c r="F442" s="2">
        <f>IFERROR(__xludf.DUMMYFUNCTION("""COMPUTED_VALUE"""),1.0557E9)</f>
        <v>1055700000</v>
      </c>
      <c r="G442" s="1" t="str">
        <f>IFERROR(__xludf.DUMMYFUNCTION("""COMPUTED_VALUE"""),"DMG")</f>
        <v>DMG</v>
      </c>
      <c r="H442" s="3">
        <f>IFERROR(__xludf.DUMMYFUNCTION("""COMPUTED_VALUE"""),50000.0)</f>
        <v>50000</v>
      </c>
      <c r="I442" s="3">
        <f>IFERROR(__xludf.DUMMYFUNCTION("""COMPUTED_VALUE"""),20000.0)</f>
        <v>20000</v>
      </c>
      <c r="J442" s="1"/>
      <c r="K442" s="1"/>
      <c r="L442" s="1"/>
      <c r="M442" s="1"/>
      <c r="N442" s="1"/>
      <c r="O442" s="3">
        <f>IFERROR(__xludf.DUMMYFUNCTION("""COMPUTED_VALUE"""),20000.0)</f>
        <v>20000</v>
      </c>
      <c r="P442" s="3">
        <f>IFERROR(__xludf.DUMMYFUNCTION("""COMPUTED_VALUE"""),20000.0)</f>
        <v>20000</v>
      </c>
      <c r="Q442" s="1"/>
      <c r="R442" s="3">
        <f>IFERROR(__xludf.DUMMYFUNCTION("""COMPUTED_VALUE"""),20000.0)</f>
        <v>20000</v>
      </c>
      <c r="S442" s="1"/>
      <c r="T442" s="1"/>
      <c r="U442" s="1"/>
      <c r="V442" s="3">
        <f>IFERROR(__xludf.DUMMYFUNCTION("""COMPUTED_VALUE"""),20000.0)</f>
        <v>20000</v>
      </c>
      <c r="W442" s="3">
        <f>IFERROR(__xludf.DUMMYFUNCTION("""COMPUTED_VALUE"""),20000.0)</f>
        <v>20000</v>
      </c>
      <c r="X442" s="3">
        <f>IFERROR(__xludf.DUMMYFUNCTION("""COMPUTED_VALUE"""),20000.0)</f>
        <v>20000</v>
      </c>
      <c r="Y442" s="3">
        <f>IFERROR(__xludf.DUMMYFUNCTION("""COMPUTED_VALUE"""),20000.0)</f>
        <v>20000</v>
      </c>
      <c r="Z442" s="1"/>
      <c r="AA442" s="1"/>
      <c r="AB442" s="1"/>
      <c r="AC442" s="3">
        <f>IFERROR(__xludf.DUMMYFUNCTION("""COMPUTED_VALUE"""),20000.0)</f>
        <v>20000</v>
      </c>
      <c r="AD442" s="1"/>
      <c r="AE442" s="1"/>
      <c r="AF442" s="1" t="str">
        <f>IFERROR(__xludf.DUMMYFUNCTION("""COMPUTED_VALUE"""),"++Hallows Guidance: +5 can be added to your d20 rolls, ++Royal Shadows of the Halloween Kingdom: 25% chance to cast conceal for no sp cost after successfully attacking an enemy with this weapon. +-Cannot be forged +-Cannot be duplicated")</f>
        <v>++Hallows Guidance: +5 can be added to your d20 rolls, ++Royal Shadows of the Halloween Kingdom: 25% chance to cast conceal for no sp cost after successfully attacking an enemy with this weapon. +-Cannot be forged +-Cannot be duplicated</v>
      </c>
      <c r="AG442" s="1" t="str">
        <f>IFERROR(__xludf.DUMMYFUNCTION("""COMPUTED_VALUE"""),"Halloween Kingdom")</f>
        <v>Halloween Kingdom</v>
      </c>
      <c r="AH442" s="1" t="b">
        <f>IFERROR(__xludf.DUMMYFUNCTION("""COMPUTED_VALUE"""),FALSE)</f>
        <v>0</v>
      </c>
    </row>
    <row r="443">
      <c r="A443" s="1" t="str">
        <f>IFERROR(__xludf.DUMMYFUNCTION("""COMPUTED_VALUE"""),"Royal Shield of The Halloween Kingdom")</f>
        <v>Royal Shield of The Halloween Kingdom</v>
      </c>
      <c r="B443" s="1" t="str">
        <f>IFERROR(__xludf.DUMMYFUNCTION("""COMPUTED_VALUE"""),"Hand")</f>
        <v>Hand</v>
      </c>
      <c r="C443" s="1" t="str">
        <f>IFERROR(__xludf.DUMMYFUNCTION("""COMPUTED_VALUE"""),"Halloween Exclusive")</f>
        <v>Halloween Exclusive</v>
      </c>
      <c r="D443" s="1" t="str">
        <f>IFERROR(__xludf.DUMMYFUNCTION("""COMPUTED_VALUE"""),"Towershield")</f>
        <v>Towershield</v>
      </c>
      <c r="E443" s="1">
        <f>IFERROR(__xludf.DUMMYFUNCTION("""COMPUTED_VALUE"""),200.0)</f>
        <v>200</v>
      </c>
      <c r="F443" s="2">
        <f>IFERROR(__xludf.DUMMYFUNCTION("""COMPUTED_VALUE"""),1.0557E9)</f>
        <v>1055700000</v>
      </c>
      <c r="G443" s="1" t="str">
        <f>IFERROR(__xludf.DUMMYFUNCTION("""COMPUTED_VALUE"""),"DEF")</f>
        <v>DEF</v>
      </c>
      <c r="H443" s="3">
        <f>IFERROR(__xludf.DUMMYFUNCTION("""COMPUTED_VALUE"""),50000.0)</f>
        <v>50000</v>
      </c>
      <c r="I443" s="3">
        <f>IFERROR(__xludf.DUMMYFUNCTION("""COMPUTED_VALUE"""),20000.0)</f>
        <v>20000</v>
      </c>
      <c r="J443" s="1"/>
      <c r="K443" s="1"/>
      <c r="L443" s="1"/>
      <c r="M443" s="1"/>
      <c r="N443" s="1"/>
      <c r="O443" s="3">
        <f>IFERROR(__xludf.DUMMYFUNCTION("""COMPUTED_VALUE"""),20000.0)</f>
        <v>20000</v>
      </c>
      <c r="P443" s="3">
        <f>IFERROR(__xludf.DUMMYFUNCTION("""COMPUTED_VALUE"""),20000.0)</f>
        <v>20000</v>
      </c>
      <c r="Q443" s="1"/>
      <c r="R443" s="3">
        <f>IFERROR(__xludf.DUMMYFUNCTION("""COMPUTED_VALUE"""),20000.0)</f>
        <v>20000</v>
      </c>
      <c r="S443" s="1"/>
      <c r="T443" s="1"/>
      <c r="U443" s="1"/>
      <c r="V443" s="3">
        <f>IFERROR(__xludf.DUMMYFUNCTION("""COMPUTED_VALUE"""),20000.0)</f>
        <v>20000</v>
      </c>
      <c r="W443" s="3">
        <f>IFERROR(__xludf.DUMMYFUNCTION("""COMPUTED_VALUE"""),20000.0)</f>
        <v>20000</v>
      </c>
      <c r="X443" s="3">
        <f>IFERROR(__xludf.DUMMYFUNCTION("""COMPUTED_VALUE"""),20000.0)</f>
        <v>20000</v>
      </c>
      <c r="Y443" s="3">
        <f>IFERROR(__xludf.DUMMYFUNCTION("""COMPUTED_VALUE"""),20000.0)</f>
        <v>20000</v>
      </c>
      <c r="Z443" s="1"/>
      <c r="AA443" s="1"/>
      <c r="AB443" s="1"/>
      <c r="AC443" s="3">
        <f>IFERROR(__xludf.DUMMYFUNCTION("""COMPUTED_VALUE"""),20000.0)</f>
        <v>20000</v>
      </c>
      <c r="AD443" s="1"/>
      <c r="AE443" s="1"/>
      <c r="AF443" s="1" t="str">
        <f>IFERROR(__xludf.DUMMYFUNCTION("""COMPUTED_VALUE"""),"++Royal Ward of The Halloween Kingdom: 25% chance to be unaffected by a weapon attack. ++Pumpkin Thorns: 25% chance to inflict half the damage dealt to you back to the enemy. +-Cannot be forged +-Cannot be duplicated")</f>
        <v>++Royal Ward of The Halloween Kingdom: 25% chance to be unaffected by a weapon attack. ++Pumpkin Thorns: 25% chance to inflict half the damage dealt to you back to the enemy. +-Cannot be forged +-Cannot be duplicated</v>
      </c>
      <c r="AG443" s="1" t="str">
        <f>IFERROR(__xludf.DUMMYFUNCTION("""COMPUTED_VALUE"""),"Halloween Kingdom")</f>
        <v>Halloween Kingdom</v>
      </c>
      <c r="AH443" s="1" t="b">
        <f>IFERROR(__xludf.DUMMYFUNCTION("""COMPUTED_VALUE"""),FALSE)</f>
        <v>0</v>
      </c>
    </row>
    <row r="444">
      <c r="A444" s="1" t="str">
        <f>IFERROR(__xludf.DUMMYFUNCTION("""COMPUTED_VALUE"""),"Sacred Flaming Pearl")</f>
        <v>Sacred Flaming Pearl</v>
      </c>
      <c r="B444" s="1" t="str">
        <f>IFERROR(__xludf.DUMMYFUNCTION("""COMPUTED_VALUE"""),"Hand")</f>
        <v>Hand</v>
      </c>
      <c r="C444" s="1" t="str">
        <f>IFERROR(__xludf.DUMMYFUNCTION("""COMPUTED_VALUE"""),"Quest item.")</f>
        <v>Quest item.</v>
      </c>
      <c r="D444" s="1"/>
      <c r="E444" s="1">
        <f>IFERROR(__xludf.DUMMYFUNCTION("""COMPUTED_VALUE"""),1.0)</f>
        <v>1</v>
      </c>
      <c r="F444" s="2">
        <f>IFERROR(__xludf.DUMMYFUNCTION("""COMPUTED_VALUE"""),0.0)</f>
        <v>0</v>
      </c>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t="str">
        <f>IFERROR(__xludf.DUMMYFUNCTION("""COMPUTED_VALUE"""),"++X4 additional fire damage for the user. +-Cannot be duplicated.")</f>
        <v>++X4 additional fire damage for the user. +-Cannot be duplicated.</v>
      </c>
      <c r="AG444" s="1" t="str">
        <f>IFERROR(__xludf.DUMMYFUNCTION("""COMPUTED_VALUE"""),"Abstara")</f>
        <v>Abstara</v>
      </c>
      <c r="AH444" s="1" t="b">
        <f>IFERROR(__xludf.DUMMYFUNCTION("""COMPUTED_VALUE"""),FALSE)</f>
        <v>0</v>
      </c>
    </row>
    <row r="445">
      <c r="A445" s="1" t="str">
        <f>IFERROR(__xludf.DUMMYFUNCTION("""COMPUTED_VALUE"""),"DragonScale Royal Helm")</f>
        <v>DragonScale Royal Helm</v>
      </c>
      <c r="B445" s="1" t="str">
        <f>IFERROR(__xludf.DUMMYFUNCTION("""COMPUTED_VALUE"""),"Head")</f>
        <v>Head</v>
      </c>
      <c r="C445" s="1"/>
      <c r="D445" s="1"/>
      <c r="E445" s="1">
        <f>IFERROR(__xludf.DUMMYFUNCTION("""COMPUTED_VALUE"""),200.0)</f>
        <v>200</v>
      </c>
      <c r="F445" s="2">
        <f>IFERROR(__xludf.DUMMYFUNCTION("""COMPUTED_VALUE"""),9.73E7)</f>
        <v>97300000</v>
      </c>
      <c r="G445" s="1" t="str">
        <f>IFERROR(__xludf.DUMMYFUNCTION("""COMPUTED_VALUE"""),"DEF")</f>
        <v>DEF</v>
      </c>
      <c r="H445" s="3">
        <f>IFERROR(__xludf.DUMMYFUNCTION("""COMPUTED_VALUE"""),40000.0)</f>
        <v>40000</v>
      </c>
      <c r="I445" s="1"/>
      <c r="J445" s="1"/>
      <c r="K445" s="1"/>
      <c r="L445" s="1"/>
      <c r="M445" s="1"/>
      <c r="N445" s="1"/>
      <c r="O445" s="1">
        <f>IFERROR(__xludf.DUMMYFUNCTION("""COMPUTED_VALUE"""),10000.0)</f>
        <v>10000</v>
      </c>
      <c r="P445" s="1"/>
      <c r="Q445" s="1"/>
      <c r="R445" s="1">
        <f>IFERROR(__xludf.DUMMYFUNCTION("""COMPUTED_VALUE"""),10000.0)</f>
        <v>10000</v>
      </c>
      <c r="S445" s="1"/>
      <c r="T445" s="1"/>
      <c r="U445" s="1"/>
      <c r="V445" s="1"/>
      <c r="W445" s="1"/>
      <c r="X445" s="1"/>
      <c r="Y445" s="1"/>
      <c r="Z445" s="1"/>
      <c r="AA445" s="1"/>
      <c r="AB445" s="1"/>
      <c r="AC445" s="1">
        <f>IFERROR(__xludf.DUMMYFUNCTION("""COMPUTED_VALUE"""),10000.0)</f>
        <v>10000</v>
      </c>
      <c r="AD445" s="1"/>
      <c r="AE445" s="1"/>
      <c r="AF445" s="1" t="str">
        <f>IFERROR(__xludf.DUMMYFUNCTION("""COMPUTED_VALUE"""),"++X2 Defense for the Wearer. ++Light Embodiment - When Equipped deal X2 Order and Light DMG ")</f>
        <v>++X2 Defense for the Wearer. ++Light Embodiment - When Equipped deal X2 Order and Light DMG </v>
      </c>
      <c r="AG445" s="1" t="str">
        <f>IFERROR(__xludf.DUMMYFUNCTION("""COMPUTED_VALUE"""),"Dragonscale Island")</f>
        <v>Dragonscale Island</v>
      </c>
      <c r="AH445" s="1" t="b">
        <f>IFERROR(__xludf.DUMMYFUNCTION("""COMPUTED_VALUE"""),TRUE)</f>
        <v>1</v>
      </c>
    </row>
    <row r="446">
      <c r="A446" s="1" t="str">
        <f>IFERROR(__xludf.DUMMYFUNCTION("""COMPUTED_VALUE"""),"DragonScale Royal Chestplate")</f>
        <v>DragonScale Royal Chestplate</v>
      </c>
      <c r="B446" s="1" t="str">
        <f>IFERROR(__xludf.DUMMYFUNCTION("""COMPUTED_VALUE"""),"Torso")</f>
        <v>Torso</v>
      </c>
      <c r="C446" s="1"/>
      <c r="D446" s="1"/>
      <c r="E446" s="1">
        <f>IFERROR(__xludf.DUMMYFUNCTION("""COMPUTED_VALUE"""),200.0)</f>
        <v>200</v>
      </c>
      <c r="F446" s="2">
        <f>IFERROR(__xludf.DUMMYFUNCTION("""COMPUTED_VALUE"""),5.995E7)</f>
        <v>59950000</v>
      </c>
      <c r="G446" s="1" t="str">
        <f>IFERROR(__xludf.DUMMYFUNCTION("""COMPUTED_VALUE"""),"DEF")</f>
        <v>DEF</v>
      </c>
      <c r="H446" s="3">
        <f>IFERROR(__xludf.DUMMYFUNCTION("""COMPUTED_VALUE"""),20000.0)</f>
        <v>20000</v>
      </c>
      <c r="I446" s="1"/>
      <c r="J446" s="1"/>
      <c r="K446" s="1">
        <f>IFERROR(__xludf.DUMMYFUNCTION("""COMPUTED_VALUE"""),5000.0)</f>
        <v>5000</v>
      </c>
      <c r="L446" s="1"/>
      <c r="M446" s="1"/>
      <c r="N446" s="1"/>
      <c r="O446" s="1">
        <f>IFERROR(__xludf.DUMMYFUNCTION("""COMPUTED_VALUE"""),10000.0)</f>
        <v>10000</v>
      </c>
      <c r="P446" s="1"/>
      <c r="Q446" s="1"/>
      <c r="R446" s="1">
        <f>IFERROR(__xludf.DUMMYFUNCTION("""COMPUTED_VALUE"""),10000.0)</f>
        <v>10000</v>
      </c>
      <c r="S446" s="1"/>
      <c r="T446" s="1"/>
      <c r="U446" s="1"/>
      <c r="V446" s="1"/>
      <c r="W446" s="1"/>
      <c r="X446" s="1"/>
      <c r="Y446" s="1"/>
      <c r="Z446" s="1"/>
      <c r="AA446" s="1"/>
      <c r="AB446" s="1"/>
      <c r="AC446" s="1">
        <f>IFERROR(__xludf.DUMMYFUNCTION("""COMPUTED_VALUE"""),10000.0)</f>
        <v>10000</v>
      </c>
      <c r="AD446" s="1"/>
      <c r="AE446" s="1"/>
      <c r="AF446" s="1" t="str">
        <f>IFERROR(__xludf.DUMMYFUNCTION("""COMPUTED_VALUE"""),"++X4 Defense for the Wearer. ++Light Embodiment II - When Equipped deal X4 Order and Light DMG ")</f>
        <v>++X4 Defense for the Wearer. ++Light Embodiment II - When Equipped deal X4 Order and Light DMG </v>
      </c>
      <c r="AG446" s="1" t="str">
        <f>IFERROR(__xludf.DUMMYFUNCTION("""COMPUTED_VALUE"""),"Dragonscale Island")</f>
        <v>Dragonscale Island</v>
      </c>
      <c r="AH446" s="1" t="b">
        <f>IFERROR(__xludf.DUMMYFUNCTION("""COMPUTED_VALUE"""),TRUE)</f>
        <v>1</v>
      </c>
    </row>
    <row r="447">
      <c r="A447" s="1" t="str">
        <f>IFERROR(__xludf.DUMMYFUNCTION("""COMPUTED_VALUE"""),"DragonScale Royal Vambraces")</f>
        <v>DragonScale Royal Vambraces</v>
      </c>
      <c r="B447" s="1" t="str">
        <f>IFERROR(__xludf.DUMMYFUNCTION("""COMPUTED_VALUE"""),"Arms")</f>
        <v>Arms</v>
      </c>
      <c r="C447" s="1"/>
      <c r="D447" s="1"/>
      <c r="E447" s="1">
        <f>IFERROR(__xludf.DUMMYFUNCTION("""COMPUTED_VALUE"""),200.0)</f>
        <v>200</v>
      </c>
      <c r="F447" s="2">
        <f>IFERROR(__xludf.DUMMYFUNCTION("""COMPUTED_VALUE"""),3.16E7)</f>
        <v>31600000</v>
      </c>
      <c r="G447" s="1" t="str">
        <f>IFERROR(__xludf.DUMMYFUNCTION("""COMPUTED_VALUE"""),"DEF")</f>
        <v>DEF</v>
      </c>
      <c r="H447" s="3">
        <f>IFERROR(__xludf.DUMMYFUNCTION("""COMPUTED_VALUE"""),10000.0)</f>
        <v>10000</v>
      </c>
      <c r="I447" s="1"/>
      <c r="J447" s="1"/>
      <c r="K447" s="1"/>
      <c r="L447" s="1"/>
      <c r="M447" s="1"/>
      <c r="N447" s="1"/>
      <c r="O447" s="1">
        <f>IFERROR(__xludf.DUMMYFUNCTION("""COMPUTED_VALUE"""),10000.0)</f>
        <v>10000</v>
      </c>
      <c r="P447" s="1"/>
      <c r="Q447" s="1"/>
      <c r="R447" s="1">
        <f>IFERROR(__xludf.DUMMYFUNCTION("""COMPUTED_VALUE"""),10000.0)</f>
        <v>10000</v>
      </c>
      <c r="S447" s="1"/>
      <c r="T447" s="1"/>
      <c r="U447" s="1"/>
      <c r="V447" s="1"/>
      <c r="W447" s="1"/>
      <c r="X447" s="1"/>
      <c r="Y447" s="1"/>
      <c r="Z447" s="1"/>
      <c r="AA447" s="1"/>
      <c r="AB447" s="1"/>
      <c r="AC447" s="1">
        <f>IFERROR(__xludf.DUMMYFUNCTION("""COMPUTED_VALUE"""),10000.0)</f>
        <v>10000</v>
      </c>
      <c r="AD447" s="1"/>
      <c r="AE447" s="1"/>
      <c r="AF447" s="1" t="str">
        <f>IFERROR(__xludf.DUMMYFUNCTION("""COMPUTED_VALUE"""),"++X2 Defense for the Wearer. ++Light Embodiment - When Equipped deal X2 Order and Light DMG ")</f>
        <v>++X2 Defense for the Wearer. ++Light Embodiment - When Equipped deal X2 Order and Light DMG </v>
      </c>
      <c r="AG447" s="1" t="str">
        <f>IFERROR(__xludf.DUMMYFUNCTION("""COMPUTED_VALUE"""),"Dragonscale Island")</f>
        <v>Dragonscale Island</v>
      </c>
      <c r="AH447" s="1" t="b">
        <f>IFERROR(__xludf.DUMMYFUNCTION("""COMPUTED_VALUE"""),TRUE)</f>
        <v>1</v>
      </c>
    </row>
    <row r="448">
      <c r="A448" s="1" t="str">
        <f>IFERROR(__xludf.DUMMYFUNCTION("""COMPUTED_VALUE"""),"DragonScale Royal Greaves")</f>
        <v>DragonScale Royal Greaves</v>
      </c>
      <c r="B448" s="1" t="str">
        <f>IFERROR(__xludf.DUMMYFUNCTION("""COMPUTED_VALUE"""),"Legs")</f>
        <v>Legs</v>
      </c>
      <c r="C448" s="1"/>
      <c r="D448" s="1"/>
      <c r="E448" s="1">
        <f>IFERROR(__xludf.DUMMYFUNCTION("""COMPUTED_VALUE"""),200.0)</f>
        <v>200</v>
      </c>
      <c r="F448" s="2">
        <f>IFERROR(__xludf.DUMMYFUNCTION("""COMPUTED_VALUE"""),3.16E7)</f>
        <v>31600000</v>
      </c>
      <c r="G448" s="1" t="str">
        <f>IFERROR(__xludf.DUMMYFUNCTION("""COMPUTED_VALUE"""),"DEF")</f>
        <v>DEF</v>
      </c>
      <c r="H448" s="3">
        <f>IFERROR(__xludf.DUMMYFUNCTION("""COMPUTED_VALUE"""),10000.0)</f>
        <v>10000</v>
      </c>
      <c r="I448" s="1"/>
      <c r="J448" s="1"/>
      <c r="K448" s="1"/>
      <c r="L448" s="1"/>
      <c r="M448" s="1"/>
      <c r="N448" s="1"/>
      <c r="O448" s="1">
        <f>IFERROR(__xludf.DUMMYFUNCTION("""COMPUTED_VALUE"""),10000.0)</f>
        <v>10000</v>
      </c>
      <c r="P448" s="1"/>
      <c r="Q448" s="1"/>
      <c r="R448" s="1">
        <f>IFERROR(__xludf.DUMMYFUNCTION("""COMPUTED_VALUE"""),10000.0)</f>
        <v>10000</v>
      </c>
      <c r="S448" s="1"/>
      <c r="T448" s="1"/>
      <c r="U448" s="1"/>
      <c r="V448" s="1"/>
      <c r="W448" s="1"/>
      <c r="X448" s="1"/>
      <c r="Y448" s="1"/>
      <c r="Z448" s="1"/>
      <c r="AA448" s="1"/>
      <c r="AB448" s="1"/>
      <c r="AC448" s="1">
        <f>IFERROR(__xludf.DUMMYFUNCTION("""COMPUTED_VALUE"""),10000.0)</f>
        <v>10000</v>
      </c>
      <c r="AD448" s="1"/>
      <c r="AE448" s="1"/>
      <c r="AF448" s="1" t="str">
        <f>IFERROR(__xludf.DUMMYFUNCTION("""COMPUTED_VALUE"""),"++X2 Defense for the Wearer. ++Light Embodiment - When Equipped deal X2 Order and Light DMG ")</f>
        <v>++X2 Defense for the Wearer. ++Light Embodiment - When Equipped deal X2 Order and Light DMG </v>
      </c>
      <c r="AG448" s="1" t="str">
        <f>IFERROR(__xludf.DUMMYFUNCTION("""COMPUTED_VALUE"""),"Dragonscale Island")</f>
        <v>Dragonscale Island</v>
      </c>
      <c r="AH448" s="1" t="b">
        <f>IFERROR(__xludf.DUMMYFUNCTION("""COMPUTED_VALUE"""),TRUE)</f>
        <v>1</v>
      </c>
    </row>
    <row r="449">
      <c r="A449" s="1" t="str">
        <f>IFERROR(__xludf.DUMMYFUNCTION("""COMPUTED_VALUE"""),"DragonScale Royal Shield")</f>
        <v>DragonScale Royal Shield</v>
      </c>
      <c r="B449" s="1" t="str">
        <f>IFERROR(__xludf.DUMMYFUNCTION("""COMPUTED_VALUE"""),"Hand")</f>
        <v>Hand</v>
      </c>
      <c r="C449" s="1"/>
      <c r="D449" s="1" t="str">
        <f>IFERROR(__xludf.DUMMYFUNCTION("""COMPUTED_VALUE"""),"Towershield")</f>
        <v>Towershield</v>
      </c>
      <c r="E449" s="1">
        <f>IFERROR(__xludf.DUMMYFUNCTION("""COMPUTED_VALUE"""),200.0)</f>
        <v>200</v>
      </c>
      <c r="F449" s="2">
        <f>IFERROR(__xludf.DUMMYFUNCTION("""COMPUTED_VALUE"""),2.1945E8)</f>
        <v>219450000</v>
      </c>
      <c r="G449" s="1" t="str">
        <f>IFERROR(__xludf.DUMMYFUNCTION("""COMPUTED_VALUE"""),"DEF")</f>
        <v>DEF</v>
      </c>
      <c r="H449" s="3">
        <f>IFERROR(__xludf.DUMMYFUNCTION("""COMPUTED_VALUE"""),55000.0)</f>
        <v>55000</v>
      </c>
      <c r="I449" s="1"/>
      <c r="J449" s="1"/>
      <c r="K449" s="1"/>
      <c r="L449" s="1"/>
      <c r="M449" s="1"/>
      <c r="N449" s="1"/>
      <c r="O449" s="1">
        <f>IFERROR(__xludf.DUMMYFUNCTION("""COMPUTED_VALUE"""),20000.0)</f>
        <v>20000</v>
      </c>
      <c r="P449" s="1"/>
      <c r="Q449" s="1"/>
      <c r="R449" s="1">
        <f>IFERROR(__xludf.DUMMYFUNCTION("""COMPUTED_VALUE"""),20000.0)</f>
        <v>20000</v>
      </c>
      <c r="S449" s="1"/>
      <c r="T449" s="1"/>
      <c r="U449" s="1"/>
      <c r="V449" s="1"/>
      <c r="W449" s="1"/>
      <c r="X449" s="1"/>
      <c r="Y449" s="1"/>
      <c r="Z449" s="1"/>
      <c r="AA449" s="1"/>
      <c r="AB449" s="1"/>
      <c r="AC449" s="1">
        <f>IFERROR(__xludf.DUMMYFUNCTION("""COMPUTED_VALUE"""),10000.0)</f>
        <v>10000</v>
      </c>
      <c r="AD449" s="1"/>
      <c r="AE449" s="1"/>
      <c r="AF449" s="1" t="str">
        <f>IFERROR(__xludf.DUMMYFUNCTION("""COMPUTED_VALUE"""),"++X2 Defense for the Wearer. ++Light Embodiment - When Equipped deal X2 Order and Light DMG ")</f>
        <v>++X2 Defense for the Wearer. ++Light Embodiment - When Equipped deal X2 Order and Light DMG </v>
      </c>
      <c r="AG449" s="1" t="str">
        <f>IFERROR(__xludf.DUMMYFUNCTION("""COMPUTED_VALUE"""),"Dragonscale Island")</f>
        <v>Dragonscale Island</v>
      </c>
      <c r="AH449" s="1" t="b">
        <f>IFERROR(__xludf.DUMMYFUNCTION("""COMPUTED_VALUE"""),TRUE)</f>
        <v>1</v>
      </c>
    </row>
    <row r="450">
      <c r="A450" s="1" t="str">
        <f>IFERROR(__xludf.DUMMYFUNCTION("""COMPUTED_VALUE"""),"DragonScale Royal Boots")</f>
        <v>DragonScale Royal Boots</v>
      </c>
      <c r="B450" s="1" t="str">
        <f>IFERROR(__xludf.DUMMYFUNCTION("""COMPUTED_VALUE"""),"Feet")</f>
        <v>Feet</v>
      </c>
      <c r="C450" s="1"/>
      <c r="D450" s="1"/>
      <c r="E450" s="1">
        <f>IFERROR(__xludf.DUMMYFUNCTION("""COMPUTED_VALUE"""),200.0)</f>
        <v>200</v>
      </c>
      <c r="F450" s="2">
        <f>IFERROR(__xludf.DUMMYFUNCTION("""COMPUTED_VALUE"""),5.356E7)</f>
        <v>53560000</v>
      </c>
      <c r="G450" s="1" t="str">
        <f>IFERROR(__xludf.DUMMYFUNCTION("""COMPUTED_VALUE"""),"DEF")</f>
        <v>DEF</v>
      </c>
      <c r="H450" s="3">
        <f>IFERROR(__xludf.DUMMYFUNCTION("""COMPUTED_VALUE"""),22000.0)</f>
        <v>22000</v>
      </c>
      <c r="I450" s="1"/>
      <c r="J450" s="1"/>
      <c r="K450" s="1"/>
      <c r="L450" s="1"/>
      <c r="M450" s="1"/>
      <c r="N450" s="1"/>
      <c r="O450" s="1">
        <f>IFERROR(__xludf.DUMMYFUNCTION("""COMPUTED_VALUE"""),10000.0)</f>
        <v>10000</v>
      </c>
      <c r="P450" s="1"/>
      <c r="Q450" s="1"/>
      <c r="R450" s="1">
        <f>IFERROR(__xludf.DUMMYFUNCTION("""COMPUTED_VALUE"""),10000.0)</f>
        <v>10000</v>
      </c>
      <c r="S450" s="1"/>
      <c r="T450" s="1"/>
      <c r="U450" s="1"/>
      <c r="V450" s="1"/>
      <c r="W450" s="1"/>
      <c r="X450" s="1"/>
      <c r="Y450" s="1"/>
      <c r="Z450" s="1"/>
      <c r="AA450" s="1"/>
      <c r="AB450" s="1"/>
      <c r="AC450" s="1">
        <f>IFERROR(__xludf.DUMMYFUNCTION("""COMPUTED_VALUE"""),10000.0)</f>
        <v>10000</v>
      </c>
      <c r="AD450" s="1"/>
      <c r="AE450" s="1"/>
      <c r="AF450" s="1" t="str">
        <f>IFERROR(__xludf.DUMMYFUNCTION("""COMPUTED_VALUE"""),"++X2 Defense for the Wearer. ++Light Embodiment - When Equipped deal X2 Order and Light DMG ")</f>
        <v>++X2 Defense for the Wearer. ++Light Embodiment - When Equipped deal X2 Order and Light DMG </v>
      </c>
      <c r="AG450" s="1" t="str">
        <f>IFERROR(__xludf.DUMMYFUNCTION("""COMPUTED_VALUE"""),"Dragonscale Island")</f>
        <v>Dragonscale Island</v>
      </c>
      <c r="AH450" s="1" t="b">
        <f>IFERROR(__xludf.DUMMYFUNCTION("""COMPUTED_VALUE"""),TRUE)</f>
        <v>1</v>
      </c>
    </row>
    <row r="451">
      <c r="A451" s="1" t="str">
        <f>IFERROR(__xludf.DUMMYFUNCTION("""COMPUTED_VALUE"""),"DragonScale Royal Pauldrons")</f>
        <v>DragonScale Royal Pauldrons</v>
      </c>
      <c r="B451" s="1" t="str">
        <f>IFERROR(__xludf.DUMMYFUNCTION("""COMPUTED_VALUE"""),"Shoulders")</f>
        <v>Shoulders</v>
      </c>
      <c r="C451" s="1"/>
      <c r="D451" s="1"/>
      <c r="E451" s="1">
        <f>IFERROR(__xludf.DUMMYFUNCTION("""COMPUTED_VALUE"""),200.0)</f>
        <v>200</v>
      </c>
      <c r="F451" s="2">
        <f>IFERROR(__xludf.DUMMYFUNCTION("""COMPUTED_VALUE"""),4.95E7)</f>
        <v>49500000</v>
      </c>
      <c r="G451" s="1" t="str">
        <f>IFERROR(__xludf.DUMMYFUNCTION("""COMPUTED_VALUE"""),"DEF")</f>
        <v>DEF</v>
      </c>
      <c r="H451" s="3">
        <f>IFERROR(__xludf.DUMMYFUNCTION("""COMPUTED_VALUE"""),20000.0)</f>
        <v>20000</v>
      </c>
      <c r="I451" s="1"/>
      <c r="J451" s="1"/>
      <c r="K451" s="1"/>
      <c r="L451" s="1"/>
      <c r="M451" s="1"/>
      <c r="N451" s="1"/>
      <c r="O451" s="1">
        <f>IFERROR(__xludf.DUMMYFUNCTION("""COMPUTED_VALUE"""),10000.0)</f>
        <v>10000</v>
      </c>
      <c r="P451" s="1"/>
      <c r="Q451" s="1"/>
      <c r="R451" s="1">
        <f>IFERROR(__xludf.DUMMYFUNCTION("""COMPUTED_VALUE"""),10000.0)</f>
        <v>10000</v>
      </c>
      <c r="S451" s="1"/>
      <c r="T451" s="1"/>
      <c r="U451" s="1"/>
      <c r="V451" s="1"/>
      <c r="W451" s="1"/>
      <c r="X451" s="1"/>
      <c r="Y451" s="1"/>
      <c r="Z451" s="1"/>
      <c r="AA451" s="1"/>
      <c r="AB451" s="1"/>
      <c r="AC451" s="1">
        <f>IFERROR(__xludf.DUMMYFUNCTION("""COMPUTED_VALUE"""),10000.0)</f>
        <v>10000</v>
      </c>
      <c r="AD451" s="1"/>
      <c r="AE451" s="1"/>
      <c r="AF451" s="1" t="str">
        <f>IFERROR(__xludf.DUMMYFUNCTION("""COMPUTED_VALUE"""),"++X2 Defense for the Wearer. ++Light Embodiment - When Equipped deal X2 Order and Light DMG ")</f>
        <v>++X2 Defense for the Wearer. ++Light Embodiment - When Equipped deal X2 Order and Light DMG </v>
      </c>
      <c r="AG451" s="1" t="str">
        <f>IFERROR(__xludf.DUMMYFUNCTION("""COMPUTED_VALUE"""),"Dragonscale Island")</f>
        <v>Dragonscale Island</v>
      </c>
      <c r="AH451" s="1" t="b">
        <f>IFERROR(__xludf.DUMMYFUNCTION("""COMPUTED_VALUE"""),TRUE)</f>
        <v>1</v>
      </c>
    </row>
    <row r="452">
      <c r="A452" s="1" t="str">
        <f>IFERROR(__xludf.DUMMYFUNCTION("""COMPUTED_VALUE"""),"BLADE! OF! JUSTICE!!!!")</f>
        <v>BLADE! OF! JUSTICE!!!!</v>
      </c>
      <c r="B452" s="1" t="str">
        <f>IFERROR(__xludf.DUMMYFUNCTION("""COMPUTED_VALUE"""),"Hand")</f>
        <v>Hand</v>
      </c>
      <c r="C452" s="1"/>
      <c r="D452" s="1" t="str">
        <f>IFERROR(__xludf.DUMMYFUNCTION("""COMPUTED_VALUE"""),"Sword")</f>
        <v>Sword</v>
      </c>
      <c r="E452" s="1">
        <f>IFERROR(__xludf.DUMMYFUNCTION("""COMPUTED_VALUE"""),200.0)</f>
        <v>200</v>
      </c>
      <c r="F452" s="2">
        <f>IFERROR(__xludf.DUMMYFUNCTION("""COMPUTED_VALUE"""),3.367E8)</f>
        <v>336700000</v>
      </c>
      <c r="G452" s="1" t="str">
        <f>IFERROR(__xludf.DUMMYFUNCTION("""COMPUTED_VALUE"""),"DMG")</f>
        <v>DMG</v>
      </c>
      <c r="H452" s="3">
        <f>IFERROR(__xludf.DUMMYFUNCTION("""COMPUTED_VALUE"""),100000.0)</f>
        <v>100000</v>
      </c>
      <c r="I452" s="1"/>
      <c r="J452" s="1"/>
      <c r="K452" s="1"/>
      <c r="L452" s="1"/>
      <c r="M452" s="1"/>
      <c r="N452" s="1">
        <f>IFERROR(__xludf.DUMMYFUNCTION("""COMPUTED_VALUE"""),10000.0)</f>
        <v>10000</v>
      </c>
      <c r="O452" s="1"/>
      <c r="P452" s="1"/>
      <c r="Q452" s="3">
        <f>IFERROR(__xludf.DUMMYFUNCTION("""COMPUTED_VALUE"""),10000.0)</f>
        <v>10000</v>
      </c>
      <c r="R452" s="1"/>
      <c r="S452" s="1"/>
      <c r="T452" s="1"/>
      <c r="U452" s="1"/>
      <c r="V452" s="1"/>
      <c r="W452" s="1"/>
      <c r="X452" s="1"/>
      <c r="Y452" s="1"/>
      <c r="Z452" s="1"/>
      <c r="AA452" s="1"/>
      <c r="AB452" s="1"/>
      <c r="AC452" s="1">
        <f>IFERROR(__xludf.DUMMYFUNCTION("""COMPUTED_VALUE"""),10000.0)</f>
        <v>10000</v>
      </c>
      <c r="AD452" s="1"/>
      <c r="AE452" s="1"/>
      <c r="AF452" s="1" t="str">
        <f>IFERROR(__xludf.DUMMYFUNCTION("""COMPUTED_VALUE"""),"++This Weapon will deal X4 damage while equipped against Criminals. ++Light Embodiment II - When Equipped deal X4 Order and Light DMG ")</f>
        <v>++This Weapon will deal X4 damage while equipped against Criminals. ++Light Embodiment II - When Equipped deal X4 Order and Light DMG </v>
      </c>
      <c r="AG452" s="1" t="str">
        <f>IFERROR(__xludf.DUMMYFUNCTION("""COMPUTED_VALUE"""),"Dragonscale Island")</f>
        <v>Dragonscale Island</v>
      </c>
      <c r="AH452" s="1" t="b">
        <f>IFERROR(__xludf.DUMMYFUNCTION("""COMPUTED_VALUE"""),TRUE)</f>
        <v>1</v>
      </c>
    </row>
    <row r="453">
      <c r="A453" s="1" t="str">
        <f>IFERROR(__xludf.DUMMYFUNCTION("""COMPUTED_VALUE"""),"Abstara Royal Helm")</f>
        <v>Abstara Royal Helm</v>
      </c>
      <c r="B453" s="1" t="str">
        <f>IFERROR(__xludf.DUMMYFUNCTION("""COMPUTED_VALUE"""),"Head")</f>
        <v>Head</v>
      </c>
      <c r="C453" s="1"/>
      <c r="D453" s="1"/>
      <c r="E453" s="1">
        <f>IFERROR(__xludf.DUMMYFUNCTION("""COMPUTED_VALUE"""),200.0)</f>
        <v>200</v>
      </c>
      <c r="F453" s="2">
        <f>IFERROR(__xludf.DUMMYFUNCTION("""COMPUTED_VALUE"""),1.99E8)</f>
        <v>199000000</v>
      </c>
      <c r="G453" s="1" t="str">
        <f>IFERROR(__xludf.DUMMYFUNCTION("""COMPUTED_VALUE"""),"DEF")</f>
        <v>DEF</v>
      </c>
      <c r="H453" s="3">
        <f>IFERROR(__xludf.DUMMYFUNCTION("""COMPUTED_VALUE"""),50000.0)</f>
        <v>50000</v>
      </c>
      <c r="I453" s="1"/>
      <c r="J453" s="1"/>
      <c r="K453" s="1"/>
      <c r="L453" s="1"/>
      <c r="M453" s="1"/>
      <c r="N453" s="1"/>
      <c r="O453" s="1"/>
      <c r="P453" s="1"/>
      <c r="Q453" s="1"/>
      <c r="R453" s="1"/>
      <c r="S453" s="1"/>
      <c r="T453" s="1"/>
      <c r="U453" s="1"/>
      <c r="V453" s="1"/>
      <c r="W453" s="1"/>
      <c r="X453" s="1"/>
      <c r="Y453" s="1"/>
      <c r="Z453" s="1"/>
      <c r="AA453" s="1"/>
      <c r="AB453" s="1"/>
      <c r="AC453" s="3">
        <f>IFERROR(__xludf.DUMMYFUNCTION("""COMPUTED_VALUE"""),50000.0)</f>
        <v>50000</v>
      </c>
      <c r="AD453" s="1"/>
      <c r="AE453" s="1"/>
      <c r="AF453" s="1" t="str">
        <f>IFERROR(__xludf.DUMMYFUNCTION("""COMPUTED_VALUE"""),"++X4 Defense for the Wearer. ++Underworldly Embodiment - When Equipped deal X4 Dark, Chaos, Fire, and Celestial DMG ")</f>
        <v>++X4 Defense for the Wearer. ++Underworldly Embodiment - When Equipped deal X4 Dark, Chaos, Fire, and Celestial DMG </v>
      </c>
      <c r="AG453" s="1" t="str">
        <f>IFERROR(__xludf.DUMMYFUNCTION("""COMPUTED_VALUE"""),"Abstara")</f>
        <v>Abstara</v>
      </c>
      <c r="AH453" s="1" t="b">
        <f>IFERROR(__xludf.DUMMYFUNCTION("""COMPUTED_VALUE"""),TRUE)</f>
        <v>1</v>
      </c>
    </row>
    <row r="454">
      <c r="A454" s="1" t="str">
        <f>IFERROR(__xludf.DUMMYFUNCTION("""COMPUTED_VALUE"""),"Abstara Royal Chestplate")</f>
        <v>Abstara Royal Chestplate</v>
      </c>
      <c r="B454" s="1" t="str">
        <f>IFERROR(__xludf.DUMMYFUNCTION("""COMPUTED_VALUE"""),"Torso")</f>
        <v>Torso</v>
      </c>
      <c r="C454" s="1"/>
      <c r="D454" s="1"/>
      <c r="E454" s="1">
        <f>IFERROR(__xludf.DUMMYFUNCTION("""COMPUTED_VALUE"""),200.0)</f>
        <v>200</v>
      </c>
      <c r="F454" s="2">
        <f>IFERROR(__xludf.DUMMYFUNCTION("""COMPUTED_VALUE"""),1.99E8)</f>
        <v>199000000</v>
      </c>
      <c r="G454" s="1" t="str">
        <f>IFERROR(__xludf.DUMMYFUNCTION("""COMPUTED_VALUE"""),"DEF")</f>
        <v>DEF</v>
      </c>
      <c r="H454" s="3">
        <f>IFERROR(__xludf.DUMMYFUNCTION("""COMPUTED_VALUE"""),50000.0)</f>
        <v>50000</v>
      </c>
      <c r="I454" s="1"/>
      <c r="J454" s="1"/>
      <c r="K454" s="1"/>
      <c r="L454" s="1"/>
      <c r="M454" s="1"/>
      <c r="N454" s="1"/>
      <c r="O454" s="1"/>
      <c r="P454" s="1"/>
      <c r="Q454" s="1"/>
      <c r="R454" s="1"/>
      <c r="S454" s="1"/>
      <c r="T454" s="1"/>
      <c r="U454" s="1"/>
      <c r="V454" s="1"/>
      <c r="W454" s="1"/>
      <c r="X454" s="1"/>
      <c r="Y454" s="1"/>
      <c r="Z454" s="1"/>
      <c r="AA454" s="1"/>
      <c r="AB454" s="1"/>
      <c r="AC454" s="3">
        <f>IFERROR(__xludf.DUMMYFUNCTION("""COMPUTED_VALUE"""),50000.0)</f>
        <v>50000</v>
      </c>
      <c r="AD454" s="1"/>
      <c r="AE454" s="1"/>
      <c r="AF454" s="1" t="str">
        <f>IFERROR(__xludf.DUMMYFUNCTION("""COMPUTED_VALUE"""),"++X4 Defense for the Wearer. ++Underworldly Embodiment - When Equipped deal X4 Dark, Chaos, Fire, and Celestial DMG ")</f>
        <v>++X4 Defense for the Wearer. ++Underworldly Embodiment - When Equipped deal X4 Dark, Chaos, Fire, and Celestial DMG </v>
      </c>
      <c r="AG454" s="1" t="str">
        <f>IFERROR(__xludf.DUMMYFUNCTION("""COMPUTED_VALUE"""),"Abstara")</f>
        <v>Abstara</v>
      </c>
      <c r="AH454" s="1" t="b">
        <f>IFERROR(__xludf.DUMMYFUNCTION("""COMPUTED_VALUE"""),TRUE)</f>
        <v>1</v>
      </c>
    </row>
    <row r="455">
      <c r="A455" s="1" t="str">
        <f>IFERROR(__xludf.DUMMYFUNCTION("""COMPUTED_VALUE"""),"Abstara Royal Vambraces")</f>
        <v>Abstara Royal Vambraces</v>
      </c>
      <c r="B455" s="1" t="str">
        <f>IFERROR(__xludf.DUMMYFUNCTION("""COMPUTED_VALUE"""),"Arms")</f>
        <v>Arms</v>
      </c>
      <c r="C455" s="1"/>
      <c r="D455" s="1"/>
      <c r="E455" s="1">
        <f>IFERROR(__xludf.DUMMYFUNCTION("""COMPUTED_VALUE"""),200.0)</f>
        <v>200</v>
      </c>
      <c r="F455" s="2">
        <f>IFERROR(__xludf.DUMMYFUNCTION("""COMPUTED_VALUE"""),1.99E8)</f>
        <v>199000000</v>
      </c>
      <c r="G455" s="1" t="str">
        <f>IFERROR(__xludf.DUMMYFUNCTION("""COMPUTED_VALUE"""),"DEF")</f>
        <v>DEF</v>
      </c>
      <c r="H455" s="3">
        <f>IFERROR(__xludf.DUMMYFUNCTION("""COMPUTED_VALUE"""),50000.0)</f>
        <v>50000</v>
      </c>
      <c r="I455" s="1"/>
      <c r="J455" s="1"/>
      <c r="K455" s="1"/>
      <c r="L455" s="1"/>
      <c r="M455" s="1"/>
      <c r="N455" s="1"/>
      <c r="O455" s="1"/>
      <c r="P455" s="1"/>
      <c r="Q455" s="1"/>
      <c r="R455" s="1"/>
      <c r="S455" s="1"/>
      <c r="T455" s="1"/>
      <c r="U455" s="1"/>
      <c r="V455" s="1"/>
      <c r="W455" s="1"/>
      <c r="X455" s="1"/>
      <c r="Y455" s="1"/>
      <c r="Z455" s="1"/>
      <c r="AA455" s="1"/>
      <c r="AB455" s="1"/>
      <c r="AC455" s="3">
        <f>IFERROR(__xludf.DUMMYFUNCTION("""COMPUTED_VALUE"""),50000.0)</f>
        <v>50000</v>
      </c>
      <c r="AD455" s="1"/>
      <c r="AE455" s="1"/>
      <c r="AF455" s="1" t="str">
        <f>IFERROR(__xludf.DUMMYFUNCTION("""COMPUTED_VALUE"""),"++X4 Defense for the Wearer. ++Underworldly Embodiment - When Equipped deal X4 Dark, Chaos, Fire, and Celestial DMG ")</f>
        <v>++X4 Defense for the Wearer. ++Underworldly Embodiment - When Equipped deal X4 Dark, Chaos, Fire, and Celestial DMG </v>
      </c>
      <c r="AG455" s="1" t="str">
        <f>IFERROR(__xludf.DUMMYFUNCTION("""COMPUTED_VALUE"""),"Abstara")</f>
        <v>Abstara</v>
      </c>
      <c r="AH455" s="1" t="b">
        <f>IFERROR(__xludf.DUMMYFUNCTION("""COMPUTED_VALUE"""),TRUE)</f>
        <v>1</v>
      </c>
    </row>
    <row r="456">
      <c r="A456" s="1" t="str">
        <f>IFERROR(__xludf.DUMMYFUNCTION("""COMPUTED_VALUE"""),"Abstara Royal Greaves")</f>
        <v>Abstara Royal Greaves</v>
      </c>
      <c r="B456" s="1" t="str">
        <f>IFERROR(__xludf.DUMMYFUNCTION("""COMPUTED_VALUE"""),"Legs")</f>
        <v>Legs</v>
      </c>
      <c r="C456" s="1"/>
      <c r="D456" s="1"/>
      <c r="E456" s="1">
        <f>IFERROR(__xludf.DUMMYFUNCTION("""COMPUTED_VALUE"""),200.0)</f>
        <v>200</v>
      </c>
      <c r="F456" s="2">
        <f>IFERROR(__xludf.DUMMYFUNCTION("""COMPUTED_VALUE"""),1.99E8)</f>
        <v>199000000</v>
      </c>
      <c r="G456" s="1" t="str">
        <f>IFERROR(__xludf.DUMMYFUNCTION("""COMPUTED_VALUE"""),"DEF")</f>
        <v>DEF</v>
      </c>
      <c r="H456" s="3">
        <f>IFERROR(__xludf.DUMMYFUNCTION("""COMPUTED_VALUE"""),50000.0)</f>
        <v>50000</v>
      </c>
      <c r="I456" s="1"/>
      <c r="J456" s="1"/>
      <c r="K456" s="1"/>
      <c r="L456" s="1"/>
      <c r="M456" s="1"/>
      <c r="N456" s="1"/>
      <c r="O456" s="1"/>
      <c r="P456" s="1"/>
      <c r="Q456" s="1"/>
      <c r="R456" s="1"/>
      <c r="S456" s="1"/>
      <c r="T456" s="1"/>
      <c r="U456" s="1"/>
      <c r="V456" s="1"/>
      <c r="W456" s="1"/>
      <c r="X456" s="1"/>
      <c r="Y456" s="1"/>
      <c r="Z456" s="1"/>
      <c r="AA456" s="1"/>
      <c r="AB456" s="1"/>
      <c r="AC456" s="3">
        <f>IFERROR(__xludf.DUMMYFUNCTION("""COMPUTED_VALUE"""),50000.0)</f>
        <v>50000</v>
      </c>
      <c r="AD456" s="1"/>
      <c r="AE456" s="1"/>
      <c r="AF456" s="1" t="str">
        <f>IFERROR(__xludf.DUMMYFUNCTION("""COMPUTED_VALUE"""),"++X4 Defense for the Wearer. ++Underworldly Embodiment - When Equipped deal X4 Dark, Chaos, Fire, and Celestial DMG ")</f>
        <v>++X4 Defense for the Wearer. ++Underworldly Embodiment - When Equipped deal X4 Dark, Chaos, Fire, and Celestial DMG </v>
      </c>
      <c r="AG456" s="1" t="str">
        <f>IFERROR(__xludf.DUMMYFUNCTION("""COMPUTED_VALUE"""),"Abstara")</f>
        <v>Abstara</v>
      </c>
      <c r="AH456" s="1" t="b">
        <f>IFERROR(__xludf.DUMMYFUNCTION("""COMPUTED_VALUE"""),TRUE)</f>
        <v>1</v>
      </c>
    </row>
    <row r="457">
      <c r="A457" s="1" t="str">
        <f>IFERROR(__xludf.DUMMYFUNCTION("""COMPUTED_VALUE"""),"Abstara Royal Shield")</f>
        <v>Abstara Royal Shield</v>
      </c>
      <c r="B457" s="1" t="str">
        <f>IFERROR(__xludf.DUMMYFUNCTION("""COMPUTED_VALUE"""),"Hand")</f>
        <v>Hand</v>
      </c>
      <c r="C457" s="1"/>
      <c r="D457" s="1" t="str">
        <f>IFERROR(__xludf.DUMMYFUNCTION("""COMPUTED_VALUE"""),"Towershield")</f>
        <v>Towershield</v>
      </c>
      <c r="E457" s="1">
        <f>IFERROR(__xludf.DUMMYFUNCTION("""COMPUTED_VALUE"""),200.0)</f>
        <v>200</v>
      </c>
      <c r="F457" s="2">
        <f>IFERROR(__xludf.DUMMYFUNCTION("""COMPUTED_VALUE"""),1.99E8)</f>
        <v>199000000</v>
      </c>
      <c r="G457" s="1" t="str">
        <f>IFERROR(__xludf.DUMMYFUNCTION("""COMPUTED_VALUE"""),"DEF")</f>
        <v>DEF</v>
      </c>
      <c r="H457" s="3">
        <f>IFERROR(__xludf.DUMMYFUNCTION("""COMPUTED_VALUE"""),50000.0)</f>
        <v>50000</v>
      </c>
      <c r="I457" s="1"/>
      <c r="J457" s="1"/>
      <c r="K457" s="1"/>
      <c r="L457" s="1"/>
      <c r="M457" s="1"/>
      <c r="N457" s="1"/>
      <c r="O457" s="1"/>
      <c r="P457" s="1"/>
      <c r="Q457" s="1"/>
      <c r="R457" s="1"/>
      <c r="S457" s="1"/>
      <c r="T457" s="1"/>
      <c r="U457" s="1"/>
      <c r="V457" s="1"/>
      <c r="W457" s="1"/>
      <c r="X457" s="1"/>
      <c r="Y457" s="1"/>
      <c r="Z457" s="1"/>
      <c r="AA457" s="1"/>
      <c r="AB457" s="1"/>
      <c r="AC457" s="3">
        <f>IFERROR(__xludf.DUMMYFUNCTION("""COMPUTED_VALUE"""),50000.0)</f>
        <v>50000</v>
      </c>
      <c r="AD457" s="1"/>
      <c r="AE457" s="1"/>
      <c r="AF457" s="1" t="str">
        <f>IFERROR(__xludf.DUMMYFUNCTION("""COMPUTED_VALUE"""),"++X4 Defense for the Wearer. ++Underworldly Embodiment - When Equipped deal X4 Dark, Chaos, Fire, and Celestial DMG ")</f>
        <v>++X4 Defense for the Wearer. ++Underworldly Embodiment - When Equipped deal X4 Dark, Chaos, Fire, and Celestial DMG </v>
      </c>
      <c r="AG457" s="1" t="str">
        <f>IFERROR(__xludf.DUMMYFUNCTION("""COMPUTED_VALUE"""),"Abstara")</f>
        <v>Abstara</v>
      </c>
      <c r="AH457" s="1" t="b">
        <f>IFERROR(__xludf.DUMMYFUNCTION("""COMPUTED_VALUE"""),TRUE)</f>
        <v>1</v>
      </c>
    </row>
    <row r="458">
      <c r="A458" s="1" t="str">
        <f>IFERROR(__xludf.DUMMYFUNCTION("""COMPUTED_VALUE"""),"Abstara Royal Boots")</f>
        <v>Abstara Royal Boots</v>
      </c>
      <c r="B458" s="1" t="str">
        <f>IFERROR(__xludf.DUMMYFUNCTION("""COMPUTED_VALUE"""),"Feet")</f>
        <v>Feet</v>
      </c>
      <c r="C458" s="1"/>
      <c r="D458" s="1"/>
      <c r="E458" s="1">
        <f>IFERROR(__xludf.DUMMYFUNCTION("""COMPUTED_VALUE"""),200.0)</f>
        <v>200</v>
      </c>
      <c r="F458" s="2">
        <f>IFERROR(__xludf.DUMMYFUNCTION("""COMPUTED_VALUE"""),1.99E8)</f>
        <v>199000000</v>
      </c>
      <c r="G458" s="1" t="str">
        <f>IFERROR(__xludf.DUMMYFUNCTION("""COMPUTED_VALUE"""),"DEF")</f>
        <v>DEF</v>
      </c>
      <c r="H458" s="3">
        <f>IFERROR(__xludf.DUMMYFUNCTION("""COMPUTED_VALUE"""),50000.0)</f>
        <v>50000</v>
      </c>
      <c r="I458" s="1"/>
      <c r="J458" s="1"/>
      <c r="K458" s="1"/>
      <c r="L458" s="1"/>
      <c r="M458" s="1"/>
      <c r="N458" s="1"/>
      <c r="O458" s="1"/>
      <c r="P458" s="1"/>
      <c r="Q458" s="1"/>
      <c r="R458" s="1"/>
      <c r="S458" s="1"/>
      <c r="T458" s="1"/>
      <c r="U458" s="1"/>
      <c r="V458" s="1"/>
      <c r="W458" s="1"/>
      <c r="X458" s="1"/>
      <c r="Y458" s="1"/>
      <c r="Z458" s="1"/>
      <c r="AA458" s="1"/>
      <c r="AB458" s="1"/>
      <c r="AC458" s="3">
        <f>IFERROR(__xludf.DUMMYFUNCTION("""COMPUTED_VALUE"""),50000.0)</f>
        <v>50000</v>
      </c>
      <c r="AD458" s="1"/>
      <c r="AE458" s="1"/>
      <c r="AF458" s="1" t="str">
        <f>IFERROR(__xludf.DUMMYFUNCTION("""COMPUTED_VALUE"""),"++X4 Defense for the Wearer. ++Underworldly Embodiment - When Equipped deal X4 Dark, Chaos, Fire, and Celestial DMG ")</f>
        <v>++X4 Defense for the Wearer. ++Underworldly Embodiment - When Equipped deal X4 Dark, Chaos, Fire, and Celestial DMG </v>
      </c>
      <c r="AG458" s="1" t="str">
        <f>IFERROR(__xludf.DUMMYFUNCTION("""COMPUTED_VALUE"""),"Abstara")</f>
        <v>Abstara</v>
      </c>
      <c r="AH458" s="1" t="b">
        <f>IFERROR(__xludf.DUMMYFUNCTION("""COMPUTED_VALUE"""),TRUE)</f>
        <v>1</v>
      </c>
    </row>
    <row r="459">
      <c r="A459" s="1" t="str">
        <f>IFERROR(__xludf.DUMMYFUNCTION("""COMPUTED_VALUE"""),"Abstara Royal Pauldrons")</f>
        <v>Abstara Royal Pauldrons</v>
      </c>
      <c r="B459" s="1" t="str">
        <f>IFERROR(__xludf.DUMMYFUNCTION("""COMPUTED_VALUE"""),"Shoulders")</f>
        <v>Shoulders</v>
      </c>
      <c r="C459" s="1"/>
      <c r="D459" s="1"/>
      <c r="E459" s="1">
        <f>IFERROR(__xludf.DUMMYFUNCTION("""COMPUTED_VALUE"""),200.0)</f>
        <v>200</v>
      </c>
      <c r="F459" s="2">
        <f>IFERROR(__xludf.DUMMYFUNCTION("""COMPUTED_VALUE"""),1.99E8)</f>
        <v>199000000</v>
      </c>
      <c r="G459" s="1" t="str">
        <f>IFERROR(__xludf.DUMMYFUNCTION("""COMPUTED_VALUE"""),"DEF")</f>
        <v>DEF</v>
      </c>
      <c r="H459" s="3">
        <f>IFERROR(__xludf.DUMMYFUNCTION("""COMPUTED_VALUE"""),50000.0)</f>
        <v>50000</v>
      </c>
      <c r="I459" s="1"/>
      <c r="J459" s="1"/>
      <c r="K459" s="1"/>
      <c r="L459" s="1"/>
      <c r="M459" s="1"/>
      <c r="N459" s="1"/>
      <c r="O459" s="1"/>
      <c r="P459" s="1"/>
      <c r="Q459" s="1"/>
      <c r="R459" s="1"/>
      <c r="S459" s="1"/>
      <c r="T459" s="1"/>
      <c r="U459" s="1"/>
      <c r="V459" s="1"/>
      <c r="W459" s="1"/>
      <c r="X459" s="1"/>
      <c r="Y459" s="1"/>
      <c r="Z459" s="1"/>
      <c r="AA459" s="1"/>
      <c r="AB459" s="1"/>
      <c r="AC459" s="3">
        <f>IFERROR(__xludf.DUMMYFUNCTION("""COMPUTED_VALUE"""),50000.0)</f>
        <v>50000</v>
      </c>
      <c r="AD459" s="1"/>
      <c r="AE459" s="1"/>
      <c r="AF459" s="1" t="str">
        <f>IFERROR(__xludf.DUMMYFUNCTION("""COMPUTED_VALUE"""),"++X4 Defense for the Wearer. ++Underworldly Embodiment - When Equipped deal X4 Dark, Chaos, Fire, and Celestial DMG ")</f>
        <v>++X4 Defense for the Wearer. ++Underworldly Embodiment - When Equipped deal X4 Dark, Chaos, Fire, and Celestial DMG </v>
      </c>
      <c r="AG459" s="1" t="str">
        <f>IFERROR(__xludf.DUMMYFUNCTION("""COMPUTED_VALUE"""),"Abstara")</f>
        <v>Abstara</v>
      </c>
      <c r="AH459" s="1" t="b">
        <f>IFERROR(__xludf.DUMMYFUNCTION("""COMPUTED_VALUE"""),TRUE)</f>
        <v>1</v>
      </c>
    </row>
    <row r="460">
      <c r="A460" s="1" t="str">
        <f>IFERROR(__xludf.DUMMYFUNCTION("""COMPUTED_VALUE"""),"Feathered Hat of Roguish ""Justice""")</f>
        <v>Feathered Hat of Roguish "Justice"</v>
      </c>
      <c r="B460" s="1" t="str">
        <f>IFERROR(__xludf.DUMMYFUNCTION("""COMPUTED_VALUE"""),"Head")</f>
        <v>Head</v>
      </c>
      <c r="C460" s="1" t="str">
        <f>IFERROR(__xludf.DUMMYFUNCTION("""COMPUTED_VALUE"""),"Quest Item")</f>
        <v>Quest Item</v>
      </c>
      <c r="D460" s="1"/>
      <c r="E460" s="1">
        <f>IFERROR(__xludf.DUMMYFUNCTION("""COMPUTED_VALUE"""),200.0)</f>
        <v>200</v>
      </c>
      <c r="F460" s="2">
        <f>IFERROR(__xludf.DUMMYFUNCTION("""COMPUTED_VALUE"""),3.16E7)</f>
        <v>31600000</v>
      </c>
      <c r="G460" s="1" t="str">
        <f>IFERROR(__xludf.DUMMYFUNCTION("""COMPUTED_VALUE"""),"DEF")</f>
        <v>DEF</v>
      </c>
      <c r="H460" s="3">
        <f>IFERROR(__xludf.DUMMYFUNCTION("""COMPUTED_VALUE"""),10000.0)</f>
        <v>10000</v>
      </c>
      <c r="I460" s="1"/>
      <c r="J460" s="1"/>
      <c r="K460" s="1"/>
      <c r="L460" s="1"/>
      <c r="M460" s="1"/>
      <c r="N460" s="1">
        <f>IFERROR(__xludf.DUMMYFUNCTION("""COMPUTED_VALUE"""),10000.0)</f>
        <v>10000</v>
      </c>
      <c r="O460" s="1"/>
      <c r="P460" s="1"/>
      <c r="Q460" s="3">
        <f>IFERROR(__xludf.DUMMYFUNCTION("""COMPUTED_VALUE"""),10000.0)</f>
        <v>10000</v>
      </c>
      <c r="R460" s="1"/>
      <c r="S460" s="1"/>
      <c r="T460" s="1"/>
      <c r="U460" s="1"/>
      <c r="V460" s="1"/>
      <c r="W460" s="1"/>
      <c r="X460" s="1"/>
      <c r="Y460" s="1"/>
      <c r="Z460" s="1"/>
      <c r="AA460" s="1"/>
      <c r="AB460" s="1"/>
      <c r="AC460" s="1">
        <f>IFERROR(__xludf.DUMMYFUNCTION("""COMPUTED_VALUE"""),10000.0)</f>
        <v>10000</v>
      </c>
      <c r="AD460" s="1"/>
      <c r="AE460" s="1"/>
      <c r="AF460"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0" s="1" t="str">
        <f>IFERROR(__xludf.DUMMYFUNCTION("""COMPUTED_VALUE"""),"Land of Spira")</f>
        <v>Land of Spira</v>
      </c>
      <c r="AH460" s="1" t="b">
        <f>IFERROR(__xludf.DUMMYFUNCTION("""COMPUTED_VALUE"""),FALSE)</f>
        <v>0</v>
      </c>
    </row>
    <row r="461">
      <c r="A461" s="1" t="str">
        <f>IFERROR(__xludf.DUMMYFUNCTION("""COMPUTED_VALUE"""),"Cape of Misdeed")</f>
        <v>Cape of Misdeed</v>
      </c>
      <c r="B461" s="1" t="str">
        <f>IFERROR(__xludf.DUMMYFUNCTION("""COMPUTED_VALUE"""),"Shoulders")</f>
        <v>Shoulders</v>
      </c>
      <c r="C461" s="1" t="str">
        <f>IFERROR(__xludf.DUMMYFUNCTION("""COMPUTED_VALUE"""),"Quest Item")</f>
        <v>Quest Item</v>
      </c>
      <c r="D461" s="1"/>
      <c r="E461" s="1">
        <f>IFERROR(__xludf.DUMMYFUNCTION("""COMPUTED_VALUE"""),200.0)</f>
        <v>200</v>
      </c>
      <c r="F461" s="2">
        <f>IFERROR(__xludf.DUMMYFUNCTION("""COMPUTED_VALUE"""),9460000.0)</f>
        <v>9460000</v>
      </c>
      <c r="G461" s="1" t="str">
        <f>IFERROR(__xludf.DUMMYFUNCTION("""COMPUTED_VALUE"""),"DEF")</f>
        <v>DEF</v>
      </c>
      <c r="H461" s="3">
        <f>IFERROR(__xludf.DUMMYFUNCTION("""COMPUTED_VALUE"""),1000.0)</f>
        <v>1000</v>
      </c>
      <c r="I461" s="1"/>
      <c r="J461" s="1"/>
      <c r="K461" s="1"/>
      <c r="L461" s="1"/>
      <c r="M461" s="1"/>
      <c r="N461" s="1">
        <f>IFERROR(__xludf.DUMMYFUNCTION("""COMPUTED_VALUE"""),10000.0)</f>
        <v>10000</v>
      </c>
      <c r="O461" s="1"/>
      <c r="P461" s="1"/>
      <c r="Q461" s="3">
        <f>IFERROR(__xludf.DUMMYFUNCTION("""COMPUTED_VALUE"""),10000.0)</f>
        <v>10000</v>
      </c>
      <c r="R461" s="1"/>
      <c r="S461" s="1"/>
      <c r="T461" s="1"/>
      <c r="U461" s="1"/>
      <c r="V461" s="1"/>
      <c r="W461" s="1"/>
      <c r="X461" s="1"/>
      <c r="Y461" s="1"/>
      <c r="Z461" s="1"/>
      <c r="AA461" s="1"/>
      <c r="AB461" s="1"/>
      <c r="AC461" s="1">
        <f>IFERROR(__xludf.DUMMYFUNCTION("""COMPUTED_VALUE"""),1000.0)</f>
        <v>1000</v>
      </c>
      <c r="AD461" s="1"/>
      <c r="AE461" s="1"/>
      <c r="AF461"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1" s="1" t="str">
        <f>IFERROR(__xludf.DUMMYFUNCTION("""COMPUTED_VALUE"""),"Land of Spira")</f>
        <v>Land of Spira</v>
      </c>
      <c r="AH461" s="1" t="b">
        <f>IFERROR(__xludf.DUMMYFUNCTION("""COMPUTED_VALUE"""),FALSE)</f>
        <v>0</v>
      </c>
    </row>
    <row r="462">
      <c r="A462" s="1" t="str">
        <f>IFERROR(__xludf.DUMMYFUNCTION("""COMPUTED_VALUE"""),"Doublet of Debauchery")</f>
        <v>Doublet of Debauchery</v>
      </c>
      <c r="B462" s="1" t="str">
        <f>IFERROR(__xludf.DUMMYFUNCTION("""COMPUTED_VALUE"""),"Torso")</f>
        <v>Torso</v>
      </c>
      <c r="C462" s="1" t="str">
        <f>IFERROR(__xludf.DUMMYFUNCTION("""COMPUTED_VALUE"""),"Quest Item")</f>
        <v>Quest Item</v>
      </c>
      <c r="D462" s="1"/>
      <c r="E462" s="1">
        <f>IFERROR(__xludf.DUMMYFUNCTION("""COMPUTED_VALUE"""),200.0)</f>
        <v>200</v>
      </c>
      <c r="F462" s="2">
        <f>IFERROR(__xludf.DUMMYFUNCTION("""COMPUTED_VALUE"""),9.73E7)</f>
        <v>97300000</v>
      </c>
      <c r="G462" s="1" t="str">
        <f>IFERROR(__xludf.DUMMYFUNCTION("""COMPUTED_VALUE"""),"DEF")</f>
        <v>DEF</v>
      </c>
      <c r="H462" s="3">
        <f>IFERROR(__xludf.DUMMYFUNCTION("""COMPUTED_VALUE"""),20000.0)</f>
        <v>20000</v>
      </c>
      <c r="I462" s="1"/>
      <c r="J462" s="1"/>
      <c r="K462" s="1"/>
      <c r="L462" s="1"/>
      <c r="M462" s="1"/>
      <c r="N462" s="1">
        <f>IFERROR(__xludf.DUMMYFUNCTION("""COMPUTED_VALUE"""),20000.0)</f>
        <v>20000</v>
      </c>
      <c r="O462" s="1"/>
      <c r="P462" s="1"/>
      <c r="Q462" s="3">
        <f>IFERROR(__xludf.DUMMYFUNCTION("""COMPUTED_VALUE"""),20000.0)</f>
        <v>20000</v>
      </c>
      <c r="R462" s="1"/>
      <c r="S462" s="1"/>
      <c r="T462" s="1"/>
      <c r="U462" s="1"/>
      <c r="V462" s="1"/>
      <c r="W462" s="1"/>
      <c r="X462" s="1"/>
      <c r="Y462" s="1"/>
      <c r="Z462" s="1"/>
      <c r="AA462" s="1"/>
      <c r="AB462" s="1"/>
      <c r="AC462" s="1">
        <f>IFERROR(__xludf.DUMMYFUNCTION("""COMPUTED_VALUE"""),10000.0)</f>
        <v>10000</v>
      </c>
      <c r="AD462" s="1"/>
      <c r="AE462" s="1"/>
      <c r="AF462"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2" s="1" t="str">
        <f>IFERROR(__xludf.DUMMYFUNCTION("""COMPUTED_VALUE"""),"Land of Spira")</f>
        <v>Land of Spira</v>
      </c>
      <c r="AH462" s="1" t="b">
        <f>IFERROR(__xludf.DUMMYFUNCTION("""COMPUTED_VALUE"""),FALSE)</f>
        <v>0</v>
      </c>
    </row>
    <row r="463">
      <c r="A463" s="1" t="str">
        <f>IFERROR(__xludf.DUMMYFUNCTION("""COMPUTED_VALUE"""),"Leather Boots of Softstep")</f>
        <v>Leather Boots of Softstep</v>
      </c>
      <c r="B463" s="1" t="str">
        <f>IFERROR(__xludf.DUMMYFUNCTION("""COMPUTED_VALUE"""),"Feet")</f>
        <v>Feet</v>
      </c>
      <c r="C463" s="1" t="str">
        <f>IFERROR(__xludf.DUMMYFUNCTION("""COMPUTED_VALUE"""),"Quest Item")</f>
        <v>Quest Item</v>
      </c>
      <c r="D463" s="1"/>
      <c r="E463" s="1">
        <f>IFERROR(__xludf.DUMMYFUNCTION("""COMPUTED_VALUE"""),200.0)</f>
        <v>200</v>
      </c>
      <c r="F463" s="2">
        <f>IFERROR(__xludf.DUMMYFUNCTION("""COMPUTED_VALUE"""),3.16E7)</f>
        <v>31600000</v>
      </c>
      <c r="G463" s="1" t="str">
        <f>IFERROR(__xludf.DUMMYFUNCTION("""COMPUTED_VALUE"""),"DEF")</f>
        <v>DEF</v>
      </c>
      <c r="H463" s="3">
        <f>IFERROR(__xludf.DUMMYFUNCTION("""COMPUTED_VALUE"""),10000.0)</f>
        <v>10000</v>
      </c>
      <c r="I463" s="1"/>
      <c r="J463" s="1"/>
      <c r="K463" s="1"/>
      <c r="L463" s="1"/>
      <c r="M463" s="1"/>
      <c r="N463" s="1">
        <f>IFERROR(__xludf.DUMMYFUNCTION("""COMPUTED_VALUE"""),10000.0)</f>
        <v>10000</v>
      </c>
      <c r="O463" s="1"/>
      <c r="P463" s="1"/>
      <c r="Q463" s="3">
        <f>IFERROR(__xludf.DUMMYFUNCTION("""COMPUTED_VALUE"""),10000.0)</f>
        <v>10000</v>
      </c>
      <c r="R463" s="1"/>
      <c r="S463" s="1"/>
      <c r="T463" s="1"/>
      <c r="U463" s="1"/>
      <c r="V463" s="1"/>
      <c r="W463" s="1"/>
      <c r="X463" s="1"/>
      <c r="Y463" s="1"/>
      <c r="Z463" s="1"/>
      <c r="AA463" s="1"/>
      <c r="AB463" s="1"/>
      <c r="AC463" s="1">
        <f>IFERROR(__xludf.DUMMYFUNCTION("""COMPUTED_VALUE"""),10000.0)</f>
        <v>10000</v>
      </c>
      <c r="AD463" s="1"/>
      <c r="AE463" s="1"/>
      <c r="AF463"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3" s="1" t="str">
        <f>IFERROR(__xludf.DUMMYFUNCTION("""COMPUTED_VALUE"""),"Land of Spira")</f>
        <v>Land of Spira</v>
      </c>
      <c r="AH463" s="1" t="b">
        <f>IFERROR(__xludf.DUMMYFUNCTION("""COMPUTED_VALUE"""),FALSE)</f>
        <v>0</v>
      </c>
    </row>
    <row r="464">
      <c r="A464" s="1" t="str">
        <f>IFERROR(__xludf.DUMMYFUNCTION("""COMPUTED_VALUE"""),"Tights of Fabulous Thievery")</f>
        <v>Tights of Fabulous Thievery</v>
      </c>
      <c r="B464" s="1" t="str">
        <f>IFERROR(__xludf.DUMMYFUNCTION("""COMPUTED_VALUE"""),"Legs")</f>
        <v>Legs</v>
      </c>
      <c r="C464" s="1" t="str">
        <f>IFERROR(__xludf.DUMMYFUNCTION("""COMPUTED_VALUE"""),"Quest Item")</f>
        <v>Quest Item</v>
      </c>
      <c r="D464" s="1"/>
      <c r="E464" s="1">
        <f>IFERROR(__xludf.DUMMYFUNCTION("""COMPUTED_VALUE"""),200.0)</f>
        <v>200</v>
      </c>
      <c r="F464" s="2">
        <f>IFERROR(__xludf.DUMMYFUNCTION("""COMPUTED_VALUE"""),3.16E7)</f>
        <v>31600000</v>
      </c>
      <c r="G464" s="1" t="str">
        <f>IFERROR(__xludf.DUMMYFUNCTION("""COMPUTED_VALUE"""),"DEF")</f>
        <v>DEF</v>
      </c>
      <c r="H464" s="3">
        <f>IFERROR(__xludf.DUMMYFUNCTION("""COMPUTED_VALUE"""),10000.0)</f>
        <v>10000</v>
      </c>
      <c r="I464" s="1"/>
      <c r="J464" s="1"/>
      <c r="K464" s="1"/>
      <c r="L464" s="1"/>
      <c r="M464" s="1"/>
      <c r="N464" s="1">
        <f>IFERROR(__xludf.DUMMYFUNCTION("""COMPUTED_VALUE"""),10000.0)</f>
        <v>10000</v>
      </c>
      <c r="O464" s="1"/>
      <c r="P464" s="1"/>
      <c r="Q464" s="3">
        <f>IFERROR(__xludf.DUMMYFUNCTION("""COMPUTED_VALUE"""),10000.0)</f>
        <v>10000</v>
      </c>
      <c r="R464" s="1"/>
      <c r="S464" s="1"/>
      <c r="T464" s="1"/>
      <c r="U464" s="1"/>
      <c r="V464" s="1"/>
      <c r="W464" s="1"/>
      <c r="X464" s="1"/>
      <c r="Y464" s="1"/>
      <c r="Z464" s="1"/>
      <c r="AA464" s="1"/>
      <c r="AB464" s="1"/>
      <c r="AC464" s="1">
        <f>IFERROR(__xludf.DUMMYFUNCTION("""COMPUTED_VALUE"""),10000.0)</f>
        <v>10000</v>
      </c>
      <c r="AD464" s="1"/>
      <c r="AE464" s="1"/>
      <c r="AF464"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4" s="1" t="str">
        <f>IFERROR(__xludf.DUMMYFUNCTION("""COMPUTED_VALUE"""),"Land of Spira")</f>
        <v>Land of Spira</v>
      </c>
      <c r="AH464" s="1" t="b">
        <f>IFERROR(__xludf.DUMMYFUNCTION("""COMPUTED_VALUE"""),FALSE)</f>
        <v>0</v>
      </c>
    </row>
    <row r="465">
      <c r="A465" s="1" t="str">
        <f>IFERROR(__xludf.DUMMYFUNCTION("""COMPUTED_VALUE"""),"Fingerless Glove of Anonymity")</f>
        <v>Fingerless Glove of Anonymity</v>
      </c>
      <c r="B465" s="1" t="str">
        <f>IFERROR(__xludf.DUMMYFUNCTION("""COMPUTED_VALUE"""),"Hand")</f>
        <v>Hand</v>
      </c>
      <c r="C465" s="1" t="str">
        <f>IFERROR(__xludf.DUMMYFUNCTION("""COMPUTED_VALUE"""),"Quest Item")</f>
        <v>Quest Item</v>
      </c>
      <c r="D465" s="1" t="str">
        <f>IFERROR(__xludf.DUMMYFUNCTION("""COMPUTED_VALUE"""),"Claw")</f>
        <v>Claw</v>
      </c>
      <c r="E465" s="1">
        <f>IFERROR(__xludf.DUMMYFUNCTION("""COMPUTED_VALUE"""),200.0)</f>
        <v>200</v>
      </c>
      <c r="F465" s="2">
        <f>IFERROR(__xludf.DUMMYFUNCTION("""COMPUTED_VALUE"""),3.16E7)</f>
        <v>31600000</v>
      </c>
      <c r="G465" s="1" t="str">
        <f>IFERROR(__xludf.DUMMYFUNCTION("""COMPUTED_VALUE"""),"DMG")</f>
        <v>DMG</v>
      </c>
      <c r="H465" s="3">
        <f>IFERROR(__xludf.DUMMYFUNCTION("""COMPUTED_VALUE"""),10000.0)</f>
        <v>10000</v>
      </c>
      <c r="I465" s="1"/>
      <c r="J465" s="1"/>
      <c r="K465" s="1"/>
      <c r="L465" s="1"/>
      <c r="M465" s="1"/>
      <c r="N465" s="1">
        <f>IFERROR(__xludf.DUMMYFUNCTION("""COMPUTED_VALUE"""),10000.0)</f>
        <v>10000</v>
      </c>
      <c r="O465" s="1"/>
      <c r="P465" s="1"/>
      <c r="Q465" s="3">
        <f>IFERROR(__xludf.DUMMYFUNCTION("""COMPUTED_VALUE"""),10000.0)</f>
        <v>10000</v>
      </c>
      <c r="R465" s="1"/>
      <c r="S465" s="1"/>
      <c r="T465" s="1"/>
      <c r="U465" s="1"/>
      <c r="V465" s="1"/>
      <c r="W465" s="1"/>
      <c r="X465" s="1"/>
      <c r="Y465" s="1"/>
      <c r="Z465" s="1"/>
      <c r="AA465" s="1"/>
      <c r="AB465" s="1"/>
      <c r="AC465" s="1">
        <f>IFERROR(__xludf.DUMMYFUNCTION("""COMPUTED_VALUE"""),10000.0)</f>
        <v>10000</v>
      </c>
      <c r="AD465" s="1"/>
      <c r="AE465" s="1"/>
      <c r="AF465" s="1" t="str">
        <f>IFERROR(__xludf.DUMMYFUNCTION("""COMPUTED_VALUE"""),"(Roguish Guise Set) ++X2 Money Stolen Via the Sword of Bad Luck. +1 Evasion When Fighting Guards. ++5% Chance to not gain a bounty when committing a crime (Cannot be Increased) ++20% chance to remove enemy from battle +-Cannot be duplicated +-Pirate/Marau"&amp;"der Only")</f>
        <v>(Roguish Guise Set) ++X2 Money Stolen Via the Sword of Bad Luck. +1 Evasion When Fighting Guards. ++5% Chance to not gain a bounty when committing a crime (Cannot be Increased) ++20% chance to remove enemy from battle +-Cannot be duplicated +-Pirate/Marauder Only</v>
      </c>
      <c r="AG465" s="1" t="str">
        <f>IFERROR(__xludf.DUMMYFUNCTION("""COMPUTED_VALUE"""),"Land of Spira")</f>
        <v>Land of Spira</v>
      </c>
      <c r="AH465" s="1" t="b">
        <f>IFERROR(__xludf.DUMMYFUNCTION("""COMPUTED_VALUE"""),FALSE)</f>
        <v>0</v>
      </c>
    </row>
    <row r="466">
      <c r="A466" s="1" t="str">
        <f>IFERROR(__xludf.DUMMYFUNCTION("""COMPUTED_VALUE"""),"Bracers of Dastardly Deflection")</f>
        <v>Bracers of Dastardly Deflection</v>
      </c>
      <c r="B466" s="1" t="str">
        <f>IFERROR(__xludf.DUMMYFUNCTION("""COMPUTED_VALUE"""),"Arms")</f>
        <v>Arms</v>
      </c>
      <c r="C466" s="1" t="str">
        <f>IFERROR(__xludf.DUMMYFUNCTION("""COMPUTED_VALUE"""),"Quest Item")</f>
        <v>Quest Item</v>
      </c>
      <c r="D466" s="1"/>
      <c r="E466" s="1">
        <f>IFERROR(__xludf.DUMMYFUNCTION("""COMPUTED_VALUE"""),200.0)</f>
        <v>200</v>
      </c>
      <c r="F466" s="2">
        <f>IFERROR(__xludf.DUMMYFUNCTION("""COMPUTED_VALUE"""),3.16E7)</f>
        <v>31600000</v>
      </c>
      <c r="G466" s="1" t="str">
        <f>IFERROR(__xludf.DUMMYFUNCTION("""COMPUTED_VALUE"""),"DEF")</f>
        <v>DEF</v>
      </c>
      <c r="H466" s="3">
        <f>IFERROR(__xludf.DUMMYFUNCTION("""COMPUTED_VALUE"""),10000.0)</f>
        <v>10000</v>
      </c>
      <c r="I466" s="1"/>
      <c r="J466" s="1"/>
      <c r="K466" s="1"/>
      <c r="L466" s="1"/>
      <c r="M466" s="1"/>
      <c r="N466" s="1">
        <f>IFERROR(__xludf.DUMMYFUNCTION("""COMPUTED_VALUE"""),10000.0)</f>
        <v>10000</v>
      </c>
      <c r="O466" s="1"/>
      <c r="P466" s="1"/>
      <c r="Q466" s="3">
        <f>IFERROR(__xludf.DUMMYFUNCTION("""COMPUTED_VALUE"""),10000.0)</f>
        <v>10000</v>
      </c>
      <c r="R466" s="1"/>
      <c r="S466" s="1"/>
      <c r="T466" s="1"/>
      <c r="U466" s="1"/>
      <c r="V466" s="1"/>
      <c r="W466" s="1"/>
      <c r="X466" s="1"/>
      <c r="Y466" s="1"/>
      <c r="Z466" s="1"/>
      <c r="AA466" s="1"/>
      <c r="AB466" s="1"/>
      <c r="AC466" s="1">
        <f>IFERROR(__xludf.DUMMYFUNCTION("""COMPUTED_VALUE"""),10000.0)</f>
        <v>10000</v>
      </c>
      <c r="AD466" s="1"/>
      <c r="AE466" s="1"/>
      <c r="AF466" s="1" t="str">
        <f>IFERROR(__xludf.DUMMYFUNCTION("""COMPUTED_VALUE"""),"(Roguish Guise Set) ++X2 Money Stolen Via the Sword of Bad Luck. +1 Evasion When Fighting Guards +-Cannot be duplicated +-Pirate/Marauder Only")</f>
        <v>(Roguish Guise Set) ++X2 Money Stolen Via the Sword of Bad Luck. +1 Evasion When Fighting Guards +-Cannot be duplicated +-Pirate/Marauder Only</v>
      </c>
      <c r="AG466" s="1" t="str">
        <f>IFERROR(__xludf.DUMMYFUNCTION("""COMPUTED_VALUE"""),"Land of Spira")</f>
        <v>Land of Spira</v>
      </c>
      <c r="AH466" s="1" t="b">
        <f>IFERROR(__xludf.DUMMYFUNCTION("""COMPUTED_VALUE"""),FALSE)</f>
        <v>0</v>
      </c>
    </row>
    <row r="467">
      <c r="A467" s="1" t="str">
        <f>IFERROR(__xludf.DUMMYFUNCTION("""COMPUTED_VALUE"""),"Amulet of the Goddess of Theft")</f>
        <v>Amulet of the Goddess of Theft</v>
      </c>
      <c r="B467" s="1" t="str">
        <f>IFERROR(__xludf.DUMMYFUNCTION("""COMPUTED_VALUE"""),"Neck")</f>
        <v>Neck</v>
      </c>
      <c r="C467" s="1" t="str">
        <f>IFERROR(__xludf.DUMMYFUNCTION("""COMPUTED_VALUE"""),"Quest Item")</f>
        <v>Quest Item</v>
      </c>
      <c r="D467" s="1"/>
      <c r="E467" s="1">
        <f>IFERROR(__xludf.DUMMYFUNCTION("""COMPUTED_VALUE"""),1.0)</f>
        <v>1</v>
      </c>
      <c r="F467" s="2">
        <f>IFERROR(__xludf.DUMMYFUNCTION("""COMPUTED_VALUE"""),0.0)</f>
        <v>0</v>
      </c>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t="str">
        <f>IFERROR(__xludf.DUMMYFUNCTION("""COMPUTED_VALUE"""),"(Roguish Guise Set) ++X2 Money Stolen Via the Sword of Bad Luck. +5 Evasion +-Cannot be forged +-Cannot be duplicated +-Pirate/Marauder Only")</f>
        <v>(Roguish Guise Set) ++X2 Money Stolen Via the Sword of Bad Luck. +5 Evasion +-Cannot be forged +-Cannot be duplicated +-Pirate/Marauder Only</v>
      </c>
      <c r="AG467" s="1" t="str">
        <f>IFERROR(__xludf.DUMMYFUNCTION("""COMPUTED_VALUE"""),"Land of Spira")</f>
        <v>Land of Spira</v>
      </c>
      <c r="AH467" s="1" t="b">
        <f>IFERROR(__xludf.DUMMYFUNCTION("""COMPUTED_VALUE"""),FALSE)</f>
        <v>0</v>
      </c>
    </row>
    <row r="468">
      <c r="A468" s="1" t="str">
        <f>IFERROR(__xludf.DUMMYFUNCTION("""COMPUTED_VALUE"""),"Flute of The Majestic Forest")</f>
        <v>Flute of The Majestic Forest</v>
      </c>
      <c r="B468" s="1" t="str">
        <f>IFERROR(__xludf.DUMMYFUNCTION("""COMPUTED_VALUE"""),"Hand")</f>
        <v>Hand</v>
      </c>
      <c r="C468" s="1"/>
      <c r="D468" s="1" t="str">
        <f>IFERROR(__xludf.DUMMYFUNCTION("""COMPUTED_VALUE"""),"Instrument")</f>
        <v>Instrument</v>
      </c>
      <c r="E468" s="1">
        <f>IFERROR(__xludf.DUMMYFUNCTION("""COMPUTED_VALUE"""),300.0)</f>
        <v>300</v>
      </c>
      <c r="F468" s="2">
        <f>IFERROR(__xludf.DUMMYFUNCTION("""COMPUTED_VALUE"""),4350000.0)</f>
        <v>4350000</v>
      </c>
      <c r="G468" s="1" t="str">
        <f>IFERROR(__xludf.DUMMYFUNCTION("""COMPUTED_VALUE"""),"DMG")</f>
        <v>DMG</v>
      </c>
      <c r="H468" s="3">
        <f>IFERROR(__xludf.DUMMYFUNCTION("""COMPUTED_VALUE"""),5000.0)</f>
        <v>5000</v>
      </c>
      <c r="I468" s="1"/>
      <c r="J468" s="1"/>
      <c r="K468" s="1"/>
      <c r="L468" s="1"/>
      <c r="M468" s="1"/>
      <c r="N468" s="1"/>
      <c r="O468" s="1"/>
      <c r="P468" s="1"/>
      <c r="Q468" s="1"/>
      <c r="R468" s="1"/>
      <c r="S468" s="1">
        <f>IFERROR(__xludf.DUMMYFUNCTION("""COMPUTED_VALUE"""),5000.0)</f>
        <v>5000</v>
      </c>
      <c r="T468" s="1"/>
      <c r="U468" s="1"/>
      <c r="V468" s="1"/>
      <c r="W468" s="1"/>
      <c r="X468" s="1"/>
      <c r="Y468" s="1"/>
      <c r="Z468" s="1"/>
      <c r="AA468" s="1"/>
      <c r="AB468" s="1"/>
      <c r="AC468" s="1"/>
      <c r="AD468" s="1"/>
      <c r="AE468" s="1">
        <f>IFERROR(__xludf.DUMMYFUNCTION("""COMPUTED_VALUE"""),5000.0)</f>
        <v>5000</v>
      </c>
      <c r="AF468" s="1" t="str">
        <f>IFERROR(__xludf.DUMMYFUNCTION("""COMPUTED_VALUE"""),"++X2 Additional Nature damage while equipped. ++Song of The Forest - Summons a nature mob determined by the DM/GM to assist you in battle. +-Cannot be duplicated. +-Only Bards can equip.")</f>
        <v>++X2 Additional Nature damage while equipped. ++Song of The Forest - Summons a nature mob determined by the DM/GM to assist you in battle. +-Cannot be duplicated. +-Only Bards can equip.</v>
      </c>
      <c r="AG468" s="1" t="str">
        <f>IFERROR(__xludf.DUMMYFUNCTION("""COMPUTED_VALUE"""),"Land of Spira")</f>
        <v>Land of Spira</v>
      </c>
      <c r="AH468" s="1" t="b">
        <f>IFERROR(__xludf.DUMMYFUNCTION("""COMPUTED_VALUE"""),FALSE)</f>
        <v>0</v>
      </c>
    </row>
    <row r="469">
      <c r="A469" s="1" t="str">
        <f>IFERROR(__xludf.DUMMYFUNCTION("""COMPUTED_VALUE"""),"Heatmore Tribal Drums")</f>
        <v>Heatmore Tribal Drums</v>
      </c>
      <c r="B469" s="1" t="str">
        <f>IFERROR(__xludf.DUMMYFUNCTION("""COMPUTED_VALUE"""),"Hand")</f>
        <v>Hand</v>
      </c>
      <c r="C469" s="1"/>
      <c r="D469" s="1" t="str">
        <f>IFERROR(__xludf.DUMMYFUNCTION("""COMPUTED_VALUE"""),"Instrument")</f>
        <v>Instrument</v>
      </c>
      <c r="E469" s="1">
        <f>IFERROR(__xludf.DUMMYFUNCTION("""COMPUTED_VALUE"""),600.0)</f>
        <v>600</v>
      </c>
      <c r="F469" s="2">
        <f>IFERROR(__xludf.DUMMYFUNCTION("""COMPUTED_VALUE"""),1.77E7)</f>
        <v>17700000</v>
      </c>
      <c r="G469" s="1" t="str">
        <f>IFERROR(__xludf.DUMMYFUNCTION("""COMPUTED_VALUE"""),"DMG")</f>
        <v>DMG</v>
      </c>
      <c r="H469" s="3">
        <f>IFERROR(__xludf.DUMMYFUNCTION("""COMPUTED_VALUE"""),10000.0)</f>
        <v>10000</v>
      </c>
      <c r="I469" s="3">
        <f>IFERROR(__xludf.DUMMYFUNCTION("""COMPUTED_VALUE"""),10000.0)</f>
        <v>10000</v>
      </c>
      <c r="J469" s="1"/>
      <c r="K469" s="1"/>
      <c r="L469" s="1"/>
      <c r="M469" s="1"/>
      <c r="N469" s="1"/>
      <c r="O469" s="1"/>
      <c r="P469" s="1"/>
      <c r="Q469" s="1"/>
      <c r="R469" s="1"/>
      <c r="S469" s="1"/>
      <c r="T469" s="1"/>
      <c r="U469" s="1"/>
      <c r="V469" s="1"/>
      <c r="W469" s="1"/>
      <c r="X469" s="1"/>
      <c r="Y469" s="1"/>
      <c r="Z469" s="1"/>
      <c r="AA469" s="1"/>
      <c r="AB469" s="1"/>
      <c r="AC469" s="1"/>
      <c r="AD469" s="1"/>
      <c r="AE469" s="3">
        <f>IFERROR(__xludf.DUMMYFUNCTION("""COMPUTED_VALUE"""),10000.0)</f>
        <v>10000</v>
      </c>
      <c r="AF469" s="1" t="str">
        <f>IFERROR(__xludf.DUMMYFUNCTION("""COMPUTED_VALUE"""),"++X2 Additional Fire damage while equipped. ++Tribal Chant 25% chance to call Master Sawoogo to aid you in battle. +-Cannot be duplicated. +-Only Bards can equip.")</f>
        <v>++X2 Additional Fire damage while equipped. ++Tribal Chant 25% chance to call Master Sawoogo to aid you in battle. +-Cannot be duplicated. +-Only Bards can equip.</v>
      </c>
      <c r="AG469" s="1" t="str">
        <f>IFERROR(__xludf.DUMMYFUNCTION("""COMPUTED_VALUE"""),"Land of Spira")</f>
        <v>Land of Spira</v>
      </c>
      <c r="AH469" s="1" t="b">
        <f>IFERROR(__xludf.DUMMYFUNCTION("""COMPUTED_VALUE"""),FALSE)</f>
        <v>0</v>
      </c>
    </row>
    <row r="470">
      <c r="A470" s="1" t="str">
        <f>IFERROR(__xludf.DUMMYFUNCTION("""COMPUTED_VALUE"""),"Heatmore Tribal Maracas")</f>
        <v>Heatmore Tribal Maracas</v>
      </c>
      <c r="B470" s="1" t="str">
        <f>IFERROR(__xludf.DUMMYFUNCTION("""COMPUTED_VALUE"""),"Hand")</f>
        <v>Hand</v>
      </c>
      <c r="C470" s="1"/>
      <c r="D470" s="1" t="str">
        <f>IFERROR(__xludf.DUMMYFUNCTION("""COMPUTED_VALUE"""),"Instrument")</f>
        <v>Instrument</v>
      </c>
      <c r="E470" s="1">
        <f>IFERROR(__xludf.DUMMYFUNCTION("""COMPUTED_VALUE"""),900.0)</f>
        <v>900</v>
      </c>
      <c r="F470" s="2">
        <f>IFERROR(__xludf.DUMMYFUNCTION("""COMPUTED_VALUE"""),4.005E7)</f>
        <v>40050000</v>
      </c>
      <c r="G470" s="1" t="str">
        <f>IFERROR(__xludf.DUMMYFUNCTION("""COMPUTED_VALUE"""),"DMG")</f>
        <v>DMG</v>
      </c>
      <c r="H470" s="3">
        <f>IFERROR(__xludf.DUMMYFUNCTION("""COMPUTED_VALUE"""),15000.0)</f>
        <v>15000</v>
      </c>
      <c r="I470" s="3">
        <f>IFERROR(__xludf.DUMMYFUNCTION("""COMPUTED_VALUE"""),15000.0)</f>
        <v>15000</v>
      </c>
      <c r="J470" s="1"/>
      <c r="K470" s="1"/>
      <c r="L470" s="1"/>
      <c r="M470" s="1"/>
      <c r="N470" s="1"/>
      <c r="O470" s="1"/>
      <c r="P470" s="1"/>
      <c r="Q470" s="1"/>
      <c r="R470" s="1"/>
      <c r="S470" s="1"/>
      <c r="T470" s="1"/>
      <c r="U470" s="1"/>
      <c r="V470" s="1"/>
      <c r="W470" s="1"/>
      <c r="X470" s="1"/>
      <c r="Y470" s="1"/>
      <c r="Z470" s="1"/>
      <c r="AA470" s="1"/>
      <c r="AB470" s="1"/>
      <c r="AC470" s="1"/>
      <c r="AD470" s="1"/>
      <c r="AE470" s="3">
        <f>IFERROR(__xludf.DUMMYFUNCTION("""COMPUTED_VALUE"""),15000.0)</f>
        <v>15000</v>
      </c>
      <c r="AF470" s="1" t="str">
        <f>IFERROR(__xludf.DUMMYFUNCTION("""COMPUTED_VALUE"""),"++X4 additional Fire and Acoustic damage while equipped. +-Cannot be duplicated. +-Only Bards can equip.")</f>
        <v>++X4 additional Fire and Acoustic damage while equipped. +-Cannot be duplicated. +-Only Bards can equip.</v>
      </c>
      <c r="AG470" s="1" t="str">
        <f>IFERROR(__xludf.DUMMYFUNCTION("""COMPUTED_VALUE"""),"Land of Spira")</f>
        <v>Land of Spira</v>
      </c>
      <c r="AH470" s="1" t="b">
        <f>IFERROR(__xludf.DUMMYFUNCTION("""COMPUTED_VALUE"""),FALSE)</f>
        <v>0</v>
      </c>
    </row>
    <row r="471">
      <c r="A471" s="1" t="str">
        <f>IFERROR(__xludf.DUMMYFUNCTION("""COMPUTED_VALUE"""),"Mask of Creeping Darkness")</f>
        <v>Mask of Creeping Darkness</v>
      </c>
      <c r="B471" s="1" t="str">
        <f>IFERROR(__xludf.DUMMYFUNCTION("""COMPUTED_VALUE"""),"Head")</f>
        <v>Head</v>
      </c>
      <c r="C471" s="1" t="str">
        <f>IFERROR(__xludf.DUMMYFUNCTION("""COMPUTED_VALUE"""),"Quest Item")</f>
        <v>Quest Item</v>
      </c>
      <c r="D471" s="1"/>
      <c r="E471" s="1">
        <f>IFERROR(__xludf.DUMMYFUNCTION("""COMPUTED_VALUE"""),200.0)</f>
        <v>200</v>
      </c>
      <c r="F471" s="2">
        <f>IFERROR(__xludf.DUMMYFUNCTION("""COMPUTED_VALUE"""),1.7955E8)</f>
        <v>179550000</v>
      </c>
      <c r="G471" s="1" t="str">
        <f>IFERROR(__xludf.DUMMYFUNCTION("""COMPUTED_VALUE"""),"DEF")</f>
        <v>DEF</v>
      </c>
      <c r="H471" s="3">
        <f>IFERROR(__xludf.DUMMYFUNCTION("""COMPUTED_VALUE"""),25000.0)</f>
        <v>25000</v>
      </c>
      <c r="I471" s="1"/>
      <c r="J471" s="1"/>
      <c r="K471" s="1"/>
      <c r="L471" s="1"/>
      <c r="M471" s="1"/>
      <c r="N471" s="1">
        <f>IFERROR(__xludf.DUMMYFUNCTION("""COMPUTED_VALUE"""),25000.0)</f>
        <v>25000</v>
      </c>
      <c r="O471" s="1"/>
      <c r="P471" s="1"/>
      <c r="Q471" s="3">
        <f>IFERROR(__xludf.DUMMYFUNCTION("""COMPUTED_VALUE"""),25000.0)</f>
        <v>25000</v>
      </c>
      <c r="R471" s="1"/>
      <c r="S471" s="1"/>
      <c r="T471" s="1"/>
      <c r="U471" s="1"/>
      <c r="V471" s="1"/>
      <c r="W471" s="1"/>
      <c r="X471" s="1"/>
      <c r="Y471" s="1"/>
      <c r="Z471" s="1"/>
      <c r="AA471" s="1"/>
      <c r="AB471" s="1"/>
      <c r="AC471" s="1">
        <f>IFERROR(__xludf.DUMMYFUNCTION("""COMPUTED_VALUE"""),20000.0)</f>
        <v>20000</v>
      </c>
      <c r="AD471" s="1"/>
      <c r="AE471" s="1"/>
      <c r="AF471" s="1" t="str">
        <f>IFERROR(__xludf.DUMMYFUNCTION("""COMPUTED_VALUE"""),"++X2 Damage whilst invulnerable breaking invulnerability upon being used. +-Cannot be Duplicated. +-Ninja Only")</f>
        <v>++X2 Damage whilst invulnerable breaking invulnerability upon being used. +-Cannot be Duplicated. +-Ninja Only</v>
      </c>
      <c r="AG471" s="1" t="str">
        <f>IFERROR(__xludf.DUMMYFUNCTION("""COMPUTED_VALUE"""),"Dragonscale Island")</f>
        <v>Dragonscale Island</v>
      </c>
      <c r="AH471" s="1" t="b">
        <f>IFERROR(__xludf.DUMMYFUNCTION("""COMPUTED_VALUE"""),FALSE)</f>
        <v>0</v>
      </c>
    </row>
    <row r="472">
      <c r="A472" s="1" t="str">
        <f>IFERROR(__xludf.DUMMYFUNCTION("""COMPUTED_VALUE"""),"Chest of Evershifting Darkness")</f>
        <v>Chest of Evershifting Darkness</v>
      </c>
      <c r="B472" s="1" t="str">
        <f>IFERROR(__xludf.DUMMYFUNCTION("""COMPUTED_VALUE"""),"Torso")</f>
        <v>Torso</v>
      </c>
      <c r="C472" s="1" t="str">
        <f>IFERROR(__xludf.DUMMYFUNCTION("""COMPUTED_VALUE"""),"Quest Item")</f>
        <v>Quest Item</v>
      </c>
      <c r="D472" s="1"/>
      <c r="E472" s="1">
        <f>IFERROR(__xludf.DUMMYFUNCTION("""COMPUTED_VALUE"""),200.0)</f>
        <v>200</v>
      </c>
      <c r="F472" s="2">
        <f>IFERROR(__xludf.DUMMYFUNCTION("""COMPUTED_VALUE"""),2.1945E8)</f>
        <v>219450000</v>
      </c>
      <c r="G472" s="1" t="str">
        <f>IFERROR(__xludf.DUMMYFUNCTION("""COMPUTED_VALUE"""),"DEF")</f>
        <v>DEF</v>
      </c>
      <c r="H472" s="3">
        <f>IFERROR(__xludf.DUMMYFUNCTION("""COMPUTED_VALUE"""),25000.0)</f>
        <v>25000</v>
      </c>
      <c r="I472" s="1"/>
      <c r="J472" s="1"/>
      <c r="K472" s="1"/>
      <c r="L472" s="1"/>
      <c r="M472" s="1"/>
      <c r="N472" s="1">
        <f>IFERROR(__xludf.DUMMYFUNCTION("""COMPUTED_VALUE"""),25000.0)</f>
        <v>25000</v>
      </c>
      <c r="O472" s="1"/>
      <c r="P472" s="1"/>
      <c r="Q472" s="3">
        <f>IFERROR(__xludf.DUMMYFUNCTION("""COMPUTED_VALUE"""),25000.0)</f>
        <v>25000</v>
      </c>
      <c r="R472" s="1"/>
      <c r="S472" s="1"/>
      <c r="T472" s="1"/>
      <c r="U472" s="1"/>
      <c r="V472" s="1"/>
      <c r="W472" s="1"/>
      <c r="X472" s="1"/>
      <c r="Y472" s="1"/>
      <c r="Z472" s="1"/>
      <c r="AA472" s="1"/>
      <c r="AB472" s="1"/>
      <c r="AC472" s="1">
        <f>IFERROR(__xludf.DUMMYFUNCTION("""COMPUTED_VALUE"""),30000.0)</f>
        <v>30000</v>
      </c>
      <c r="AD472" s="1"/>
      <c r="AE472" s="1"/>
      <c r="AF472" s="1" t="str">
        <f>IFERROR(__xludf.DUMMYFUNCTION("""COMPUTED_VALUE"""),"(Shuttering Shadows Set) ++X4 Damage whilst invulnerable breaking invulnerability upon being used. +-Cannot be Duplicated. +-Ninja Only")</f>
        <v>(Shuttering Shadows Set) ++X4 Damage whilst invulnerable breaking invulnerability upon being used. +-Cannot be Duplicated. +-Ninja Only</v>
      </c>
      <c r="AG472" s="1" t="str">
        <f>IFERROR(__xludf.DUMMYFUNCTION("""COMPUTED_VALUE"""),"Dragonscale Island")</f>
        <v>Dragonscale Island</v>
      </c>
      <c r="AH472" s="1" t="b">
        <f>IFERROR(__xludf.DUMMYFUNCTION("""COMPUTED_VALUE"""),FALSE)</f>
        <v>0</v>
      </c>
    </row>
    <row r="473">
      <c r="A473" s="1" t="str">
        <f>IFERROR(__xludf.DUMMYFUNCTION("""COMPUTED_VALUE"""),"Leather Boots of EDGINESS")</f>
        <v>Leather Boots of EDGINESS</v>
      </c>
      <c r="B473" s="1" t="str">
        <f>IFERROR(__xludf.DUMMYFUNCTION("""COMPUTED_VALUE"""),"Feet")</f>
        <v>Feet</v>
      </c>
      <c r="C473" s="1" t="str">
        <f>IFERROR(__xludf.DUMMYFUNCTION("""COMPUTED_VALUE"""),"Quest Item")</f>
        <v>Quest Item</v>
      </c>
      <c r="D473" s="1"/>
      <c r="E473" s="1">
        <f>IFERROR(__xludf.DUMMYFUNCTION("""COMPUTED_VALUE"""),200.0)</f>
        <v>200</v>
      </c>
      <c r="F473" s="2">
        <f>IFERROR(__xludf.DUMMYFUNCTION("""COMPUTED_VALUE"""),1.7955E8)</f>
        <v>179550000</v>
      </c>
      <c r="G473" s="1" t="str">
        <f>IFERROR(__xludf.DUMMYFUNCTION("""COMPUTED_VALUE"""),"DEF")</f>
        <v>DEF</v>
      </c>
      <c r="H473" s="3">
        <f>IFERROR(__xludf.DUMMYFUNCTION("""COMPUTED_VALUE"""),25000.0)</f>
        <v>25000</v>
      </c>
      <c r="I473" s="1"/>
      <c r="J473" s="1"/>
      <c r="K473" s="1"/>
      <c r="L473" s="1"/>
      <c r="M473" s="1"/>
      <c r="N473" s="1">
        <f>IFERROR(__xludf.DUMMYFUNCTION("""COMPUTED_VALUE"""),25000.0)</f>
        <v>25000</v>
      </c>
      <c r="O473" s="1"/>
      <c r="P473" s="1"/>
      <c r="Q473" s="3">
        <f>IFERROR(__xludf.DUMMYFUNCTION("""COMPUTED_VALUE"""),25000.0)</f>
        <v>25000</v>
      </c>
      <c r="R473" s="1"/>
      <c r="S473" s="1"/>
      <c r="T473" s="1"/>
      <c r="U473" s="1"/>
      <c r="V473" s="1"/>
      <c r="W473" s="1"/>
      <c r="X473" s="1"/>
      <c r="Y473" s="1"/>
      <c r="Z473" s="1"/>
      <c r="AA473" s="1"/>
      <c r="AB473" s="1"/>
      <c r="AC473" s="1">
        <f>IFERROR(__xludf.DUMMYFUNCTION("""COMPUTED_VALUE"""),20000.0)</f>
        <v>20000</v>
      </c>
      <c r="AD473" s="1"/>
      <c r="AE473" s="1"/>
      <c r="AF473" s="1" t="str">
        <f>IFERROR(__xludf.DUMMYFUNCTION("""COMPUTED_VALUE"""),"(Shuttering Shadows Set) ++X2 Damage whilst invulnerable breaking invulnerability upon being used. +-Cannot be Duplicated. +-Ninja Only")</f>
        <v>(Shuttering Shadows Set) ++X2 Damage whilst invulnerable breaking invulnerability upon being used. +-Cannot be Duplicated. +-Ninja Only</v>
      </c>
      <c r="AG473" s="1" t="str">
        <f>IFERROR(__xludf.DUMMYFUNCTION("""COMPUTED_VALUE"""),"Dragonscale Island")</f>
        <v>Dragonscale Island</v>
      </c>
      <c r="AH473" s="1" t="b">
        <f>IFERROR(__xludf.DUMMYFUNCTION("""COMPUTED_VALUE"""),FALSE)</f>
        <v>0</v>
      </c>
    </row>
    <row r="474">
      <c r="A474" s="1" t="str">
        <f>IFERROR(__xludf.DUMMYFUNCTION("""COMPUTED_VALUE"""),"Silken Gloves of Dexterity")</f>
        <v>Silken Gloves of Dexterity</v>
      </c>
      <c r="B474" s="1" t="str">
        <f>IFERROR(__xludf.DUMMYFUNCTION("""COMPUTED_VALUE"""),"Arms")</f>
        <v>Arms</v>
      </c>
      <c r="C474" s="1" t="str">
        <f>IFERROR(__xludf.DUMMYFUNCTION("""COMPUTED_VALUE"""),"Quest Item")</f>
        <v>Quest Item</v>
      </c>
      <c r="D474" s="1"/>
      <c r="E474" s="1">
        <f>IFERROR(__xludf.DUMMYFUNCTION("""COMPUTED_VALUE"""),200.0)</f>
        <v>200</v>
      </c>
      <c r="F474" s="2">
        <f>IFERROR(__xludf.DUMMYFUNCTION("""COMPUTED_VALUE"""),1.7955E8)</f>
        <v>179550000</v>
      </c>
      <c r="G474" s="1" t="str">
        <f>IFERROR(__xludf.DUMMYFUNCTION("""COMPUTED_VALUE"""),"DEF")</f>
        <v>DEF</v>
      </c>
      <c r="H474" s="3">
        <f>IFERROR(__xludf.DUMMYFUNCTION("""COMPUTED_VALUE"""),25000.0)</f>
        <v>25000</v>
      </c>
      <c r="I474" s="1"/>
      <c r="J474" s="1"/>
      <c r="K474" s="1"/>
      <c r="L474" s="1"/>
      <c r="M474" s="1"/>
      <c r="N474" s="1">
        <f>IFERROR(__xludf.DUMMYFUNCTION("""COMPUTED_VALUE"""),25000.0)</f>
        <v>25000</v>
      </c>
      <c r="O474" s="1"/>
      <c r="P474" s="1"/>
      <c r="Q474" s="3">
        <f>IFERROR(__xludf.DUMMYFUNCTION("""COMPUTED_VALUE"""),25000.0)</f>
        <v>25000</v>
      </c>
      <c r="R474" s="1"/>
      <c r="S474" s="1"/>
      <c r="T474" s="1"/>
      <c r="U474" s="1"/>
      <c r="V474" s="1"/>
      <c r="W474" s="1"/>
      <c r="X474" s="1"/>
      <c r="Y474" s="1"/>
      <c r="Z474" s="1"/>
      <c r="AA474" s="1"/>
      <c r="AB474" s="1"/>
      <c r="AC474" s="1">
        <f>IFERROR(__xludf.DUMMYFUNCTION("""COMPUTED_VALUE"""),20000.0)</f>
        <v>20000</v>
      </c>
      <c r="AD474" s="1"/>
      <c r="AE474" s="1"/>
      <c r="AF474" s="1" t="str">
        <f>IFERROR(__xludf.DUMMYFUNCTION("""COMPUTED_VALUE"""),"(Shuttering Shadows Set) ++gain +5 to attack rolls whilst invulnerable. ++the Knife attribute is 3X as likely to activate. +-Cannot be forged +-Cannot be duplicated +-Ninja Only")</f>
        <v>(Shuttering Shadows Set) ++gain +5 to attack rolls whilst invulnerable. ++the Knife attribute is 3X as likely to activate. +-Cannot be forged +-Cannot be duplicated +-Ninja Only</v>
      </c>
      <c r="AG474" s="1" t="str">
        <f>IFERROR(__xludf.DUMMYFUNCTION("""COMPUTED_VALUE"""),"Dragonscale Island")</f>
        <v>Dragonscale Island</v>
      </c>
      <c r="AH474" s="1" t="b">
        <f>IFERROR(__xludf.DUMMYFUNCTION("""COMPUTED_VALUE"""),FALSE)</f>
        <v>0</v>
      </c>
    </row>
    <row r="475">
      <c r="A475" s="1" t="str">
        <f>IFERROR(__xludf.DUMMYFUNCTION("""COMPUTED_VALUE"""),"Leggings of Swift Death")</f>
        <v>Leggings of Swift Death</v>
      </c>
      <c r="B475" s="1" t="str">
        <f>IFERROR(__xludf.DUMMYFUNCTION("""COMPUTED_VALUE"""),"Legs")</f>
        <v>Legs</v>
      </c>
      <c r="C475" s="1" t="str">
        <f>IFERROR(__xludf.DUMMYFUNCTION("""COMPUTED_VALUE"""),"Quest Item")</f>
        <v>Quest Item</v>
      </c>
      <c r="D475" s="1"/>
      <c r="E475" s="1">
        <f>IFERROR(__xludf.DUMMYFUNCTION("""COMPUTED_VALUE"""),200.0)</f>
        <v>200</v>
      </c>
      <c r="F475" s="2">
        <f>IFERROR(__xludf.DUMMYFUNCTION("""COMPUTED_VALUE"""),1.7955E8)</f>
        <v>179550000</v>
      </c>
      <c r="G475" s="1" t="str">
        <f>IFERROR(__xludf.DUMMYFUNCTION("""COMPUTED_VALUE"""),"DEF")</f>
        <v>DEF</v>
      </c>
      <c r="H475" s="3">
        <f>IFERROR(__xludf.DUMMYFUNCTION("""COMPUTED_VALUE"""),25000.0)</f>
        <v>25000</v>
      </c>
      <c r="I475" s="1"/>
      <c r="J475" s="1"/>
      <c r="K475" s="1"/>
      <c r="L475" s="1"/>
      <c r="M475" s="1"/>
      <c r="N475" s="1">
        <f>IFERROR(__xludf.DUMMYFUNCTION("""COMPUTED_VALUE"""),25000.0)</f>
        <v>25000</v>
      </c>
      <c r="O475" s="1"/>
      <c r="P475" s="1"/>
      <c r="Q475" s="3">
        <f>IFERROR(__xludf.DUMMYFUNCTION("""COMPUTED_VALUE"""),25000.0)</f>
        <v>25000</v>
      </c>
      <c r="R475" s="1"/>
      <c r="S475" s="1"/>
      <c r="T475" s="1"/>
      <c r="U475" s="1"/>
      <c r="V475" s="1"/>
      <c r="W475" s="1"/>
      <c r="X475" s="1"/>
      <c r="Y475" s="1"/>
      <c r="Z475" s="1"/>
      <c r="AA475" s="1"/>
      <c r="AB475" s="1"/>
      <c r="AC475" s="1">
        <f>IFERROR(__xludf.DUMMYFUNCTION("""COMPUTED_VALUE"""),20000.0)</f>
        <v>20000</v>
      </c>
      <c r="AD475" s="1"/>
      <c r="AE475" s="1"/>
      <c r="AF475" s="1" t="str">
        <f>IFERROR(__xludf.DUMMYFUNCTION("""COMPUTED_VALUE"""),"(Shuttering Shadows Set) ++X2 Damage whilst invulnerable breaking invulnerability upon being used, +-Cannot be Duplicated, +-Ninja Only")</f>
        <v>(Shuttering Shadows Set) ++X2 Damage whilst invulnerable breaking invulnerability upon being used, +-Cannot be Duplicated, +-Ninja Only</v>
      </c>
      <c r="AG475" s="1" t="str">
        <f>IFERROR(__xludf.DUMMYFUNCTION("""COMPUTED_VALUE"""),"Dragonscale Island")</f>
        <v>Dragonscale Island</v>
      </c>
      <c r="AH475" s="1" t="b">
        <f>IFERROR(__xludf.DUMMYFUNCTION("""COMPUTED_VALUE"""),FALSE)</f>
        <v>0</v>
      </c>
    </row>
    <row r="476">
      <c r="A476" s="1" t="str">
        <f>IFERROR(__xludf.DUMMYFUNCTION("""COMPUTED_VALUE"""),"Cape of Illusion")</f>
        <v>Cape of Illusion</v>
      </c>
      <c r="B476" s="1" t="str">
        <f>IFERROR(__xludf.DUMMYFUNCTION("""COMPUTED_VALUE"""),"Shoulders")</f>
        <v>Shoulders</v>
      </c>
      <c r="C476" s="1" t="str">
        <f>IFERROR(__xludf.DUMMYFUNCTION("""COMPUTED_VALUE"""),"Quest Item")</f>
        <v>Quest Item</v>
      </c>
      <c r="D476" s="1"/>
      <c r="E476" s="1">
        <f>IFERROR(__xludf.DUMMYFUNCTION("""COMPUTED_VALUE"""),200.0)</f>
        <v>200</v>
      </c>
      <c r="F476" s="2">
        <f>IFERROR(__xludf.DUMMYFUNCTION("""COMPUTED_VALUE"""),1.7955E8)</f>
        <v>179550000</v>
      </c>
      <c r="G476" s="1" t="str">
        <f>IFERROR(__xludf.DUMMYFUNCTION("""COMPUTED_VALUE"""),"DEF")</f>
        <v>DEF</v>
      </c>
      <c r="H476" s="3">
        <f>IFERROR(__xludf.DUMMYFUNCTION("""COMPUTED_VALUE"""),25000.0)</f>
        <v>25000</v>
      </c>
      <c r="I476" s="1"/>
      <c r="J476" s="1"/>
      <c r="K476" s="1"/>
      <c r="L476" s="1"/>
      <c r="M476" s="1"/>
      <c r="N476" s="1">
        <f>IFERROR(__xludf.DUMMYFUNCTION("""COMPUTED_VALUE"""),25000.0)</f>
        <v>25000</v>
      </c>
      <c r="O476" s="1"/>
      <c r="P476" s="1"/>
      <c r="Q476" s="3">
        <f>IFERROR(__xludf.DUMMYFUNCTION("""COMPUTED_VALUE"""),25000.0)</f>
        <v>25000</v>
      </c>
      <c r="R476" s="1"/>
      <c r="S476" s="1"/>
      <c r="T476" s="1"/>
      <c r="U476" s="1"/>
      <c r="V476" s="1"/>
      <c r="W476" s="1"/>
      <c r="X476" s="1"/>
      <c r="Y476" s="1"/>
      <c r="Z476" s="1"/>
      <c r="AA476" s="1"/>
      <c r="AB476" s="1"/>
      <c r="AC476" s="1">
        <f>IFERROR(__xludf.DUMMYFUNCTION("""COMPUTED_VALUE"""),20000.0)</f>
        <v>20000</v>
      </c>
      <c r="AD476" s="1"/>
      <c r="AE476" s="1"/>
      <c r="AF476" s="1" t="str">
        <f>IFERROR(__xludf.DUMMYFUNCTION("""COMPUTED_VALUE"""),"(Shuttering Shadows Set) ++X2 Damage whilst invulnerable breaking invulnerability upon being used, 50% chance to become unaffected by an Instant death effect. ++Conceal: upon entering combat you are invulnerable for 1 round or until you attack +-Cannot be"&amp;" forged +-Cannot be duplicated +-Ninja Only")</f>
        <v>(Shuttering Shadows Set) ++X2 Damage whilst invulnerable breaking invulnerability upon being used, 50% chance to become unaffected by an Instant death effect. ++Conceal: upon entering combat you are invulnerable for 1 round or until you attack +-Cannot be forged +-Cannot be duplicated +-Ninja Only</v>
      </c>
      <c r="AG476" s="1" t="str">
        <f>IFERROR(__xludf.DUMMYFUNCTION("""COMPUTED_VALUE"""),"Dragonscale Island")</f>
        <v>Dragonscale Island</v>
      </c>
      <c r="AH476" s="1" t="b">
        <f>IFERROR(__xludf.DUMMYFUNCTION("""COMPUTED_VALUE"""),FALSE)</f>
        <v>0</v>
      </c>
    </row>
    <row r="477">
      <c r="A477" s="1" t="str">
        <f>IFERROR(__xludf.DUMMYFUNCTION("""COMPUTED_VALUE"""),"Assassin's Kiss")</f>
        <v>Assassin's Kiss</v>
      </c>
      <c r="B477" s="1" t="str">
        <f>IFERROR(__xludf.DUMMYFUNCTION("""COMPUTED_VALUE"""),"Hand")</f>
        <v>Hand</v>
      </c>
      <c r="C477" s="1" t="str">
        <f>IFERROR(__xludf.DUMMYFUNCTION("""COMPUTED_VALUE"""),"Quest Item")</f>
        <v>Quest Item</v>
      </c>
      <c r="D477" s="1" t="str">
        <f>IFERROR(__xludf.DUMMYFUNCTION("""COMPUTED_VALUE"""),"Knife")</f>
        <v>Knife</v>
      </c>
      <c r="E477" s="1">
        <f>IFERROR(__xludf.DUMMYFUNCTION("""COMPUTED_VALUE"""),200.0)</f>
        <v>200</v>
      </c>
      <c r="F477" s="2">
        <f>IFERROR(__xludf.DUMMYFUNCTION("""COMPUTED_VALUE"""),2.409E8)</f>
        <v>240900000</v>
      </c>
      <c r="G477" s="1" t="str">
        <f>IFERROR(__xludf.DUMMYFUNCTION("""COMPUTED_VALUE"""),"DMG")</f>
        <v>DMG</v>
      </c>
      <c r="H477" s="3">
        <f>IFERROR(__xludf.DUMMYFUNCTION("""COMPUTED_VALUE"""),50000.0)</f>
        <v>50000</v>
      </c>
      <c r="I477" s="1"/>
      <c r="J477" s="1"/>
      <c r="K477" s="1"/>
      <c r="L477" s="1"/>
      <c r="M477" s="1"/>
      <c r="N477" s="1"/>
      <c r="O477" s="1">
        <f>IFERROR(__xludf.DUMMYFUNCTION("""COMPUTED_VALUE"""),25000.0)</f>
        <v>25000</v>
      </c>
      <c r="P477" s="1"/>
      <c r="Q477" s="1"/>
      <c r="R477" s="1">
        <f>IFERROR(__xludf.DUMMYFUNCTION("""COMPUTED_VALUE"""),25000.0)</f>
        <v>25000</v>
      </c>
      <c r="S477" s="1"/>
      <c r="T477" s="1"/>
      <c r="U477" s="1"/>
      <c r="V477" s="1"/>
      <c r="W477" s="1"/>
      <c r="X477" s="1"/>
      <c r="Y477" s="1"/>
      <c r="Z477" s="1"/>
      <c r="AA477" s="1"/>
      <c r="AB477" s="1"/>
      <c r="AC477" s="1">
        <f>IFERROR(__xludf.DUMMYFUNCTION("""COMPUTED_VALUE"""),10000.0)</f>
        <v>10000</v>
      </c>
      <c r="AD477" s="1"/>
      <c r="AE477" s="1"/>
      <c r="AF477" s="1" t="str">
        <f>IFERROR(__xludf.DUMMYFUNCTION("""COMPUTED_VALUE"""),"(Shuttering Shadows Set) ++X4 Damage whilst invulnerable breaking invulnerability upon being used. ++When equipped with the Night's Edge attack with both weapons at the same time. +-Cannot be Duplicated Must be used in conjunction with the Night's Edge or"&amp;" any weapon the Night's Edge is forged into, +-Ninja Only")</f>
        <v>(Shuttering Shadows Set) ++X4 Damage whilst invulnerable breaking invulnerability upon being used. ++When equipped with the Night's Edge attack with both weapons at the same time. +-Cannot be Duplicated Must be used in conjunction with the Night's Edge or any weapon the Night's Edge is forged into, +-Ninja Only</v>
      </c>
      <c r="AG477" s="1" t="str">
        <f>IFERROR(__xludf.DUMMYFUNCTION("""COMPUTED_VALUE"""),"Dragonscale Island")</f>
        <v>Dragonscale Island</v>
      </c>
      <c r="AH477" s="1" t="b">
        <f>IFERROR(__xludf.DUMMYFUNCTION("""COMPUTED_VALUE"""),FALSE)</f>
        <v>0</v>
      </c>
    </row>
    <row r="478">
      <c r="A478" s="1" t="str">
        <f>IFERROR(__xludf.DUMMYFUNCTION("""COMPUTED_VALUE"""),"Night's Edge")</f>
        <v>Night's Edge</v>
      </c>
      <c r="B478" s="1" t="str">
        <f>IFERROR(__xludf.DUMMYFUNCTION("""COMPUTED_VALUE"""),"Hand")</f>
        <v>Hand</v>
      </c>
      <c r="C478" s="1" t="str">
        <f>IFERROR(__xludf.DUMMYFUNCTION("""COMPUTED_VALUE"""),"Quest Item")</f>
        <v>Quest Item</v>
      </c>
      <c r="D478" s="1" t="str">
        <f>IFERROR(__xludf.DUMMYFUNCTION("""COMPUTED_VALUE"""),"Knife")</f>
        <v>Knife</v>
      </c>
      <c r="E478" s="1">
        <f>IFERROR(__xludf.DUMMYFUNCTION("""COMPUTED_VALUE"""),200.0)</f>
        <v>200</v>
      </c>
      <c r="F478" s="2">
        <f>IFERROR(__xludf.DUMMYFUNCTION("""COMPUTED_VALUE"""),2.409E8)</f>
        <v>240900000</v>
      </c>
      <c r="G478" s="1" t="str">
        <f>IFERROR(__xludf.DUMMYFUNCTION("""COMPUTED_VALUE"""),"DMG")</f>
        <v>DMG</v>
      </c>
      <c r="H478" s="3">
        <f>IFERROR(__xludf.DUMMYFUNCTION("""COMPUTED_VALUE"""),50000.0)</f>
        <v>50000</v>
      </c>
      <c r="I478" s="1"/>
      <c r="J478" s="1"/>
      <c r="K478" s="1"/>
      <c r="L478" s="1"/>
      <c r="M478" s="1"/>
      <c r="N478" s="1"/>
      <c r="O478" s="3">
        <f>IFERROR(__xludf.DUMMYFUNCTION("""COMPUTED_VALUE"""),25000.0)</f>
        <v>25000</v>
      </c>
      <c r="P478" s="1"/>
      <c r="Q478" s="1"/>
      <c r="R478" s="1">
        <f>IFERROR(__xludf.DUMMYFUNCTION("""COMPUTED_VALUE"""),25000.0)</f>
        <v>25000</v>
      </c>
      <c r="S478" s="1"/>
      <c r="T478" s="1"/>
      <c r="U478" s="1"/>
      <c r="V478" s="1"/>
      <c r="W478" s="1"/>
      <c r="X478" s="1"/>
      <c r="Y478" s="1"/>
      <c r="Z478" s="1"/>
      <c r="AA478" s="1"/>
      <c r="AB478" s="1"/>
      <c r="AC478" s="1">
        <f>IFERROR(__xludf.DUMMYFUNCTION("""COMPUTED_VALUE"""),10000.0)</f>
        <v>10000</v>
      </c>
      <c r="AD478" s="1"/>
      <c r="AE478" s="1"/>
      <c r="AF478" s="1" t="str">
        <f>IFERROR(__xludf.DUMMYFUNCTION("""COMPUTED_VALUE"""),"(Shuttering Shadows Set) ++X4 Damage whilst invulnerable breaking invulnerability upon being used, When equipped with the Assassin's Kiss, attack with both weapons at the same time. +-Cannot be Duplicated, +-Must be Equipped with the Assassin's Kiss +-Nin"&amp;"ja Only")</f>
        <v>(Shuttering Shadows Set) ++X4 Damage whilst invulnerable breaking invulnerability upon being used, When equipped with the Assassin's Kiss, attack with both weapons at the same time. +-Cannot be Duplicated, +-Must be Equipped with the Assassin's Kiss +-Ninja Only</v>
      </c>
      <c r="AG478" s="1" t="str">
        <f>IFERROR(__xludf.DUMMYFUNCTION("""COMPUTED_VALUE"""),"Dragonscale Island")</f>
        <v>Dragonscale Island</v>
      </c>
      <c r="AH478" s="1" t="b">
        <f>IFERROR(__xludf.DUMMYFUNCTION("""COMPUTED_VALUE"""),FALSE)</f>
        <v>0</v>
      </c>
    </row>
    <row r="479">
      <c r="A479" s="1" t="str">
        <f>IFERROR(__xludf.DUMMYFUNCTION("""COMPUTED_VALUE"""),"Ancient Draconian Deity Necklace")</f>
        <v>Ancient Draconian Deity Necklace</v>
      </c>
      <c r="B479" s="1" t="str">
        <f>IFERROR(__xludf.DUMMYFUNCTION("""COMPUTED_VALUE"""),"Neck")</f>
        <v>Neck</v>
      </c>
      <c r="C479" s="1"/>
      <c r="D479" s="1"/>
      <c r="E479" s="1">
        <f>IFERROR(__xludf.DUMMYFUNCTION("""COMPUTED_VALUE"""),1.0)</f>
        <v>1</v>
      </c>
      <c r="F479" s="2">
        <f>IFERROR(__xludf.DUMMYFUNCTION("""COMPUTED_VALUE"""),0.0)</f>
        <v>0</v>
      </c>
      <c r="G479" s="1" t="str">
        <f>IFERROR(__xludf.DUMMYFUNCTION("""COMPUTED_VALUE"""),"DMG")</f>
        <v>DMG</v>
      </c>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t="str">
        <f>IFERROR(__xludf.DUMMYFUNCTION("""COMPUTED_VALUE"""),"++5 to all d20 rolls, +-Cannot be duplicated.")</f>
        <v>++5 to all d20 rolls, +-Cannot be duplicated.</v>
      </c>
      <c r="AG479" s="1" t="str">
        <f>IFERROR(__xludf.DUMMYFUNCTION("""COMPUTED_VALUE"""),"Dragonscale Island")</f>
        <v>Dragonscale Island</v>
      </c>
      <c r="AH479" s="1" t="b">
        <f>IFERROR(__xludf.DUMMYFUNCTION("""COMPUTED_VALUE"""),FALSE)</f>
        <v>0</v>
      </c>
    </row>
    <row r="480">
      <c r="A480" s="1" t="str">
        <f>IFERROR(__xludf.DUMMYFUNCTION("""COMPUTED_VALUE"""),"Gungnir")</f>
        <v>Gungnir</v>
      </c>
      <c r="B480" s="1" t="str">
        <f>IFERROR(__xludf.DUMMYFUNCTION("""COMPUTED_VALUE"""),"Hand")</f>
        <v>Hand</v>
      </c>
      <c r="C480" s="1"/>
      <c r="D480" s="1" t="str">
        <f>IFERROR(__xludf.DUMMYFUNCTION("""COMPUTED_VALUE"""),"Spear")</f>
        <v>Spear</v>
      </c>
      <c r="E480" s="1">
        <f>IFERROR(__xludf.DUMMYFUNCTION("""COMPUTED_VALUE"""),1.0)</f>
        <v>1</v>
      </c>
      <c r="F480" s="2">
        <f>IFERROR(__xludf.DUMMYFUNCTION("""COMPUTED_VALUE"""),0.0)</f>
        <v>0</v>
      </c>
      <c r="G480" s="1" t="str">
        <f>IFERROR(__xludf.DUMMYFUNCTION("""COMPUTED_VALUE"""),"DMG")</f>
        <v>DMG</v>
      </c>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t="str">
        <f>IFERROR(__xludf.DUMMYFUNCTION("""COMPUTED_VALUE"""),"Abstara")</f>
        <v>Abstara</v>
      </c>
      <c r="AH480" s="1" t="b">
        <f>IFERROR(__xludf.DUMMYFUNCTION("""COMPUTED_VALUE"""),FALSE)</f>
        <v>0</v>
      </c>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t="b">
        <f>IFERROR(__xludf.DUMMYFUNCTION("""COMPUTED_VALUE"""),FALSE)</f>
        <v>0</v>
      </c>
    </row>
    <row r="482">
      <c r="A482" s="1" t="str">
        <f>IFERROR(__xludf.DUMMYFUNCTION("""COMPUTED_VALUE"""),"Gaia's Rock Hammer")</f>
        <v>Gaia's Rock Hammer</v>
      </c>
      <c r="B482" s="1" t="str">
        <f>IFERROR(__xludf.DUMMYFUNCTION("""COMPUTED_VALUE"""),"Hand")</f>
        <v>Hand</v>
      </c>
      <c r="C482" s="1" t="str">
        <f>IFERROR(__xludf.DUMMYFUNCTION("""COMPUTED_VALUE"""),"Quest Item")</f>
        <v>Quest Item</v>
      </c>
      <c r="D482" s="1" t="str">
        <f>IFERROR(__xludf.DUMMYFUNCTION("""COMPUTED_VALUE"""),"Club")</f>
        <v>Club</v>
      </c>
      <c r="E482" s="1">
        <f>IFERROR(__xludf.DUMMYFUNCTION("""COMPUTED_VALUE"""),200.0)</f>
        <v>200</v>
      </c>
      <c r="F482" s="2">
        <f>IFERROR(__xludf.DUMMYFUNCTION("""COMPUTED_VALUE"""),5.4285E8)</f>
        <v>542850000</v>
      </c>
      <c r="G482" s="1" t="str">
        <f>IFERROR(__xludf.DUMMYFUNCTION("""COMPUTED_VALUE"""),"DMG")</f>
        <v>DMG</v>
      </c>
      <c r="H482" s="3">
        <f>IFERROR(__xludf.DUMMYFUNCTION("""COMPUTED_VALUE"""),25000.0)</f>
        <v>25000</v>
      </c>
      <c r="I482" s="1"/>
      <c r="J482" s="1"/>
      <c r="K482" s="1"/>
      <c r="L482" s="1"/>
      <c r="M482" s="3">
        <f>IFERROR(__xludf.DUMMYFUNCTION("""COMPUTED_VALUE"""),100000.0)</f>
        <v>100000</v>
      </c>
      <c r="N482" s="1"/>
      <c r="O482" s="1"/>
      <c r="P482" s="1"/>
      <c r="Q482" s="1"/>
      <c r="R482" s="1"/>
      <c r="S482" s="3">
        <f>IFERROR(__xludf.DUMMYFUNCTION("""COMPUTED_VALUE"""),15000.0)</f>
        <v>15000</v>
      </c>
      <c r="T482" s="1"/>
      <c r="U482" s="1"/>
      <c r="V482" s="1"/>
      <c r="W482" s="1"/>
      <c r="X482" s="1"/>
      <c r="Y482" s="1"/>
      <c r="Z482" s="1"/>
      <c r="AA482" s="1"/>
      <c r="AB482" s="1"/>
      <c r="AC482" s="3">
        <f>IFERROR(__xludf.DUMMYFUNCTION("""COMPUTED_VALUE"""),25000.0)</f>
        <v>25000</v>
      </c>
      <c r="AD482" s="1"/>
      <c r="AE482" s="1"/>
      <c r="AF482" s="1" t="str">
        <f>IFERROR(__xludf.DUMMYFUNCTION("""COMPUTED_VALUE"""),"++X4 Earth damage. Gaia's Slumber: ++50% chance to put target to sleep. +-Cannot be duplicated, +-You can only acquire one of these")</f>
        <v>++X4 Earth damage. Gaia's Slumber: ++50% chance to put target to sleep. +-Cannot be duplicated, +-You can only acquire one of these</v>
      </c>
      <c r="AG482" s="1" t="str">
        <f>IFERROR(__xludf.DUMMYFUNCTION("""COMPUTED_VALUE"""),"Land of Spira")</f>
        <v>Land of Spira</v>
      </c>
      <c r="AH482" s="1" t="b">
        <f>IFERROR(__xludf.DUMMYFUNCTION("""COMPUTED_VALUE"""),FALSE)</f>
        <v>0</v>
      </c>
    </row>
    <row r="483">
      <c r="A483" s="1" t="str">
        <f>IFERROR(__xludf.DUMMYFUNCTION("""COMPUTED_VALUE"""),"Bahamut's Claw")</f>
        <v>Bahamut's Claw</v>
      </c>
      <c r="B483" s="1" t="str">
        <f>IFERROR(__xludf.DUMMYFUNCTION("""COMPUTED_VALUE"""),"Hand")</f>
        <v>Hand</v>
      </c>
      <c r="C483" s="1" t="str">
        <f>IFERROR(__xludf.DUMMYFUNCTION("""COMPUTED_VALUE"""),"Mob Exclusive")</f>
        <v>Mob Exclusive</v>
      </c>
      <c r="D483" s="1" t="str">
        <f>IFERROR(__xludf.DUMMYFUNCTION("""COMPUTED_VALUE"""),"Claw")</f>
        <v>Claw</v>
      </c>
      <c r="E483" s="1">
        <f>IFERROR(__xludf.DUMMYFUNCTION("""COMPUTED_VALUE"""),200.0)</f>
        <v>200</v>
      </c>
      <c r="F483" s="2">
        <f>IFERROR(__xludf.DUMMYFUNCTION("""COMPUTED_VALUE"""),1.12425E10)</f>
        <v>11242500000</v>
      </c>
      <c r="G483" s="1" t="str">
        <f>IFERROR(__xludf.DUMMYFUNCTION("""COMPUTED_VALUE"""),"DMG")</f>
        <v>DMG</v>
      </c>
      <c r="H483" s="3">
        <f>IFERROR(__xludf.DUMMYFUNCTION("""COMPUTED_VALUE"""),250000.0)</f>
        <v>250000</v>
      </c>
      <c r="I483" s="1"/>
      <c r="J483" s="1"/>
      <c r="K483" s="1"/>
      <c r="L483" s="1"/>
      <c r="M483" s="1"/>
      <c r="N483" s="1"/>
      <c r="O483" s="1"/>
      <c r="P483" s="1"/>
      <c r="Q483" s="1"/>
      <c r="R483" s="1"/>
      <c r="S483" s="1"/>
      <c r="T483" s="1"/>
      <c r="U483" s="1"/>
      <c r="V483" s="1"/>
      <c r="W483" s="1"/>
      <c r="X483" s="1"/>
      <c r="Y483" s="1"/>
      <c r="Z483" s="3">
        <f>IFERROR(__xludf.DUMMYFUNCTION("""COMPUTED_VALUE"""),250000.0)</f>
        <v>250000</v>
      </c>
      <c r="AA483" s="1"/>
      <c r="AB483" s="1"/>
      <c r="AC483" s="3">
        <f>IFERROR(__xludf.DUMMYFUNCTION("""COMPUTED_VALUE"""),250000.0)</f>
        <v>250000</v>
      </c>
      <c r="AD483" s="1"/>
      <c r="AE483" s="1"/>
      <c r="AF483" s="1" t="str">
        <f>IFERROR(__xludf.DUMMYFUNCTION("""COMPUTED_VALUE"""),"+-Cannot resist or be immune to this attack. ++Bahamut's Bloodlust: Heals Bahamut by 2X damage dealt with this weapon. 50% chance to remove any hit enemy from battle")</f>
        <v>+-Cannot resist or be immune to this attack. ++Bahamut's Bloodlust: Heals Bahamut by 2X damage dealt with this weapon. 50% chance to remove any hit enemy from battle</v>
      </c>
      <c r="AG483" s="1" t="str">
        <f>IFERROR(__xludf.DUMMYFUNCTION("""COMPUTED_VALUE"""),"Tantalus - The Void")</f>
        <v>Tantalus - The Void</v>
      </c>
      <c r="AH483" s="1" t="b">
        <f>IFERROR(__xludf.DUMMYFUNCTION("""COMPUTED_VALUE"""),FALSE)</f>
        <v>0</v>
      </c>
    </row>
    <row r="484">
      <c r="A484" s="1" t="str">
        <f>IFERROR(__xludf.DUMMYFUNCTION("""COMPUTED_VALUE"""),"Chronos' Staff of Time")</f>
        <v>Chronos' Staff of Time</v>
      </c>
      <c r="B484" s="1" t="str">
        <f>IFERROR(__xludf.DUMMYFUNCTION("""COMPUTED_VALUE"""),"Hand")</f>
        <v>Hand</v>
      </c>
      <c r="C484" s="1"/>
      <c r="D484" s="1" t="str">
        <f>IFERROR(__xludf.DUMMYFUNCTION("""COMPUTED_VALUE"""),"Staff")</f>
        <v>Staff</v>
      </c>
      <c r="E484" s="1">
        <f>IFERROR(__xludf.DUMMYFUNCTION("""COMPUTED_VALUE"""),1.0)</f>
        <v>1</v>
      </c>
      <c r="F484" s="2">
        <f>IFERROR(__xludf.DUMMYFUNCTION("""COMPUTED_VALUE"""),0.0)</f>
        <v>0</v>
      </c>
      <c r="G484" s="1" t="str">
        <f>IFERROR(__xludf.DUMMYFUNCTION("""COMPUTED_VALUE"""),"DMG")</f>
        <v>DMG</v>
      </c>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t="str">
        <f>IFERROR(__xludf.DUMMYFUNCTION("""COMPUTED_VALUE"""),"Solreach")</f>
        <v>Solreach</v>
      </c>
      <c r="AH484" s="1" t="b">
        <f>IFERROR(__xludf.DUMMYFUNCTION("""COMPUTED_VALUE"""),FALSE)</f>
        <v>0</v>
      </c>
    </row>
    <row r="485">
      <c r="A485" s="1" t="str">
        <f>IFERROR(__xludf.DUMMYFUNCTION("""COMPUTED_VALUE"""),"Scimitar")</f>
        <v>Scimitar</v>
      </c>
      <c r="B485" s="1" t="str">
        <f>IFERROR(__xludf.DUMMYFUNCTION("""COMPUTED_VALUE"""),"Hand")</f>
        <v>Hand</v>
      </c>
      <c r="C485" s="1"/>
      <c r="D485" s="1" t="str">
        <f>IFERROR(__xludf.DUMMYFUNCTION("""COMPUTED_VALUE"""),"Sword")</f>
        <v>Sword</v>
      </c>
      <c r="E485" s="1">
        <f>IFERROR(__xludf.DUMMYFUNCTION("""COMPUTED_VALUE"""),300.0)</f>
        <v>300</v>
      </c>
      <c r="F485" s="2">
        <f>IFERROR(__xludf.DUMMYFUNCTION("""COMPUTED_VALUE"""),4350000.0)</f>
        <v>4350000</v>
      </c>
      <c r="G485" s="1" t="str">
        <f>IFERROR(__xludf.DUMMYFUNCTION("""COMPUTED_VALUE"""),"DMG")</f>
        <v>DMG</v>
      </c>
      <c r="H485" s="3">
        <f>IFERROR(__xludf.DUMMYFUNCTION("""COMPUTED_VALUE"""),10000.0)</f>
        <v>10000</v>
      </c>
      <c r="I485" s="3">
        <f>IFERROR(__xludf.DUMMYFUNCTION("""COMPUTED_VALUE"""),5000.0)</f>
        <v>5000</v>
      </c>
      <c r="J485" s="1"/>
      <c r="K485" s="1"/>
      <c r="L485" s="1"/>
      <c r="M485" s="1"/>
      <c r="N485" s="1"/>
      <c r="O485" s="1"/>
      <c r="P485" s="1"/>
      <c r="Q485" s="1"/>
      <c r="R485" s="1"/>
      <c r="S485" s="1"/>
      <c r="T485" s="1"/>
      <c r="U485" s="1"/>
      <c r="V485" s="1"/>
      <c r="W485" s="1"/>
      <c r="X485" s="1"/>
      <c r="Y485" s="1"/>
      <c r="Z485" s="1"/>
      <c r="AA485" s="1"/>
      <c r="AB485" s="1"/>
      <c r="AC485" s="1"/>
      <c r="AD485" s="1"/>
      <c r="AE485" s="1"/>
      <c r="AF485" s="1"/>
      <c r="AG485" s="1" t="str">
        <f>IFERROR(__xludf.DUMMYFUNCTION("""COMPUTED_VALUE"""),"Land of Spira")</f>
        <v>Land of Spira</v>
      </c>
      <c r="AH485" s="1" t="b">
        <f>IFERROR(__xludf.DUMMYFUNCTION("""COMPUTED_VALUE"""),FALSE)</f>
        <v>0</v>
      </c>
    </row>
    <row r="486">
      <c r="A486" s="1" t="str">
        <f>IFERROR(__xludf.DUMMYFUNCTION("""COMPUTED_VALUE"""),"Gaia's Helmet of Earthen Fortitude")</f>
        <v>Gaia's Helmet of Earthen Fortitude</v>
      </c>
      <c r="B486" s="1" t="str">
        <f>IFERROR(__xludf.DUMMYFUNCTION("""COMPUTED_VALUE"""),"Head")</f>
        <v>Head</v>
      </c>
      <c r="C486" s="1" t="str">
        <f>IFERROR(__xludf.DUMMYFUNCTION("""COMPUTED_VALUE"""),"Mob Exclusive")</f>
        <v>Mob Exclusive</v>
      </c>
      <c r="D486" s="1"/>
      <c r="E486" s="1">
        <f>IFERROR(__xludf.DUMMYFUNCTION("""COMPUTED_VALUE"""),200.0)</f>
        <v>200</v>
      </c>
      <c r="F486" s="2">
        <f>IFERROR(__xludf.DUMMYFUNCTION("""COMPUTED_VALUE"""),3.6315E8)</f>
        <v>363150000</v>
      </c>
      <c r="G486" s="1" t="str">
        <f>IFERROR(__xludf.DUMMYFUNCTION("""COMPUTED_VALUE"""),"DEF")</f>
        <v>DEF</v>
      </c>
      <c r="H486" s="3">
        <f>IFERROR(__xludf.DUMMYFUNCTION("""COMPUTED_VALUE"""),50000.0)</f>
        <v>50000</v>
      </c>
      <c r="I486" s="3">
        <f>IFERROR(__xludf.DUMMYFUNCTION("""COMPUTED_VALUE"""),35000.0)</f>
        <v>35000</v>
      </c>
      <c r="J486" s="1"/>
      <c r="K486" s="1"/>
      <c r="L486" s="1"/>
      <c r="M486" s="1"/>
      <c r="N486" s="1"/>
      <c r="O486" s="1"/>
      <c r="P486" s="1"/>
      <c r="Q486" s="1"/>
      <c r="R486" s="1"/>
      <c r="S486" s="1"/>
      <c r="T486" s="1"/>
      <c r="U486" s="1"/>
      <c r="V486" s="1"/>
      <c r="W486" s="1"/>
      <c r="X486" s="1"/>
      <c r="Y486" s="1"/>
      <c r="Z486" s="1"/>
      <c r="AA486" s="1"/>
      <c r="AB486" s="1"/>
      <c r="AC486" s="3">
        <f>IFERROR(__xludf.DUMMYFUNCTION("""COMPUTED_VALUE"""),50000.0)</f>
        <v>50000</v>
      </c>
      <c r="AD486" s="1"/>
      <c r="AE486" s="1"/>
      <c r="AF486" s="1" t="str">
        <f>IFERROR(__xludf.DUMMYFUNCTION("""COMPUTED_VALUE"""),"++X2 Earth Damage for self. ++X2 Defense for self. ++Godly Authority: 50% chance to possess one enemy once per battle.")</f>
        <v>++X2 Earth Damage for self. ++X2 Defense for self. ++Godly Authority: 50% chance to possess one enemy once per battle.</v>
      </c>
      <c r="AG486" s="1" t="str">
        <f>IFERROR(__xludf.DUMMYFUNCTION("""COMPUTED_VALUE"""),"Land of Spira")</f>
        <v>Land of Spira</v>
      </c>
      <c r="AH486" s="1" t="b">
        <f>IFERROR(__xludf.DUMMYFUNCTION("""COMPUTED_VALUE"""),FALSE)</f>
        <v>0</v>
      </c>
    </row>
    <row r="487">
      <c r="A487" s="1" t="str">
        <f>IFERROR(__xludf.DUMMYFUNCTION("""COMPUTED_VALUE"""),"Gaia's Pendant")</f>
        <v>Gaia's Pendant</v>
      </c>
      <c r="B487" s="1" t="str">
        <f>IFERROR(__xludf.DUMMYFUNCTION("""COMPUTED_VALUE"""),"Neck")</f>
        <v>Neck</v>
      </c>
      <c r="C487" s="1" t="str">
        <f>IFERROR(__xludf.DUMMYFUNCTION("""COMPUTED_VALUE"""),"Mob Exclusive")</f>
        <v>Mob Exclusive</v>
      </c>
      <c r="D487" s="1"/>
      <c r="E487" s="1">
        <f>IFERROR(__xludf.DUMMYFUNCTION("""COMPUTED_VALUE"""),1.0)</f>
        <v>1</v>
      </c>
      <c r="F487" s="2">
        <f>IFERROR(__xludf.DUMMYFUNCTION("""COMPUTED_VALUE"""),0.0)</f>
        <v>0</v>
      </c>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t="str">
        <f>IFERROR(__xludf.DUMMYFUNCTION("""COMPUTED_VALUE"""),"++Revives entire party upon death of the wearer. +-one use per battle")</f>
        <v>++Revives entire party upon death of the wearer. +-one use per battle</v>
      </c>
      <c r="AG487" s="1" t="str">
        <f>IFERROR(__xludf.DUMMYFUNCTION("""COMPUTED_VALUE"""),"Land of Spira")</f>
        <v>Land of Spira</v>
      </c>
      <c r="AH487" s="1" t="b">
        <f>IFERROR(__xludf.DUMMYFUNCTION("""COMPUTED_VALUE"""),FALSE)</f>
        <v>0</v>
      </c>
    </row>
    <row r="488">
      <c r="A488" s="1" t="str">
        <f>IFERROR(__xludf.DUMMYFUNCTION("""COMPUTED_VALUE"""),"Gaia's Sandals of Earthen Fortitude")</f>
        <v>Gaia's Sandals of Earthen Fortitude</v>
      </c>
      <c r="B488" s="1" t="str">
        <f>IFERROR(__xludf.DUMMYFUNCTION("""COMPUTED_VALUE"""),"Feet")</f>
        <v>Feet</v>
      </c>
      <c r="C488" s="1" t="str">
        <f>IFERROR(__xludf.DUMMYFUNCTION("""COMPUTED_VALUE"""),"Mob Exclusive")</f>
        <v>Mob Exclusive</v>
      </c>
      <c r="D488" s="1"/>
      <c r="E488" s="1">
        <f>IFERROR(__xludf.DUMMYFUNCTION("""COMPUTED_VALUE"""),200.0)</f>
        <v>200</v>
      </c>
      <c r="F488" s="2">
        <f>IFERROR(__xludf.DUMMYFUNCTION("""COMPUTED_VALUE"""),3.6315E8)</f>
        <v>363150000</v>
      </c>
      <c r="G488" s="1" t="str">
        <f>IFERROR(__xludf.DUMMYFUNCTION("""COMPUTED_VALUE"""),"DEF")</f>
        <v>DEF</v>
      </c>
      <c r="H488" s="3">
        <f>IFERROR(__xludf.DUMMYFUNCTION("""COMPUTED_VALUE"""),50000.0)</f>
        <v>50000</v>
      </c>
      <c r="I488" s="3">
        <f>IFERROR(__xludf.DUMMYFUNCTION("""COMPUTED_VALUE"""),35000.0)</f>
        <v>35000</v>
      </c>
      <c r="J488" s="1"/>
      <c r="K488" s="1"/>
      <c r="L488" s="1"/>
      <c r="M488" s="1"/>
      <c r="N488" s="1"/>
      <c r="O488" s="1"/>
      <c r="P488" s="1"/>
      <c r="Q488" s="1"/>
      <c r="R488" s="1"/>
      <c r="S488" s="1"/>
      <c r="T488" s="1"/>
      <c r="U488" s="1"/>
      <c r="V488" s="1"/>
      <c r="W488" s="1"/>
      <c r="X488" s="1"/>
      <c r="Y488" s="1"/>
      <c r="Z488" s="1"/>
      <c r="AA488" s="1"/>
      <c r="AB488" s="1"/>
      <c r="AC488" s="3">
        <f>IFERROR(__xludf.DUMMYFUNCTION("""COMPUTED_VALUE"""),50000.0)</f>
        <v>50000</v>
      </c>
      <c r="AD488" s="1"/>
      <c r="AE488" s="1"/>
      <c r="AF488" s="1" t="str">
        <f>IFERROR(__xludf.DUMMYFUNCTION("""COMPUTED_VALUE"""),"++X2 Earth Damage for self. ++X2 Defense for self")</f>
        <v>++X2 Earth Damage for self. ++X2 Defense for self</v>
      </c>
      <c r="AG488" s="1" t="str">
        <f>IFERROR(__xludf.DUMMYFUNCTION("""COMPUTED_VALUE"""),"Land of Spira")</f>
        <v>Land of Spira</v>
      </c>
      <c r="AH488" s="1" t="b">
        <f>IFERROR(__xludf.DUMMYFUNCTION("""COMPUTED_VALUE"""),FALSE)</f>
        <v>0</v>
      </c>
    </row>
    <row r="489">
      <c r="A489" s="1" t="str">
        <f>IFERROR(__xludf.DUMMYFUNCTION("""COMPUTED_VALUE"""),"Gaia's Gloves")</f>
        <v>Gaia's Gloves</v>
      </c>
      <c r="B489" s="1" t="str">
        <f>IFERROR(__xludf.DUMMYFUNCTION("""COMPUTED_VALUE"""),"Arms")</f>
        <v>Arms</v>
      </c>
      <c r="C489" s="1" t="str">
        <f>IFERROR(__xludf.DUMMYFUNCTION("""COMPUTED_VALUE"""),"Mob Exclusive")</f>
        <v>Mob Exclusive</v>
      </c>
      <c r="D489" s="1"/>
      <c r="E489" s="1">
        <f>IFERROR(__xludf.DUMMYFUNCTION("""COMPUTED_VALUE"""),200.0)</f>
        <v>200</v>
      </c>
      <c r="F489" s="2">
        <f>IFERROR(__xludf.DUMMYFUNCTION("""COMPUTED_VALUE"""),3.6315E8)</f>
        <v>363150000</v>
      </c>
      <c r="G489" s="1" t="str">
        <f>IFERROR(__xludf.DUMMYFUNCTION("""COMPUTED_VALUE"""),"DEF")</f>
        <v>DEF</v>
      </c>
      <c r="H489" s="3">
        <f>IFERROR(__xludf.DUMMYFUNCTION("""COMPUTED_VALUE"""),50000.0)</f>
        <v>50000</v>
      </c>
      <c r="I489" s="3">
        <f>IFERROR(__xludf.DUMMYFUNCTION("""COMPUTED_VALUE"""),35000.0)</f>
        <v>35000</v>
      </c>
      <c r="J489" s="1"/>
      <c r="K489" s="1"/>
      <c r="L489" s="1"/>
      <c r="M489" s="1"/>
      <c r="N489" s="1"/>
      <c r="O489" s="1"/>
      <c r="P489" s="1"/>
      <c r="Q489" s="1"/>
      <c r="R489" s="1"/>
      <c r="S489" s="1"/>
      <c r="T489" s="1"/>
      <c r="U489" s="1"/>
      <c r="V489" s="1"/>
      <c r="W489" s="1"/>
      <c r="X489" s="1"/>
      <c r="Y489" s="1"/>
      <c r="Z489" s="1"/>
      <c r="AA489" s="1"/>
      <c r="AB489" s="1"/>
      <c r="AC489" s="3">
        <f>IFERROR(__xludf.DUMMYFUNCTION("""COMPUTED_VALUE"""),50000.0)</f>
        <v>50000</v>
      </c>
      <c r="AD489" s="1"/>
      <c r="AE489" s="1"/>
      <c r="AF489" s="1" t="str">
        <f>IFERROR(__xludf.DUMMYFUNCTION("""COMPUTED_VALUE"""),"++X2 Earth Damage for self. ++X2 Defense for self")</f>
        <v>++X2 Earth Damage for self. ++X2 Defense for self</v>
      </c>
      <c r="AG489" s="1" t="str">
        <f>IFERROR(__xludf.DUMMYFUNCTION("""COMPUTED_VALUE"""),"Land of Spira")</f>
        <v>Land of Spira</v>
      </c>
      <c r="AH489" s="1" t="b">
        <f>IFERROR(__xludf.DUMMYFUNCTION("""COMPUTED_VALUE"""),FALSE)</f>
        <v>0</v>
      </c>
    </row>
    <row r="490">
      <c r="A490" s="1" t="str">
        <f>IFERROR(__xludf.DUMMYFUNCTION("""COMPUTED_VALUE"""),"Gaia's Gaiters")</f>
        <v>Gaia's Gaiters</v>
      </c>
      <c r="B490" s="1" t="str">
        <f>IFERROR(__xludf.DUMMYFUNCTION("""COMPUTED_VALUE"""),"Legs")</f>
        <v>Legs</v>
      </c>
      <c r="C490" s="1" t="str">
        <f>IFERROR(__xludf.DUMMYFUNCTION("""COMPUTED_VALUE"""),"Mob Exclusive")</f>
        <v>Mob Exclusive</v>
      </c>
      <c r="D490" s="1"/>
      <c r="E490" s="1">
        <f>IFERROR(__xludf.DUMMYFUNCTION("""COMPUTED_VALUE"""),200.0)</f>
        <v>200</v>
      </c>
      <c r="F490" s="2">
        <f>IFERROR(__xludf.DUMMYFUNCTION("""COMPUTED_VALUE"""),3.6315E8)</f>
        <v>363150000</v>
      </c>
      <c r="G490" s="1" t="str">
        <f>IFERROR(__xludf.DUMMYFUNCTION("""COMPUTED_VALUE"""),"DEF")</f>
        <v>DEF</v>
      </c>
      <c r="H490" s="3">
        <f>IFERROR(__xludf.DUMMYFUNCTION("""COMPUTED_VALUE"""),50000.0)</f>
        <v>50000</v>
      </c>
      <c r="I490" s="3">
        <f>IFERROR(__xludf.DUMMYFUNCTION("""COMPUTED_VALUE"""),35000.0)</f>
        <v>35000</v>
      </c>
      <c r="J490" s="1"/>
      <c r="K490" s="1"/>
      <c r="L490" s="1"/>
      <c r="M490" s="1"/>
      <c r="N490" s="1"/>
      <c r="O490" s="1"/>
      <c r="P490" s="1"/>
      <c r="Q490" s="1"/>
      <c r="R490" s="1"/>
      <c r="S490" s="1"/>
      <c r="T490" s="1"/>
      <c r="U490" s="1"/>
      <c r="V490" s="1"/>
      <c r="W490" s="1"/>
      <c r="X490" s="1"/>
      <c r="Y490" s="1"/>
      <c r="Z490" s="1"/>
      <c r="AA490" s="1"/>
      <c r="AB490" s="1"/>
      <c r="AC490" s="3">
        <f>IFERROR(__xludf.DUMMYFUNCTION("""COMPUTED_VALUE"""),50000.0)</f>
        <v>50000</v>
      </c>
      <c r="AD490" s="1"/>
      <c r="AE490" s="1"/>
      <c r="AF490" s="1" t="str">
        <f>IFERROR(__xludf.DUMMYFUNCTION("""COMPUTED_VALUE"""),"++X2 Earth Damage for self. ++X2 Defense for self")</f>
        <v>++X2 Earth Damage for self. ++X2 Defense for self</v>
      </c>
      <c r="AG490" s="1" t="str">
        <f>IFERROR(__xludf.DUMMYFUNCTION("""COMPUTED_VALUE"""),"Land of Spira")</f>
        <v>Land of Spira</v>
      </c>
      <c r="AH490" s="1" t="b">
        <f>IFERROR(__xludf.DUMMYFUNCTION("""COMPUTED_VALUE"""),FALSE)</f>
        <v>0</v>
      </c>
    </row>
    <row r="491">
      <c r="A491" s="1" t="str">
        <f>IFERROR(__xludf.DUMMYFUNCTION("""COMPUTED_VALUE"""),"Gaia's Pauldrons")</f>
        <v>Gaia's Pauldrons</v>
      </c>
      <c r="B491" s="1" t="str">
        <f>IFERROR(__xludf.DUMMYFUNCTION("""COMPUTED_VALUE"""),"Shoulders")</f>
        <v>Shoulders</v>
      </c>
      <c r="C491" s="1" t="str">
        <f>IFERROR(__xludf.DUMMYFUNCTION("""COMPUTED_VALUE"""),"Mob Exclusive")</f>
        <v>Mob Exclusive</v>
      </c>
      <c r="D491" s="1"/>
      <c r="E491" s="1">
        <f>IFERROR(__xludf.DUMMYFUNCTION("""COMPUTED_VALUE"""),200.0)</f>
        <v>200</v>
      </c>
      <c r="F491" s="2">
        <f>IFERROR(__xludf.DUMMYFUNCTION("""COMPUTED_VALUE"""),3.6315E8)</f>
        <v>363150000</v>
      </c>
      <c r="G491" s="1" t="str">
        <f>IFERROR(__xludf.DUMMYFUNCTION("""COMPUTED_VALUE"""),"DEF")</f>
        <v>DEF</v>
      </c>
      <c r="H491" s="3">
        <f>IFERROR(__xludf.DUMMYFUNCTION("""COMPUTED_VALUE"""),50000.0)</f>
        <v>50000</v>
      </c>
      <c r="I491" s="3">
        <f>IFERROR(__xludf.DUMMYFUNCTION("""COMPUTED_VALUE"""),35000.0)</f>
        <v>35000</v>
      </c>
      <c r="J491" s="1"/>
      <c r="K491" s="1"/>
      <c r="L491" s="1"/>
      <c r="M491" s="1"/>
      <c r="N491" s="1"/>
      <c r="O491" s="1"/>
      <c r="P491" s="1"/>
      <c r="Q491" s="1"/>
      <c r="R491" s="1"/>
      <c r="S491" s="1"/>
      <c r="T491" s="1"/>
      <c r="U491" s="1"/>
      <c r="V491" s="1"/>
      <c r="W491" s="1"/>
      <c r="X491" s="1"/>
      <c r="Y491" s="1"/>
      <c r="Z491" s="1"/>
      <c r="AA491" s="1"/>
      <c r="AB491" s="1"/>
      <c r="AC491" s="3">
        <f>IFERROR(__xludf.DUMMYFUNCTION("""COMPUTED_VALUE"""),50000.0)</f>
        <v>50000</v>
      </c>
      <c r="AD491" s="1"/>
      <c r="AE491" s="1"/>
      <c r="AF491" s="1" t="str">
        <f>IFERROR(__xludf.DUMMYFUNCTION("""COMPUTED_VALUE"""),"++X2 Earth Damage for self. ++X2 Defense for self")</f>
        <v>++X2 Earth Damage for self. ++X2 Defense for self</v>
      </c>
      <c r="AG491" s="1" t="str">
        <f>IFERROR(__xludf.DUMMYFUNCTION("""COMPUTED_VALUE"""),"Land of Spira")</f>
        <v>Land of Spira</v>
      </c>
      <c r="AH491" s="1" t="b">
        <f>IFERROR(__xludf.DUMMYFUNCTION("""COMPUTED_VALUE"""),FALSE)</f>
        <v>0</v>
      </c>
    </row>
    <row r="492">
      <c r="A492" s="1" t="str">
        <f>IFERROR(__xludf.DUMMYFUNCTION("""COMPUTED_VALUE"""),"Gaia's Chestpiece")</f>
        <v>Gaia's Chestpiece</v>
      </c>
      <c r="B492" s="1" t="str">
        <f>IFERROR(__xludf.DUMMYFUNCTION("""COMPUTED_VALUE"""),"Torso")</f>
        <v>Torso</v>
      </c>
      <c r="C492" s="1" t="str">
        <f>IFERROR(__xludf.DUMMYFUNCTION("""COMPUTED_VALUE"""),"Mob Exclusive")</f>
        <v>Mob Exclusive</v>
      </c>
      <c r="D492" s="1"/>
      <c r="E492" s="1">
        <f>IFERROR(__xludf.DUMMYFUNCTION("""COMPUTED_VALUE"""),200.0)</f>
        <v>200</v>
      </c>
      <c r="F492" s="2">
        <f>IFERROR(__xludf.DUMMYFUNCTION("""COMPUTED_VALUE"""),1.4553E9)</f>
        <v>1455300000</v>
      </c>
      <c r="G492" s="1" t="str">
        <f>IFERROR(__xludf.DUMMYFUNCTION("""COMPUTED_VALUE"""),"DEF")</f>
        <v>DEF</v>
      </c>
      <c r="H492" s="3">
        <f>IFERROR(__xludf.DUMMYFUNCTION("""COMPUTED_VALUE"""),100000.0)</f>
        <v>100000</v>
      </c>
      <c r="I492" s="3">
        <f>IFERROR(__xludf.DUMMYFUNCTION("""COMPUTED_VALUE"""),70000.0)</f>
        <v>70000</v>
      </c>
      <c r="J492" s="1"/>
      <c r="K492" s="1"/>
      <c r="L492" s="1"/>
      <c r="M492" s="1"/>
      <c r="N492" s="1"/>
      <c r="O492" s="1"/>
      <c r="P492" s="1"/>
      <c r="Q492" s="1"/>
      <c r="R492" s="1"/>
      <c r="S492" s="1"/>
      <c r="T492" s="1"/>
      <c r="U492" s="1"/>
      <c r="V492" s="1"/>
      <c r="W492" s="1"/>
      <c r="X492" s="1"/>
      <c r="Y492" s="1"/>
      <c r="Z492" s="1"/>
      <c r="AA492" s="1"/>
      <c r="AB492" s="1"/>
      <c r="AC492" s="3">
        <f>IFERROR(__xludf.DUMMYFUNCTION("""COMPUTED_VALUE"""),100000.0)</f>
        <v>100000</v>
      </c>
      <c r="AD492" s="1"/>
      <c r="AE492" s="1"/>
      <c r="AF492" s="1" t="str">
        <f>IFERROR(__xludf.DUMMYFUNCTION("""COMPUTED_VALUE"""),"++X2 Earth Damage for self. ++X2 Defense for self")</f>
        <v>++X2 Earth Damage for self. ++X2 Defense for self</v>
      </c>
      <c r="AG492" s="1" t="str">
        <f>IFERROR(__xludf.DUMMYFUNCTION("""COMPUTED_VALUE"""),"Land of Spira")</f>
        <v>Land of Spira</v>
      </c>
      <c r="AH492" s="1" t="b">
        <f>IFERROR(__xludf.DUMMYFUNCTION("""COMPUTED_VALUE"""),FALSE)</f>
        <v>0</v>
      </c>
    </row>
    <row r="493">
      <c r="A493" s="1" t="str">
        <f>IFERROR(__xludf.DUMMYFUNCTION("""COMPUTED_VALUE"""),"Gaia's Ring")</f>
        <v>Gaia's Ring</v>
      </c>
      <c r="B493" s="1" t="str">
        <f>IFERROR(__xludf.DUMMYFUNCTION("""COMPUTED_VALUE"""),"Ring")</f>
        <v>Ring</v>
      </c>
      <c r="C493" s="1" t="str">
        <f>IFERROR(__xludf.DUMMYFUNCTION("""COMPUTED_VALUE"""),"Mob Exclusive")</f>
        <v>Mob Exclusive</v>
      </c>
      <c r="D493" s="1"/>
      <c r="E493" s="1">
        <f>IFERROR(__xludf.DUMMYFUNCTION("""COMPUTED_VALUE"""),1.0)</f>
        <v>1</v>
      </c>
      <c r="F493" s="2">
        <f>IFERROR(__xludf.DUMMYFUNCTION("""COMPUTED_VALUE"""),0.0)</f>
        <v>0</v>
      </c>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t="str">
        <f>IFERROR(__xludf.DUMMYFUNCTION("""COMPUTED_VALUE"""),"++X4 defense for self and allies, 50 sp")</f>
        <v>++X4 defense for self and allies, 50 sp</v>
      </c>
      <c r="AG493" s="1" t="str">
        <f>IFERROR(__xludf.DUMMYFUNCTION("""COMPUTED_VALUE"""),"Land of Spira")</f>
        <v>Land of Spira</v>
      </c>
      <c r="AH493" s="1" t="b">
        <f>IFERROR(__xludf.DUMMYFUNCTION("""COMPUTED_VALUE"""),FALSE)</f>
        <v>0</v>
      </c>
    </row>
    <row r="494">
      <c r="A494" s="1" t="str">
        <f>IFERROR(__xludf.DUMMYFUNCTION("""COMPUTED_VALUE"""),"Paladin of Gaia's Bucket helm of Tenacity")</f>
        <v>Paladin of Gaia's Bucket helm of Tenacity</v>
      </c>
      <c r="B494" s="1" t="str">
        <f>IFERROR(__xludf.DUMMYFUNCTION("""COMPUTED_VALUE"""),"Head")</f>
        <v>Head</v>
      </c>
      <c r="C494" s="1" t="str">
        <f>IFERROR(__xludf.DUMMYFUNCTION("""COMPUTED_VALUE"""),"Quest Item")</f>
        <v>Quest Item</v>
      </c>
      <c r="D494" s="1"/>
      <c r="E494" s="1">
        <f>IFERROR(__xludf.DUMMYFUNCTION("""COMPUTED_VALUE"""),200.0)</f>
        <v>200</v>
      </c>
      <c r="F494" s="2">
        <f>IFERROR(__xludf.DUMMYFUNCTION("""COMPUTED_VALUE"""),1.272E8)</f>
        <v>127200000</v>
      </c>
      <c r="G494" s="1" t="str">
        <f>IFERROR(__xludf.DUMMYFUNCTION("""COMPUTED_VALUE"""),"DEF")</f>
        <v>DEF</v>
      </c>
      <c r="H494" s="3">
        <f>IFERROR(__xludf.DUMMYFUNCTION("""COMPUTED_VALUE"""),20000.0)</f>
        <v>20000</v>
      </c>
      <c r="I494" s="3">
        <f>IFERROR(__xludf.DUMMYFUNCTION("""COMPUTED_VALUE"""),5000.0)</f>
        <v>5000</v>
      </c>
      <c r="J494" s="1"/>
      <c r="K494" s="1"/>
      <c r="L494" s="1"/>
      <c r="M494" s="3">
        <f>IFERROR(__xludf.DUMMYFUNCTION("""COMPUTED_VALUE"""),35000.0)</f>
        <v>35000</v>
      </c>
      <c r="N494" s="1"/>
      <c r="O494" s="1"/>
      <c r="P494" s="1"/>
      <c r="Q494" s="1"/>
      <c r="R494" s="1"/>
      <c r="S494" s="1"/>
      <c r="T494" s="1"/>
      <c r="U494" s="1"/>
      <c r="V494" s="1"/>
      <c r="W494" s="1"/>
      <c r="X494" s="1"/>
      <c r="Y494" s="1"/>
      <c r="Z494" s="1"/>
      <c r="AA494" s="1"/>
      <c r="AB494" s="1"/>
      <c r="AC494" s="3">
        <f>IFERROR(__xludf.DUMMYFUNCTION("""COMPUTED_VALUE"""),20000.0)</f>
        <v>20000</v>
      </c>
      <c r="AD494" s="1"/>
      <c r="AE494" s="1"/>
      <c r="AF494" s="1" t="str">
        <f>IFERROR(__xludf.DUMMYFUNCTION("""COMPUTED_VALUE"""),"++Gaia's Tenacity II: 10% Chance to revive after death +-Cannot be forged +-Cannot be duplicated +-(Paladin or Knight Class Only)")</f>
        <v>++Gaia's Tenacity II: 10% Chance to revive after death +-Cannot be forged +-Cannot be duplicated +-(Paladin or Knight Class Only)</v>
      </c>
      <c r="AG494" s="1" t="str">
        <f>IFERROR(__xludf.DUMMYFUNCTION("""COMPUTED_VALUE"""),"Land of Spira")</f>
        <v>Land of Spira</v>
      </c>
      <c r="AH494" s="1" t="b">
        <f>IFERROR(__xludf.DUMMYFUNCTION("""COMPUTED_VALUE"""),FALSE)</f>
        <v>0</v>
      </c>
    </row>
    <row r="495">
      <c r="A495" s="1" t="str">
        <f>IFERROR(__xludf.DUMMYFUNCTION("""COMPUTED_VALUE"""),"Paladin of Gaia's Stone Pauldrons")</f>
        <v>Paladin of Gaia's Stone Pauldrons</v>
      </c>
      <c r="B495" s="1" t="str">
        <f>IFERROR(__xludf.DUMMYFUNCTION("""COMPUTED_VALUE"""),"Shoulders")</f>
        <v>Shoulders</v>
      </c>
      <c r="C495" s="1" t="str">
        <f>IFERROR(__xludf.DUMMYFUNCTION("""COMPUTED_VALUE"""),"Quest Item")</f>
        <v>Quest Item</v>
      </c>
      <c r="D495" s="1"/>
      <c r="E495" s="1">
        <f>IFERROR(__xludf.DUMMYFUNCTION("""COMPUTED_VALUE"""),200.0)</f>
        <v>200</v>
      </c>
      <c r="F495" s="2">
        <f>IFERROR(__xludf.DUMMYFUNCTION("""COMPUTED_VALUE"""),1.272E8)</f>
        <v>127200000</v>
      </c>
      <c r="G495" s="1" t="str">
        <f>IFERROR(__xludf.DUMMYFUNCTION("""COMPUTED_VALUE"""),"DEF")</f>
        <v>DEF</v>
      </c>
      <c r="H495" s="3">
        <f>IFERROR(__xludf.DUMMYFUNCTION("""COMPUTED_VALUE"""),20000.0)</f>
        <v>20000</v>
      </c>
      <c r="I495" s="3">
        <f>IFERROR(__xludf.DUMMYFUNCTION("""COMPUTED_VALUE"""),5000.0)</f>
        <v>5000</v>
      </c>
      <c r="J495" s="1"/>
      <c r="K495" s="1"/>
      <c r="L495" s="1"/>
      <c r="M495" s="3">
        <f>IFERROR(__xludf.DUMMYFUNCTION("""COMPUTED_VALUE"""),35000.0)</f>
        <v>35000</v>
      </c>
      <c r="N495" s="1"/>
      <c r="O495" s="1"/>
      <c r="P495" s="1"/>
      <c r="Q495" s="1"/>
      <c r="R495" s="1"/>
      <c r="S495" s="1"/>
      <c r="T495" s="1"/>
      <c r="U495" s="1"/>
      <c r="V495" s="1"/>
      <c r="W495" s="1"/>
      <c r="X495" s="1"/>
      <c r="Y495" s="1"/>
      <c r="Z495" s="1"/>
      <c r="AA495" s="1"/>
      <c r="AB495" s="1"/>
      <c r="AC495" s="3">
        <f>IFERROR(__xludf.DUMMYFUNCTION("""COMPUTED_VALUE"""),20000.0)</f>
        <v>20000</v>
      </c>
      <c r="AD495" s="1"/>
      <c r="AE495" s="1"/>
      <c r="AF495" s="1" t="str">
        <f>IFERROR(__xludf.DUMMYFUNCTION("""COMPUTED_VALUE"""),"++Blessing of Stone I: 2X Earth Damage +-(Paladin or Knight Class Only)")</f>
        <v>++Blessing of Stone I: 2X Earth Damage +-(Paladin or Knight Class Only)</v>
      </c>
      <c r="AG495" s="1" t="str">
        <f>IFERROR(__xludf.DUMMYFUNCTION("""COMPUTED_VALUE"""),"Land of Spira")</f>
        <v>Land of Spira</v>
      </c>
      <c r="AH495" s="1" t="b">
        <f>IFERROR(__xludf.DUMMYFUNCTION("""COMPUTED_VALUE"""),FALSE)</f>
        <v>0</v>
      </c>
    </row>
    <row r="496">
      <c r="A496" s="1" t="str">
        <f>IFERROR(__xludf.DUMMYFUNCTION("""COMPUTED_VALUE"""),"Paladin of Gaia's Emblazoned Chestpiece")</f>
        <v>Paladin of Gaia's Emblazoned Chestpiece</v>
      </c>
      <c r="B496" s="1" t="str">
        <f>IFERROR(__xludf.DUMMYFUNCTION("""COMPUTED_VALUE"""),"Torso")</f>
        <v>Torso</v>
      </c>
      <c r="C496" s="1" t="str">
        <f>IFERROR(__xludf.DUMMYFUNCTION("""COMPUTED_VALUE"""),"Quest Item")</f>
        <v>Quest Item</v>
      </c>
      <c r="D496" s="1"/>
      <c r="E496" s="1">
        <f>IFERROR(__xludf.DUMMYFUNCTION("""COMPUTED_VALUE"""),200.0)</f>
        <v>200</v>
      </c>
      <c r="F496" s="2">
        <f>IFERROR(__xludf.DUMMYFUNCTION("""COMPUTED_VALUE"""),7.201E8)</f>
        <v>720100000</v>
      </c>
      <c r="G496" s="1" t="str">
        <f>IFERROR(__xludf.DUMMYFUNCTION("""COMPUTED_VALUE"""),"DEF")</f>
        <v>DEF</v>
      </c>
      <c r="H496" s="3">
        <f>IFERROR(__xludf.DUMMYFUNCTION("""COMPUTED_VALUE"""),50000.0)</f>
        <v>50000</v>
      </c>
      <c r="I496" s="3">
        <f>IFERROR(__xludf.DUMMYFUNCTION("""COMPUTED_VALUE"""),20000.0)</f>
        <v>20000</v>
      </c>
      <c r="J496" s="1"/>
      <c r="K496" s="1"/>
      <c r="L496" s="1"/>
      <c r="M496" s="3">
        <f>IFERROR(__xludf.DUMMYFUNCTION("""COMPUTED_VALUE"""),70000.0)</f>
        <v>70000</v>
      </c>
      <c r="N496" s="1"/>
      <c r="O496" s="1"/>
      <c r="P496" s="1"/>
      <c r="Q496" s="1"/>
      <c r="R496" s="1"/>
      <c r="S496" s="1"/>
      <c r="T496" s="1"/>
      <c r="U496" s="1"/>
      <c r="V496" s="1"/>
      <c r="W496" s="1"/>
      <c r="X496" s="1"/>
      <c r="Y496" s="1"/>
      <c r="Z496" s="1"/>
      <c r="AA496" s="1"/>
      <c r="AB496" s="1"/>
      <c r="AC496" s="3">
        <f>IFERROR(__xludf.DUMMYFUNCTION("""COMPUTED_VALUE"""),50000.0)</f>
        <v>50000</v>
      </c>
      <c r="AD496" s="1"/>
      <c r="AE496" s="1"/>
      <c r="AF496" s="1" t="str">
        <f>IFERROR(__xludf.DUMMYFUNCTION("""COMPUTED_VALUE"""),"++X2 defense for self and allies +-Paladin or Knight Class Only +-Can only equip one")</f>
        <v>++X2 defense for self and allies +-Paladin or Knight Class Only +-Can only equip one</v>
      </c>
      <c r="AG496" s="1" t="str">
        <f>IFERROR(__xludf.DUMMYFUNCTION("""COMPUTED_VALUE"""),"Land of Spira")</f>
        <v>Land of Spira</v>
      </c>
      <c r="AH496" s="1" t="b">
        <f>IFERROR(__xludf.DUMMYFUNCTION("""COMPUTED_VALUE"""),FALSE)</f>
        <v>0</v>
      </c>
    </row>
    <row r="497">
      <c r="A497" s="1" t="str">
        <f>IFERROR(__xludf.DUMMYFUNCTION("""COMPUTED_VALUE"""),"Paladin of Gaia's Vambraces")</f>
        <v>Paladin of Gaia's Vambraces</v>
      </c>
      <c r="B497" s="1" t="str">
        <f>IFERROR(__xludf.DUMMYFUNCTION("""COMPUTED_VALUE"""),"Arms")</f>
        <v>Arms</v>
      </c>
      <c r="C497" s="1" t="str">
        <f>IFERROR(__xludf.DUMMYFUNCTION("""COMPUTED_VALUE"""),"Quest Item")</f>
        <v>Quest Item</v>
      </c>
      <c r="D497" s="1"/>
      <c r="E497" s="1">
        <f>IFERROR(__xludf.DUMMYFUNCTION("""COMPUTED_VALUE"""),200.0)</f>
        <v>200</v>
      </c>
      <c r="F497" s="2">
        <f>IFERROR(__xludf.DUMMYFUNCTION("""COMPUTED_VALUE"""),1.272E8)</f>
        <v>127200000</v>
      </c>
      <c r="G497" s="1" t="str">
        <f>IFERROR(__xludf.DUMMYFUNCTION("""COMPUTED_VALUE"""),"DEF")</f>
        <v>DEF</v>
      </c>
      <c r="H497" s="3">
        <f>IFERROR(__xludf.DUMMYFUNCTION("""COMPUTED_VALUE"""),20000.0)</f>
        <v>20000</v>
      </c>
      <c r="I497" s="3">
        <f>IFERROR(__xludf.DUMMYFUNCTION("""COMPUTED_VALUE"""),5000.0)</f>
        <v>5000</v>
      </c>
      <c r="J497" s="1"/>
      <c r="K497" s="1"/>
      <c r="L497" s="1"/>
      <c r="M497" s="3">
        <f>IFERROR(__xludf.DUMMYFUNCTION("""COMPUTED_VALUE"""),35000.0)</f>
        <v>35000</v>
      </c>
      <c r="N497" s="1"/>
      <c r="O497" s="1"/>
      <c r="P497" s="1"/>
      <c r="Q497" s="1"/>
      <c r="R497" s="1"/>
      <c r="S497" s="1"/>
      <c r="T497" s="1"/>
      <c r="U497" s="1"/>
      <c r="V497" s="1"/>
      <c r="W497" s="1"/>
      <c r="X497" s="1"/>
      <c r="Y497" s="1"/>
      <c r="Z497" s="1"/>
      <c r="AA497" s="1"/>
      <c r="AB497" s="1"/>
      <c r="AC497" s="3">
        <f>IFERROR(__xludf.DUMMYFUNCTION("""COMPUTED_VALUE"""),20000.0)</f>
        <v>20000</v>
      </c>
      <c r="AD497" s="1"/>
      <c r="AE497" s="1"/>
      <c r="AF497" s="1" t="str">
        <f>IFERROR(__xludf.DUMMYFUNCTION("""COMPUTED_VALUE"""),"++X2 defense for self and allies +-Paladin or Knight Class Only +-Can only equip one")</f>
        <v>++X2 defense for self and allies +-Paladin or Knight Class Only +-Can only equip one</v>
      </c>
      <c r="AG497" s="1" t="str">
        <f>IFERROR(__xludf.DUMMYFUNCTION("""COMPUTED_VALUE"""),"Land of Spira")</f>
        <v>Land of Spira</v>
      </c>
      <c r="AH497" s="1" t="b">
        <f>IFERROR(__xludf.DUMMYFUNCTION("""COMPUTED_VALUE"""),FALSE)</f>
        <v>0</v>
      </c>
    </row>
    <row r="498">
      <c r="A498" s="1" t="str">
        <f>IFERROR(__xludf.DUMMYFUNCTION("""COMPUTED_VALUE"""),"Paladin of Gaia's Plate Chausses")</f>
        <v>Paladin of Gaia's Plate Chausses</v>
      </c>
      <c r="B498" s="1" t="str">
        <f>IFERROR(__xludf.DUMMYFUNCTION("""COMPUTED_VALUE"""),"Legs")</f>
        <v>Legs</v>
      </c>
      <c r="C498" s="1" t="str">
        <f>IFERROR(__xludf.DUMMYFUNCTION("""COMPUTED_VALUE"""),"Quest Item")</f>
        <v>Quest Item</v>
      </c>
      <c r="D498" s="1"/>
      <c r="E498" s="1">
        <f>IFERROR(__xludf.DUMMYFUNCTION("""COMPUTED_VALUE"""),200.0)</f>
        <v>200</v>
      </c>
      <c r="F498" s="2">
        <f>IFERROR(__xludf.DUMMYFUNCTION("""COMPUTED_VALUE"""),1.272E8)</f>
        <v>127200000</v>
      </c>
      <c r="G498" s="1" t="str">
        <f>IFERROR(__xludf.DUMMYFUNCTION("""COMPUTED_VALUE"""),"DEF")</f>
        <v>DEF</v>
      </c>
      <c r="H498" s="3">
        <f>IFERROR(__xludf.DUMMYFUNCTION("""COMPUTED_VALUE"""),20000.0)</f>
        <v>20000</v>
      </c>
      <c r="I498" s="3">
        <f>IFERROR(__xludf.DUMMYFUNCTION("""COMPUTED_VALUE"""),5000.0)</f>
        <v>5000</v>
      </c>
      <c r="J498" s="1"/>
      <c r="K498" s="1"/>
      <c r="L498" s="1"/>
      <c r="M498" s="3">
        <f>IFERROR(__xludf.DUMMYFUNCTION("""COMPUTED_VALUE"""),35000.0)</f>
        <v>35000</v>
      </c>
      <c r="N498" s="1"/>
      <c r="O498" s="1"/>
      <c r="P498" s="1"/>
      <c r="Q498" s="1"/>
      <c r="R498" s="1"/>
      <c r="S498" s="1"/>
      <c r="T498" s="1"/>
      <c r="U498" s="1"/>
      <c r="V498" s="1"/>
      <c r="W498" s="1"/>
      <c r="X498" s="1"/>
      <c r="Y498" s="1"/>
      <c r="Z498" s="1"/>
      <c r="AA498" s="1"/>
      <c r="AB498" s="1"/>
      <c r="AC498" s="3">
        <f>IFERROR(__xludf.DUMMYFUNCTION("""COMPUTED_VALUE"""),20000.0)</f>
        <v>20000</v>
      </c>
      <c r="AD498" s="1"/>
      <c r="AE498" s="1"/>
      <c r="AF498" s="1" t="str">
        <f>IFERROR(__xludf.DUMMYFUNCTION("""COMPUTED_VALUE"""),"++Blessing of Stone I: 2X Earth Damage +-Paladin or Knight Class Only +-Can only equip one")</f>
        <v>++Blessing of Stone I: 2X Earth Damage +-Paladin or Knight Class Only +-Can only equip one</v>
      </c>
      <c r="AG498" s="1" t="str">
        <f>IFERROR(__xludf.DUMMYFUNCTION("""COMPUTED_VALUE"""),"Land of Spira")</f>
        <v>Land of Spira</v>
      </c>
      <c r="AH498" s="1" t="b">
        <f>IFERROR(__xludf.DUMMYFUNCTION("""COMPUTED_VALUE"""),FALSE)</f>
        <v>0</v>
      </c>
    </row>
    <row r="499">
      <c r="A499" s="1" t="str">
        <f>IFERROR(__xludf.DUMMYFUNCTION("""COMPUTED_VALUE"""),"Paladin of Gaia's Sabatons")</f>
        <v>Paladin of Gaia's Sabatons</v>
      </c>
      <c r="B499" s="1" t="str">
        <f>IFERROR(__xludf.DUMMYFUNCTION("""COMPUTED_VALUE"""),"Feet")</f>
        <v>Feet</v>
      </c>
      <c r="C499" s="1" t="str">
        <f>IFERROR(__xludf.DUMMYFUNCTION("""COMPUTED_VALUE"""),"Quest Item")</f>
        <v>Quest Item</v>
      </c>
      <c r="D499" s="1"/>
      <c r="E499" s="1">
        <f>IFERROR(__xludf.DUMMYFUNCTION("""COMPUTED_VALUE"""),200.0)</f>
        <v>200</v>
      </c>
      <c r="F499" s="2">
        <f>IFERROR(__xludf.DUMMYFUNCTION("""COMPUTED_VALUE"""),1.272E8)</f>
        <v>127200000</v>
      </c>
      <c r="G499" s="1" t="str">
        <f>IFERROR(__xludf.DUMMYFUNCTION("""COMPUTED_VALUE"""),"DEF")</f>
        <v>DEF</v>
      </c>
      <c r="H499" s="3">
        <f>IFERROR(__xludf.DUMMYFUNCTION("""COMPUTED_VALUE"""),20000.0)</f>
        <v>20000</v>
      </c>
      <c r="I499" s="3">
        <f>IFERROR(__xludf.DUMMYFUNCTION("""COMPUTED_VALUE"""),5000.0)</f>
        <v>5000</v>
      </c>
      <c r="J499" s="1"/>
      <c r="K499" s="1"/>
      <c r="L499" s="1"/>
      <c r="M499" s="3">
        <f>IFERROR(__xludf.DUMMYFUNCTION("""COMPUTED_VALUE"""),35000.0)</f>
        <v>35000</v>
      </c>
      <c r="N499" s="1"/>
      <c r="O499" s="1"/>
      <c r="P499" s="1"/>
      <c r="Q499" s="1"/>
      <c r="R499" s="1"/>
      <c r="S499" s="1"/>
      <c r="T499" s="1"/>
      <c r="U499" s="1"/>
      <c r="V499" s="1"/>
      <c r="W499" s="1"/>
      <c r="X499" s="1"/>
      <c r="Y499" s="1"/>
      <c r="Z499" s="1"/>
      <c r="AA499" s="1"/>
      <c r="AB499" s="1"/>
      <c r="AC499" s="3">
        <f>IFERROR(__xludf.DUMMYFUNCTION("""COMPUTED_VALUE"""),20000.0)</f>
        <v>20000</v>
      </c>
      <c r="AD499" s="1"/>
      <c r="AE499" s="1"/>
      <c r="AF499" s="1" t="str">
        <f>IFERROR(__xludf.DUMMYFUNCTION("""COMPUTED_VALUE"""),"++Blessing of Stone I: 2X Earth Damage +-Paladin or Knight Class Only +-Can only equip one")</f>
        <v>++Blessing of Stone I: 2X Earth Damage +-Paladin or Knight Class Only +-Can only equip one</v>
      </c>
      <c r="AG499" s="1" t="str">
        <f>IFERROR(__xludf.DUMMYFUNCTION("""COMPUTED_VALUE"""),"Land of Spira")</f>
        <v>Land of Spira</v>
      </c>
      <c r="AH499" s="1" t="b">
        <f>IFERROR(__xludf.DUMMYFUNCTION("""COMPUTED_VALUE"""),FALSE)</f>
        <v>0</v>
      </c>
    </row>
    <row r="500">
      <c r="A500" s="1" t="str">
        <f>IFERROR(__xludf.DUMMYFUNCTION("""COMPUTED_VALUE"""),"Paladin of Gaia's Ruby Ring")</f>
        <v>Paladin of Gaia's Ruby Ring</v>
      </c>
      <c r="B500" s="1" t="str">
        <f>IFERROR(__xludf.DUMMYFUNCTION("""COMPUTED_VALUE"""),"Ring")</f>
        <v>Ring</v>
      </c>
      <c r="C500" s="1" t="str">
        <f>IFERROR(__xludf.DUMMYFUNCTION("""COMPUTED_VALUE"""),"Quest Item")</f>
        <v>Quest Item</v>
      </c>
      <c r="D500" s="1"/>
      <c r="E500" s="1">
        <f>IFERROR(__xludf.DUMMYFUNCTION("""COMPUTED_VALUE"""),1.0)</f>
        <v>1</v>
      </c>
      <c r="F500" s="2">
        <f>IFERROR(__xludf.DUMMYFUNCTION("""COMPUTED_VALUE"""),0.0)</f>
        <v>0</v>
      </c>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t="str">
        <f>IFERROR(__xludf.DUMMYFUNCTION("""COMPUTED_VALUE"""),"++Blessing of Stone II: 4X Earth Damage 
++Gaia's Tenacity I: 5% chance to revive after death +-Paladin or Knight Class Only +-Cannot be forged +-Cannot be duplicated +-Can only equip one")</f>
        <v>++Blessing of Stone II: 4X Earth Damage 
++Gaia's Tenacity I: 5% chance to revive after death +-Paladin or Knight Class Only +-Cannot be forged +-Cannot be duplicated +-Can only equip one</v>
      </c>
      <c r="AG500" s="1" t="str">
        <f>IFERROR(__xludf.DUMMYFUNCTION("""COMPUTED_VALUE"""),"Land of Spira")</f>
        <v>Land of Spira</v>
      </c>
      <c r="AH500" s="1" t="b">
        <f>IFERROR(__xludf.DUMMYFUNCTION("""COMPUTED_VALUE"""),FALSE)</f>
        <v>0</v>
      </c>
    </row>
    <row r="501">
      <c r="A501" s="1" t="str">
        <f>IFERROR(__xludf.DUMMYFUNCTION("""COMPUTED_VALUE"""),"Paladin of Gaia's Emerald Pendant")</f>
        <v>Paladin of Gaia's Emerald Pendant</v>
      </c>
      <c r="B501" s="1" t="str">
        <f>IFERROR(__xludf.DUMMYFUNCTION("""COMPUTED_VALUE"""),"Neck")</f>
        <v>Neck</v>
      </c>
      <c r="C501" s="1" t="str">
        <f>IFERROR(__xludf.DUMMYFUNCTION("""COMPUTED_VALUE"""),"Quest Item")</f>
        <v>Quest Item</v>
      </c>
      <c r="D501" s="1"/>
      <c r="E501" s="1">
        <f>IFERROR(__xludf.DUMMYFUNCTION("""COMPUTED_VALUE"""),1.0)</f>
        <v>1</v>
      </c>
      <c r="F501" s="2">
        <f>IFERROR(__xludf.DUMMYFUNCTION("""COMPUTED_VALUE"""),0.0)</f>
        <v>0</v>
      </c>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t="str">
        <f>IFERROR(__xludf.DUMMYFUNCTION("""COMPUTED_VALUE"""),"++Blessing of Stone II: 4X Earth Damage 
++Gaia's Blessing I: 4X defense for self and allies 100 sp (Once per battle) +-(Paladin or Knight Class Only)")</f>
        <v>++Blessing of Stone II: 4X Earth Damage 
++Gaia's Blessing I: 4X defense for self and allies 100 sp (Once per battle) +-(Paladin or Knight Class Only)</v>
      </c>
      <c r="AG501" s="1" t="str">
        <f>IFERROR(__xludf.DUMMYFUNCTION("""COMPUTED_VALUE"""),"Land of Spira")</f>
        <v>Land of Spira</v>
      </c>
      <c r="AH501" s="1" t="b">
        <f>IFERROR(__xludf.DUMMYFUNCTION("""COMPUTED_VALUE"""),FALSE)</f>
        <v>0</v>
      </c>
    </row>
    <row r="502">
      <c r="A502" s="1" t="str">
        <f>IFERROR(__xludf.DUMMYFUNCTION("""COMPUTED_VALUE"""),"The Blacksmith's Forged Battleaxe ")</f>
        <v>The Blacksmith's Forged Battleaxe </v>
      </c>
      <c r="B502" s="1" t="str">
        <f>IFERROR(__xludf.DUMMYFUNCTION("""COMPUTED_VALUE"""),"Hand")</f>
        <v>Hand</v>
      </c>
      <c r="C502" s="1" t="str">
        <f>IFERROR(__xludf.DUMMYFUNCTION("""COMPUTED_VALUE"""),"Mob Exclusive")</f>
        <v>Mob Exclusive</v>
      </c>
      <c r="D502" s="1" t="str">
        <f>IFERROR(__xludf.DUMMYFUNCTION("""COMPUTED_VALUE"""),"Axe")</f>
        <v>Axe</v>
      </c>
      <c r="E502" s="1">
        <f>IFERROR(__xludf.DUMMYFUNCTION("""COMPUTED_VALUE"""),200.0)</f>
        <v>200</v>
      </c>
      <c r="F502" s="2">
        <f>IFERROR(__xludf.DUMMYFUNCTION("""COMPUTED_VALUE"""),1.2475E9)</f>
        <v>1247500000</v>
      </c>
      <c r="G502" s="1" t="str">
        <f>IFERROR(__xludf.DUMMYFUNCTION("""COMPUTED_VALUE"""),"DMG")</f>
        <v>DMG</v>
      </c>
      <c r="H502" s="3">
        <f>IFERROR(__xludf.DUMMYFUNCTION("""COMPUTED_VALUE"""),100000.0)</f>
        <v>100000</v>
      </c>
      <c r="I502" s="3">
        <f>IFERROR(__xludf.DUMMYFUNCTION("""COMPUTED_VALUE"""),100000.0)</f>
        <v>100000</v>
      </c>
      <c r="J502" s="1"/>
      <c r="K502" s="1"/>
      <c r="L502" s="1"/>
      <c r="M502" s="1"/>
      <c r="N502" s="1"/>
      <c r="O502" s="1"/>
      <c r="P502" s="1"/>
      <c r="Q502" s="1"/>
      <c r="R502" s="1"/>
      <c r="S502" s="1"/>
      <c r="T502" s="1"/>
      <c r="U502" s="1"/>
      <c r="V502" s="1"/>
      <c r="W502" s="1"/>
      <c r="X502" s="1"/>
      <c r="Y502" s="1"/>
      <c r="Z502" s="1"/>
      <c r="AA502" s="1"/>
      <c r="AB502" s="1"/>
      <c r="AC502" s="3">
        <f>IFERROR(__xludf.DUMMYFUNCTION("""COMPUTED_VALUE"""),50000.0)</f>
        <v>50000</v>
      </c>
      <c r="AD502" s="1"/>
      <c r="AE502" s="1"/>
      <c r="AF502" s="1" t="str">
        <f>IFERROR(__xludf.DUMMYFUNCTION("""COMPUTED_VALUE"""),"(Hephaestus' Set) ++Forged Fury: Attacks with this weapon hit all enemies (all enemies can roll to evade). ++X2 Weapon damage")</f>
        <v>(Hephaestus' Set) ++Forged Fury: Attacks with this weapon hit all enemies (all enemies can roll to evade). ++X2 Weapon damage</v>
      </c>
      <c r="AG502" s="1" t="str">
        <f>IFERROR(__xludf.DUMMYFUNCTION("""COMPUTED_VALUE"""),"Land of Spira")</f>
        <v>Land of Spira</v>
      </c>
      <c r="AH502" s="1" t="b">
        <f>IFERROR(__xludf.DUMMYFUNCTION("""COMPUTED_VALUE"""),FALSE)</f>
        <v>0</v>
      </c>
    </row>
    <row r="503">
      <c r="A503" s="1" t="str">
        <f>IFERROR(__xludf.DUMMYFUNCTION("""COMPUTED_VALUE"""),"The Blacksmith's Forged Sword")</f>
        <v>The Blacksmith's Forged Sword</v>
      </c>
      <c r="B503" s="1" t="str">
        <f>IFERROR(__xludf.DUMMYFUNCTION("""COMPUTED_VALUE"""),"Hand")</f>
        <v>Hand</v>
      </c>
      <c r="C503" s="1" t="str">
        <f>IFERROR(__xludf.DUMMYFUNCTION("""COMPUTED_VALUE"""),"Mob Exclusive")</f>
        <v>Mob Exclusive</v>
      </c>
      <c r="D503" s="1" t="str">
        <f>IFERROR(__xludf.DUMMYFUNCTION("""COMPUTED_VALUE"""),"Sword")</f>
        <v>Sword</v>
      </c>
      <c r="E503" s="1">
        <f>IFERROR(__xludf.DUMMYFUNCTION("""COMPUTED_VALUE"""),200.0)</f>
        <v>200</v>
      </c>
      <c r="F503" s="2">
        <f>IFERROR(__xludf.DUMMYFUNCTION("""COMPUTED_VALUE"""),1.2475E9)</f>
        <v>1247500000</v>
      </c>
      <c r="G503" s="1" t="str">
        <f>IFERROR(__xludf.DUMMYFUNCTION("""COMPUTED_VALUE"""),"DMG")</f>
        <v>DMG</v>
      </c>
      <c r="H503" s="3">
        <f>IFERROR(__xludf.DUMMYFUNCTION("""COMPUTED_VALUE"""),100000.0)</f>
        <v>100000</v>
      </c>
      <c r="I503" s="3">
        <f>IFERROR(__xludf.DUMMYFUNCTION("""COMPUTED_VALUE"""),100000.0)</f>
        <v>100000</v>
      </c>
      <c r="J503" s="1"/>
      <c r="K503" s="1"/>
      <c r="L503" s="1"/>
      <c r="M503" s="1"/>
      <c r="N503" s="1"/>
      <c r="O503" s="1"/>
      <c r="P503" s="1"/>
      <c r="Q503" s="1"/>
      <c r="R503" s="1"/>
      <c r="S503" s="1"/>
      <c r="T503" s="1"/>
      <c r="U503" s="1"/>
      <c r="V503" s="1"/>
      <c r="W503" s="1"/>
      <c r="X503" s="1"/>
      <c r="Y503" s="1"/>
      <c r="Z503" s="1"/>
      <c r="AA503" s="1"/>
      <c r="AB503" s="1"/>
      <c r="AC503" s="3">
        <f>IFERROR(__xludf.DUMMYFUNCTION("""COMPUTED_VALUE"""),50000.0)</f>
        <v>50000</v>
      </c>
      <c r="AD503" s="1"/>
      <c r="AE503" s="1"/>
      <c r="AF503" s="1" t="str">
        <f>IFERROR(__xludf.DUMMYFUNCTION("""COMPUTED_VALUE"""),"(Hephaestus' Set) ++Elemental Gem Slash: This weapon will have a 25% chance each to cast the following powers when attacking with this weapon; Molten Ruby Spikes, Searing Sapphire Strike, Energizing Emerald Pulse.")</f>
        <v>(Hephaestus' Set) ++Elemental Gem Slash: This weapon will have a 25% chance each to cast the following powers when attacking with this weapon; Molten Ruby Spikes, Searing Sapphire Strike, Energizing Emerald Pulse.</v>
      </c>
      <c r="AG503" s="1" t="str">
        <f>IFERROR(__xludf.DUMMYFUNCTION("""COMPUTED_VALUE"""),"Land of Spira")</f>
        <v>Land of Spira</v>
      </c>
      <c r="AH503" s="1" t="b">
        <f>IFERROR(__xludf.DUMMYFUNCTION("""COMPUTED_VALUE"""),FALSE)</f>
        <v>0</v>
      </c>
    </row>
    <row r="504">
      <c r="A504" s="1" t="str">
        <f>IFERROR(__xludf.DUMMYFUNCTION("""COMPUTED_VALUE"""),"The Blacksmith's Forged Helmet")</f>
        <v>The Blacksmith's Forged Helmet</v>
      </c>
      <c r="B504" s="1" t="str">
        <f>IFERROR(__xludf.DUMMYFUNCTION("""COMPUTED_VALUE"""),"Head")</f>
        <v>Head</v>
      </c>
      <c r="C504" s="1" t="str">
        <f>IFERROR(__xludf.DUMMYFUNCTION("""COMPUTED_VALUE"""),"Mob Exclusive")</f>
        <v>Mob Exclusive</v>
      </c>
      <c r="D504" s="1"/>
      <c r="E504" s="1">
        <f>IFERROR(__xludf.DUMMYFUNCTION("""COMPUTED_VALUE"""),4000.0)</f>
        <v>4000</v>
      </c>
      <c r="F504" s="2">
        <f>IFERROR(__xludf.DUMMYFUNCTION("""COMPUTED_VALUE"""),7.98E8)</f>
        <v>798000000</v>
      </c>
      <c r="G504" s="1" t="str">
        <f>IFERROR(__xludf.DUMMYFUNCTION("""COMPUTED_VALUE"""),"DEF")</f>
        <v>DEF</v>
      </c>
      <c r="H504" s="3">
        <f>IFERROR(__xludf.DUMMYFUNCTION("""COMPUTED_VALUE"""),200000.0)</f>
        <v>200000</v>
      </c>
      <c r="I504" s="1"/>
      <c r="J504" s="1"/>
      <c r="K504" s="1"/>
      <c r="L504" s="1"/>
      <c r="M504" s="1"/>
      <c r="N504" s="1"/>
      <c r="O504" s="1"/>
      <c r="P504" s="1"/>
      <c r="Q504" s="1"/>
      <c r="R504" s="1"/>
      <c r="S504" s="1"/>
      <c r="T504" s="1"/>
      <c r="U504" s="1"/>
      <c r="V504" s="1"/>
      <c r="W504" s="1"/>
      <c r="X504" s="1"/>
      <c r="Y504" s="1"/>
      <c r="Z504" s="1"/>
      <c r="AA504" s="1"/>
      <c r="AB504" s="1"/>
      <c r="AC504" s="1"/>
      <c r="AD504" s="1"/>
      <c r="AE504" s="1"/>
      <c r="AF504" s="1" t="str">
        <f>IFERROR(__xludf.DUMMYFUNCTION("""COMPUTED_VALUE"""),"(Hephaestus' Set) ++Immune to freezing. ++Hephaestus' Fury: shoot an eye ray causing 10,000 damage (you cannot dodge this). ++X2 defense for self")</f>
        <v>(Hephaestus' Set) ++Immune to freezing. ++Hephaestus' Fury: shoot an eye ray causing 10,000 damage (you cannot dodge this). ++X2 defense for self</v>
      </c>
      <c r="AG504" s="1" t="str">
        <f>IFERROR(__xludf.DUMMYFUNCTION("""COMPUTED_VALUE"""),"Land of Spira")</f>
        <v>Land of Spira</v>
      </c>
      <c r="AH504" s="1" t="b">
        <f>IFERROR(__xludf.DUMMYFUNCTION("""COMPUTED_VALUE"""),FALSE)</f>
        <v>0</v>
      </c>
    </row>
    <row r="505">
      <c r="A505" s="1" t="str">
        <f>IFERROR(__xludf.DUMMYFUNCTION("""COMPUTED_VALUE"""),"The Blacksmith's Forged Pauldrons")</f>
        <v>The Blacksmith's Forged Pauldrons</v>
      </c>
      <c r="B505" s="1" t="str">
        <f>IFERROR(__xludf.DUMMYFUNCTION("""COMPUTED_VALUE"""),"Shoulders")</f>
        <v>Shoulders</v>
      </c>
      <c r="C505" s="1" t="str">
        <f>IFERROR(__xludf.DUMMYFUNCTION("""COMPUTED_VALUE"""),"Mob Exclusive")</f>
        <v>Mob Exclusive</v>
      </c>
      <c r="D505" s="1"/>
      <c r="E505" s="1">
        <f>IFERROR(__xludf.DUMMYFUNCTION("""COMPUTED_VALUE"""),4000.0)</f>
        <v>4000</v>
      </c>
      <c r="F505" s="2">
        <f>IFERROR(__xludf.DUMMYFUNCTION("""COMPUTED_VALUE"""),7.98E8)</f>
        <v>798000000</v>
      </c>
      <c r="G505" s="1" t="str">
        <f>IFERROR(__xludf.DUMMYFUNCTION("""COMPUTED_VALUE"""),"DEF")</f>
        <v>DEF</v>
      </c>
      <c r="H505" s="3">
        <f>IFERROR(__xludf.DUMMYFUNCTION("""COMPUTED_VALUE"""),200000.0)</f>
        <v>200000</v>
      </c>
      <c r="I505" s="1"/>
      <c r="J505" s="1"/>
      <c r="K505" s="1"/>
      <c r="L505" s="1"/>
      <c r="M505" s="1"/>
      <c r="N505" s="1"/>
      <c r="O505" s="1"/>
      <c r="P505" s="1"/>
      <c r="Q505" s="1"/>
      <c r="R505" s="1"/>
      <c r="S505" s="1"/>
      <c r="T505" s="1"/>
      <c r="U505" s="1"/>
      <c r="V505" s="1"/>
      <c r="W505" s="1"/>
      <c r="X505" s="1"/>
      <c r="Y505" s="1"/>
      <c r="Z505" s="1"/>
      <c r="AA505" s="1"/>
      <c r="AB505" s="1"/>
      <c r="AC505" s="1"/>
      <c r="AD505" s="1"/>
      <c r="AE505" s="1"/>
      <c r="AF505" s="1" t="str">
        <f>IFERROR(__xludf.DUMMYFUNCTION("""COMPUTED_VALUE"""),"(Hephaestus' Set) ++Immune to Celestial. ++When Equipped you are invulnerable to damage unless you attack. ++When you battle with any undead you can deal X2 damage")</f>
        <v>(Hephaestus' Set) ++Immune to Celestial. ++When Equipped you are invulnerable to damage unless you attack. ++When you battle with any undead you can deal X2 damage</v>
      </c>
      <c r="AG505" s="1" t="str">
        <f>IFERROR(__xludf.DUMMYFUNCTION("""COMPUTED_VALUE"""),"Land of Spira")</f>
        <v>Land of Spira</v>
      </c>
      <c r="AH505" s="1" t="b">
        <f>IFERROR(__xludf.DUMMYFUNCTION("""COMPUTED_VALUE"""),FALSE)</f>
        <v>0</v>
      </c>
    </row>
    <row r="506">
      <c r="A506" s="1" t="str">
        <f>IFERROR(__xludf.DUMMYFUNCTION("""COMPUTED_VALUE"""),"The Blacksmith's Forged Vambraces")</f>
        <v>The Blacksmith's Forged Vambraces</v>
      </c>
      <c r="B506" s="1" t="str">
        <f>IFERROR(__xludf.DUMMYFUNCTION("""COMPUTED_VALUE"""),"Arms")</f>
        <v>Arms</v>
      </c>
      <c r="C506" s="1" t="str">
        <f>IFERROR(__xludf.DUMMYFUNCTION("""COMPUTED_VALUE"""),"Mob Exclusive")</f>
        <v>Mob Exclusive</v>
      </c>
      <c r="D506" s="1"/>
      <c r="E506" s="1">
        <f>IFERROR(__xludf.DUMMYFUNCTION("""COMPUTED_VALUE"""),4000.0)</f>
        <v>4000</v>
      </c>
      <c r="F506" s="2">
        <f>IFERROR(__xludf.DUMMYFUNCTION("""COMPUTED_VALUE"""),7.98E8)</f>
        <v>798000000</v>
      </c>
      <c r="G506" s="1" t="str">
        <f>IFERROR(__xludf.DUMMYFUNCTION("""COMPUTED_VALUE"""),"DEF")</f>
        <v>DEF</v>
      </c>
      <c r="H506" s="3">
        <f>IFERROR(__xludf.DUMMYFUNCTION("""COMPUTED_VALUE"""),200000.0)</f>
        <v>200000</v>
      </c>
      <c r="I506" s="1"/>
      <c r="J506" s="1"/>
      <c r="K506" s="1"/>
      <c r="L506" s="1"/>
      <c r="M506" s="1"/>
      <c r="N506" s="1"/>
      <c r="O506" s="1"/>
      <c r="P506" s="1"/>
      <c r="Q506" s="1"/>
      <c r="R506" s="1"/>
      <c r="S506" s="1"/>
      <c r="T506" s="1"/>
      <c r="U506" s="1"/>
      <c r="V506" s="1"/>
      <c r="W506" s="1"/>
      <c r="X506" s="1"/>
      <c r="Y506" s="1"/>
      <c r="Z506" s="1"/>
      <c r="AA506" s="1"/>
      <c r="AB506" s="1"/>
      <c r="AC506" s="1"/>
      <c r="AD506" s="1"/>
      <c r="AE506" s="1"/>
      <c r="AF506" s="1" t="str">
        <f>IFERROR(__xludf.DUMMYFUNCTION("""COMPUTED_VALUE"""),"(Hephaestus' Set) ++Immune to Chaos and Dark. ++Upon taking fire damage instead heal by 5X that fire damage. ++Take 2X water Damage")</f>
        <v>(Hephaestus' Set) ++Immune to Chaos and Dark. ++Upon taking fire damage instead heal by 5X that fire damage. ++Take 2X water Damage</v>
      </c>
      <c r="AG506" s="1" t="str">
        <f>IFERROR(__xludf.DUMMYFUNCTION("""COMPUTED_VALUE"""),"Land of Spira")</f>
        <v>Land of Spira</v>
      </c>
      <c r="AH506" s="1" t="b">
        <f>IFERROR(__xludf.DUMMYFUNCTION("""COMPUTED_VALUE"""),FALSE)</f>
        <v>0</v>
      </c>
    </row>
    <row r="507">
      <c r="A507" s="1" t="str">
        <f>IFERROR(__xludf.DUMMYFUNCTION("""COMPUTED_VALUE"""),"The Blacksmith's Forged Greaves")</f>
        <v>The Blacksmith's Forged Greaves</v>
      </c>
      <c r="B507" s="1" t="str">
        <f>IFERROR(__xludf.DUMMYFUNCTION("""COMPUTED_VALUE"""),"Legs")</f>
        <v>Legs</v>
      </c>
      <c r="C507" s="1" t="str">
        <f>IFERROR(__xludf.DUMMYFUNCTION("""COMPUTED_VALUE"""),"Mob Exclusive")</f>
        <v>Mob Exclusive</v>
      </c>
      <c r="D507" s="1"/>
      <c r="E507" s="1">
        <f>IFERROR(__xludf.DUMMYFUNCTION("""COMPUTED_VALUE"""),4000.0)</f>
        <v>4000</v>
      </c>
      <c r="F507" s="2">
        <f>IFERROR(__xludf.DUMMYFUNCTION("""COMPUTED_VALUE"""),7.98E8)</f>
        <v>798000000</v>
      </c>
      <c r="G507" s="1" t="str">
        <f>IFERROR(__xludf.DUMMYFUNCTION("""COMPUTED_VALUE"""),"DEF")</f>
        <v>DEF</v>
      </c>
      <c r="H507" s="3">
        <f>IFERROR(__xludf.DUMMYFUNCTION("""COMPUTED_VALUE"""),200000.0)</f>
        <v>200000</v>
      </c>
      <c r="I507" s="1"/>
      <c r="J507" s="1"/>
      <c r="K507" s="1"/>
      <c r="L507" s="1"/>
      <c r="M507" s="1"/>
      <c r="N507" s="1"/>
      <c r="O507" s="1"/>
      <c r="P507" s="1"/>
      <c r="Q507" s="1"/>
      <c r="R507" s="1"/>
      <c r="S507" s="1"/>
      <c r="T507" s="1"/>
      <c r="U507" s="1"/>
      <c r="V507" s="1"/>
      <c r="W507" s="1"/>
      <c r="X507" s="1"/>
      <c r="Y507" s="1"/>
      <c r="Z507" s="1"/>
      <c r="AA507" s="1"/>
      <c r="AB507" s="1"/>
      <c r="AC507" s="1"/>
      <c r="AD507" s="1"/>
      <c r="AE507" s="1"/>
      <c r="AF507" s="1" t="str">
        <f>IFERROR(__xludf.DUMMYFUNCTION("""COMPUTED_VALUE"""),"(Hephaestus' Set) ++When attacking with a weapon you have a 25% chance of attacking again with the same weapon. ++Increases all types of Damage by X2. ++Hephaetus's Undying Rage: Upon being killed or removed from battle revive with full health (once per b"&amp;"attle)")</f>
        <v>(Hephaestus' Set) ++When attacking with a weapon you have a 25% chance of attacking again with the same weapon. ++Increases all types of Damage by X2. ++Hephaetus's Undying Rage: Upon being killed or removed from battle revive with full health (once per battle)</v>
      </c>
      <c r="AG507" s="1" t="str">
        <f>IFERROR(__xludf.DUMMYFUNCTION("""COMPUTED_VALUE"""),"Land of Spira")</f>
        <v>Land of Spira</v>
      </c>
      <c r="AH507" s="1" t="b">
        <f>IFERROR(__xludf.DUMMYFUNCTION("""COMPUTED_VALUE"""),FALSE)</f>
        <v>0</v>
      </c>
    </row>
    <row r="508">
      <c r="A508" s="1" t="str">
        <f>IFERROR(__xludf.DUMMYFUNCTION("""COMPUTED_VALUE"""),"The Blacksmith's Forged Sabatons")</f>
        <v>The Blacksmith's Forged Sabatons</v>
      </c>
      <c r="B508" s="1" t="str">
        <f>IFERROR(__xludf.DUMMYFUNCTION("""COMPUTED_VALUE"""),"Feet")</f>
        <v>Feet</v>
      </c>
      <c r="C508" s="1" t="str">
        <f>IFERROR(__xludf.DUMMYFUNCTION("""COMPUTED_VALUE"""),"Mob Exclusive")</f>
        <v>Mob Exclusive</v>
      </c>
      <c r="D508" s="1"/>
      <c r="E508" s="1">
        <f>IFERROR(__xludf.DUMMYFUNCTION("""COMPUTED_VALUE"""),4000.0)</f>
        <v>4000</v>
      </c>
      <c r="F508" s="2">
        <f>IFERROR(__xludf.DUMMYFUNCTION("""COMPUTED_VALUE"""),7.98E8)</f>
        <v>798000000</v>
      </c>
      <c r="G508" s="1" t="str">
        <f>IFERROR(__xludf.DUMMYFUNCTION("""COMPUTED_VALUE"""),"DEF")</f>
        <v>DEF</v>
      </c>
      <c r="H508" s="3">
        <f>IFERROR(__xludf.DUMMYFUNCTION("""COMPUTED_VALUE"""),200000.0)</f>
        <v>200000</v>
      </c>
      <c r="I508" s="1"/>
      <c r="J508" s="1"/>
      <c r="K508" s="1"/>
      <c r="L508" s="1"/>
      <c r="M508" s="1"/>
      <c r="N508" s="1"/>
      <c r="O508" s="1"/>
      <c r="P508" s="1"/>
      <c r="Q508" s="1"/>
      <c r="R508" s="1"/>
      <c r="S508" s="1"/>
      <c r="T508" s="1"/>
      <c r="U508" s="1"/>
      <c r="V508" s="1"/>
      <c r="W508" s="1"/>
      <c r="X508" s="1"/>
      <c r="Y508" s="1"/>
      <c r="Z508" s="1"/>
      <c r="AA508" s="1"/>
      <c r="AB508" s="1"/>
      <c r="AC508" s="1"/>
      <c r="AD508" s="1"/>
      <c r="AE508" s="1"/>
      <c r="AF508" s="1" t="str">
        <f>IFERROR(__xludf.DUMMYFUNCTION("""COMPUTED_VALUE"""),"(Hephaestus' Set) ++At the start of your turn roll a d20 unaffected by roll bonuses 1-10 no effect 11-20 you act twice on your turn (does not stack with chaincast). ++Heavy Stomp: Causes enemies to be stunned for 1 round with a fail/succeed roll (cooldown"&amp;": 3 rounds). ++all weapons deal X2 Damage")</f>
        <v>(Hephaestus' Set) ++At the start of your turn roll a d20 unaffected by roll bonuses 1-10 no effect 11-20 you act twice on your turn (does not stack with chaincast). ++Heavy Stomp: Causes enemies to be stunned for 1 round with a fail/succeed roll (cooldown: 3 rounds). ++all weapons deal X2 Damage</v>
      </c>
      <c r="AG508" s="1" t="str">
        <f>IFERROR(__xludf.DUMMYFUNCTION("""COMPUTED_VALUE"""),"Land of Spira")</f>
        <v>Land of Spira</v>
      </c>
      <c r="AH508" s="1" t="b">
        <f>IFERROR(__xludf.DUMMYFUNCTION("""COMPUTED_VALUE"""),FALSE)</f>
        <v>0</v>
      </c>
    </row>
    <row r="509">
      <c r="A509" s="1" t="str">
        <f>IFERROR(__xludf.DUMMYFUNCTION("""COMPUTED_VALUE"""),"The Blacksmith's Forged Cuirasses")</f>
        <v>The Blacksmith's Forged Cuirasses</v>
      </c>
      <c r="B509" s="1" t="str">
        <f>IFERROR(__xludf.DUMMYFUNCTION("""COMPUTED_VALUE"""),"Torso")</f>
        <v>Torso</v>
      </c>
      <c r="C509" s="1" t="str">
        <f>IFERROR(__xludf.DUMMYFUNCTION("""COMPUTED_VALUE"""),"Mob Exclusive")</f>
        <v>Mob Exclusive</v>
      </c>
      <c r="D509" s="1"/>
      <c r="E509" s="1">
        <f>IFERROR(__xludf.DUMMYFUNCTION("""COMPUTED_VALUE"""),4000.0)</f>
        <v>4000</v>
      </c>
      <c r="F509" s="2">
        <f>IFERROR(__xludf.DUMMYFUNCTION("""COMPUTED_VALUE"""),7.98E8)</f>
        <v>798000000</v>
      </c>
      <c r="G509" s="1" t="str">
        <f>IFERROR(__xludf.DUMMYFUNCTION("""COMPUTED_VALUE"""),"DEF")</f>
        <v>DEF</v>
      </c>
      <c r="H509" s="3">
        <f>IFERROR(__xludf.DUMMYFUNCTION("""COMPUTED_VALUE"""),200000.0)</f>
        <v>200000</v>
      </c>
      <c r="I509" s="1"/>
      <c r="J509" s="1"/>
      <c r="K509" s="1"/>
      <c r="L509" s="1"/>
      <c r="M509" s="1"/>
      <c r="N509" s="1"/>
      <c r="O509" s="1"/>
      <c r="P509" s="1"/>
      <c r="Q509" s="1"/>
      <c r="R509" s="1"/>
      <c r="S509" s="1"/>
      <c r="T509" s="1"/>
      <c r="U509" s="1"/>
      <c r="V509" s="1"/>
      <c r="W509" s="1"/>
      <c r="X509" s="1"/>
      <c r="Y509" s="1"/>
      <c r="Z509" s="1"/>
      <c r="AA509" s="1"/>
      <c r="AB509" s="1"/>
      <c r="AC509" s="1"/>
      <c r="AD509" s="1"/>
      <c r="AE509" s="1"/>
      <c r="AF509" s="1" t="str">
        <f>IFERROR(__xludf.DUMMYFUNCTION("""COMPUTED_VALUE"""),"(Hephaestus' Set) ++10 to all d20 rolls. ++50% to all percentage based abilities. ++Upon taking damage 25% chance to blind the one that hits you giving them blindness 3")</f>
        <v>(Hephaestus' Set) ++10 to all d20 rolls. ++50% to all percentage based abilities. ++Upon taking damage 25% chance to blind the one that hits you giving them blindness 3</v>
      </c>
      <c r="AG509" s="1" t="str">
        <f>IFERROR(__xludf.DUMMYFUNCTION("""COMPUTED_VALUE"""),"Land of Spira")</f>
        <v>Land of Spira</v>
      </c>
      <c r="AH509" s="1" t="b">
        <f>IFERROR(__xludf.DUMMYFUNCTION("""COMPUTED_VALUE"""),FALSE)</f>
        <v>0</v>
      </c>
    </row>
    <row r="510">
      <c r="A510" s="1" t="str">
        <f>IFERROR(__xludf.DUMMYFUNCTION("""COMPUTED_VALUE"""),"The Blacksmith's Forged Ring")</f>
        <v>The Blacksmith's Forged Ring</v>
      </c>
      <c r="B510" s="1" t="str">
        <f>IFERROR(__xludf.DUMMYFUNCTION("""COMPUTED_VALUE"""),"Ring")</f>
        <v>Ring</v>
      </c>
      <c r="C510" s="1" t="str">
        <f>IFERROR(__xludf.DUMMYFUNCTION("""COMPUTED_VALUE"""),"Mob Exclusive")</f>
        <v>Mob Exclusive</v>
      </c>
      <c r="D510" s="1"/>
      <c r="E510" s="1">
        <f>IFERROR(__xludf.DUMMYFUNCTION("""COMPUTED_VALUE"""),1.0)</f>
        <v>1</v>
      </c>
      <c r="F510" s="2">
        <f>IFERROR(__xludf.DUMMYFUNCTION("""COMPUTED_VALUE"""),0.0)</f>
        <v>0</v>
      </c>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t="str">
        <f>IFERROR(__xludf.DUMMYFUNCTION("""COMPUTED_VALUE"""),"(Hephaestus' Set) ++Increase all types of damage by X2. ++Causes instant death with a fail/succeed roll. ++Inflict half the damage you take back to the enemy that dealt it for the first 3 rounds of battle.")</f>
        <v>(Hephaestus' Set) ++Increase all types of damage by X2. ++Causes instant death with a fail/succeed roll. ++Inflict half the damage you take back to the enemy that dealt it for the first 3 rounds of battle.</v>
      </c>
      <c r="AG510" s="1" t="str">
        <f>IFERROR(__xludf.DUMMYFUNCTION("""COMPUTED_VALUE"""),"Land of Spira")</f>
        <v>Land of Spira</v>
      </c>
      <c r="AH510" s="1" t="b">
        <f>IFERROR(__xludf.DUMMYFUNCTION("""COMPUTED_VALUE"""),FALSE)</f>
        <v>0</v>
      </c>
    </row>
    <row r="511">
      <c r="A511" s="1" t="str">
        <f>IFERROR(__xludf.DUMMYFUNCTION("""COMPUTED_VALUE"""),"The Blacksmith's Forged Pendant")</f>
        <v>The Blacksmith's Forged Pendant</v>
      </c>
      <c r="B511" s="1" t="str">
        <f>IFERROR(__xludf.DUMMYFUNCTION("""COMPUTED_VALUE"""),"Neck")</f>
        <v>Neck</v>
      </c>
      <c r="C511" s="1" t="str">
        <f>IFERROR(__xludf.DUMMYFUNCTION("""COMPUTED_VALUE"""),"Mob Exclusive")</f>
        <v>Mob Exclusive</v>
      </c>
      <c r="D511" s="1"/>
      <c r="E511" s="1">
        <f>IFERROR(__xludf.DUMMYFUNCTION("""COMPUTED_VALUE"""),1.0)</f>
        <v>1</v>
      </c>
      <c r="F511" s="2">
        <f>IFERROR(__xludf.DUMMYFUNCTION("""COMPUTED_VALUE"""),0.0)</f>
        <v>0</v>
      </c>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t="str">
        <f>IFERROR(__xludf.DUMMYFUNCTION("""COMPUTED_VALUE"""),"(Hephaestus' Set) ++Forged items now deal double in damage for the wearer. ++If you kill an enemy with a weapon your HP and SP will fully be restored. ++Enemies deduct 2 from their rolls when targeting you")</f>
        <v>(Hephaestus' Set) ++Forged items now deal double in damage for the wearer. ++If you kill an enemy with a weapon your HP and SP will fully be restored. ++Enemies deduct 2 from their rolls when targeting you</v>
      </c>
      <c r="AG511" s="1" t="str">
        <f>IFERROR(__xludf.DUMMYFUNCTION("""COMPUTED_VALUE"""),"Land of Spira")</f>
        <v>Land of Spira</v>
      </c>
      <c r="AH511" s="1" t="b">
        <f>IFERROR(__xludf.DUMMYFUNCTION("""COMPUTED_VALUE"""),FALSE)</f>
        <v>0</v>
      </c>
    </row>
    <row r="512">
      <c r="A512" s="1" t="str">
        <f>IFERROR(__xludf.DUMMYFUNCTION("""COMPUTED_VALUE"""),"The Blacksmith's Ring of Green Hatred")</f>
        <v>The Blacksmith's Ring of Green Hatred</v>
      </c>
      <c r="B512" s="1" t="str">
        <f>IFERROR(__xludf.DUMMYFUNCTION("""COMPUTED_VALUE"""),"Ring")</f>
        <v>Ring</v>
      </c>
      <c r="C512" s="1" t="str">
        <f>IFERROR(__xludf.DUMMYFUNCTION("""COMPUTED_VALUE"""),"Mob Exclusive")</f>
        <v>Mob Exclusive</v>
      </c>
      <c r="D512" s="1"/>
      <c r="E512" s="1">
        <f>IFERROR(__xludf.DUMMYFUNCTION("""COMPUTED_VALUE"""),1.0)</f>
        <v>1</v>
      </c>
      <c r="F512" s="2">
        <f>IFERROR(__xludf.DUMMYFUNCTION("""COMPUTED_VALUE"""),0.0)</f>
        <v>0</v>
      </c>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t="str">
        <f>IFERROR(__xludf.DUMMYFUNCTION("""COMPUTED_VALUE"""),"(Hephaestus' Set) ++All attacks deal X10 damage against any enemies with the starting town of Forest View.")</f>
        <v>(Hephaestus' Set) ++All attacks deal X10 damage against any enemies with the starting town of Forest View.</v>
      </c>
      <c r="AG512" s="1" t="str">
        <f>IFERROR(__xludf.DUMMYFUNCTION("""COMPUTED_VALUE"""),"Land of Spira")</f>
        <v>Land of Spira</v>
      </c>
      <c r="AH512" s="1" t="b">
        <f>IFERROR(__xludf.DUMMYFUNCTION("""COMPUTED_VALUE"""),FALSE)</f>
        <v>0</v>
      </c>
    </row>
    <row r="513">
      <c r="A513" s="1" t="str">
        <f>IFERROR(__xludf.DUMMYFUNCTION("""COMPUTED_VALUE"""),"Ring o' Strength and Fire")</f>
        <v>Ring o' Strength and Fire</v>
      </c>
      <c r="B513" s="1" t="str">
        <f>IFERROR(__xludf.DUMMYFUNCTION("""COMPUTED_VALUE"""),"Ring")</f>
        <v>Ring</v>
      </c>
      <c r="C513" s="1"/>
      <c r="D513" s="1"/>
      <c r="E513" s="1">
        <f>IFERROR(__xludf.DUMMYFUNCTION("""COMPUTED_VALUE"""),1.0)</f>
        <v>1</v>
      </c>
      <c r="F513" s="2">
        <f>IFERROR(__xludf.DUMMYFUNCTION("""COMPUTED_VALUE"""),0.0)</f>
        <v>0</v>
      </c>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t="str">
        <f>IFERROR(__xludf.DUMMYFUNCTION("""COMPUTED_VALUE"""),"++Grants immunity to fire. ++Grants X2 damage. +-Can only equip one +-Cannot be duplicated")</f>
        <v>++Grants immunity to fire. ++Grants X2 damage. +-Can only equip one +-Cannot be duplicated</v>
      </c>
      <c r="AG513" s="1" t="str">
        <f>IFERROR(__xludf.DUMMYFUNCTION("""COMPUTED_VALUE"""),"Land of Spira")</f>
        <v>Land of Spira</v>
      </c>
      <c r="AH513" s="1" t="b">
        <f>IFERROR(__xludf.DUMMYFUNCTION("""COMPUTED_VALUE"""),FALSE)</f>
        <v>0</v>
      </c>
    </row>
    <row r="514">
      <c r="A514" s="1" t="str">
        <f>IFERROR(__xludf.DUMMYFUNCTION("""COMPUTED_VALUE"""),"Ring o' Fortitude and Earth")</f>
        <v>Ring o' Fortitude and Earth</v>
      </c>
      <c r="B514" s="1" t="str">
        <f>IFERROR(__xludf.DUMMYFUNCTION("""COMPUTED_VALUE"""),"Ring")</f>
        <v>Ring</v>
      </c>
      <c r="C514" s="1"/>
      <c r="D514" s="1"/>
      <c r="E514" s="1">
        <f>IFERROR(__xludf.DUMMYFUNCTION("""COMPUTED_VALUE"""),1.0)</f>
        <v>1</v>
      </c>
      <c r="F514" s="2">
        <f>IFERROR(__xludf.DUMMYFUNCTION("""COMPUTED_VALUE"""),0.0)</f>
        <v>0</v>
      </c>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t="str">
        <f>IFERROR(__xludf.DUMMYFUNCTION("""COMPUTED_VALUE"""),"++Grants immunity to Earth. ++Grants X2 Defense. +-Can only equip one +-Cannot be duplicated")</f>
        <v>++Grants immunity to Earth. ++Grants X2 Defense. +-Can only equip one +-Cannot be duplicated</v>
      </c>
      <c r="AG514" s="1" t="str">
        <f>IFERROR(__xludf.DUMMYFUNCTION("""COMPUTED_VALUE"""),"Land of Spira")</f>
        <v>Land of Spira</v>
      </c>
      <c r="AH514" s="1" t="b">
        <f>IFERROR(__xludf.DUMMYFUNCTION("""COMPUTED_VALUE"""),FALSE)</f>
        <v>0</v>
      </c>
    </row>
    <row r="515">
      <c r="A515" s="1" t="str">
        <f>IFERROR(__xludf.DUMMYFUNCTION("""COMPUTED_VALUE"""),"Ring o' Agility and Water")</f>
        <v>Ring o' Agility and Water</v>
      </c>
      <c r="B515" s="1" t="str">
        <f>IFERROR(__xludf.DUMMYFUNCTION("""COMPUTED_VALUE"""),"Ring")</f>
        <v>Ring</v>
      </c>
      <c r="C515" s="1"/>
      <c r="D515" s="1"/>
      <c r="E515" s="1">
        <f>IFERROR(__xludf.DUMMYFUNCTION("""COMPUTED_VALUE"""),1.0)</f>
        <v>1</v>
      </c>
      <c r="F515" s="2">
        <f>IFERROR(__xludf.DUMMYFUNCTION("""COMPUTED_VALUE"""),0.0)</f>
        <v>0</v>
      </c>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t="str">
        <f>IFERROR(__xludf.DUMMYFUNCTION("""COMPUTED_VALUE"""),"++Grants Immunity to Water. ++Grants +5 to evasion. +-Can only equip one +-Cannot be duplicated")</f>
        <v>++Grants Immunity to Water. ++Grants +5 to evasion. +-Can only equip one +-Cannot be duplicated</v>
      </c>
      <c r="AG515" s="1" t="str">
        <f>IFERROR(__xludf.DUMMYFUNCTION("""COMPUTED_VALUE"""),"Land of Spira")</f>
        <v>Land of Spira</v>
      </c>
      <c r="AH515" s="1" t="b">
        <f>IFERROR(__xludf.DUMMYFUNCTION("""COMPUTED_VALUE"""),FALSE)</f>
        <v>0</v>
      </c>
    </row>
    <row r="516">
      <c r="A516" s="1" t="str">
        <f>IFERROR(__xludf.DUMMYFUNCTION("""COMPUTED_VALUE"""),"Ring o' Power and Delta")</f>
        <v>Ring o' Power and Delta</v>
      </c>
      <c r="B516" s="1" t="str">
        <f>IFERROR(__xludf.DUMMYFUNCTION("""COMPUTED_VALUE"""),"Ring")</f>
        <v>Ring</v>
      </c>
      <c r="C516" s="1"/>
      <c r="D516" s="1"/>
      <c r="E516" s="1">
        <f>IFERROR(__xludf.DUMMYFUNCTION("""COMPUTED_VALUE"""),1.0)</f>
        <v>1</v>
      </c>
      <c r="F516" s="2">
        <f>IFERROR(__xludf.DUMMYFUNCTION("""COMPUTED_VALUE"""),0.0)</f>
        <v>0</v>
      </c>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t="str">
        <f>IFERROR(__xludf.DUMMYFUNCTION("""COMPUTED_VALUE"""),"++Grants X4 Delta damage. ++Take Half delta damage. +-Can only equip one +-Cannot be duplicated")</f>
        <v>++Grants X4 Delta damage. ++Take Half delta damage. +-Can only equip one +-Cannot be duplicated</v>
      </c>
      <c r="AG516" s="1" t="str">
        <f>IFERROR(__xludf.DUMMYFUNCTION("""COMPUTED_VALUE"""),"Land of Spira")</f>
        <v>Land of Spira</v>
      </c>
      <c r="AH516" s="1" t="b">
        <f>IFERROR(__xludf.DUMMYFUNCTION("""COMPUTED_VALUE"""),FALSE)</f>
        <v>0</v>
      </c>
    </row>
    <row r="517">
      <c r="A517" s="1" t="str">
        <f>IFERROR(__xludf.DUMMYFUNCTION("""COMPUTED_VALUE"""),"Ring o' Courage and Order")</f>
        <v>Ring o' Courage and Order</v>
      </c>
      <c r="B517" s="1" t="str">
        <f>IFERROR(__xludf.DUMMYFUNCTION("""COMPUTED_VALUE"""),"Ring")</f>
        <v>Ring</v>
      </c>
      <c r="C517" s="1"/>
      <c r="D517" s="1"/>
      <c r="E517" s="1">
        <f>IFERROR(__xludf.DUMMYFUNCTION("""COMPUTED_VALUE"""),1.0)</f>
        <v>1</v>
      </c>
      <c r="F517" s="2">
        <f>IFERROR(__xludf.DUMMYFUNCTION("""COMPUTED_VALUE"""),0.0)</f>
        <v>0</v>
      </c>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t="str">
        <f>IFERROR(__xludf.DUMMYFUNCTION("""COMPUTED_VALUE"""),"++Grants Immunity to Order. ++Enemies halve their rolls when fleeing. +-Can only equip one +-Cannot be duplicated")</f>
        <v>++Grants Immunity to Order. ++Enemies halve their rolls when fleeing. +-Can only equip one +-Cannot be duplicated</v>
      </c>
      <c r="AG517" s="1" t="str">
        <f>IFERROR(__xludf.DUMMYFUNCTION("""COMPUTED_VALUE"""),"Land of Spira")</f>
        <v>Land of Spira</v>
      </c>
      <c r="AH517" s="1" t="b">
        <f>IFERROR(__xludf.DUMMYFUNCTION("""COMPUTED_VALUE"""),FALSE)</f>
        <v>0</v>
      </c>
    </row>
    <row r="518">
      <c r="A518" s="1" t="str">
        <f>IFERROR(__xludf.DUMMYFUNCTION("""COMPUTED_VALUE"""),"Ring o' Resilience and Physicality")</f>
        <v>Ring o' Resilience and Physicality</v>
      </c>
      <c r="B518" s="1" t="str">
        <f>IFERROR(__xludf.DUMMYFUNCTION("""COMPUTED_VALUE"""),"Ring")</f>
        <v>Ring</v>
      </c>
      <c r="C518" s="1"/>
      <c r="D518" s="1"/>
      <c r="E518" s="1">
        <f>IFERROR(__xludf.DUMMYFUNCTION("""COMPUTED_VALUE"""),1.0)</f>
        <v>1</v>
      </c>
      <c r="F518" s="2">
        <f>IFERROR(__xludf.DUMMYFUNCTION("""COMPUTED_VALUE"""),0.0)</f>
        <v>0</v>
      </c>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t="str">
        <f>IFERROR(__xludf.DUMMYFUNCTION("""COMPUTED_VALUE"""),"++Grants Immunity to Natural attacks. ++Grants +5 Mobility. +-Can only equip one +-Cannot be duplicated")</f>
        <v>++Grants Immunity to Natural attacks. ++Grants +5 Mobility. +-Can only equip one +-Cannot be duplicated</v>
      </c>
      <c r="AG518" s="1" t="str">
        <f>IFERROR(__xludf.DUMMYFUNCTION("""COMPUTED_VALUE"""),"Land of Spira")</f>
        <v>Land of Spira</v>
      </c>
      <c r="AH518" s="1" t="b">
        <f>IFERROR(__xludf.DUMMYFUNCTION("""COMPUTED_VALUE"""),FALSE)</f>
        <v>0</v>
      </c>
    </row>
    <row r="519">
      <c r="A519" s="1" t="str">
        <f>IFERROR(__xludf.DUMMYFUNCTION("""COMPUTED_VALUE"""),"Ring o' Insanity and Chaos")</f>
        <v>Ring o' Insanity and Chaos</v>
      </c>
      <c r="B519" s="1" t="str">
        <f>IFERROR(__xludf.DUMMYFUNCTION("""COMPUTED_VALUE"""),"Ring")</f>
        <v>Ring</v>
      </c>
      <c r="C519" s="1"/>
      <c r="D519" s="1"/>
      <c r="E519" s="1">
        <f>IFERROR(__xludf.DUMMYFUNCTION("""COMPUTED_VALUE"""),1.0)</f>
        <v>1</v>
      </c>
      <c r="F519" s="2">
        <f>IFERROR(__xludf.DUMMYFUNCTION("""COMPUTED_VALUE"""),0.0)</f>
        <v>0</v>
      </c>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t="str">
        <f>IFERROR(__xludf.DUMMYFUNCTION("""COMPUTED_VALUE"""),"++Grants Immunity to Chaos. +5 to Intimidation. +-Can only equip one +-Cannot be duplicated")</f>
        <v>++Grants Immunity to Chaos. +5 to Intimidation. +-Can only equip one +-Cannot be duplicated</v>
      </c>
      <c r="AG519" s="1" t="str">
        <f>IFERROR(__xludf.DUMMYFUNCTION("""COMPUTED_VALUE"""),"Land of Spira")</f>
        <v>Land of Spira</v>
      </c>
      <c r="AH519" s="1" t="b">
        <f>IFERROR(__xludf.DUMMYFUNCTION("""COMPUTED_VALUE"""),FALSE)</f>
        <v>0</v>
      </c>
    </row>
    <row r="520">
      <c r="A520" s="1" t="str">
        <f>IFERROR(__xludf.DUMMYFUNCTION("""COMPUTED_VALUE"""),"Ring o' Debonair and Light")</f>
        <v>Ring o' Debonair and Light</v>
      </c>
      <c r="B520" s="1" t="str">
        <f>IFERROR(__xludf.DUMMYFUNCTION("""COMPUTED_VALUE"""),"Ring")</f>
        <v>Ring</v>
      </c>
      <c r="C520" s="1"/>
      <c r="D520" s="1"/>
      <c r="E520" s="1">
        <f>IFERROR(__xludf.DUMMYFUNCTION("""COMPUTED_VALUE"""),1.0)</f>
        <v>1</v>
      </c>
      <c r="F520" s="2">
        <f>IFERROR(__xludf.DUMMYFUNCTION("""COMPUTED_VALUE"""),0.0)</f>
        <v>0</v>
      </c>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t="str">
        <f>IFERROR(__xludf.DUMMYFUNCTION("""COMPUTED_VALUE"""),"++Grants Immunity to Light. +5 to Charisma. +-Can only equip one +-Cannot be duplicated")</f>
        <v>++Grants Immunity to Light. +5 to Charisma. +-Can only equip one +-Cannot be duplicated</v>
      </c>
      <c r="AG520" s="1" t="str">
        <f>IFERROR(__xludf.DUMMYFUNCTION("""COMPUTED_VALUE"""),"Land of Spira")</f>
        <v>Land of Spira</v>
      </c>
      <c r="AH520" s="1" t="b">
        <f>IFERROR(__xludf.DUMMYFUNCTION("""COMPUTED_VALUE"""),FALSE)</f>
        <v>0</v>
      </c>
    </row>
    <row r="521">
      <c r="A521" s="1" t="str">
        <f>IFERROR(__xludf.DUMMYFUNCTION("""COMPUTED_VALUE"""),"Ring o' Spite and Blood")</f>
        <v>Ring o' Spite and Blood</v>
      </c>
      <c r="B521" s="1" t="str">
        <f>IFERROR(__xludf.DUMMYFUNCTION("""COMPUTED_VALUE"""),"Ring")</f>
        <v>Ring</v>
      </c>
      <c r="C521" s="1"/>
      <c r="D521" s="1"/>
      <c r="E521" s="1">
        <f>IFERROR(__xludf.DUMMYFUNCTION("""COMPUTED_VALUE"""),1.0)</f>
        <v>1</v>
      </c>
      <c r="F521" s="2">
        <f>IFERROR(__xludf.DUMMYFUNCTION("""COMPUTED_VALUE"""),0.0)</f>
        <v>0</v>
      </c>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t="str">
        <f>IFERROR(__xludf.DUMMYFUNCTION("""COMPUTED_VALUE"""),"++Grants Immunity to Blood. ++X4 Blood damage, ++Deal X4 damage to any enemy who attempted to attack you. +-Can only equip one +-Cannot be duplicated")</f>
        <v>++Grants Immunity to Blood. ++X4 Blood damage, ++Deal X4 damage to any enemy who attempted to attack you. +-Can only equip one +-Cannot be duplicated</v>
      </c>
      <c r="AG521" s="1" t="str">
        <f>IFERROR(__xludf.DUMMYFUNCTION("""COMPUTED_VALUE"""),"Land of Spira")</f>
        <v>Land of Spira</v>
      </c>
      <c r="AH521" s="1" t="b">
        <f>IFERROR(__xludf.DUMMYFUNCTION("""COMPUTED_VALUE"""),FALSE)</f>
        <v>0</v>
      </c>
    </row>
    <row r="522">
      <c r="A522" s="1" t="str">
        <f>IFERROR(__xludf.DUMMYFUNCTION("""COMPUTED_VALUE"""),"Ring o' Neurodivergence and Spirit")</f>
        <v>Ring o' Neurodivergence and Spirit</v>
      </c>
      <c r="B522" s="1" t="str">
        <f>IFERROR(__xludf.DUMMYFUNCTION("""COMPUTED_VALUE"""),"Ring")</f>
        <v>Ring</v>
      </c>
      <c r="C522" s="1"/>
      <c r="D522" s="1"/>
      <c r="E522" s="1">
        <f>IFERROR(__xludf.DUMMYFUNCTION("""COMPUTED_VALUE"""),1.0)</f>
        <v>1</v>
      </c>
      <c r="F522" s="2">
        <f>IFERROR(__xludf.DUMMYFUNCTION("""COMPUTED_VALUE"""),0.0)</f>
        <v>0</v>
      </c>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t="str">
        <f>IFERROR(__xludf.DUMMYFUNCTION("""COMPUTED_VALUE"""),"++Grants Immunity to Spirit. ++As an action you can Create a clone of yourself who has the same stats as yourself once per battle, 200 sp. +-Can only equip one +-Cannot be duplicated")</f>
        <v>++Grants Immunity to Spirit. ++As an action you can Create a clone of yourself who has the same stats as yourself once per battle, 200 sp. +-Can only equip one +-Cannot be duplicated</v>
      </c>
      <c r="AG522" s="1" t="str">
        <f>IFERROR(__xludf.DUMMYFUNCTION("""COMPUTED_VALUE"""),"Land of Spira")</f>
        <v>Land of Spira</v>
      </c>
      <c r="AH522" s="1" t="b">
        <f>IFERROR(__xludf.DUMMYFUNCTION("""COMPUTED_VALUE"""),FALSE)</f>
        <v>0</v>
      </c>
    </row>
    <row r="523">
      <c r="A523" s="1" t="str">
        <f>IFERROR(__xludf.DUMMYFUNCTION("""COMPUTED_VALUE"""),"Ring o' Impassivity and Storm")</f>
        <v>Ring o' Impassivity and Storm</v>
      </c>
      <c r="B523" s="1" t="str">
        <f>IFERROR(__xludf.DUMMYFUNCTION("""COMPUTED_VALUE"""),"Ring")</f>
        <v>Ring</v>
      </c>
      <c r="C523" s="1"/>
      <c r="D523" s="1"/>
      <c r="E523" s="1">
        <f>IFERROR(__xludf.DUMMYFUNCTION("""COMPUTED_VALUE"""),1.0)</f>
        <v>1</v>
      </c>
      <c r="F523" s="2">
        <f>IFERROR(__xludf.DUMMYFUNCTION("""COMPUTED_VALUE"""),0.0)</f>
        <v>0</v>
      </c>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t="str">
        <f>IFERROR(__xludf.DUMMYFUNCTION("""COMPUTED_VALUE"""),"++Grants Immunity to Storm. ++20% chance to be unaffected by magic that affects you including your own. +-Can only equip one +-Cannot be duplicated")</f>
        <v>++Grants Immunity to Storm. ++20% chance to be unaffected by magic that affects you including your own. +-Can only equip one +-Cannot be duplicated</v>
      </c>
      <c r="AG523" s="1" t="str">
        <f>IFERROR(__xludf.DUMMYFUNCTION("""COMPUTED_VALUE"""),"Land of Spira")</f>
        <v>Land of Spira</v>
      </c>
      <c r="AH523" s="1" t="b">
        <f>IFERROR(__xludf.DUMMYFUNCTION("""COMPUTED_VALUE"""),FALSE)</f>
        <v>0</v>
      </c>
    </row>
    <row r="524">
      <c r="A524" s="1" t="str">
        <f>IFERROR(__xludf.DUMMYFUNCTION("""COMPUTED_VALUE"""),"Ring o' Rigidity and Stasis")</f>
        <v>Ring o' Rigidity and Stasis</v>
      </c>
      <c r="B524" s="1" t="str">
        <f>IFERROR(__xludf.DUMMYFUNCTION("""COMPUTED_VALUE"""),"Ring")</f>
        <v>Ring</v>
      </c>
      <c r="C524" s="1"/>
      <c r="D524" s="1"/>
      <c r="E524" s="1">
        <f>IFERROR(__xludf.DUMMYFUNCTION("""COMPUTED_VALUE"""),1.0)</f>
        <v>1</v>
      </c>
      <c r="F524" s="2">
        <f>IFERROR(__xludf.DUMMYFUNCTION("""COMPUTED_VALUE"""),0.0)</f>
        <v>0</v>
      </c>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t="str">
        <f>IFERROR(__xludf.DUMMYFUNCTION("""COMPUTED_VALUE"""),"++You take half Damage from both Chaos and Light. ++Grants a 30% chance to be unaffected by status affects. +-Can only equip one +-Cannot be duplicated")</f>
        <v>++You take half Damage from both Chaos and Light. ++Grants a 30% chance to be unaffected by status affects. +-Can only equip one +-Cannot be duplicated</v>
      </c>
      <c r="AG524" s="1" t="str">
        <f>IFERROR(__xludf.DUMMYFUNCTION("""COMPUTED_VALUE"""),"Land of Spira")</f>
        <v>Land of Spira</v>
      </c>
      <c r="AH524" s="1" t="b">
        <f>IFERROR(__xludf.DUMMYFUNCTION("""COMPUTED_VALUE"""),FALSE)</f>
        <v>0</v>
      </c>
    </row>
    <row r="525">
      <c r="A525" s="1" t="str">
        <f>IFERROR(__xludf.DUMMYFUNCTION("""COMPUTED_VALUE"""),"Ring o' Loyalty and Celestial")</f>
        <v>Ring o' Loyalty and Celestial</v>
      </c>
      <c r="B525" s="1" t="str">
        <f>IFERROR(__xludf.DUMMYFUNCTION("""COMPUTED_VALUE"""),"Ring")</f>
        <v>Ring</v>
      </c>
      <c r="C525" s="1"/>
      <c r="D525" s="1"/>
      <c r="E525" s="1">
        <f>IFERROR(__xludf.DUMMYFUNCTION("""COMPUTED_VALUE"""),1.0)</f>
        <v>1</v>
      </c>
      <c r="F525" s="2">
        <f>IFERROR(__xludf.DUMMYFUNCTION("""COMPUTED_VALUE"""),0.0)</f>
        <v>0</v>
      </c>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t="str">
        <f>IFERROR(__xludf.DUMMYFUNCTION("""COMPUTED_VALUE"""),"++Grants X6 Celestial damage. Take half damage from celestial. +-Can only equip one +-Cannot be duplicated")</f>
        <v>++Grants X6 Celestial damage. Take half damage from celestial. +-Can only equip one +-Cannot be duplicated</v>
      </c>
      <c r="AG525" s="1" t="str">
        <f>IFERROR(__xludf.DUMMYFUNCTION("""COMPUTED_VALUE"""),"Land of Spira")</f>
        <v>Land of Spira</v>
      </c>
      <c r="AH525" s="1" t="b">
        <f>IFERROR(__xludf.DUMMYFUNCTION("""COMPUTED_VALUE"""),FALSE)</f>
        <v>0</v>
      </c>
    </row>
    <row r="526">
      <c r="A526" s="1" t="str">
        <f>IFERROR(__xludf.DUMMYFUNCTION("""COMPUTED_VALUE"""),"Ring o' Arrogance and Twilight")</f>
        <v>Ring o' Arrogance and Twilight</v>
      </c>
      <c r="B526" s="1" t="str">
        <f>IFERROR(__xludf.DUMMYFUNCTION("""COMPUTED_VALUE"""),"Ring")</f>
        <v>Ring</v>
      </c>
      <c r="C526" s="1"/>
      <c r="D526" s="1"/>
      <c r="E526" s="1">
        <f>IFERROR(__xludf.DUMMYFUNCTION("""COMPUTED_VALUE"""),1.0)</f>
        <v>1</v>
      </c>
      <c r="F526" s="2">
        <f>IFERROR(__xludf.DUMMYFUNCTION("""COMPUTED_VALUE"""),0.0)</f>
        <v>0</v>
      </c>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t="str">
        <f>IFERROR(__xludf.DUMMYFUNCTION("""COMPUTED_VALUE"""),"++You take Half Damage from both Light and Dark. Grants immunity to Instant Death. +-Can only equip one +-Cannot be duplicated")</f>
        <v>++You take Half Damage from both Light and Dark. Grants immunity to Instant Death. +-Can only equip one +-Cannot be duplicated</v>
      </c>
      <c r="AG526" s="1" t="str">
        <f>IFERROR(__xludf.DUMMYFUNCTION("""COMPUTED_VALUE"""),"Land of Spira")</f>
        <v>Land of Spira</v>
      </c>
      <c r="AH526" s="1" t="b">
        <f>IFERROR(__xludf.DUMMYFUNCTION("""COMPUTED_VALUE"""),FALSE)</f>
        <v>0</v>
      </c>
    </row>
    <row r="527">
      <c r="A527" s="1" t="str">
        <f>IFERROR(__xludf.DUMMYFUNCTION("""COMPUTED_VALUE"""),"Ring o' Grace and Astral")</f>
        <v>Ring o' Grace and Astral</v>
      </c>
      <c r="B527" s="1" t="str">
        <f>IFERROR(__xludf.DUMMYFUNCTION("""COMPUTED_VALUE"""),"Ring")</f>
        <v>Ring</v>
      </c>
      <c r="C527" s="1"/>
      <c r="D527" s="1"/>
      <c r="E527" s="1">
        <f>IFERROR(__xludf.DUMMYFUNCTION("""COMPUTED_VALUE"""),1.0)</f>
        <v>1</v>
      </c>
      <c r="F527" s="2">
        <f>IFERROR(__xludf.DUMMYFUNCTION("""COMPUTED_VALUE"""),0.0)</f>
        <v>0</v>
      </c>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t="str">
        <f>IFERROR(__xludf.DUMMYFUNCTION("""COMPUTED_VALUE"""),"++Grants Immunity to Astral. ++You roll twice when rolling to evade and take the higher result. +-Can only equip one +-Cannot be duplicated")</f>
        <v>++Grants Immunity to Astral. ++You roll twice when rolling to evade and take the higher result. +-Can only equip one +-Cannot be duplicated</v>
      </c>
      <c r="AG527" s="1" t="str">
        <f>IFERROR(__xludf.DUMMYFUNCTION("""COMPUTED_VALUE"""),"Land of Spira")</f>
        <v>Land of Spira</v>
      </c>
      <c r="AH527" s="1" t="b">
        <f>IFERROR(__xludf.DUMMYFUNCTION("""COMPUTED_VALUE"""),FALSE)</f>
        <v>0</v>
      </c>
    </row>
    <row r="528">
      <c r="A528" s="1" t="str">
        <f>IFERROR(__xludf.DUMMYFUNCTION("""COMPUTED_VALUE"""),"Ring o' Villainy and Voodoo")</f>
        <v>Ring o' Villainy and Voodoo</v>
      </c>
      <c r="B528" s="1" t="str">
        <f>IFERROR(__xludf.DUMMYFUNCTION("""COMPUTED_VALUE"""),"Ring")</f>
        <v>Ring</v>
      </c>
      <c r="C528" s="1"/>
      <c r="D528" s="1"/>
      <c r="E528" s="1">
        <f>IFERROR(__xludf.DUMMYFUNCTION("""COMPUTED_VALUE"""),1.0)</f>
        <v>1</v>
      </c>
      <c r="F528" s="2">
        <f>IFERROR(__xludf.DUMMYFUNCTION("""COMPUTED_VALUE"""),0.0)</f>
        <v>0</v>
      </c>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t="str">
        <f>IFERROR(__xludf.DUMMYFUNCTION("""COMPUTED_VALUE"""),"++Grants Immunity to Voodoo. ++You automatically succeed at using confiscate and get a ++2 to any roll related to committing a crime. X4 Voodoo damage. +-Can only equip one +-Cannot be duplicated. +-Cannot become a Spira guard if you wear this.")</f>
        <v>++Grants Immunity to Voodoo. ++You automatically succeed at using confiscate and get a ++2 to any roll related to committing a crime. X4 Voodoo damage. +-Can only equip one +-Cannot be duplicated. +-Cannot become a Spira guard if you wear this.</v>
      </c>
      <c r="AG528" s="1" t="str">
        <f>IFERROR(__xludf.DUMMYFUNCTION("""COMPUTED_VALUE"""),"Land of Spira")</f>
        <v>Land of Spira</v>
      </c>
      <c r="AH528" s="1" t="b">
        <f>IFERROR(__xludf.DUMMYFUNCTION("""COMPUTED_VALUE"""),FALSE)</f>
        <v>0</v>
      </c>
    </row>
    <row r="529">
      <c r="A529" s="1" t="str">
        <f>IFERROR(__xludf.DUMMYFUNCTION("""COMPUTED_VALUE"""),"The Bow of The Verdant Forest")</f>
        <v>The Bow of The Verdant Forest</v>
      </c>
      <c r="B529" s="1" t="str">
        <f>IFERROR(__xludf.DUMMYFUNCTION("""COMPUTED_VALUE"""),"Hand")</f>
        <v>Hand</v>
      </c>
      <c r="C529" s="1" t="str">
        <f>IFERROR(__xludf.DUMMYFUNCTION("""COMPUTED_VALUE"""),"Quest Item")</f>
        <v>Quest Item</v>
      </c>
      <c r="D529" s="1"/>
      <c r="E529" s="1">
        <f>IFERROR(__xludf.DUMMYFUNCTION("""COMPUTED_VALUE"""),200.0)</f>
        <v>200</v>
      </c>
      <c r="F529" s="2">
        <f>IFERROR(__xludf.DUMMYFUNCTION("""COMPUTED_VALUE"""),8.385E7)</f>
        <v>83850000</v>
      </c>
      <c r="G529" s="1" t="str">
        <f>IFERROR(__xludf.DUMMYFUNCTION("""COMPUTED_VALUE"""),"DMG")</f>
        <v>DMG</v>
      </c>
      <c r="H529" s="3">
        <f>IFERROR(__xludf.DUMMYFUNCTION("""COMPUTED_VALUE"""),20000.0)</f>
        <v>20000</v>
      </c>
      <c r="I529" s="1"/>
      <c r="J529" s="1"/>
      <c r="K529" s="1"/>
      <c r="L529" s="1"/>
      <c r="M529" s="1"/>
      <c r="N529" s="1"/>
      <c r="O529" s="1"/>
      <c r="P529" s="1"/>
      <c r="Q529" s="1"/>
      <c r="R529" s="3">
        <f>IFERROR(__xludf.DUMMYFUNCTION("""COMPUTED_VALUE"""),20000.0)</f>
        <v>20000</v>
      </c>
      <c r="S529" s="3">
        <f>IFERROR(__xludf.DUMMYFUNCTION("""COMPUTED_VALUE"""),20000.0)</f>
        <v>20000</v>
      </c>
      <c r="T529" s="1"/>
      <c r="U529" s="1"/>
      <c r="V529" s="1"/>
      <c r="W529" s="1"/>
      <c r="X529" s="1"/>
      <c r="Y529" s="1"/>
      <c r="Z529" s="1"/>
      <c r="AA529" s="1"/>
      <c r="AB529" s="1"/>
      <c r="AC529" s="1">
        <f>IFERROR(__xludf.DUMMYFUNCTION("""COMPUTED_VALUE"""),5000.0)</f>
        <v>5000</v>
      </c>
      <c r="AD529" s="1"/>
      <c r="AE529" s="1"/>
      <c r="AF529" s="1" t="str">
        <f>IFERROR(__xludf.DUMMYFUNCTION("""COMPUTED_VALUE"""),"(Forest Paladin Set) ++X2 Nature damage. ++Verdant Shot: Fire a shot dealing your total defense as Nature damage 1000sp. +-Archer, Hunter, and Paladin of The Forest Class only.")</f>
        <v>(Forest Paladin Set) ++X2 Nature damage. ++Verdant Shot: Fire a shot dealing your total defense as Nature damage 1000sp. +-Archer, Hunter, and Paladin of The Forest Class only.</v>
      </c>
      <c r="AG529" s="1" t="str">
        <f>IFERROR(__xludf.DUMMYFUNCTION("""COMPUTED_VALUE"""),"Land of Spira")</f>
        <v>Land of Spira</v>
      </c>
      <c r="AH529" s="1" t="b">
        <f>IFERROR(__xludf.DUMMYFUNCTION("""COMPUTED_VALUE"""),FALSE)</f>
        <v>0</v>
      </c>
    </row>
    <row r="530">
      <c r="A530" s="1" t="str">
        <f>IFERROR(__xludf.DUMMYFUNCTION("""COMPUTED_VALUE"""),"Enchanted Wooden Buckler of The Verdant Forest")</f>
        <v>Enchanted Wooden Buckler of The Verdant Forest</v>
      </c>
      <c r="B530" s="1" t="str">
        <f>IFERROR(__xludf.DUMMYFUNCTION("""COMPUTED_VALUE"""),"Hand")</f>
        <v>Hand</v>
      </c>
      <c r="C530" s="1" t="str">
        <f>IFERROR(__xludf.DUMMYFUNCTION("""COMPUTED_VALUE"""),"Quest Item")</f>
        <v>Quest Item</v>
      </c>
      <c r="D530" s="1"/>
      <c r="E530" s="1">
        <f>IFERROR(__xludf.DUMMYFUNCTION("""COMPUTED_VALUE"""),200.0)</f>
        <v>200</v>
      </c>
      <c r="F530" s="2">
        <f>IFERROR(__xludf.DUMMYFUNCTION("""COMPUTED_VALUE"""),3.1125E8)</f>
        <v>311250000</v>
      </c>
      <c r="G530" s="1" t="str">
        <f>IFERROR(__xludf.DUMMYFUNCTION("""COMPUTED_VALUE"""),"DEF")</f>
        <v>DEF</v>
      </c>
      <c r="H530" s="3">
        <f>IFERROR(__xludf.DUMMYFUNCTION("""COMPUTED_VALUE"""),50000.0)</f>
        <v>50000</v>
      </c>
      <c r="I530" s="1"/>
      <c r="J530" s="1"/>
      <c r="K530" s="3">
        <f>IFERROR(__xludf.DUMMYFUNCTION("""COMPUTED_VALUE"""),25000.0)</f>
        <v>25000</v>
      </c>
      <c r="L530" s="1"/>
      <c r="M530" s="1"/>
      <c r="N530" s="1"/>
      <c r="O530" s="1"/>
      <c r="P530" s="1"/>
      <c r="Q530" s="3">
        <f>IFERROR(__xludf.DUMMYFUNCTION("""COMPUTED_VALUE"""),25000.0)</f>
        <v>25000</v>
      </c>
      <c r="R530" s="1"/>
      <c r="S530" s="1"/>
      <c r="T530" s="1"/>
      <c r="U530" s="1"/>
      <c r="V530" s="1"/>
      <c r="W530" s="1"/>
      <c r="X530" s="1"/>
      <c r="Y530" s="1"/>
      <c r="Z530" s="1"/>
      <c r="AA530" s="1"/>
      <c r="AB530" s="1"/>
      <c r="AC530" s="3">
        <f>IFERROR(__xludf.DUMMYFUNCTION("""COMPUTED_VALUE"""),25000.0)</f>
        <v>25000</v>
      </c>
      <c r="AD530" s="1"/>
      <c r="AE530" s="1"/>
      <c r="AF530" s="1" t="str">
        <f>IFERROR(__xludf.DUMMYFUNCTION("""COMPUTED_VALUE"""),"(Forest Paladin Set) ++Counted as a weapon for the purpose of the parry ability. ++Nature's Law: When Fighting in a Natural Environment your total defense is doubled. +-Archer, Hunter, and Paladin of The Forest Class only.")</f>
        <v>(Forest Paladin Set) ++Counted as a weapon for the purpose of the parry ability. ++Nature's Law: When Fighting in a Natural Environment your total defense is doubled. +-Archer, Hunter, and Paladin of The Forest Class only.</v>
      </c>
      <c r="AG530" s="1" t="str">
        <f>IFERROR(__xludf.DUMMYFUNCTION("""COMPUTED_VALUE"""),"Land of Spira")</f>
        <v>Land of Spira</v>
      </c>
      <c r="AH530" s="1" t="b">
        <f>IFERROR(__xludf.DUMMYFUNCTION("""COMPUTED_VALUE"""),FALSE)</f>
        <v>0</v>
      </c>
    </row>
    <row r="531">
      <c r="A531" s="1" t="str">
        <f>IFERROR(__xludf.DUMMYFUNCTION("""COMPUTED_VALUE"""),"Cowl of the Eagle's Sight")</f>
        <v>Cowl of the Eagle's Sight</v>
      </c>
      <c r="B531" s="1" t="str">
        <f>IFERROR(__xludf.DUMMYFUNCTION("""COMPUTED_VALUE"""),"Head")</f>
        <v>Head</v>
      </c>
      <c r="C531" s="1" t="str">
        <f>IFERROR(__xludf.DUMMYFUNCTION("""COMPUTED_VALUE"""),"Quest Item")</f>
        <v>Quest Item</v>
      </c>
      <c r="D531" s="1"/>
      <c r="E531" s="1">
        <f>IFERROR(__xludf.DUMMYFUNCTION("""COMPUTED_VALUE"""),200.0)</f>
        <v>200</v>
      </c>
      <c r="F531" s="2">
        <f>IFERROR(__xludf.DUMMYFUNCTION("""COMPUTED_VALUE"""),4.95E7)</f>
        <v>49500000</v>
      </c>
      <c r="G531" s="1" t="str">
        <f>IFERROR(__xludf.DUMMYFUNCTION("""COMPUTED_VALUE"""),"DEF")</f>
        <v>DEF</v>
      </c>
      <c r="H531" s="3">
        <f>IFERROR(__xludf.DUMMYFUNCTION("""COMPUTED_VALUE"""),20000.0)</f>
        <v>20000</v>
      </c>
      <c r="I531" s="1"/>
      <c r="J531" s="1"/>
      <c r="K531" s="3">
        <f>IFERROR(__xludf.DUMMYFUNCTION("""COMPUTED_VALUE"""),10000.0)</f>
        <v>10000</v>
      </c>
      <c r="L531" s="1"/>
      <c r="M531" s="1"/>
      <c r="N531" s="1"/>
      <c r="O531" s="1"/>
      <c r="P531" s="1"/>
      <c r="Q531" s="3">
        <f>IFERROR(__xludf.DUMMYFUNCTION("""COMPUTED_VALUE"""),10000.0)</f>
        <v>10000</v>
      </c>
      <c r="R531" s="1"/>
      <c r="S531" s="1"/>
      <c r="T531" s="1"/>
      <c r="U531" s="1"/>
      <c r="V531" s="1"/>
      <c r="W531" s="1"/>
      <c r="X531" s="1"/>
      <c r="Y531" s="1"/>
      <c r="Z531" s="1"/>
      <c r="AA531" s="1"/>
      <c r="AB531" s="1"/>
      <c r="AC531" s="3">
        <f>IFERROR(__xludf.DUMMYFUNCTION("""COMPUTED_VALUE"""),10000.0)</f>
        <v>10000</v>
      </c>
      <c r="AD531" s="1"/>
      <c r="AE531" s="1"/>
      <c r="AF531" s="1" t="str">
        <f>IFERROR(__xludf.DUMMYFUNCTION("""COMPUTED_VALUE"""),"(Forest Paladin Set) ++Blessing of The Greens I: X2 Nature damage. ++Eagle Eyed: When in a forest you gain Truesight for the first round of battle. +-Archer, Hunter, and Paladin of The Forest Class only.")</f>
        <v>(Forest Paladin Set) ++Blessing of The Greens I: X2 Nature damage. ++Eagle Eyed: When in a forest you gain Truesight for the first round of battle. +-Archer, Hunter, and Paladin of The Forest Class only.</v>
      </c>
      <c r="AG531" s="1" t="str">
        <f>IFERROR(__xludf.DUMMYFUNCTION("""COMPUTED_VALUE"""),"Land of Spira")</f>
        <v>Land of Spira</v>
      </c>
      <c r="AH531" s="1" t="b">
        <f>IFERROR(__xludf.DUMMYFUNCTION("""COMPUTED_VALUE"""),FALSE)</f>
        <v>0</v>
      </c>
    </row>
    <row r="532">
      <c r="A532" s="1" t="str">
        <f>IFERROR(__xludf.DUMMYFUNCTION("""COMPUTED_VALUE"""),"Ailettes of the Forest's Splendor")</f>
        <v>Ailettes of the Forest's Splendor</v>
      </c>
      <c r="B532" s="1" t="str">
        <f>IFERROR(__xludf.DUMMYFUNCTION("""COMPUTED_VALUE"""),"Shoulders")</f>
        <v>Shoulders</v>
      </c>
      <c r="C532" s="1" t="str">
        <f>IFERROR(__xludf.DUMMYFUNCTION("""COMPUTED_VALUE"""),"Quest Item")</f>
        <v>Quest Item</v>
      </c>
      <c r="D532" s="1"/>
      <c r="E532" s="1">
        <f>IFERROR(__xludf.DUMMYFUNCTION("""COMPUTED_VALUE"""),200.0)</f>
        <v>200</v>
      </c>
      <c r="F532" s="2">
        <f>IFERROR(__xludf.DUMMYFUNCTION("""COMPUTED_VALUE"""),4.95E7)</f>
        <v>49500000</v>
      </c>
      <c r="G532" s="1" t="str">
        <f>IFERROR(__xludf.DUMMYFUNCTION("""COMPUTED_VALUE"""),"DEF")</f>
        <v>DEF</v>
      </c>
      <c r="H532" s="3">
        <f>IFERROR(__xludf.DUMMYFUNCTION("""COMPUTED_VALUE"""),20000.0)</f>
        <v>20000</v>
      </c>
      <c r="I532" s="1"/>
      <c r="J532" s="1"/>
      <c r="K532" s="3">
        <f>IFERROR(__xludf.DUMMYFUNCTION("""COMPUTED_VALUE"""),10000.0)</f>
        <v>10000</v>
      </c>
      <c r="L532" s="1"/>
      <c r="M532" s="1"/>
      <c r="N532" s="1"/>
      <c r="O532" s="1"/>
      <c r="P532" s="1"/>
      <c r="Q532" s="3">
        <f>IFERROR(__xludf.DUMMYFUNCTION("""COMPUTED_VALUE"""),10000.0)</f>
        <v>10000</v>
      </c>
      <c r="R532" s="1"/>
      <c r="S532" s="1"/>
      <c r="T532" s="1"/>
      <c r="U532" s="1"/>
      <c r="V532" s="1"/>
      <c r="W532" s="1"/>
      <c r="X532" s="1"/>
      <c r="Y532" s="1"/>
      <c r="Z532" s="1"/>
      <c r="AA532" s="1"/>
      <c r="AB532" s="1"/>
      <c r="AC532" s="3">
        <f>IFERROR(__xludf.DUMMYFUNCTION("""COMPUTED_VALUE"""),10000.0)</f>
        <v>10000</v>
      </c>
      <c r="AD532" s="1"/>
      <c r="AE532" s="1"/>
      <c r="AF532" s="1" t="str">
        <f>IFERROR(__xludf.DUMMYFUNCTION("""COMPUTED_VALUE"""),"(Forest Paladin Set) ++Blessing of The Quiver I: X2 Bow damage. +-Archer, Hunter, and Paladin of The Forest Class only.")</f>
        <v>(Forest Paladin Set) ++Blessing of The Quiver I: X2 Bow damage. +-Archer, Hunter, and Paladin of The Forest Class only.</v>
      </c>
      <c r="AG532" s="1" t="str">
        <f>IFERROR(__xludf.DUMMYFUNCTION("""COMPUTED_VALUE"""),"Land of Spira")</f>
        <v>Land of Spira</v>
      </c>
      <c r="AH532" s="1" t="b">
        <f>IFERROR(__xludf.DUMMYFUNCTION("""COMPUTED_VALUE"""),FALSE)</f>
        <v>0</v>
      </c>
    </row>
    <row r="533">
      <c r="A533" s="1" t="str">
        <f>IFERROR(__xludf.DUMMYFUNCTION("""COMPUTED_VALUE"""),"Bracer of Trueshot")</f>
        <v>Bracer of Trueshot</v>
      </c>
      <c r="B533" s="1" t="str">
        <f>IFERROR(__xludf.DUMMYFUNCTION("""COMPUTED_VALUE"""),"Arms")</f>
        <v>Arms</v>
      </c>
      <c r="C533" s="1" t="str">
        <f>IFERROR(__xludf.DUMMYFUNCTION("""COMPUTED_VALUE"""),"Quest Item")</f>
        <v>Quest Item</v>
      </c>
      <c r="D533" s="1"/>
      <c r="E533" s="1">
        <f>IFERROR(__xludf.DUMMYFUNCTION("""COMPUTED_VALUE"""),200.0)</f>
        <v>200</v>
      </c>
      <c r="F533" s="2">
        <f>IFERROR(__xludf.DUMMYFUNCTION("""COMPUTED_VALUE"""),4.95E7)</f>
        <v>49500000</v>
      </c>
      <c r="G533" s="1" t="str">
        <f>IFERROR(__xludf.DUMMYFUNCTION("""COMPUTED_VALUE"""),"DEF")</f>
        <v>DEF</v>
      </c>
      <c r="H533" s="3">
        <f>IFERROR(__xludf.DUMMYFUNCTION("""COMPUTED_VALUE"""),20000.0)</f>
        <v>20000</v>
      </c>
      <c r="I533" s="1"/>
      <c r="J533" s="1"/>
      <c r="K533" s="3">
        <f>IFERROR(__xludf.DUMMYFUNCTION("""COMPUTED_VALUE"""),10000.0)</f>
        <v>10000</v>
      </c>
      <c r="L533" s="1"/>
      <c r="M533" s="1"/>
      <c r="N533" s="1"/>
      <c r="O533" s="1"/>
      <c r="P533" s="1"/>
      <c r="Q533" s="3">
        <f>IFERROR(__xludf.DUMMYFUNCTION("""COMPUTED_VALUE"""),10000.0)</f>
        <v>10000</v>
      </c>
      <c r="R533" s="1"/>
      <c r="S533" s="1"/>
      <c r="T533" s="1"/>
      <c r="U533" s="1"/>
      <c r="V533" s="1"/>
      <c r="W533" s="1"/>
      <c r="X533" s="1"/>
      <c r="Y533" s="1"/>
      <c r="Z533" s="1"/>
      <c r="AA533" s="1"/>
      <c r="AB533" s="1"/>
      <c r="AC533" s="3">
        <f>IFERROR(__xludf.DUMMYFUNCTION("""COMPUTED_VALUE"""),10000.0)</f>
        <v>10000</v>
      </c>
      <c r="AD533" s="1"/>
      <c r="AE533" s="1"/>
      <c r="AF533" s="1" t="str">
        <f>IFERROR(__xludf.DUMMYFUNCTION("""COMPUTED_VALUE"""),"(Forest Paladin Set) ++Blessing of The Forest's Quiver: X2 Nature and Bow damage. ++Deadly Aim: Upon killing an enemy with a bow you double your next attack roll with a bow. +-Archer, Hunter, and Paladin of The Forest Class only.")</f>
        <v>(Forest Paladin Set) ++Blessing of The Forest's Quiver: X2 Nature and Bow damage. ++Deadly Aim: Upon killing an enemy with a bow you double your next attack roll with a bow. +-Archer, Hunter, and Paladin of The Forest Class only.</v>
      </c>
      <c r="AG533" s="1" t="str">
        <f>IFERROR(__xludf.DUMMYFUNCTION("""COMPUTED_VALUE"""),"Land of Spira")</f>
        <v>Land of Spira</v>
      </c>
      <c r="AH533" s="1" t="b">
        <f>IFERROR(__xludf.DUMMYFUNCTION("""COMPUTED_VALUE"""),FALSE)</f>
        <v>0</v>
      </c>
    </row>
    <row r="534">
      <c r="A534" s="1" t="str">
        <f>IFERROR(__xludf.DUMMYFUNCTION("""COMPUTED_VALUE"""),"Leather Cuirass of Barkskin")</f>
        <v>Leather Cuirass of Barkskin</v>
      </c>
      <c r="B534" s="1" t="str">
        <f>IFERROR(__xludf.DUMMYFUNCTION("""COMPUTED_VALUE"""),"Torso")</f>
        <v>Torso</v>
      </c>
      <c r="C534" s="1" t="str">
        <f>IFERROR(__xludf.DUMMYFUNCTION("""COMPUTED_VALUE"""),"Quest Item")</f>
        <v>Quest Item</v>
      </c>
      <c r="D534" s="1"/>
      <c r="E534" s="1">
        <f>IFERROR(__xludf.DUMMYFUNCTION("""COMPUTED_VALUE"""),200.0)</f>
        <v>200</v>
      </c>
      <c r="F534" s="2">
        <f>IFERROR(__xludf.DUMMYFUNCTION("""COMPUTED_VALUE"""),1.1175E8)</f>
        <v>111750000</v>
      </c>
      <c r="G534" s="1" t="str">
        <f>IFERROR(__xludf.DUMMYFUNCTION("""COMPUTED_VALUE"""),"DEF")</f>
        <v>DEF</v>
      </c>
      <c r="H534" s="3">
        <f>IFERROR(__xludf.DUMMYFUNCTION("""COMPUTED_VALUE"""),30000.0)</f>
        <v>30000</v>
      </c>
      <c r="I534" s="1"/>
      <c r="J534" s="1"/>
      <c r="K534" s="3">
        <f>IFERROR(__xludf.DUMMYFUNCTION("""COMPUTED_VALUE"""),15000.0)</f>
        <v>15000</v>
      </c>
      <c r="L534" s="1"/>
      <c r="M534" s="1"/>
      <c r="N534" s="1"/>
      <c r="O534" s="1"/>
      <c r="P534" s="1"/>
      <c r="Q534" s="3">
        <f>IFERROR(__xludf.DUMMYFUNCTION("""COMPUTED_VALUE"""),15000.0)</f>
        <v>15000</v>
      </c>
      <c r="R534" s="1"/>
      <c r="S534" s="1"/>
      <c r="T534" s="1"/>
      <c r="U534" s="1"/>
      <c r="V534" s="1"/>
      <c r="W534" s="1"/>
      <c r="X534" s="1"/>
      <c r="Y534" s="1"/>
      <c r="Z534" s="1"/>
      <c r="AA534" s="1"/>
      <c r="AB534" s="1"/>
      <c r="AC534" s="3">
        <f>IFERROR(__xludf.DUMMYFUNCTION("""COMPUTED_VALUE"""),15000.0)</f>
        <v>15000</v>
      </c>
      <c r="AD534" s="1"/>
      <c r="AE534" s="1"/>
      <c r="AF534" s="1" t="str">
        <f>IFERROR(__xludf.DUMMYFUNCTION("""COMPUTED_VALUE"""),"(Forest Paladin Set) ++Blessing of The Greens I: X2 Nature damage. ++Barkskin: X2 defense for self. 50 sp. +-Archer, Hunter, and Paladin of The Forest Class only.")</f>
        <v>(Forest Paladin Set) ++Blessing of The Greens I: X2 Nature damage. ++Barkskin: X2 defense for self. 50 sp. +-Archer, Hunter, and Paladin of The Forest Class only.</v>
      </c>
      <c r="AG534" s="1" t="str">
        <f>IFERROR(__xludf.DUMMYFUNCTION("""COMPUTED_VALUE"""),"Land of Spira")</f>
        <v>Land of Spira</v>
      </c>
      <c r="AH534" s="1" t="b">
        <f>IFERROR(__xludf.DUMMYFUNCTION("""COMPUTED_VALUE"""),FALSE)</f>
        <v>0</v>
      </c>
    </row>
    <row r="535">
      <c r="A535" s="1" t="str">
        <f>IFERROR(__xludf.DUMMYFUNCTION("""COMPUTED_VALUE"""),"Greaves of The Verdant Forest")</f>
        <v>Greaves of The Verdant Forest</v>
      </c>
      <c r="B535" s="1" t="str">
        <f>IFERROR(__xludf.DUMMYFUNCTION("""COMPUTED_VALUE"""),"Legs")</f>
        <v>Legs</v>
      </c>
      <c r="C535" s="1" t="str">
        <f>IFERROR(__xludf.DUMMYFUNCTION("""COMPUTED_VALUE"""),"Quest Item")</f>
        <v>Quest Item</v>
      </c>
      <c r="D535" s="1"/>
      <c r="E535" s="1">
        <f>IFERROR(__xludf.DUMMYFUNCTION("""COMPUTED_VALUE"""),200.0)</f>
        <v>200</v>
      </c>
      <c r="F535" s="2">
        <f>IFERROR(__xludf.DUMMYFUNCTION("""COMPUTED_VALUE"""),4.95E7)</f>
        <v>49500000</v>
      </c>
      <c r="G535" s="1" t="str">
        <f>IFERROR(__xludf.DUMMYFUNCTION("""COMPUTED_VALUE"""),"DEF")</f>
        <v>DEF</v>
      </c>
      <c r="H535" s="3">
        <f>IFERROR(__xludf.DUMMYFUNCTION("""COMPUTED_VALUE"""),20000.0)</f>
        <v>20000</v>
      </c>
      <c r="I535" s="1"/>
      <c r="J535" s="1"/>
      <c r="K535" s="3">
        <f>IFERROR(__xludf.DUMMYFUNCTION("""COMPUTED_VALUE"""),10000.0)</f>
        <v>10000</v>
      </c>
      <c r="L535" s="1"/>
      <c r="M535" s="1"/>
      <c r="N535" s="1"/>
      <c r="O535" s="1"/>
      <c r="P535" s="1"/>
      <c r="Q535" s="3">
        <f>IFERROR(__xludf.DUMMYFUNCTION("""COMPUTED_VALUE"""),10000.0)</f>
        <v>10000</v>
      </c>
      <c r="R535" s="1"/>
      <c r="S535" s="1"/>
      <c r="T535" s="1"/>
      <c r="U535" s="1"/>
      <c r="V535" s="1"/>
      <c r="W535" s="1"/>
      <c r="X535" s="1"/>
      <c r="Y535" s="1"/>
      <c r="Z535" s="1"/>
      <c r="AA535" s="1"/>
      <c r="AB535" s="1"/>
      <c r="AC535" s="3">
        <f>IFERROR(__xludf.DUMMYFUNCTION("""COMPUTED_VALUE"""),10000.0)</f>
        <v>10000</v>
      </c>
      <c r="AD535" s="1"/>
      <c r="AE535" s="1"/>
      <c r="AF535" s="1" t="str">
        <f>IFERROR(__xludf.DUMMYFUNCTION("""COMPUTED_VALUE"""),"(Forest Paladin Set) ++Blessing of The Quiver I: X2 Bow damage. +-Archer, Hunter, and Paladin of The Forest Class only.")</f>
        <v>(Forest Paladin Set) ++Blessing of The Quiver I: X2 Bow damage. +-Archer, Hunter, and Paladin of The Forest Class only.</v>
      </c>
      <c r="AG535" s="1" t="str">
        <f>IFERROR(__xludf.DUMMYFUNCTION("""COMPUTED_VALUE"""),"Land of Spira")</f>
        <v>Land of Spira</v>
      </c>
      <c r="AH535" s="1" t="b">
        <f>IFERROR(__xludf.DUMMYFUNCTION("""COMPUTED_VALUE"""),FALSE)</f>
        <v>0</v>
      </c>
    </row>
    <row r="536">
      <c r="A536" s="1" t="str">
        <f>IFERROR(__xludf.DUMMYFUNCTION("""COMPUTED_VALUE"""),"Boots of The Verdant Forest")</f>
        <v>Boots of The Verdant Forest</v>
      </c>
      <c r="B536" s="1" t="str">
        <f>IFERROR(__xludf.DUMMYFUNCTION("""COMPUTED_VALUE"""),"Feet")</f>
        <v>Feet</v>
      </c>
      <c r="C536" s="1" t="str">
        <f>IFERROR(__xludf.DUMMYFUNCTION("""COMPUTED_VALUE"""),"Quest Item")</f>
        <v>Quest Item</v>
      </c>
      <c r="D536" s="1"/>
      <c r="E536" s="1">
        <f>IFERROR(__xludf.DUMMYFUNCTION("""COMPUTED_VALUE"""),200.0)</f>
        <v>200</v>
      </c>
      <c r="F536" s="2">
        <f>IFERROR(__xludf.DUMMYFUNCTION("""COMPUTED_VALUE"""),4.95E7)</f>
        <v>49500000</v>
      </c>
      <c r="G536" s="1" t="str">
        <f>IFERROR(__xludf.DUMMYFUNCTION("""COMPUTED_VALUE"""),"DEF")</f>
        <v>DEF</v>
      </c>
      <c r="H536" s="3">
        <f>IFERROR(__xludf.DUMMYFUNCTION("""COMPUTED_VALUE"""),20000.0)</f>
        <v>20000</v>
      </c>
      <c r="I536" s="1"/>
      <c r="J536" s="1"/>
      <c r="K536" s="3">
        <f>IFERROR(__xludf.DUMMYFUNCTION("""COMPUTED_VALUE"""),10000.0)</f>
        <v>10000</v>
      </c>
      <c r="L536" s="1"/>
      <c r="M536" s="1"/>
      <c r="N536" s="1"/>
      <c r="O536" s="1"/>
      <c r="P536" s="1"/>
      <c r="Q536" s="3">
        <f>IFERROR(__xludf.DUMMYFUNCTION("""COMPUTED_VALUE"""),10000.0)</f>
        <v>10000</v>
      </c>
      <c r="R536" s="1"/>
      <c r="S536" s="1"/>
      <c r="T536" s="1"/>
      <c r="U536" s="1"/>
      <c r="V536" s="1"/>
      <c r="W536" s="1"/>
      <c r="X536" s="1"/>
      <c r="Y536" s="1"/>
      <c r="Z536" s="1"/>
      <c r="AA536" s="1"/>
      <c r="AB536" s="1"/>
      <c r="AC536" s="3">
        <f>IFERROR(__xludf.DUMMYFUNCTION("""COMPUTED_VALUE"""),10000.0)</f>
        <v>10000</v>
      </c>
      <c r="AD536" s="1"/>
      <c r="AE536" s="1"/>
      <c r="AF536" s="1" t="str">
        <f>IFERROR(__xludf.DUMMYFUNCTION("""COMPUTED_VALUE"""),"(Forest Paladin Set) Blessing of The Greens I: X2 Nature damage. Deal X4 Nature damage for the first bow attack you make under the effect of haste +-Archer, Hunter, and Paladin of The Forest Class only.")</f>
        <v>(Forest Paladin Set) Blessing of The Greens I: X2 Nature damage. Deal X4 Nature damage for the first bow attack you make under the effect of haste +-Archer, Hunter, and Paladin of The Forest Class only.</v>
      </c>
      <c r="AG536" s="1" t="str">
        <f>IFERROR(__xludf.DUMMYFUNCTION("""COMPUTED_VALUE"""),"Land of Spira")</f>
        <v>Land of Spira</v>
      </c>
      <c r="AH536" s="1" t="b">
        <f>IFERROR(__xludf.DUMMYFUNCTION("""COMPUTED_VALUE"""),FALSE)</f>
        <v>0</v>
      </c>
    </row>
    <row r="537">
      <c r="A537" s="1" t="str">
        <f>IFERROR(__xludf.DUMMYFUNCTION("""COMPUTED_VALUE"""),"Emerald Ring of The Forest")</f>
        <v>Emerald Ring of The Forest</v>
      </c>
      <c r="B537" s="1" t="str">
        <f>IFERROR(__xludf.DUMMYFUNCTION("""COMPUTED_VALUE"""),"Ring")</f>
        <v>Ring</v>
      </c>
      <c r="C537" s="1" t="str">
        <f>IFERROR(__xludf.DUMMYFUNCTION("""COMPUTED_VALUE"""),"Quest Item")</f>
        <v>Quest Item</v>
      </c>
      <c r="D537" s="1"/>
      <c r="E537" s="1">
        <f>IFERROR(__xludf.DUMMYFUNCTION("""COMPUTED_VALUE"""),1.0)</f>
        <v>1</v>
      </c>
      <c r="F537" s="2">
        <f>IFERROR(__xludf.DUMMYFUNCTION("""COMPUTED_VALUE"""),0.0)</f>
        <v>0</v>
      </c>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t="str">
        <f>IFERROR(__xludf.DUMMYFUNCTION("""COMPUTED_VALUE"""),"(Forest Paladin Set) ++Regrowth: Heals target by 5000 and grants them Invigorated 5, 75sp. ++X4 outgoing healing +-Archer, Hunter, and Paladin of The Forest Class only.")</f>
        <v>(Forest Paladin Set) ++Regrowth: Heals target by 5000 and grants them Invigorated 5, 75sp. ++X4 outgoing healing +-Archer, Hunter, and Paladin of The Forest Class only.</v>
      </c>
      <c r="AG537" s="1" t="str">
        <f>IFERROR(__xludf.DUMMYFUNCTION("""COMPUTED_VALUE"""),"Land of Spira")</f>
        <v>Land of Spira</v>
      </c>
      <c r="AH537" s="1" t="b">
        <f>IFERROR(__xludf.DUMMYFUNCTION("""COMPUTED_VALUE"""),FALSE)</f>
        <v>0</v>
      </c>
    </row>
    <row r="538">
      <c r="A538" s="1" t="str">
        <f>IFERROR(__xludf.DUMMYFUNCTION("""COMPUTED_VALUE"""),"Emerald Amulet of The Forest")</f>
        <v>Emerald Amulet of The Forest</v>
      </c>
      <c r="B538" s="1" t="str">
        <f>IFERROR(__xludf.DUMMYFUNCTION("""COMPUTED_VALUE"""),"Neck")</f>
        <v>Neck</v>
      </c>
      <c r="C538" s="1" t="str">
        <f>IFERROR(__xludf.DUMMYFUNCTION("""COMPUTED_VALUE"""),"Quest Item")</f>
        <v>Quest Item</v>
      </c>
      <c r="D538" s="1"/>
      <c r="E538" s="1">
        <f>IFERROR(__xludf.DUMMYFUNCTION("""COMPUTED_VALUE"""),1.0)</f>
        <v>1</v>
      </c>
      <c r="F538" s="2">
        <f>IFERROR(__xludf.DUMMYFUNCTION("""COMPUTED_VALUE"""),0.0)</f>
        <v>0</v>
      </c>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t="str">
        <f>IFERROR(__xludf.DUMMYFUNCTION("""COMPUTED_VALUE"""),"(Forest Paladin Set) ++Artemis' Godly Grace: Grants all allies Invigorated 5, Haste 3, Truesight 3, and 4X defense and Nature Damage, can only be casted once per battle, 500 sp +-Archer, Hunter, and Paladin of The Forest Class only.")</f>
        <v>(Forest Paladin Set) ++Artemis' Godly Grace: Grants all allies Invigorated 5, Haste 3, Truesight 3, and 4X defense and Nature Damage, can only be casted once per battle, 500 sp +-Archer, Hunter, and Paladin of The Forest Class only.</v>
      </c>
      <c r="AG538" s="1" t="str">
        <f>IFERROR(__xludf.DUMMYFUNCTION("""COMPUTED_VALUE"""),"Land of Spira")</f>
        <v>Land of Spira</v>
      </c>
      <c r="AH538" s="1" t="b">
        <f>IFERROR(__xludf.DUMMYFUNCTION("""COMPUTED_VALUE"""),FALSE)</f>
        <v>0</v>
      </c>
    </row>
    <row r="539">
      <c r="A539" s="1" t="str">
        <f>IFERROR(__xludf.DUMMYFUNCTION("""COMPUTED_VALUE"""),"Artemis' Crown of The Forest")</f>
        <v>Artemis' Crown of The Forest</v>
      </c>
      <c r="B539" s="1" t="str">
        <f>IFERROR(__xludf.DUMMYFUNCTION("""COMPUTED_VALUE"""),"Head")</f>
        <v>Head</v>
      </c>
      <c r="C539" s="1" t="str">
        <f>IFERROR(__xludf.DUMMYFUNCTION("""COMPUTED_VALUE"""),"Mob Exclusive. The crown that was gifted to Aranyani upon her ascension to godhood")</f>
        <v>Mob Exclusive. The crown that was gifted to Aranyani upon her ascension to godhood</v>
      </c>
      <c r="D539" s="1"/>
      <c r="E539" s="1">
        <f>IFERROR(__xludf.DUMMYFUNCTION("""COMPUTED_VALUE"""),2000.0)</f>
        <v>2000</v>
      </c>
      <c r="F539" s="2">
        <f>IFERROR(__xludf.DUMMYFUNCTION("""COMPUTED_VALUE"""),1.99E8)</f>
        <v>199000000</v>
      </c>
      <c r="G539" s="1" t="str">
        <f>IFERROR(__xludf.DUMMYFUNCTION("""COMPUTED_VALUE"""),"DEF")</f>
        <v>DEF</v>
      </c>
      <c r="H539" s="3">
        <f>IFERROR(__xludf.DUMMYFUNCTION("""COMPUTED_VALUE"""),50000.0)</f>
        <v>50000</v>
      </c>
      <c r="I539" s="1"/>
      <c r="J539" s="1"/>
      <c r="K539" s="3">
        <f>IFERROR(__xludf.DUMMYFUNCTION("""COMPUTED_VALUE"""),25000.0)</f>
        <v>25000</v>
      </c>
      <c r="L539" s="1"/>
      <c r="M539" s="1"/>
      <c r="N539" s="1"/>
      <c r="O539" s="1"/>
      <c r="P539" s="1"/>
      <c r="Q539" s="3">
        <f>IFERROR(__xludf.DUMMYFUNCTION("""COMPUTED_VALUE"""),25000.0)</f>
        <v>25000</v>
      </c>
      <c r="R539" s="1"/>
      <c r="S539" s="1"/>
      <c r="T539" s="1"/>
      <c r="U539" s="1"/>
      <c r="V539" s="1"/>
      <c r="W539" s="1"/>
      <c r="X539" s="1"/>
      <c r="Y539" s="1"/>
      <c r="Z539" s="1"/>
      <c r="AA539" s="1"/>
      <c r="AB539" s="1"/>
      <c r="AC539" s="1"/>
      <c r="AD539" s="1"/>
      <c r="AE539" s="1"/>
      <c r="AF539" s="1" t="str">
        <f>IFERROR(__xludf.DUMMYFUNCTION("""COMPUTED_VALUE"""),"++Blessing of the Forest's Quiver II: X4 Nature and Bow damage. ++Eagle Eyed: When in a forest you gain Truesight for the first round of battle. ++Goddess's Cold Stare: 15% chance to Freeze all enemies (not affected by modifiers) 1000SP. +-can only be equ"&amp;"ipped by Artemis.")</f>
        <v>++Blessing of the Forest's Quiver II: X4 Nature and Bow damage. ++Eagle Eyed: When in a forest you gain Truesight for the first round of battle. ++Goddess's Cold Stare: 15% chance to Freeze all enemies (not affected by modifiers) 1000SP. +-can only be equipped by Artemis.</v>
      </c>
      <c r="AG539" s="1" t="str">
        <f>IFERROR(__xludf.DUMMYFUNCTION("""COMPUTED_VALUE"""),"Land of Spira")</f>
        <v>Land of Spira</v>
      </c>
      <c r="AH539" s="1" t="b">
        <f>IFERROR(__xludf.DUMMYFUNCTION("""COMPUTED_VALUE"""),FALSE)</f>
        <v>0</v>
      </c>
    </row>
    <row r="540">
      <c r="A540" s="1" t="str">
        <f>IFERROR(__xludf.DUMMYFUNCTION("""COMPUTED_VALUE"""),"Artemis' Bow of Divine Wrath")</f>
        <v>Artemis' Bow of Divine Wrath</v>
      </c>
      <c r="B540" s="1" t="str">
        <f>IFERROR(__xludf.DUMMYFUNCTION("""COMPUTED_VALUE"""),"Hand")</f>
        <v>Hand</v>
      </c>
      <c r="C540" s="1" t="str">
        <f>IFERROR(__xludf.DUMMYFUNCTION("""COMPUTED_VALUE"""),"Mob Exclusive.")</f>
        <v>Mob Exclusive.</v>
      </c>
      <c r="D540" s="1" t="str">
        <f>IFERROR(__xludf.DUMMYFUNCTION("""COMPUTED_VALUE"""),"Bow")</f>
        <v>Bow</v>
      </c>
      <c r="E540" s="1">
        <f>IFERROR(__xludf.DUMMYFUNCTION("""COMPUTED_VALUE"""),12000.0)</f>
        <v>12000</v>
      </c>
      <c r="F540" s="2">
        <f>IFERROR(__xludf.DUMMYFUNCTION("""COMPUTED_VALUE"""),7.194E9)</f>
        <v>7194000000</v>
      </c>
      <c r="G540" s="1" t="str">
        <f>IFERROR(__xludf.DUMMYFUNCTION("""COMPUTED_VALUE"""),"DMG")</f>
        <v>DMG</v>
      </c>
      <c r="H540" s="3">
        <f>IFERROR(__xludf.DUMMYFUNCTION("""COMPUTED_VALUE"""),200000.0)</f>
        <v>200000</v>
      </c>
      <c r="I540" s="1"/>
      <c r="J540" s="1"/>
      <c r="K540" s="1"/>
      <c r="L540" s="1"/>
      <c r="M540" s="1"/>
      <c r="N540" s="1"/>
      <c r="O540" s="1"/>
      <c r="P540" s="1"/>
      <c r="Q540" s="1"/>
      <c r="R540" s="3">
        <f>IFERROR(__xludf.DUMMYFUNCTION("""COMPUTED_VALUE"""),200000.0)</f>
        <v>200000</v>
      </c>
      <c r="S540" s="3">
        <f>IFERROR(__xludf.DUMMYFUNCTION("""COMPUTED_VALUE"""),200000.0)</f>
        <v>200000</v>
      </c>
      <c r="T540" s="1"/>
      <c r="U540" s="1"/>
      <c r="V540" s="1"/>
      <c r="W540" s="1"/>
      <c r="X540" s="1"/>
      <c r="Y540" s="1"/>
      <c r="Z540" s="1"/>
      <c r="AA540" s="1"/>
      <c r="AB540" s="1"/>
      <c r="AC540" s="1"/>
      <c r="AD540" s="1"/>
      <c r="AE540" s="1"/>
      <c r="AF540" s="1" t="str">
        <f>IFERROR(__xludf.DUMMYFUNCTION("""COMPUTED_VALUE"""),"++Marked: When affected by Truesight you can mark a single target as per the effect ""Marked"" for 1 round. 20 sp. ++The target cannot resist or be immune to this weapon attack  +-can only be equipped by Artemis")</f>
        <v>++Marked: When affected by Truesight you can mark a single target as per the effect "Marked" for 1 round. 20 sp. ++The target cannot resist or be immune to this weapon attack  +-can only be equipped by Artemis</v>
      </c>
      <c r="AG540" s="1" t="str">
        <f>IFERROR(__xludf.DUMMYFUNCTION("""COMPUTED_VALUE"""),"Land of Spira")</f>
        <v>Land of Spira</v>
      </c>
      <c r="AH540" s="1" t="b">
        <f>IFERROR(__xludf.DUMMYFUNCTION("""COMPUTED_VALUE"""),FALSE)</f>
        <v>0</v>
      </c>
    </row>
    <row r="541">
      <c r="A541" s="1" t="str">
        <f>IFERROR(__xludf.DUMMYFUNCTION("""COMPUTED_VALUE"""),"Artemis' Shield of Divine Grace")</f>
        <v>Artemis' Shield of Divine Grace</v>
      </c>
      <c r="B541" s="1" t="str">
        <f>IFERROR(__xludf.DUMMYFUNCTION("""COMPUTED_VALUE"""),"Hand")</f>
        <v>Hand</v>
      </c>
      <c r="C541" s="1" t="str">
        <f>IFERROR(__xludf.DUMMYFUNCTION("""COMPUTED_VALUE"""),"Mob Exclusive")</f>
        <v>Mob Exclusive</v>
      </c>
      <c r="D541" s="1" t="str">
        <f>IFERROR(__xludf.DUMMYFUNCTION("""COMPUTED_VALUE"""),"Buckler")</f>
        <v>Buckler</v>
      </c>
      <c r="E541" s="1">
        <f>IFERROR(__xludf.DUMMYFUNCTION("""COMPUTED_VALUE"""),6000.0)</f>
        <v>6000</v>
      </c>
      <c r="F541" s="2">
        <f>IFERROR(__xludf.DUMMYFUNCTION("""COMPUTED_VALUE"""),1.797E9)</f>
        <v>1797000000</v>
      </c>
      <c r="G541" s="1" t="str">
        <f>IFERROR(__xludf.DUMMYFUNCTION("""COMPUTED_VALUE"""),"DEF")</f>
        <v>DEF</v>
      </c>
      <c r="H541" s="3">
        <f>IFERROR(__xludf.DUMMYFUNCTION("""COMPUTED_VALUE"""),150000.0)</f>
        <v>150000</v>
      </c>
      <c r="I541" s="1"/>
      <c r="J541" s="1"/>
      <c r="K541" s="3">
        <f>IFERROR(__xludf.DUMMYFUNCTION("""COMPUTED_VALUE"""),75000.0)</f>
        <v>75000</v>
      </c>
      <c r="L541" s="1"/>
      <c r="M541" s="1"/>
      <c r="N541" s="1"/>
      <c r="O541" s="1"/>
      <c r="P541" s="1"/>
      <c r="Q541" s="3">
        <f>IFERROR(__xludf.DUMMYFUNCTION("""COMPUTED_VALUE"""),75000.0)</f>
        <v>75000</v>
      </c>
      <c r="R541" s="1"/>
      <c r="S541" s="1"/>
      <c r="T541" s="1"/>
      <c r="U541" s="1"/>
      <c r="V541" s="1"/>
      <c r="W541" s="1"/>
      <c r="X541" s="1"/>
      <c r="Y541" s="1"/>
      <c r="Z541" s="1"/>
      <c r="AA541" s="1"/>
      <c r="AB541" s="1"/>
      <c r="AC541" s="1"/>
      <c r="AD541" s="1"/>
      <c r="AE541" s="1"/>
      <c r="AF541" s="1" t="str">
        <f>IFERROR(__xludf.DUMMYFUNCTION("""COMPUTED_VALUE"""),"++Living Shield: When hit by a weapon attack 50% chance to inflict slowness 3 and disarm 3, +-can only be equipped by Artemis.")</f>
        <v>++Living Shield: When hit by a weapon attack 50% chance to inflict slowness 3 and disarm 3, +-can only be equipped by Artemis.</v>
      </c>
      <c r="AG541" s="1" t="str">
        <f>IFERROR(__xludf.DUMMYFUNCTION("""COMPUTED_VALUE"""),"Land of Spira")</f>
        <v>Land of Spira</v>
      </c>
      <c r="AH541" s="1" t="b">
        <f>IFERROR(__xludf.DUMMYFUNCTION("""COMPUTED_VALUE"""),FALSE)</f>
        <v>0</v>
      </c>
    </row>
    <row r="542">
      <c r="A542" s="1" t="str">
        <f>IFERROR(__xludf.DUMMYFUNCTION("""COMPUTED_VALUE"""),"Artemis' Divine Quiver")</f>
        <v>Artemis' Divine Quiver</v>
      </c>
      <c r="B542" s="1" t="str">
        <f>IFERROR(__xludf.DUMMYFUNCTION("""COMPUTED_VALUE"""),"Shoulders")</f>
        <v>Shoulders</v>
      </c>
      <c r="C542" s="1" t="str">
        <f>IFERROR(__xludf.DUMMYFUNCTION("""COMPUTED_VALUE"""),"Mob Exclusive")</f>
        <v>Mob Exclusive</v>
      </c>
      <c r="D542" s="1"/>
      <c r="E542" s="1">
        <f>IFERROR(__xludf.DUMMYFUNCTION("""COMPUTED_VALUE"""),1.0)</f>
        <v>1</v>
      </c>
      <c r="F542" s="2">
        <f>IFERROR(__xludf.DUMMYFUNCTION("""COMPUTED_VALUE"""),0.0)</f>
        <v>0</v>
      </c>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t="str">
        <f>IFERROR(__xludf.DUMMYFUNCTION("""COMPUTED_VALUE"""),"++Blessing of the Forest's Quiver II: X4 Nature and Bow damage. ++Godspeed: Wearer Gets 2 actions every round. ++Quick Shot: Attack twice with your bow 10000 sp. +-can only be equipped by Artemis.")</f>
        <v>++Blessing of the Forest's Quiver II: X4 Nature and Bow damage. ++Godspeed: Wearer Gets 2 actions every round. ++Quick Shot: Attack twice with your bow 10000 sp. +-can only be equipped by Artemis.</v>
      </c>
      <c r="AG542" s="1" t="str">
        <f>IFERROR(__xludf.DUMMYFUNCTION("""COMPUTED_VALUE"""),"Land of Spira")</f>
        <v>Land of Spira</v>
      </c>
      <c r="AH542" s="1" t="b">
        <f>IFERROR(__xludf.DUMMYFUNCTION("""COMPUTED_VALUE"""),FALSE)</f>
        <v>0</v>
      </c>
    </row>
    <row r="543">
      <c r="A543" s="1" t="str">
        <f>IFERROR(__xludf.DUMMYFUNCTION("""COMPUTED_VALUE"""),"Artemis' Toga of Divine Beauty")</f>
        <v>Artemis' Toga of Divine Beauty</v>
      </c>
      <c r="B543" s="1" t="str">
        <f>IFERROR(__xludf.DUMMYFUNCTION("""COMPUTED_VALUE"""),"Torso")</f>
        <v>Torso</v>
      </c>
      <c r="C543" s="1" t="str">
        <f>IFERROR(__xludf.DUMMYFUNCTION("""COMPUTED_VALUE"""),"Mob Exclusive")</f>
        <v>Mob Exclusive</v>
      </c>
      <c r="D543" s="1"/>
      <c r="E543" s="1">
        <f>IFERROR(__xludf.DUMMYFUNCTION("""COMPUTED_VALUE"""),4000.0)</f>
        <v>4000</v>
      </c>
      <c r="F543" s="2">
        <f>IFERROR(__xludf.DUMMYFUNCTION("""COMPUTED_VALUE"""),7.98E8)</f>
        <v>798000000</v>
      </c>
      <c r="G543" s="1" t="str">
        <f>IFERROR(__xludf.DUMMYFUNCTION("""COMPUTED_VALUE"""),"DEF")</f>
        <v>DEF</v>
      </c>
      <c r="H543" s="3">
        <f>IFERROR(__xludf.DUMMYFUNCTION("""COMPUTED_VALUE"""),100000.0)</f>
        <v>100000</v>
      </c>
      <c r="I543" s="1"/>
      <c r="J543" s="1"/>
      <c r="K543" s="3">
        <f>IFERROR(__xludf.DUMMYFUNCTION("""COMPUTED_VALUE"""),50000.0)</f>
        <v>50000</v>
      </c>
      <c r="L543" s="1"/>
      <c r="M543" s="1"/>
      <c r="N543" s="1"/>
      <c r="O543" s="1"/>
      <c r="P543" s="1"/>
      <c r="Q543" s="3">
        <f>IFERROR(__xludf.DUMMYFUNCTION("""COMPUTED_VALUE"""),50000.0)</f>
        <v>50000</v>
      </c>
      <c r="R543" s="1"/>
      <c r="S543" s="1"/>
      <c r="T543" s="1"/>
      <c r="U543" s="1"/>
      <c r="V543" s="1"/>
      <c r="W543" s="1"/>
      <c r="X543" s="1"/>
      <c r="Y543" s="1"/>
      <c r="Z543" s="1"/>
      <c r="AA543" s="1"/>
      <c r="AB543" s="1"/>
      <c r="AC543" s="1"/>
      <c r="AD543" s="1"/>
      <c r="AE543" s="1"/>
      <c r="AF543" s="1" t="str">
        <f>IFERROR(__xludf.DUMMYFUNCTION("""COMPUTED_VALUE"""),"++Blessing of the Forest's Quiver II: X4 Nature and Bow damage. ++Godly Charm: 10% chance at the start of battle to force an enemy to fight for you +-can only be equipped by Artemis.")</f>
        <v>++Blessing of the Forest's Quiver II: X4 Nature and Bow damage. ++Godly Charm: 10% chance at the start of battle to force an enemy to fight for you +-can only be equipped by Artemis.</v>
      </c>
      <c r="AG543" s="1" t="str">
        <f>IFERROR(__xludf.DUMMYFUNCTION("""COMPUTED_VALUE"""),"Land of Spira")</f>
        <v>Land of Spira</v>
      </c>
      <c r="AH543" s="1" t="b">
        <f>IFERROR(__xludf.DUMMYFUNCTION("""COMPUTED_VALUE"""),FALSE)</f>
        <v>0</v>
      </c>
    </row>
    <row r="544">
      <c r="A544" s="1" t="str">
        <f>IFERROR(__xludf.DUMMYFUNCTION("""COMPUTED_VALUE"""),"Artemis' Bracer of The Archer Goddess")</f>
        <v>Artemis' Bracer of The Archer Goddess</v>
      </c>
      <c r="B544" s="1" t="str">
        <f>IFERROR(__xludf.DUMMYFUNCTION("""COMPUTED_VALUE"""),"Arms")</f>
        <v>Arms</v>
      </c>
      <c r="C544" s="1" t="str">
        <f>IFERROR(__xludf.DUMMYFUNCTION("""COMPUTED_VALUE"""),"Mob Exclusive")</f>
        <v>Mob Exclusive</v>
      </c>
      <c r="D544" s="1"/>
      <c r="E544" s="1">
        <f>IFERROR(__xludf.DUMMYFUNCTION("""COMPUTED_VALUE"""),2000.0)</f>
        <v>2000</v>
      </c>
      <c r="F544" s="2">
        <f>IFERROR(__xludf.DUMMYFUNCTION("""COMPUTED_VALUE"""),1.99E8)</f>
        <v>199000000</v>
      </c>
      <c r="G544" s="1" t="str">
        <f>IFERROR(__xludf.DUMMYFUNCTION("""COMPUTED_VALUE"""),"DEF")</f>
        <v>DEF</v>
      </c>
      <c r="H544" s="3">
        <f>IFERROR(__xludf.DUMMYFUNCTION("""COMPUTED_VALUE"""),50000.0)</f>
        <v>50000</v>
      </c>
      <c r="I544" s="1"/>
      <c r="J544" s="1"/>
      <c r="K544" s="3">
        <f>IFERROR(__xludf.DUMMYFUNCTION("""COMPUTED_VALUE"""),25000.0)</f>
        <v>25000</v>
      </c>
      <c r="L544" s="1"/>
      <c r="M544" s="1"/>
      <c r="N544" s="1"/>
      <c r="O544" s="1"/>
      <c r="P544" s="1"/>
      <c r="Q544" s="3">
        <f>IFERROR(__xludf.DUMMYFUNCTION("""COMPUTED_VALUE"""),25000.0)</f>
        <v>25000</v>
      </c>
      <c r="R544" s="1"/>
      <c r="S544" s="1"/>
      <c r="T544" s="1"/>
      <c r="U544" s="1"/>
      <c r="V544" s="1"/>
      <c r="W544" s="1"/>
      <c r="X544" s="1"/>
      <c r="Y544" s="1"/>
      <c r="Z544" s="1"/>
      <c r="AA544" s="1"/>
      <c r="AB544" s="1"/>
      <c r="AC544" s="1"/>
      <c r="AD544" s="1"/>
      <c r="AE544" s="1"/>
      <c r="AF544" s="1" t="str">
        <f>IFERROR(__xludf.DUMMYFUNCTION("""COMPUTED_VALUE"""),"++Blessing of the Forest's Quiver II: X4 Nature and Bow damage. ++Godly Archery: When you hit an enemy with your bow you gain the effects of Haste +-can only be equipped by Artemis.")</f>
        <v>++Blessing of the Forest's Quiver II: X4 Nature and Bow damage. ++Godly Archery: When you hit an enemy with your bow you gain the effects of Haste +-can only be equipped by Artemis.</v>
      </c>
      <c r="AG544" s="1" t="str">
        <f>IFERROR(__xludf.DUMMYFUNCTION("""COMPUTED_VALUE"""),"Land of Spira")</f>
        <v>Land of Spira</v>
      </c>
      <c r="AH544" s="1" t="b">
        <f>IFERROR(__xludf.DUMMYFUNCTION("""COMPUTED_VALUE"""),FALSE)</f>
        <v>0</v>
      </c>
    </row>
    <row r="545">
      <c r="A545" s="1" t="str">
        <f>IFERROR(__xludf.DUMMYFUNCTION("""COMPUTED_VALUE"""),"Artemis' Leggings of Divine Agility")</f>
        <v>Artemis' Leggings of Divine Agility</v>
      </c>
      <c r="B545" s="1" t="str">
        <f>IFERROR(__xludf.DUMMYFUNCTION("""COMPUTED_VALUE"""),"Legs")</f>
        <v>Legs</v>
      </c>
      <c r="C545" s="1" t="str">
        <f>IFERROR(__xludf.DUMMYFUNCTION("""COMPUTED_VALUE"""),"Mob Exclusive")</f>
        <v>Mob Exclusive</v>
      </c>
      <c r="D545" s="1"/>
      <c r="E545" s="1">
        <f>IFERROR(__xludf.DUMMYFUNCTION("""COMPUTED_VALUE"""),2000.0)</f>
        <v>2000</v>
      </c>
      <c r="F545" s="2">
        <f>IFERROR(__xludf.DUMMYFUNCTION("""COMPUTED_VALUE"""),1.99E8)</f>
        <v>199000000</v>
      </c>
      <c r="G545" s="1" t="str">
        <f>IFERROR(__xludf.DUMMYFUNCTION("""COMPUTED_VALUE"""),"DEF")</f>
        <v>DEF</v>
      </c>
      <c r="H545" s="3">
        <f>IFERROR(__xludf.DUMMYFUNCTION("""COMPUTED_VALUE"""),50000.0)</f>
        <v>50000</v>
      </c>
      <c r="I545" s="1"/>
      <c r="J545" s="1"/>
      <c r="K545" s="3">
        <f>IFERROR(__xludf.DUMMYFUNCTION("""COMPUTED_VALUE"""),25000.0)</f>
        <v>25000</v>
      </c>
      <c r="L545" s="1"/>
      <c r="M545" s="1"/>
      <c r="N545" s="1"/>
      <c r="O545" s="1"/>
      <c r="P545" s="1"/>
      <c r="Q545" s="3">
        <f>IFERROR(__xludf.DUMMYFUNCTION("""COMPUTED_VALUE"""),25000.0)</f>
        <v>25000</v>
      </c>
      <c r="R545" s="1"/>
      <c r="S545" s="1"/>
      <c r="T545" s="1"/>
      <c r="U545" s="1"/>
      <c r="V545" s="1"/>
      <c r="W545" s="1"/>
      <c r="X545" s="1"/>
      <c r="Y545" s="1"/>
      <c r="Z545" s="1"/>
      <c r="AA545" s="1"/>
      <c r="AB545" s="1"/>
      <c r="AC545" s="1"/>
      <c r="AD545" s="1"/>
      <c r="AE545" s="1"/>
      <c r="AF545" s="1" t="str">
        <f>IFERROR(__xludf.DUMMYFUNCTION("""COMPUTED_VALUE"""),"++Blessing of The Greens II: X4 Nature Damage +-can only be equipped by Artemis")</f>
        <v>++Blessing of The Greens II: X4 Nature Damage +-can only be equipped by Artemis</v>
      </c>
      <c r="AG545" s="1" t="str">
        <f>IFERROR(__xludf.DUMMYFUNCTION("""COMPUTED_VALUE"""),"Land of Spira")</f>
        <v>Land of Spira</v>
      </c>
      <c r="AH545" s="1" t="b">
        <f>IFERROR(__xludf.DUMMYFUNCTION("""COMPUTED_VALUE"""),FALSE)</f>
        <v>0</v>
      </c>
    </row>
    <row r="546">
      <c r="A546" s="1" t="str">
        <f>IFERROR(__xludf.DUMMYFUNCTION("""COMPUTED_VALUE"""),"Artemis' Sandals of Divine Speed")</f>
        <v>Artemis' Sandals of Divine Speed</v>
      </c>
      <c r="B546" s="1" t="str">
        <f>IFERROR(__xludf.DUMMYFUNCTION("""COMPUTED_VALUE"""),"Feet")</f>
        <v>Feet</v>
      </c>
      <c r="C546" s="1" t="str">
        <f>IFERROR(__xludf.DUMMYFUNCTION("""COMPUTED_VALUE"""),"Mob Exclusive")</f>
        <v>Mob Exclusive</v>
      </c>
      <c r="D546" s="1"/>
      <c r="E546" s="1">
        <f>IFERROR(__xludf.DUMMYFUNCTION("""COMPUTED_VALUE"""),2000.0)</f>
        <v>2000</v>
      </c>
      <c r="F546" s="2">
        <f>IFERROR(__xludf.DUMMYFUNCTION("""COMPUTED_VALUE"""),1.99E8)</f>
        <v>199000000</v>
      </c>
      <c r="G546" s="1" t="str">
        <f>IFERROR(__xludf.DUMMYFUNCTION("""COMPUTED_VALUE"""),"DEF")</f>
        <v>DEF</v>
      </c>
      <c r="H546" s="3">
        <f>IFERROR(__xludf.DUMMYFUNCTION("""COMPUTED_VALUE"""),50000.0)</f>
        <v>50000</v>
      </c>
      <c r="I546" s="1"/>
      <c r="J546" s="1"/>
      <c r="K546" s="3">
        <f>IFERROR(__xludf.DUMMYFUNCTION("""COMPUTED_VALUE"""),25000.0)</f>
        <v>25000</v>
      </c>
      <c r="L546" s="1"/>
      <c r="M546" s="1"/>
      <c r="N546" s="1"/>
      <c r="O546" s="1"/>
      <c r="P546" s="1"/>
      <c r="Q546" s="3">
        <f>IFERROR(__xludf.DUMMYFUNCTION("""COMPUTED_VALUE"""),25000.0)</f>
        <v>25000</v>
      </c>
      <c r="R546" s="1"/>
      <c r="S546" s="1"/>
      <c r="T546" s="1"/>
      <c r="U546" s="1"/>
      <c r="V546" s="1"/>
      <c r="W546" s="1"/>
      <c r="X546" s="1"/>
      <c r="Y546" s="1"/>
      <c r="Z546" s="1"/>
      <c r="AA546" s="1"/>
      <c r="AB546" s="1"/>
      <c r="AC546" s="1"/>
      <c r="AD546" s="1"/>
      <c r="AE546" s="1"/>
      <c r="AF546" s="1" t="str">
        <f>IFERROR(__xludf.DUMMYFUNCTION("""COMPUTED_VALUE"""),"++Blessing of Speed: when affected by haste you gain an extra action. +-can only be equipped by Artemis.")</f>
        <v>++Blessing of Speed: when affected by haste you gain an extra action. +-can only be equipped by Artemis.</v>
      </c>
      <c r="AG546" s="1" t="str">
        <f>IFERROR(__xludf.DUMMYFUNCTION("""COMPUTED_VALUE"""),"Land of Spira")</f>
        <v>Land of Spira</v>
      </c>
      <c r="AH546" s="1" t="b">
        <f>IFERROR(__xludf.DUMMYFUNCTION("""COMPUTED_VALUE"""),FALSE)</f>
        <v>0</v>
      </c>
    </row>
    <row r="547">
      <c r="A547" s="1" t="str">
        <f>IFERROR(__xludf.DUMMYFUNCTION("""COMPUTED_VALUE"""),"Artemis' Ring")</f>
        <v>Artemis' Ring</v>
      </c>
      <c r="B547" s="1" t="str">
        <f>IFERROR(__xludf.DUMMYFUNCTION("""COMPUTED_VALUE"""),"Ring")</f>
        <v>Ring</v>
      </c>
      <c r="C547" s="1" t="str">
        <f>IFERROR(__xludf.DUMMYFUNCTION("""COMPUTED_VALUE"""),"Mob Exclusive")</f>
        <v>Mob Exclusive</v>
      </c>
      <c r="D547" s="1"/>
      <c r="E547" s="1">
        <f>IFERROR(__xludf.DUMMYFUNCTION("""COMPUTED_VALUE"""),1.0)</f>
        <v>1</v>
      </c>
      <c r="F547" s="2">
        <f>IFERROR(__xludf.DUMMYFUNCTION("""COMPUTED_VALUE"""),0.0)</f>
        <v>0</v>
      </c>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t="str">
        <f>IFERROR(__xludf.DUMMYFUNCTION("""COMPUTED_VALUE"""),"++10% chance to revive after dying once. +-can only be equipped by Artemis.")</f>
        <v>++10% chance to revive after dying once. +-can only be equipped by Artemis.</v>
      </c>
      <c r="AG547" s="1" t="str">
        <f>IFERROR(__xludf.DUMMYFUNCTION("""COMPUTED_VALUE"""),"Land of Spira")</f>
        <v>Land of Spira</v>
      </c>
      <c r="AH547" s="1" t="b">
        <f>IFERROR(__xludf.DUMMYFUNCTION("""COMPUTED_VALUE"""),FALSE)</f>
        <v>0</v>
      </c>
    </row>
    <row r="548">
      <c r="A548" s="1" t="str">
        <f>IFERROR(__xludf.DUMMYFUNCTION("""COMPUTED_VALUE"""),"Artemis' Fang Necklace")</f>
        <v>Artemis' Fang Necklace</v>
      </c>
      <c r="B548" s="1" t="str">
        <f>IFERROR(__xludf.DUMMYFUNCTION("""COMPUTED_VALUE"""),"Neck")</f>
        <v>Neck</v>
      </c>
      <c r="C548" s="1" t="str">
        <f>IFERROR(__xludf.DUMMYFUNCTION("""COMPUTED_VALUE"""),"Mob Exclusive")</f>
        <v>Mob Exclusive</v>
      </c>
      <c r="D548" s="1"/>
      <c r="E548" s="1">
        <f>IFERROR(__xludf.DUMMYFUNCTION("""COMPUTED_VALUE"""),1.0)</f>
        <v>1</v>
      </c>
      <c r="F548" s="2">
        <f>IFERROR(__xludf.DUMMYFUNCTION("""COMPUTED_VALUE"""),0.0)</f>
        <v>0</v>
      </c>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t="str">
        <f>IFERROR(__xludf.DUMMYFUNCTION("""COMPUTED_VALUE"""),"Upon killing an enemy you emit a sharp aura with a 10% chance of instant death to all enemies. +-can only be equipped by Artemis.")</f>
        <v>Upon killing an enemy you emit a sharp aura with a 10% chance of instant death to all enemies. +-can only be equipped by Artemis.</v>
      </c>
      <c r="AG548" s="1" t="str">
        <f>IFERROR(__xludf.DUMMYFUNCTION("""COMPUTED_VALUE"""),"Land of Spira")</f>
        <v>Land of Spira</v>
      </c>
      <c r="AH548" s="1" t="b">
        <f>IFERROR(__xludf.DUMMYFUNCTION("""COMPUTED_VALUE"""),FALSE)</f>
        <v>0</v>
      </c>
    </row>
    <row r="549">
      <c r="A549" s="1" t="str">
        <f>IFERROR(__xludf.DUMMYFUNCTION("""COMPUTED_VALUE"""),"Forged Paladin's Helm")</f>
        <v>Forged Paladin's Helm</v>
      </c>
      <c r="B549" s="1" t="str">
        <f>IFERROR(__xludf.DUMMYFUNCTION("""COMPUTED_VALUE"""),"Head")</f>
        <v>Head</v>
      </c>
      <c r="C549" s="1" t="str">
        <f>IFERROR(__xludf.DUMMYFUNCTION("""COMPUTED_VALUE"""),"Quest Item")</f>
        <v>Quest Item</v>
      </c>
      <c r="D549" s="1"/>
      <c r="E549" s="1">
        <f>IFERROR(__xludf.DUMMYFUNCTION("""COMPUTED_VALUE"""),200.0)</f>
        <v>200</v>
      </c>
      <c r="F549" s="2">
        <f>IFERROR(__xludf.DUMMYFUNCTION("""COMPUTED_VALUE"""),1.1175E8)</f>
        <v>111750000</v>
      </c>
      <c r="G549" s="1" t="str">
        <f>IFERROR(__xludf.DUMMYFUNCTION("""COMPUTED_VALUE"""),"DEF")</f>
        <v>DEF</v>
      </c>
      <c r="H549" s="3">
        <f>IFERROR(__xludf.DUMMYFUNCTION("""COMPUTED_VALUE"""),25000.0)</f>
        <v>25000</v>
      </c>
      <c r="I549" s="3">
        <f>IFERROR(__xludf.DUMMYFUNCTION("""COMPUTED_VALUE"""),10000.0)</f>
        <v>10000</v>
      </c>
      <c r="J549" s="1"/>
      <c r="K549" s="3">
        <f>IFERROR(__xludf.DUMMYFUNCTION("""COMPUTED_VALUE"""),5000.0)</f>
        <v>5000</v>
      </c>
      <c r="L549" s="1"/>
      <c r="M549" s="1"/>
      <c r="N549" s="1"/>
      <c r="O549" s="1"/>
      <c r="P549" s="1"/>
      <c r="Q549" s="1"/>
      <c r="R549" s="1"/>
      <c r="S549" s="3">
        <f>IFERROR(__xludf.DUMMYFUNCTION("""COMPUTED_VALUE"""),25000.0)</f>
        <v>25000</v>
      </c>
      <c r="T549" s="1"/>
      <c r="U549" s="1"/>
      <c r="V549" s="1"/>
      <c r="W549" s="1"/>
      <c r="X549" s="1"/>
      <c r="Y549" s="1"/>
      <c r="Z549" s="1"/>
      <c r="AA549" s="1"/>
      <c r="AB549" s="1"/>
      <c r="AC549" s="3">
        <f>IFERROR(__xludf.DUMMYFUNCTION("""COMPUTED_VALUE"""),10000.0)</f>
        <v>10000</v>
      </c>
      <c r="AD549" s="1"/>
      <c r="AE549" s="1"/>
      <c r="AF549" s="1" t="str">
        <f>IFERROR(__xludf.DUMMYFUNCTION("""COMPUTED_VALUE"""),"++X2 Firearm damage. ++Weakness Detection: When attacking an enemy with fire vulnerability roll twice and take the higher roll for all attacks against that enemy. +-Forged Paladin Class Only.")</f>
        <v>++X2 Firearm damage. ++Weakness Detection: When attacking an enemy with fire vulnerability roll twice and take the higher roll for all attacks against that enemy. +-Forged Paladin Class Only.</v>
      </c>
      <c r="AG549" s="1" t="str">
        <f>IFERROR(__xludf.DUMMYFUNCTION("""COMPUTED_VALUE"""),"Land of Spira")</f>
        <v>Land of Spira</v>
      </c>
      <c r="AH549" s="1" t="b">
        <f>IFERROR(__xludf.DUMMYFUNCTION("""COMPUTED_VALUE"""),FALSE)</f>
        <v>0</v>
      </c>
    </row>
    <row r="550">
      <c r="A550" s="1" t="str">
        <f>IFERROR(__xludf.DUMMYFUNCTION("""COMPUTED_VALUE"""),"Forged Paladin's Pauldrons")</f>
        <v>Forged Paladin's Pauldrons</v>
      </c>
      <c r="B550" s="1" t="str">
        <f>IFERROR(__xludf.DUMMYFUNCTION("""COMPUTED_VALUE"""),"Shoulders")</f>
        <v>Shoulders</v>
      </c>
      <c r="C550" s="1" t="str">
        <f>IFERROR(__xludf.DUMMYFUNCTION("""COMPUTED_VALUE"""),"Quest Item")</f>
        <v>Quest Item</v>
      </c>
      <c r="D550" s="1"/>
      <c r="E550" s="1">
        <f>IFERROR(__xludf.DUMMYFUNCTION("""COMPUTED_VALUE"""),200.0)</f>
        <v>200</v>
      </c>
      <c r="F550" s="2">
        <f>IFERROR(__xludf.DUMMYFUNCTION("""COMPUTED_VALUE"""),1.1175E8)</f>
        <v>111750000</v>
      </c>
      <c r="G550" s="1" t="str">
        <f>IFERROR(__xludf.DUMMYFUNCTION("""COMPUTED_VALUE"""),"DEF")</f>
        <v>DEF</v>
      </c>
      <c r="H550" s="3">
        <f>IFERROR(__xludf.DUMMYFUNCTION("""COMPUTED_VALUE"""),25000.0)</f>
        <v>25000</v>
      </c>
      <c r="I550" s="3">
        <f>IFERROR(__xludf.DUMMYFUNCTION("""COMPUTED_VALUE"""),10000.0)</f>
        <v>10000</v>
      </c>
      <c r="J550" s="1"/>
      <c r="K550" s="3">
        <f>IFERROR(__xludf.DUMMYFUNCTION("""COMPUTED_VALUE"""),5000.0)</f>
        <v>5000</v>
      </c>
      <c r="L550" s="1"/>
      <c r="M550" s="1"/>
      <c r="N550" s="1"/>
      <c r="O550" s="1"/>
      <c r="P550" s="1"/>
      <c r="Q550" s="1"/>
      <c r="R550" s="1"/>
      <c r="S550" s="3">
        <f>IFERROR(__xludf.DUMMYFUNCTION("""COMPUTED_VALUE"""),25000.0)</f>
        <v>25000</v>
      </c>
      <c r="T550" s="1"/>
      <c r="U550" s="1"/>
      <c r="V550" s="1"/>
      <c r="W550" s="1"/>
      <c r="X550" s="1"/>
      <c r="Y550" s="1"/>
      <c r="Z550" s="1"/>
      <c r="AA550" s="1"/>
      <c r="AB550" s="1"/>
      <c r="AC550" s="3">
        <f>IFERROR(__xludf.DUMMYFUNCTION("""COMPUTED_VALUE"""),10000.0)</f>
        <v>10000</v>
      </c>
      <c r="AD550" s="1"/>
      <c r="AE550" s="1"/>
      <c r="AF550" s="1" t="str">
        <f>IFERROR(__xludf.DUMMYFUNCTION("""COMPUTED_VALUE"""),"++When hit with a non-natural attack inflict the attacker with Burn 1000 for 3 rounds +-Forged Paladin Class Only.")</f>
        <v>++When hit with a non-natural attack inflict the attacker with Burn 1000 for 3 rounds +-Forged Paladin Class Only.</v>
      </c>
      <c r="AG550" s="1" t="str">
        <f>IFERROR(__xludf.DUMMYFUNCTION("""COMPUTED_VALUE"""),"Land of Spira")</f>
        <v>Land of Spira</v>
      </c>
      <c r="AH550" s="1" t="b">
        <f>IFERROR(__xludf.DUMMYFUNCTION("""COMPUTED_VALUE"""),FALSE)</f>
        <v>0</v>
      </c>
    </row>
    <row r="551">
      <c r="A551" s="1" t="str">
        <f>IFERROR(__xludf.DUMMYFUNCTION("""COMPUTED_VALUE"""),"Forged Paladin's Plate")</f>
        <v>Forged Paladin's Plate</v>
      </c>
      <c r="B551" s="1" t="str">
        <f>IFERROR(__xludf.DUMMYFUNCTION("""COMPUTED_VALUE"""),"Torso")</f>
        <v>Torso</v>
      </c>
      <c r="C551" s="1" t="str">
        <f>IFERROR(__xludf.DUMMYFUNCTION("""COMPUTED_VALUE"""),"Quest Item")</f>
        <v>Quest Item</v>
      </c>
      <c r="D551" s="1"/>
      <c r="E551" s="1">
        <f>IFERROR(__xludf.DUMMYFUNCTION("""COMPUTED_VALUE"""),200.0)</f>
        <v>200</v>
      </c>
      <c r="F551" s="2">
        <f>IFERROR(__xludf.DUMMYFUNCTION("""COMPUTED_VALUE"""),1.99E8)</f>
        <v>199000000</v>
      </c>
      <c r="G551" s="1" t="str">
        <f>IFERROR(__xludf.DUMMYFUNCTION("""COMPUTED_VALUE"""),"DEF")</f>
        <v>DEF</v>
      </c>
      <c r="H551" s="3">
        <f>IFERROR(__xludf.DUMMYFUNCTION("""COMPUTED_VALUE"""),35000.0)</f>
        <v>35000</v>
      </c>
      <c r="I551" s="3">
        <f>IFERROR(__xludf.DUMMYFUNCTION("""COMPUTED_VALUE"""),15000.0)</f>
        <v>15000</v>
      </c>
      <c r="J551" s="1"/>
      <c r="K551" s="3">
        <f>IFERROR(__xludf.DUMMYFUNCTION("""COMPUTED_VALUE"""),5000.0)</f>
        <v>5000</v>
      </c>
      <c r="L551" s="1"/>
      <c r="M551" s="1"/>
      <c r="N551" s="1"/>
      <c r="O551" s="1"/>
      <c r="P551" s="1"/>
      <c r="Q551" s="1"/>
      <c r="R551" s="1"/>
      <c r="S551" s="3">
        <f>IFERROR(__xludf.DUMMYFUNCTION("""COMPUTED_VALUE"""),30000.0)</f>
        <v>30000</v>
      </c>
      <c r="T551" s="1"/>
      <c r="U551" s="1"/>
      <c r="V551" s="1"/>
      <c r="W551" s="1"/>
      <c r="X551" s="1"/>
      <c r="Y551" s="1"/>
      <c r="Z551" s="1"/>
      <c r="AA551" s="1"/>
      <c r="AB551" s="1"/>
      <c r="AC551" s="3">
        <f>IFERROR(__xludf.DUMMYFUNCTION("""COMPUTED_VALUE"""),15000.0)</f>
        <v>15000</v>
      </c>
      <c r="AD551" s="1"/>
      <c r="AE551" s="1"/>
      <c r="AF551" s="1" t="str">
        <f>IFERROR(__xludf.DUMMYFUNCTION("""COMPUTED_VALUE"""),"++X4 Fire damage. ++fire immunity +-Forged Paladin Class Only.")</f>
        <v>++X4 Fire damage. ++fire immunity +-Forged Paladin Class Only.</v>
      </c>
      <c r="AG551" s="1" t="str">
        <f>IFERROR(__xludf.DUMMYFUNCTION("""COMPUTED_VALUE"""),"Land of Spira")</f>
        <v>Land of Spira</v>
      </c>
      <c r="AH551" s="1" t="b">
        <f>IFERROR(__xludf.DUMMYFUNCTION("""COMPUTED_VALUE"""),FALSE)</f>
        <v>0</v>
      </c>
    </row>
    <row r="552">
      <c r="A552" s="1" t="str">
        <f>IFERROR(__xludf.DUMMYFUNCTION("""COMPUTED_VALUE"""),"Forged Paladin's Vambraces")</f>
        <v>Forged Paladin's Vambraces</v>
      </c>
      <c r="B552" s="1" t="str">
        <f>IFERROR(__xludf.DUMMYFUNCTION("""COMPUTED_VALUE"""),"Arms")</f>
        <v>Arms</v>
      </c>
      <c r="C552" s="1" t="str">
        <f>IFERROR(__xludf.DUMMYFUNCTION("""COMPUTED_VALUE"""),"Quest Item")</f>
        <v>Quest Item</v>
      </c>
      <c r="D552" s="1"/>
      <c r="E552" s="1">
        <f>IFERROR(__xludf.DUMMYFUNCTION("""COMPUTED_VALUE"""),200.0)</f>
        <v>200</v>
      </c>
      <c r="F552" s="2">
        <f>IFERROR(__xludf.DUMMYFUNCTION("""COMPUTED_VALUE"""),1.1175E8)</f>
        <v>111750000</v>
      </c>
      <c r="G552" s="1" t="str">
        <f>IFERROR(__xludf.DUMMYFUNCTION("""COMPUTED_VALUE"""),"DEF")</f>
        <v>DEF</v>
      </c>
      <c r="H552" s="3">
        <f>IFERROR(__xludf.DUMMYFUNCTION("""COMPUTED_VALUE"""),25000.0)</f>
        <v>25000</v>
      </c>
      <c r="I552" s="3">
        <f>IFERROR(__xludf.DUMMYFUNCTION("""COMPUTED_VALUE"""),10000.0)</f>
        <v>10000</v>
      </c>
      <c r="J552" s="1"/>
      <c r="K552" s="3">
        <f>IFERROR(__xludf.DUMMYFUNCTION("""COMPUTED_VALUE"""),5000.0)</f>
        <v>5000</v>
      </c>
      <c r="L552" s="1"/>
      <c r="M552" s="1"/>
      <c r="N552" s="1"/>
      <c r="O552" s="1"/>
      <c r="P552" s="1"/>
      <c r="Q552" s="1"/>
      <c r="R552" s="1"/>
      <c r="S552" s="3">
        <f>IFERROR(__xludf.DUMMYFUNCTION("""COMPUTED_VALUE"""),25000.0)</f>
        <v>25000</v>
      </c>
      <c r="T552" s="1"/>
      <c r="U552" s="1"/>
      <c r="V552" s="1"/>
      <c r="W552" s="1"/>
      <c r="X552" s="1"/>
      <c r="Y552" s="1"/>
      <c r="Z552" s="1"/>
      <c r="AA552" s="1"/>
      <c r="AB552" s="1"/>
      <c r="AC552" s="3">
        <f>IFERROR(__xludf.DUMMYFUNCTION("""COMPUTED_VALUE"""),10000.0)</f>
        <v>10000</v>
      </c>
      <c r="AD552" s="1"/>
      <c r="AE552" s="1"/>
      <c r="AF552" s="1" t="str">
        <f>IFERROR(__xludf.DUMMYFUNCTION("""COMPUTED_VALUE"""),"++When attacking with a firearm deal X4 damage. ++The target cannot resist or be immune to fire damage dealt by firearms. +-Forged Paladin Class Only.")</f>
        <v>++When attacking with a firearm deal X4 damage. ++The target cannot resist or be immune to fire damage dealt by firearms. +-Forged Paladin Class Only.</v>
      </c>
      <c r="AG552" s="1" t="str">
        <f>IFERROR(__xludf.DUMMYFUNCTION("""COMPUTED_VALUE"""),"Land of Spira")</f>
        <v>Land of Spira</v>
      </c>
      <c r="AH552" s="1" t="b">
        <f>IFERROR(__xludf.DUMMYFUNCTION("""COMPUTED_VALUE"""),FALSE)</f>
        <v>0</v>
      </c>
    </row>
    <row r="553">
      <c r="A553" s="1" t="str">
        <f>IFERROR(__xludf.DUMMYFUNCTION("""COMPUTED_VALUE"""),"Forged Firearm")</f>
        <v>Forged Firearm</v>
      </c>
      <c r="B553" s="1" t="str">
        <f>IFERROR(__xludf.DUMMYFUNCTION("""COMPUTED_VALUE"""),"Hand")</f>
        <v>Hand</v>
      </c>
      <c r="C553" s="1" t="str">
        <f>IFERROR(__xludf.DUMMYFUNCTION("""COMPUTED_VALUE"""),"Quest Item")</f>
        <v>Quest Item</v>
      </c>
      <c r="D553" s="1" t="str">
        <f>IFERROR(__xludf.DUMMYFUNCTION("""COMPUTED_VALUE"""),"Firearm")</f>
        <v>Firearm</v>
      </c>
      <c r="E553" s="1">
        <f>IFERROR(__xludf.DUMMYFUNCTION("""COMPUTED_VALUE"""),200.0)</f>
        <v>200</v>
      </c>
      <c r="F553" s="2">
        <f>IFERROR(__xludf.DUMMYFUNCTION("""COMPUTED_VALUE"""),1.99E8)</f>
        <v>199000000</v>
      </c>
      <c r="G553" s="1" t="str">
        <f>IFERROR(__xludf.DUMMYFUNCTION("""COMPUTED_VALUE"""),"DMG")</f>
        <v>DMG</v>
      </c>
      <c r="H553" s="3">
        <f>IFERROR(__xludf.DUMMYFUNCTION("""COMPUTED_VALUE"""),50000.0)</f>
        <v>50000</v>
      </c>
      <c r="I553" s="3">
        <f>IFERROR(__xludf.DUMMYFUNCTION("""COMPUTED_VALUE"""),25000.0)</f>
        <v>25000</v>
      </c>
      <c r="J553" s="1"/>
      <c r="K553" s="1"/>
      <c r="L553" s="1"/>
      <c r="M553" s="1"/>
      <c r="N553" s="1"/>
      <c r="O553" s="1"/>
      <c r="P553" s="1"/>
      <c r="Q553" s="1"/>
      <c r="R553" s="1"/>
      <c r="S553" s="1"/>
      <c r="T553" s="1"/>
      <c r="U553" s="1"/>
      <c r="V553" s="1"/>
      <c r="W553" s="1"/>
      <c r="X553" s="1"/>
      <c r="Y553" s="1"/>
      <c r="Z553" s="1"/>
      <c r="AA553" s="1"/>
      <c r="AB553" s="1"/>
      <c r="AC553" s="3">
        <f>IFERROR(__xludf.DUMMYFUNCTION("""COMPUTED_VALUE"""),25000.0)</f>
        <v>25000</v>
      </c>
      <c r="AD553" s="1"/>
      <c r="AE553" s="1"/>
      <c r="AF553" s="1" t="str">
        <f>IFERROR(__xludf.DUMMYFUNCTION("""COMPUTED_VALUE"""),"++X2 Firearm Damage. ++When equipped with the rest of the Forged Paladin gear deal X6 damage with this weapon. +-Forged Paladin Class Only.")</f>
        <v>++X2 Firearm Damage. ++When equipped with the rest of the Forged Paladin gear deal X6 damage with this weapon. +-Forged Paladin Class Only.</v>
      </c>
      <c r="AG553" s="1" t="str">
        <f>IFERROR(__xludf.DUMMYFUNCTION("""COMPUTED_VALUE"""),"Land of Spira")</f>
        <v>Land of Spira</v>
      </c>
      <c r="AH553" s="1" t="b">
        <f>IFERROR(__xludf.DUMMYFUNCTION("""COMPUTED_VALUE"""),FALSE)</f>
        <v>0</v>
      </c>
    </row>
    <row r="554">
      <c r="A554" s="1" t="str">
        <f>IFERROR(__xludf.DUMMYFUNCTION("""COMPUTED_VALUE"""),"Forged Towershield")</f>
        <v>Forged Towershield</v>
      </c>
      <c r="B554" s="1" t="str">
        <f>IFERROR(__xludf.DUMMYFUNCTION("""COMPUTED_VALUE"""),"Hand")</f>
        <v>Hand</v>
      </c>
      <c r="C554" s="1" t="str">
        <f>IFERROR(__xludf.DUMMYFUNCTION("""COMPUTED_VALUE"""),"Quest Item")</f>
        <v>Quest Item</v>
      </c>
      <c r="D554" s="1" t="str">
        <f>IFERROR(__xludf.DUMMYFUNCTION("""COMPUTED_VALUE"""),"Towershield")</f>
        <v>Towershield</v>
      </c>
      <c r="E554" s="1">
        <f>IFERROR(__xludf.DUMMYFUNCTION("""COMPUTED_VALUE"""),200.0)</f>
        <v>200</v>
      </c>
      <c r="F554" s="2">
        <f>IFERROR(__xludf.DUMMYFUNCTION("""COMPUTED_VALUE"""),5.4285E8)</f>
        <v>542850000</v>
      </c>
      <c r="G554" s="1" t="str">
        <f>IFERROR(__xludf.DUMMYFUNCTION("""COMPUTED_VALUE"""),"DEF")</f>
        <v>DEF</v>
      </c>
      <c r="H554" s="3">
        <f>IFERROR(__xludf.DUMMYFUNCTION("""COMPUTED_VALUE"""),50000.0)</f>
        <v>50000</v>
      </c>
      <c r="I554" s="3">
        <f>IFERROR(__xludf.DUMMYFUNCTION("""COMPUTED_VALUE"""),25000.0)</f>
        <v>25000</v>
      </c>
      <c r="J554" s="1"/>
      <c r="K554" s="3">
        <f>IFERROR(__xludf.DUMMYFUNCTION("""COMPUTED_VALUE"""),15000.0)</f>
        <v>15000</v>
      </c>
      <c r="L554" s="1"/>
      <c r="M554" s="1"/>
      <c r="N554" s="1"/>
      <c r="O554" s="1"/>
      <c r="P554" s="1"/>
      <c r="Q554" s="1"/>
      <c r="R554" s="1"/>
      <c r="S554" s="3">
        <f>IFERROR(__xludf.DUMMYFUNCTION("""COMPUTED_VALUE"""),50000.0)</f>
        <v>50000</v>
      </c>
      <c r="T554" s="1"/>
      <c r="U554" s="1"/>
      <c r="V554" s="1"/>
      <c r="W554" s="1"/>
      <c r="X554" s="1"/>
      <c r="Y554" s="1"/>
      <c r="Z554" s="1"/>
      <c r="AA554" s="1"/>
      <c r="AB554" s="1"/>
      <c r="AC554" s="3">
        <f>IFERROR(__xludf.DUMMYFUNCTION("""COMPUTED_VALUE"""),25000.0)</f>
        <v>25000</v>
      </c>
      <c r="AD554" s="1"/>
      <c r="AE554" s="1"/>
      <c r="AF554" s="1" t="str">
        <f>IFERROR(__xludf.DUMMYFUNCTION("""COMPUTED_VALUE"""),"++X2 defense. ++When equipped with the rest of the Forged Paladin gear gain X6 defense. +-Forged Paladin Class Only.")</f>
        <v>++X2 defense. ++When equipped with the rest of the Forged Paladin gear gain X6 defense. +-Forged Paladin Class Only.</v>
      </c>
      <c r="AG554" s="1" t="str">
        <f>IFERROR(__xludf.DUMMYFUNCTION("""COMPUTED_VALUE"""),"Land of Spira")</f>
        <v>Land of Spira</v>
      </c>
      <c r="AH554" s="1" t="b">
        <f>IFERROR(__xludf.DUMMYFUNCTION("""COMPUTED_VALUE"""),FALSE)</f>
        <v>0</v>
      </c>
    </row>
    <row r="555">
      <c r="A555" s="1" t="str">
        <f>IFERROR(__xludf.DUMMYFUNCTION("""COMPUTED_VALUE"""),"Forged Leg guard")</f>
        <v>Forged Leg guard</v>
      </c>
      <c r="B555" s="1" t="str">
        <f>IFERROR(__xludf.DUMMYFUNCTION("""COMPUTED_VALUE"""),"Legs")</f>
        <v>Legs</v>
      </c>
      <c r="C555" s="1" t="str">
        <f>IFERROR(__xludf.DUMMYFUNCTION("""COMPUTED_VALUE"""),"Quest Item")</f>
        <v>Quest Item</v>
      </c>
      <c r="D555" s="1"/>
      <c r="E555" s="1">
        <f>IFERROR(__xludf.DUMMYFUNCTION("""COMPUTED_VALUE"""),200.0)</f>
        <v>200</v>
      </c>
      <c r="F555" s="2">
        <f>IFERROR(__xludf.DUMMYFUNCTION("""COMPUTED_VALUE"""),1.1175E8)</f>
        <v>111750000</v>
      </c>
      <c r="G555" s="1" t="str">
        <f>IFERROR(__xludf.DUMMYFUNCTION("""COMPUTED_VALUE"""),"DEF")</f>
        <v>DEF</v>
      </c>
      <c r="H555" s="3">
        <f>IFERROR(__xludf.DUMMYFUNCTION("""COMPUTED_VALUE"""),25000.0)</f>
        <v>25000</v>
      </c>
      <c r="I555" s="3">
        <f>IFERROR(__xludf.DUMMYFUNCTION("""COMPUTED_VALUE"""),10000.0)</f>
        <v>10000</v>
      </c>
      <c r="J555" s="1"/>
      <c r="K555" s="3">
        <f>IFERROR(__xludf.DUMMYFUNCTION("""COMPUTED_VALUE"""),5000.0)</f>
        <v>5000</v>
      </c>
      <c r="L555" s="1"/>
      <c r="M555" s="1"/>
      <c r="N555" s="1"/>
      <c r="O555" s="1"/>
      <c r="P555" s="1"/>
      <c r="Q555" s="1"/>
      <c r="R555" s="1"/>
      <c r="S555" s="3">
        <f>IFERROR(__xludf.DUMMYFUNCTION("""COMPUTED_VALUE"""),25000.0)</f>
        <v>25000</v>
      </c>
      <c r="T555" s="1"/>
      <c r="U555" s="1"/>
      <c r="V555" s="1"/>
      <c r="W555" s="1"/>
      <c r="X555" s="1"/>
      <c r="Y555" s="1"/>
      <c r="Z555" s="1"/>
      <c r="AA555" s="1"/>
      <c r="AB555" s="1"/>
      <c r="AC555" s="3">
        <f>IFERROR(__xludf.DUMMYFUNCTION("""COMPUTED_VALUE"""),10000.0)</f>
        <v>10000</v>
      </c>
      <c r="AD555" s="1"/>
      <c r="AE555" s="1"/>
      <c r="AF555" s="1" t="str">
        <f>IFERROR(__xludf.DUMMYFUNCTION("""COMPUTED_VALUE"""),"++When affected by Burn, Heal by the damage instead. +-Forged Paladin Class Only.")</f>
        <v>++When affected by Burn, Heal by the damage instead. +-Forged Paladin Class Only.</v>
      </c>
      <c r="AG555" s="1" t="str">
        <f>IFERROR(__xludf.DUMMYFUNCTION("""COMPUTED_VALUE"""),"Land of Spira")</f>
        <v>Land of Spira</v>
      </c>
      <c r="AH555" s="1" t="b">
        <f>IFERROR(__xludf.DUMMYFUNCTION("""COMPUTED_VALUE"""),FALSE)</f>
        <v>0</v>
      </c>
    </row>
    <row r="556">
      <c r="A556" s="1" t="str">
        <f>IFERROR(__xludf.DUMMYFUNCTION("""COMPUTED_VALUE"""),"Forged Sabatons")</f>
        <v>Forged Sabatons</v>
      </c>
      <c r="B556" s="1" t="str">
        <f>IFERROR(__xludf.DUMMYFUNCTION("""COMPUTED_VALUE"""),"Feet")</f>
        <v>Feet</v>
      </c>
      <c r="C556" s="1" t="str">
        <f>IFERROR(__xludf.DUMMYFUNCTION("""COMPUTED_VALUE"""),"Quest Item")</f>
        <v>Quest Item</v>
      </c>
      <c r="D556" s="1"/>
      <c r="E556" s="1">
        <f>IFERROR(__xludf.DUMMYFUNCTION("""COMPUTED_VALUE"""),200.0)</f>
        <v>200</v>
      </c>
      <c r="F556" s="2">
        <f>IFERROR(__xludf.DUMMYFUNCTION("""COMPUTED_VALUE"""),1.1175E8)</f>
        <v>111750000</v>
      </c>
      <c r="G556" s="1" t="str">
        <f>IFERROR(__xludf.DUMMYFUNCTION("""COMPUTED_VALUE"""),"DEF")</f>
        <v>DEF</v>
      </c>
      <c r="H556" s="3">
        <f>IFERROR(__xludf.DUMMYFUNCTION("""COMPUTED_VALUE"""),25000.0)</f>
        <v>25000</v>
      </c>
      <c r="I556" s="3">
        <f>IFERROR(__xludf.DUMMYFUNCTION("""COMPUTED_VALUE"""),10000.0)</f>
        <v>10000</v>
      </c>
      <c r="J556" s="1"/>
      <c r="K556" s="3">
        <f>IFERROR(__xludf.DUMMYFUNCTION("""COMPUTED_VALUE"""),5000.0)</f>
        <v>5000</v>
      </c>
      <c r="L556" s="1"/>
      <c r="M556" s="1"/>
      <c r="N556" s="1"/>
      <c r="O556" s="1"/>
      <c r="P556" s="1"/>
      <c r="Q556" s="1"/>
      <c r="R556" s="1"/>
      <c r="S556" s="3">
        <f>IFERROR(__xludf.DUMMYFUNCTION("""COMPUTED_VALUE"""),25000.0)</f>
        <v>25000</v>
      </c>
      <c r="T556" s="1"/>
      <c r="U556" s="1"/>
      <c r="V556" s="1"/>
      <c r="W556" s="1"/>
      <c r="X556" s="1"/>
      <c r="Y556" s="1"/>
      <c r="Z556" s="1"/>
      <c r="AA556" s="1"/>
      <c r="AB556" s="1"/>
      <c r="AC556" s="3">
        <f>IFERROR(__xludf.DUMMYFUNCTION("""COMPUTED_VALUE"""),10000.0)</f>
        <v>10000</v>
      </c>
      <c r="AD556" s="1"/>
      <c r="AE556" s="1"/>
      <c r="AF556" s="1" t="str">
        <f>IFERROR(__xludf.DUMMYFUNCTION("""COMPUTED_VALUE"""),"++When attacking with a fire spell add ++5 to roll. +-Forged Paladin Class Only.")</f>
        <v>++When attacking with a fire spell add ++5 to roll. +-Forged Paladin Class Only.</v>
      </c>
      <c r="AG556" s="1" t="str">
        <f>IFERROR(__xludf.DUMMYFUNCTION("""COMPUTED_VALUE"""),"Land of Spira")</f>
        <v>Land of Spira</v>
      </c>
      <c r="AH556" s="1" t="b">
        <f>IFERROR(__xludf.DUMMYFUNCTION("""COMPUTED_VALUE"""),FALSE)</f>
        <v>0</v>
      </c>
    </row>
    <row r="557">
      <c r="A557" s="1" t="str">
        <f>IFERROR(__xludf.DUMMYFUNCTION("""COMPUTED_VALUE"""),"Scrap Ring")</f>
        <v>Scrap Ring</v>
      </c>
      <c r="B557" s="1" t="str">
        <f>IFERROR(__xludf.DUMMYFUNCTION("""COMPUTED_VALUE"""),"Ring")</f>
        <v>Ring</v>
      </c>
      <c r="C557" s="1" t="str">
        <f>IFERROR(__xludf.DUMMYFUNCTION("""COMPUTED_VALUE"""),"Quest Item")</f>
        <v>Quest Item</v>
      </c>
      <c r="D557" s="1"/>
      <c r="E557" s="1">
        <f>IFERROR(__xludf.DUMMYFUNCTION("""COMPUTED_VALUE"""),1.0)</f>
        <v>1</v>
      </c>
      <c r="F557" s="2">
        <f>IFERROR(__xludf.DUMMYFUNCTION("""COMPUTED_VALUE"""),0.0)</f>
        <v>0</v>
      </c>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t="str">
        <f>IFERROR(__xludf.DUMMYFUNCTION("""COMPUTED_VALUE"""),"++When you attack an enemy with a firearm, inflict Marked 3. +-Forged Paladin Class Only.")</f>
        <v>++When you attack an enemy with a firearm, inflict Marked 3. +-Forged Paladin Class Only.</v>
      </c>
      <c r="AG557" s="1" t="str">
        <f>IFERROR(__xludf.DUMMYFUNCTION("""COMPUTED_VALUE"""),"Land of Spira")</f>
        <v>Land of Spira</v>
      </c>
      <c r="AH557" s="1" t="b">
        <f>IFERROR(__xludf.DUMMYFUNCTION("""COMPUTED_VALUE"""),FALSE)</f>
        <v>0</v>
      </c>
    </row>
    <row r="558">
      <c r="A558" s="1" t="str">
        <f>IFERROR(__xludf.DUMMYFUNCTION("""COMPUTED_VALUE"""),"Scrap Gorget")</f>
        <v>Scrap Gorget</v>
      </c>
      <c r="B558" s="1" t="str">
        <f>IFERROR(__xludf.DUMMYFUNCTION("""COMPUTED_VALUE"""),"Neck")</f>
        <v>Neck</v>
      </c>
      <c r="C558" s="1" t="str">
        <f>IFERROR(__xludf.DUMMYFUNCTION("""COMPUTED_VALUE"""),"Quest Item")</f>
        <v>Quest Item</v>
      </c>
      <c r="D558" s="1"/>
      <c r="E558" s="1">
        <f>IFERROR(__xludf.DUMMYFUNCTION("""COMPUTED_VALUE"""),1.0)</f>
        <v>1</v>
      </c>
      <c r="F558" s="2">
        <f>IFERROR(__xludf.DUMMYFUNCTION("""COMPUTED_VALUE"""),0.0)</f>
        <v>0</v>
      </c>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t="str">
        <f>IFERROR(__xludf.DUMMYFUNCTION("""COMPUTED_VALUE"""),"++When being attacked with any form of firearm deal half damage back to the enemy that attacked you. +-Forged Paladin Class Only.")</f>
        <v>++When being attacked with any form of firearm deal half damage back to the enemy that attacked you. +-Forged Paladin Class Only.</v>
      </c>
      <c r="AG558" s="1" t="str">
        <f>IFERROR(__xludf.DUMMYFUNCTION("""COMPUTED_VALUE"""),"Land of Spira")</f>
        <v>Land of Spira</v>
      </c>
      <c r="AH558" s="1" t="b">
        <f>IFERROR(__xludf.DUMMYFUNCTION("""COMPUTED_VALUE"""),FALSE)</f>
        <v>0</v>
      </c>
    </row>
    <row r="559">
      <c r="A559" s="1" t="str">
        <f>IFERROR(__xludf.DUMMYFUNCTION("""COMPUTED_VALUE"""),"Minstrel's Cap")</f>
        <v>Minstrel's Cap</v>
      </c>
      <c r="B559" s="1" t="str">
        <f>IFERROR(__xludf.DUMMYFUNCTION("""COMPUTED_VALUE"""),"Head")</f>
        <v>Head</v>
      </c>
      <c r="C559" s="1" t="str">
        <f>IFERROR(__xludf.DUMMYFUNCTION("""COMPUTED_VALUE"""),"Quest Item")</f>
        <v>Quest Item</v>
      </c>
      <c r="D559" s="1"/>
      <c r="E559" s="1">
        <f>IFERROR(__xludf.DUMMYFUNCTION("""COMPUTED_VALUE"""),400.0)</f>
        <v>400</v>
      </c>
      <c r="F559" s="2">
        <f>IFERROR(__xludf.DUMMYFUNCTION("""COMPUTED_VALUE"""),7800000.0)</f>
        <v>7800000</v>
      </c>
      <c r="G559" s="1" t="str">
        <f>IFERROR(__xludf.DUMMYFUNCTION("""COMPUTED_VALUE"""),"DEF")</f>
        <v>DEF</v>
      </c>
      <c r="H559" s="3">
        <f>IFERROR(__xludf.DUMMYFUNCTION("""COMPUTED_VALUE"""),20000.0)</f>
        <v>20000</v>
      </c>
      <c r="I559" s="1"/>
      <c r="J559" s="1"/>
      <c r="K559" s="1"/>
      <c r="L559" s="1"/>
      <c r="M559" s="1"/>
      <c r="N559" s="1"/>
      <c r="O559" s="1"/>
      <c r="P559" s="1"/>
      <c r="Q559" s="1"/>
      <c r="R559" s="1"/>
      <c r="S559" s="1"/>
      <c r="T559" s="1"/>
      <c r="U559" s="1"/>
      <c r="V559" s="1"/>
      <c r="W559" s="1"/>
      <c r="X559" s="1"/>
      <c r="Y559" s="1"/>
      <c r="Z559" s="1"/>
      <c r="AA559" s="1"/>
      <c r="AB559" s="1"/>
      <c r="AC559" s="1"/>
      <c r="AD559" s="1"/>
      <c r="AE559" s="1"/>
      <c r="AF559" s="1" t="str">
        <f>IFERROR(__xludf.DUMMYFUNCTION("""COMPUTED_VALUE"""),"++20,000 ACC and ATK. ++Upon reaching 5 stacks of Disoriented inflict Marked 3 on all enemies. +-Paladin of The Party and Bard Class only.")</f>
        <v>++20,000 ACC and ATK. ++Upon reaching 5 stacks of Disoriented inflict Marked 3 on all enemies. +-Paladin of The Party and Bard Class only.</v>
      </c>
      <c r="AG559" s="1" t="str">
        <f>IFERROR(__xludf.DUMMYFUNCTION("""COMPUTED_VALUE"""),"Solreach")</f>
        <v>Solreach</v>
      </c>
      <c r="AH559" s="1" t="b">
        <f>IFERROR(__xludf.DUMMYFUNCTION("""COMPUTED_VALUE"""),TRUE)</f>
        <v>1</v>
      </c>
    </row>
    <row r="560">
      <c r="A560" s="1" t="str">
        <f>IFERROR(__xludf.DUMMYFUNCTION("""COMPUTED_VALUE"""),"Minstrel's Cape")</f>
        <v>Minstrel's Cape</v>
      </c>
      <c r="B560" s="1" t="str">
        <f>IFERROR(__xludf.DUMMYFUNCTION("""COMPUTED_VALUE"""),"Shoulders")</f>
        <v>Shoulders</v>
      </c>
      <c r="C560" s="1" t="str">
        <f>IFERROR(__xludf.DUMMYFUNCTION("""COMPUTED_VALUE"""),"Quest Item")</f>
        <v>Quest Item</v>
      </c>
      <c r="D560" s="1"/>
      <c r="E560" s="1">
        <f>IFERROR(__xludf.DUMMYFUNCTION("""COMPUTED_VALUE"""),400.0)</f>
        <v>400</v>
      </c>
      <c r="F560" s="2">
        <f>IFERROR(__xludf.DUMMYFUNCTION("""COMPUTED_VALUE"""),7800000.0)</f>
        <v>7800000</v>
      </c>
      <c r="G560" s="1" t="str">
        <f>IFERROR(__xludf.DUMMYFUNCTION("""COMPUTED_VALUE"""),"DEF")</f>
        <v>DEF</v>
      </c>
      <c r="H560" s="3">
        <f>IFERROR(__xludf.DUMMYFUNCTION("""COMPUTED_VALUE"""),20000.0)</f>
        <v>20000</v>
      </c>
      <c r="I560" s="1"/>
      <c r="J560" s="1"/>
      <c r="K560" s="1"/>
      <c r="L560" s="1"/>
      <c r="M560" s="1"/>
      <c r="N560" s="1"/>
      <c r="O560" s="1"/>
      <c r="P560" s="1"/>
      <c r="Q560" s="1"/>
      <c r="R560" s="1"/>
      <c r="S560" s="1"/>
      <c r="T560" s="1"/>
      <c r="U560" s="1"/>
      <c r="V560" s="1"/>
      <c r="W560" s="1"/>
      <c r="X560" s="1"/>
      <c r="Y560" s="1"/>
      <c r="Z560" s="1"/>
      <c r="AA560" s="1"/>
      <c r="AB560" s="1"/>
      <c r="AC560" s="1"/>
      <c r="AD560" s="1"/>
      <c r="AE560" s="1"/>
      <c r="AF560" s="1" t="str">
        <f>IFERROR(__xludf.DUMMYFUNCTION("""COMPUTED_VALUE"""),"++ 20,000 ACC and ATK. ++When casting any form of buffing spell, double the effects for the rest of the round. +-Paladin of The Party and Bard Class only.")</f>
        <v>++ 20,000 ACC and ATK. ++When casting any form of buffing spell, double the effects for the rest of the round. +-Paladin of The Party and Bard Class only.</v>
      </c>
      <c r="AG560" s="1" t="str">
        <f>IFERROR(__xludf.DUMMYFUNCTION("""COMPUTED_VALUE"""),"Solreach")</f>
        <v>Solreach</v>
      </c>
      <c r="AH560" s="1" t="b">
        <f>IFERROR(__xludf.DUMMYFUNCTION("""COMPUTED_VALUE"""),TRUE)</f>
        <v>1</v>
      </c>
    </row>
    <row r="561">
      <c r="A561" s="1" t="str">
        <f>IFERROR(__xludf.DUMMYFUNCTION("""COMPUTED_VALUE"""),"Minstrel's Doublet")</f>
        <v>Minstrel's Doublet</v>
      </c>
      <c r="B561" s="1" t="str">
        <f>IFERROR(__xludf.DUMMYFUNCTION("""COMPUTED_VALUE"""),"Torso")</f>
        <v>Torso</v>
      </c>
      <c r="C561" s="1" t="str">
        <f>IFERROR(__xludf.DUMMYFUNCTION("""COMPUTED_VALUE"""),"Quest Item")</f>
        <v>Quest Item</v>
      </c>
      <c r="D561" s="1"/>
      <c r="E561" s="1">
        <f>IFERROR(__xludf.DUMMYFUNCTION("""COMPUTED_VALUE"""),800.0)</f>
        <v>800</v>
      </c>
      <c r="F561" s="2">
        <f>IFERROR(__xludf.DUMMYFUNCTION("""COMPUTED_VALUE"""),3.16E7)</f>
        <v>31600000</v>
      </c>
      <c r="G561" s="1" t="str">
        <f>IFERROR(__xludf.DUMMYFUNCTION("""COMPUTED_VALUE"""),"DEF")</f>
        <v>DEF</v>
      </c>
      <c r="H561" s="3">
        <f>IFERROR(__xludf.DUMMYFUNCTION("""COMPUTED_VALUE"""),40000.0)</f>
        <v>40000</v>
      </c>
      <c r="I561" s="1"/>
      <c r="J561" s="1"/>
      <c r="K561" s="1"/>
      <c r="L561" s="1"/>
      <c r="M561" s="1"/>
      <c r="N561" s="1"/>
      <c r="O561" s="1"/>
      <c r="P561" s="1"/>
      <c r="Q561" s="1"/>
      <c r="R561" s="1"/>
      <c r="S561" s="1"/>
      <c r="T561" s="1"/>
      <c r="U561" s="1"/>
      <c r="V561" s="1"/>
      <c r="W561" s="1"/>
      <c r="X561" s="1"/>
      <c r="Y561" s="1"/>
      <c r="Z561" s="1"/>
      <c r="AA561" s="1"/>
      <c r="AB561" s="1"/>
      <c r="AC561" s="1"/>
      <c r="AD561" s="1"/>
      <c r="AE561" s="1"/>
      <c r="AF561" s="1" t="str">
        <f>IFERROR(__xludf.DUMMYFUNCTION("""COMPUTED_VALUE"""),"++20,000 ACC and ATK. ++Upon surpassing 3 stacks of Disoriented you gain Invigorated until you drop below 3 stacks of Disoriented. +-Paladin of The Party and Bard Class only.")</f>
        <v>++20,000 ACC and ATK. ++Upon surpassing 3 stacks of Disoriented you gain Invigorated until you drop below 3 stacks of Disoriented. +-Paladin of The Party and Bard Class only.</v>
      </c>
      <c r="AG561" s="1" t="str">
        <f>IFERROR(__xludf.DUMMYFUNCTION("""COMPUTED_VALUE"""),"Solreach")</f>
        <v>Solreach</v>
      </c>
      <c r="AH561" s="1" t="b">
        <f>IFERROR(__xludf.DUMMYFUNCTION("""COMPUTED_VALUE"""),TRUE)</f>
        <v>1</v>
      </c>
    </row>
    <row r="562">
      <c r="A562" s="1" t="str">
        <f>IFERROR(__xludf.DUMMYFUNCTION("""COMPUTED_VALUE"""),"Minstrel's Cuffs")</f>
        <v>Minstrel's Cuffs</v>
      </c>
      <c r="B562" s="1" t="str">
        <f>IFERROR(__xludf.DUMMYFUNCTION("""COMPUTED_VALUE"""),"Arms")</f>
        <v>Arms</v>
      </c>
      <c r="C562" s="1" t="str">
        <f>IFERROR(__xludf.DUMMYFUNCTION("""COMPUTED_VALUE"""),"Quest Item")</f>
        <v>Quest Item</v>
      </c>
      <c r="D562" s="1"/>
      <c r="E562" s="1">
        <f>IFERROR(__xludf.DUMMYFUNCTION("""COMPUTED_VALUE"""),400.0)</f>
        <v>400</v>
      </c>
      <c r="F562" s="2">
        <f>IFERROR(__xludf.DUMMYFUNCTION("""COMPUTED_VALUE"""),7800000.0)</f>
        <v>7800000</v>
      </c>
      <c r="G562" s="1" t="str">
        <f>IFERROR(__xludf.DUMMYFUNCTION("""COMPUTED_VALUE"""),"DEF")</f>
        <v>DEF</v>
      </c>
      <c r="H562" s="3">
        <f>IFERROR(__xludf.DUMMYFUNCTION("""COMPUTED_VALUE"""),20000.0)</f>
        <v>20000</v>
      </c>
      <c r="I562" s="1"/>
      <c r="J562" s="1"/>
      <c r="K562" s="1"/>
      <c r="L562" s="1"/>
      <c r="M562" s="1"/>
      <c r="N562" s="1"/>
      <c r="O562" s="1"/>
      <c r="P562" s="1"/>
      <c r="Q562" s="1"/>
      <c r="R562" s="1"/>
      <c r="S562" s="1"/>
      <c r="T562" s="1"/>
      <c r="U562" s="1"/>
      <c r="V562" s="1"/>
      <c r="W562" s="1"/>
      <c r="X562" s="1"/>
      <c r="Y562" s="1"/>
      <c r="Z562" s="1"/>
      <c r="AA562" s="1"/>
      <c r="AB562" s="1"/>
      <c r="AC562" s="1"/>
      <c r="AD562" s="1"/>
      <c r="AE562" s="1"/>
      <c r="AF562" s="1" t="str">
        <f>IFERROR(__xludf.DUMMYFUNCTION("""COMPUTED_VALUE"""),"++20,000 ACC and ATK. ++When using the entire Minstrel set you Double the DEF, ACC, and ATK of all allies. +-Paladin of The Party and Bard Class only.")</f>
        <v>++20,000 ACC and ATK. ++When using the entire Minstrel set you Double the DEF, ACC, and ATK of all allies. +-Paladin of The Party and Bard Class only.</v>
      </c>
      <c r="AG562" s="1" t="str">
        <f>IFERROR(__xludf.DUMMYFUNCTION("""COMPUTED_VALUE"""),"Solreach")</f>
        <v>Solreach</v>
      </c>
      <c r="AH562" s="1" t="b">
        <f>IFERROR(__xludf.DUMMYFUNCTION("""COMPUTED_VALUE"""),TRUE)</f>
        <v>1</v>
      </c>
    </row>
    <row r="563">
      <c r="A563" s="1" t="str">
        <f>IFERROR(__xludf.DUMMYFUNCTION("""COMPUTED_VALUE"""),"Heavenly Lute")</f>
        <v>Heavenly Lute</v>
      </c>
      <c r="B563" s="1" t="str">
        <f>IFERROR(__xludf.DUMMYFUNCTION("""COMPUTED_VALUE"""),"Hand")</f>
        <v>Hand</v>
      </c>
      <c r="C563" s="1" t="str">
        <f>IFERROR(__xludf.DUMMYFUNCTION("""COMPUTED_VALUE"""),"Quest Item")</f>
        <v>Quest Item</v>
      </c>
      <c r="D563" s="1" t="str">
        <f>IFERROR(__xludf.DUMMYFUNCTION("""COMPUTED_VALUE"""),"Instrument")</f>
        <v>Instrument</v>
      </c>
      <c r="E563" s="1">
        <f>IFERROR(__xludf.DUMMYFUNCTION("""COMPUTED_VALUE"""),900.0)</f>
        <v>900</v>
      </c>
      <c r="F563" s="2">
        <f>IFERROR(__xludf.DUMMYFUNCTION("""COMPUTED_VALUE"""),4.005E7)</f>
        <v>40050000</v>
      </c>
      <c r="G563" s="1" t="str">
        <f>IFERROR(__xludf.DUMMYFUNCTION("""COMPUTED_VALUE"""),"DMG")</f>
        <v>DMG</v>
      </c>
      <c r="H563" s="3">
        <f>IFERROR(__xludf.DUMMYFUNCTION("""COMPUTED_VALUE"""),20000.0)</f>
        <v>20000</v>
      </c>
      <c r="I563" s="1"/>
      <c r="J563" s="1"/>
      <c r="K563" s="1"/>
      <c r="L563" s="1"/>
      <c r="M563" s="1"/>
      <c r="N563" s="1"/>
      <c r="O563" s="1"/>
      <c r="P563" s="1"/>
      <c r="Q563" s="1"/>
      <c r="R563" s="1"/>
      <c r="S563" s="1"/>
      <c r="T563" s="1"/>
      <c r="U563" s="1"/>
      <c r="V563" s="1"/>
      <c r="W563" s="1"/>
      <c r="X563" s="1"/>
      <c r="Y563" s="1"/>
      <c r="Z563" s="1"/>
      <c r="AA563" s="1"/>
      <c r="AB563" s="1"/>
      <c r="AC563" s="1"/>
      <c r="AD563" s="1"/>
      <c r="AE563" s="3">
        <f>IFERROR(__xludf.DUMMYFUNCTION("""COMPUTED_VALUE"""),25000.0)</f>
        <v>25000</v>
      </c>
      <c r="AF563" s="1" t="str">
        <f>IFERROR(__xludf.DUMMYFUNCTION("""COMPUTED_VALUE"""),"++When attacking an enemy with this weapon gain 1 stack of Disoriented. ++May The Show Go On!: Expend all stacks of Disoriented dealing X*15000 Acoustic Damage for every stack of Disoriented expended,100 sp. +-Paladin of The Party and Bard Class only.")</f>
        <v>++When attacking an enemy with this weapon gain 1 stack of Disoriented. ++May The Show Go On!: Expend all stacks of Disoriented dealing X*15000 Acoustic Damage for every stack of Disoriented expended,100 sp. +-Paladin of The Party and Bard Class only.</v>
      </c>
      <c r="AG563" s="1" t="str">
        <f>IFERROR(__xludf.DUMMYFUNCTION("""COMPUTED_VALUE"""),"Solreach")</f>
        <v>Solreach</v>
      </c>
      <c r="AH563" s="1" t="b">
        <f>IFERROR(__xludf.DUMMYFUNCTION("""COMPUTED_VALUE"""),TRUE)</f>
        <v>1</v>
      </c>
    </row>
    <row r="564">
      <c r="A564" s="1" t="str">
        <f>IFERROR(__xludf.DUMMYFUNCTION("""COMPUTED_VALUE"""),"Wine Stained Buckler With Portable Alcoholism")</f>
        <v>Wine Stained Buckler With Portable Alcoholism</v>
      </c>
      <c r="B564" s="1" t="str">
        <f>IFERROR(__xludf.DUMMYFUNCTION("""COMPUTED_VALUE"""),"Hand")</f>
        <v>Hand</v>
      </c>
      <c r="C564" s="1" t="str">
        <f>IFERROR(__xludf.DUMMYFUNCTION("""COMPUTED_VALUE"""),"Quest Item")</f>
        <v>Quest Item</v>
      </c>
      <c r="D564" s="1" t="str">
        <f>IFERROR(__xludf.DUMMYFUNCTION("""COMPUTED_VALUE"""),"Buckler")</f>
        <v>Buckler</v>
      </c>
      <c r="E564" s="1">
        <f>IFERROR(__xludf.DUMMYFUNCTION("""COMPUTED_VALUE"""),1500.0)</f>
        <v>1500</v>
      </c>
      <c r="F564" s="2">
        <f>IFERROR(__xludf.DUMMYFUNCTION("""COMPUTED_VALUE"""),1.1175E8)</f>
        <v>111750000</v>
      </c>
      <c r="G564" s="1" t="str">
        <f>IFERROR(__xludf.DUMMYFUNCTION("""COMPUTED_VALUE"""),"DEF")</f>
        <v>DEF</v>
      </c>
      <c r="H564" s="3">
        <f>IFERROR(__xludf.DUMMYFUNCTION("""COMPUTED_VALUE"""),50000.0)</f>
        <v>50000</v>
      </c>
      <c r="I564" s="1"/>
      <c r="J564" s="1"/>
      <c r="K564" s="1"/>
      <c r="L564" s="1"/>
      <c r="M564" s="1"/>
      <c r="N564" s="1"/>
      <c r="O564" s="1"/>
      <c r="P564" s="1"/>
      <c r="Q564" s="1"/>
      <c r="R564" s="1"/>
      <c r="S564" s="1"/>
      <c r="T564" s="1"/>
      <c r="U564" s="1"/>
      <c r="V564" s="1"/>
      <c r="W564" s="1"/>
      <c r="X564" s="1"/>
      <c r="Y564" s="1"/>
      <c r="Z564" s="1"/>
      <c r="AA564" s="1"/>
      <c r="AB564" s="1"/>
      <c r="AC564" s="1"/>
      <c r="AD564" s="1"/>
      <c r="AE564" s="3">
        <f>IFERROR(__xludf.DUMMYFUNCTION("""COMPUTED_VALUE"""),25000.0)</f>
        <v>25000</v>
      </c>
      <c r="AF564" s="1" t="str">
        <f>IFERROR(__xludf.DUMMYFUNCTION("""COMPUTED_VALUE"""),"++Free Wine for All!: When hitting an enemy with this Buckler inflict 3 stacks of Disoriented on that enemy. +-That all you got?: When hit by any attack take 2 stacks of Disoriented. +-Paladin of The Party and Bard Class only.")</f>
        <v>++Free Wine for All!: When hitting an enemy with this Buckler inflict 3 stacks of Disoriented on that enemy. +-That all you got?: When hit by any attack take 2 stacks of Disoriented. +-Paladin of The Party and Bard Class only.</v>
      </c>
      <c r="AG564" s="1" t="str">
        <f>IFERROR(__xludf.DUMMYFUNCTION("""COMPUTED_VALUE"""),"Solreach")</f>
        <v>Solreach</v>
      </c>
      <c r="AH564" s="1" t="b">
        <f>IFERROR(__xludf.DUMMYFUNCTION("""COMPUTED_VALUE"""),TRUE)</f>
        <v>1</v>
      </c>
    </row>
    <row r="565">
      <c r="A565" s="1" t="str">
        <f>IFERROR(__xludf.DUMMYFUNCTION("""COMPUTED_VALUE"""),"Minstrel's Tights")</f>
        <v>Minstrel's Tights</v>
      </c>
      <c r="B565" s="1" t="str">
        <f>IFERROR(__xludf.DUMMYFUNCTION("""COMPUTED_VALUE"""),"Legs")</f>
        <v>Legs</v>
      </c>
      <c r="C565" s="1" t="str">
        <f>IFERROR(__xludf.DUMMYFUNCTION("""COMPUTED_VALUE"""),"Quest Item")</f>
        <v>Quest Item</v>
      </c>
      <c r="D565" s="1"/>
      <c r="E565" s="1">
        <f>IFERROR(__xludf.DUMMYFUNCTION("""COMPUTED_VALUE"""),400.0)</f>
        <v>400</v>
      </c>
      <c r="F565" s="2">
        <f>IFERROR(__xludf.DUMMYFUNCTION("""COMPUTED_VALUE"""),7800000.0)</f>
        <v>7800000</v>
      </c>
      <c r="G565" s="1" t="str">
        <f>IFERROR(__xludf.DUMMYFUNCTION("""COMPUTED_VALUE"""),"DEF")</f>
        <v>DEF</v>
      </c>
      <c r="H565" s="3">
        <f>IFERROR(__xludf.DUMMYFUNCTION("""COMPUTED_VALUE"""),20000.0)</f>
        <v>20000</v>
      </c>
      <c r="I565" s="1"/>
      <c r="J565" s="1"/>
      <c r="K565" s="1"/>
      <c r="L565" s="1"/>
      <c r="M565" s="1"/>
      <c r="N565" s="1"/>
      <c r="O565" s="1"/>
      <c r="P565" s="1"/>
      <c r="Q565" s="1"/>
      <c r="R565" s="1"/>
      <c r="S565" s="1"/>
      <c r="T565" s="1"/>
      <c r="U565" s="1"/>
      <c r="V565" s="1"/>
      <c r="W565" s="1"/>
      <c r="X565" s="1"/>
      <c r="Y565" s="1"/>
      <c r="Z565" s="1"/>
      <c r="AA565" s="1"/>
      <c r="AB565" s="1"/>
      <c r="AC565" s="1"/>
      <c r="AD565" s="1"/>
      <c r="AE565" s="1"/>
      <c r="AF565" s="1" t="str">
        <f>IFERROR(__xludf.DUMMYFUNCTION("""COMPUTED_VALUE"""),"++20,000 ACC and ATK. ++X2 Acoustic Damage +-Paladin of The Party and Bard Class only.")</f>
        <v>++20,000 ACC and ATK. ++X2 Acoustic Damage +-Paladin of The Party and Bard Class only.</v>
      </c>
      <c r="AG565" s="1" t="str">
        <f>IFERROR(__xludf.DUMMYFUNCTION("""COMPUTED_VALUE"""),"Solreach")</f>
        <v>Solreach</v>
      </c>
      <c r="AH565" s="1" t="b">
        <f>IFERROR(__xludf.DUMMYFUNCTION("""COMPUTED_VALUE"""),TRUE)</f>
        <v>1</v>
      </c>
    </row>
    <row r="566">
      <c r="A566" s="1" t="str">
        <f>IFERROR(__xludf.DUMMYFUNCTION("""COMPUTED_VALUE"""),"Minstrel's Boots")</f>
        <v>Minstrel's Boots</v>
      </c>
      <c r="B566" s="1" t="str">
        <f>IFERROR(__xludf.DUMMYFUNCTION("""COMPUTED_VALUE"""),"Feet")</f>
        <v>Feet</v>
      </c>
      <c r="C566" s="1" t="str">
        <f>IFERROR(__xludf.DUMMYFUNCTION("""COMPUTED_VALUE"""),"Quest Item")</f>
        <v>Quest Item</v>
      </c>
      <c r="D566" s="1"/>
      <c r="E566" s="1">
        <f>IFERROR(__xludf.DUMMYFUNCTION("""COMPUTED_VALUE"""),400.0)</f>
        <v>400</v>
      </c>
      <c r="F566" s="2">
        <f>IFERROR(__xludf.DUMMYFUNCTION("""COMPUTED_VALUE"""),7800000.0)</f>
        <v>7800000</v>
      </c>
      <c r="G566" s="1" t="str">
        <f>IFERROR(__xludf.DUMMYFUNCTION("""COMPUTED_VALUE"""),"DEF")</f>
        <v>DEF</v>
      </c>
      <c r="H566" s="3">
        <f>IFERROR(__xludf.DUMMYFUNCTION("""COMPUTED_VALUE"""),20000.0)</f>
        <v>20000</v>
      </c>
      <c r="I566" s="1"/>
      <c r="J566" s="1"/>
      <c r="K566" s="1"/>
      <c r="L566" s="1"/>
      <c r="M566" s="1"/>
      <c r="N566" s="1"/>
      <c r="O566" s="1"/>
      <c r="P566" s="1"/>
      <c r="Q566" s="1"/>
      <c r="R566" s="1"/>
      <c r="S566" s="1"/>
      <c r="T566" s="1"/>
      <c r="U566" s="1"/>
      <c r="V566" s="1"/>
      <c r="W566" s="1"/>
      <c r="X566" s="1"/>
      <c r="Y566" s="1"/>
      <c r="Z566" s="1"/>
      <c r="AA566" s="1"/>
      <c r="AB566" s="1"/>
      <c r="AC566" s="1"/>
      <c r="AD566" s="1"/>
      <c r="AE566" s="1"/>
      <c r="AF566" s="1" t="str">
        <f>IFERROR(__xludf.DUMMYFUNCTION("""COMPUTED_VALUE"""),"++20,000 ACC and ATK. ++Never Ending Dance of The Divine: Upon reaching 5 stacks of Disoriented inflict Haste 3 to all allies +-Paladin of The Party and Bard Class only.")</f>
        <v>++20,000 ACC and ATK. ++Never Ending Dance of The Divine: Upon reaching 5 stacks of Disoriented inflict Haste 3 to all allies +-Paladin of The Party and Bard Class only.</v>
      </c>
      <c r="AG566" s="1" t="str">
        <f>IFERROR(__xludf.DUMMYFUNCTION("""COMPUTED_VALUE"""),"Solreach")</f>
        <v>Solreach</v>
      </c>
      <c r="AH566" s="1" t="b">
        <f>IFERROR(__xludf.DUMMYFUNCTION("""COMPUTED_VALUE"""),TRUE)</f>
        <v>1</v>
      </c>
    </row>
    <row r="567">
      <c r="A567" s="1" t="str">
        <f>IFERROR(__xludf.DUMMYFUNCTION("""COMPUTED_VALUE"""),"Brass Ring of Blackout Drunkenness")</f>
        <v>Brass Ring of Blackout Drunkenness</v>
      </c>
      <c r="B567" s="1" t="str">
        <f>IFERROR(__xludf.DUMMYFUNCTION("""COMPUTED_VALUE"""),"Ring")</f>
        <v>Ring</v>
      </c>
      <c r="C567" s="1" t="str">
        <f>IFERROR(__xludf.DUMMYFUNCTION("""COMPUTED_VALUE"""),"Quest Item")</f>
        <v>Quest Item</v>
      </c>
      <c r="D567" s="1"/>
      <c r="E567" s="1">
        <f>IFERROR(__xludf.DUMMYFUNCTION("""COMPUTED_VALUE"""),1.0)</f>
        <v>1</v>
      </c>
      <c r="F567" s="2">
        <f>IFERROR(__xludf.DUMMYFUNCTION("""COMPUTED_VALUE"""),0.0)</f>
        <v>0</v>
      </c>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t="str">
        <f>IFERROR(__xludf.DUMMYFUNCTION("""COMPUTED_VALUE"""),"++Upon Reaching 10 stacks of Disoriented remove a random enemy from battle whilst also being removed from battle yourself. +-Paladin of The Party and Bard Class only.")</f>
        <v>++Upon Reaching 10 stacks of Disoriented remove a random enemy from battle whilst also being removed from battle yourself. +-Paladin of The Party and Bard Class only.</v>
      </c>
      <c r="AG567" s="1" t="str">
        <f>IFERROR(__xludf.DUMMYFUNCTION("""COMPUTED_VALUE"""),"Solreach")</f>
        <v>Solreach</v>
      </c>
      <c r="AH567" s="1" t="b">
        <f>IFERROR(__xludf.DUMMYFUNCTION("""COMPUTED_VALUE"""),FALSE)</f>
        <v>0</v>
      </c>
    </row>
    <row r="568">
      <c r="A568" s="1" t="str">
        <f>IFERROR(__xludf.DUMMYFUNCTION("""COMPUTED_VALUE"""),"Wreath of The Party's Fervor")</f>
        <v>Wreath of The Party's Fervor</v>
      </c>
      <c r="B568" s="1" t="str">
        <f>IFERROR(__xludf.DUMMYFUNCTION("""COMPUTED_VALUE"""),"Neck")</f>
        <v>Neck</v>
      </c>
      <c r="C568" s="1" t="str">
        <f>IFERROR(__xludf.DUMMYFUNCTION("""COMPUTED_VALUE"""),"Quest Item")</f>
        <v>Quest Item</v>
      </c>
      <c r="D568" s="1"/>
      <c r="E568" s="1">
        <f>IFERROR(__xludf.DUMMYFUNCTION("""COMPUTED_VALUE"""),1.0)</f>
        <v>1</v>
      </c>
      <c r="F568" s="2">
        <f>IFERROR(__xludf.DUMMYFUNCTION("""COMPUTED_VALUE"""),0.0)</f>
        <v>0</v>
      </c>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t="str">
        <f>IFERROR(__xludf.DUMMYFUNCTION("""COMPUTED_VALUE"""),"++When dealing Acoustic damage to any enemy there is a 5% chance for that enemy to be pacified for 3 rounds +-Paladin of The Party and Bard Class only.")</f>
        <v>++When dealing Acoustic damage to any enemy there is a 5% chance for that enemy to be pacified for 3 rounds +-Paladin of The Party and Bard Class only.</v>
      </c>
      <c r="AG568" s="1" t="str">
        <f>IFERROR(__xludf.DUMMYFUNCTION("""COMPUTED_VALUE"""),"Solreach")</f>
        <v>Solreach</v>
      </c>
      <c r="AH568" s="1" t="b">
        <f>IFERROR(__xludf.DUMMYFUNCTION("""COMPUTED_VALUE"""),FALSE)</f>
        <v>0</v>
      </c>
    </row>
    <row r="569">
      <c r="A569" s="1" t="str">
        <f>IFERROR(__xludf.DUMMYFUNCTION("""COMPUTED_VALUE"""),"Pauldrons of Tritonoch")</f>
        <v>Pauldrons of Tritonoch</v>
      </c>
      <c r="B569" s="1" t="str">
        <f>IFERROR(__xludf.DUMMYFUNCTION("""COMPUTED_VALUE"""),"Shoulders")</f>
        <v>Shoulders</v>
      </c>
      <c r="C569" s="1"/>
      <c r="D569" s="1"/>
      <c r="E569" s="1">
        <f>IFERROR(__xludf.DUMMYFUNCTION("""COMPUTED_VALUE"""),800.0)</f>
        <v>800</v>
      </c>
      <c r="F569" s="2">
        <f>IFERROR(__xludf.DUMMYFUNCTION("""COMPUTED_VALUE"""),3.16E7)</f>
        <v>31600000</v>
      </c>
      <c r="G569" s="1" t="str">
        <f>IFERROR(__xludf.DUMMYFUNCTION("""COMPUTED_VALUE"""),"DEF")</f>
        <v>DEF</v>
      </c>
      <c r="H569" s="3">
        <f>IFERROR(__xludf.DUMMYFUNCTION("""COMPUTED_VALUE"""),20000.0)</f>
        <v>20000</v>
      </c>
      <c r="I569" s="1"/>
      <c r="J569" s="1"/>
      <c r="K569" s="1">
        <f>IFERROR(__xludf.DUMMYFUNCTION("""COMPUTED_VALUE"""),20000.0)</f>
        <v>20000</v>
      </c>
      <c r="L569" s="1"/>
      <c r="M569" s="1"/>
      <c r="N569" s="1"/>
      <c r="O569" s="1"/>
      <c r="P569" s="1"/>
      <c r="Q569" s="1"/>
      <c r="R569" s="1"/>
      <c r="S569" s="1"/>
      <c r="T569" s="1"/>
      <c r="U569" s="1"/>
      <c r="V569" s="1"/>
      <c r="W569" s="1"/>
      <c r="X569" s="1"/>
      <c r="Y569" s="1"/>
      <c r="Z569" s="1"/>
      <c r="AA569" s="1"/>
      <c r="AB569" s="1"/>
      <c r="AC569" s="1"/>
      <c r="AD569" s="1"/>
      <c r="AE569" s="1"/>
      <c r="AF569" s="1" t="str">
        <f>IFERROR(__xludf.DUMMYFUNCTION("""COMPUTED_VALUE"""),"++Waves of Entitlement - x5 additional Water damage")</f>
        <v>++Waves of Entitlement - x5 additional Water damage</v>
      </c>
      <c r="AG569" s="1" t="str">
        <f>IFERROR(__xludf.DUMMYFUNCTION("""COMPUTED_VALUE"""),"Land of Spira")</f>
        <v>Land of Spira</v>
      </c>
      <c r="AH569" s="1" t="b">
        <f>IFERROR(__xludf.DUMMYFUNCTION("""COMPUTED_VALUE"""),FALSE)</f>
        <v>0</v>
      </c>
    </row>
    <row r="570">
      <c r="A570" s="1" t="str">
        <f>IFERROR(__xludf.DUMMYFUNCTION("""COMPUTED_VALUE"""),"Chestplate of Tritonoch")</f>
        <v>Chestplate of Tritonoch</v>
      </c>
      <c r="B570" s="1" t="str">
        <f>IFERROR(__xludf.DUMMYFUNCTION("""COMPUTED_VALUE"""),"Torso")</f>
        <v>Torso</v>
      </c>
      <c r="C570" s="1"/>
      <c r="D570" s="1"/>
      <c r="E570" s="1">
        <f>IFERROR(__xludf.DUMMYFUNCTION("""COMPUTED_VALUE"""),800.0)</f>
        <v>800</v>
      </c>
      <c r="F570" s="2">
        <f>IFERROR(__xludf.DUMMYFUNCTION("""COMPUTED_VALUE"""),3.16E7)</f>
        <v>31600000</v>
      </c>
      <c r="G570" s="1" t="str">
        <f>IFERROR(__xludf.DUMMYFUNCTION("""COMPUTED_VALUE"""),"DEF")</f>
        <v>DEF</v>
      </c>
      <c r="H570" s="3">
        <f>IFERROR(__xludf.DUMMYFUNCTION("""COMPUTED_VALUE"""),20000.0)</f>
        <v>20000</v>
      </c>
      <c r="I570" s="1"/>
      <c r="J570" s="1"/>
      <c r="K570" s="1">
        <f>IFERROR(__xludf.DUMMYFUNCTION("""COMPUTED_VALUE"""),20000.0)</f>
        <v>20000</v>
      </c>
      <c r="L570" s="1"/>
      <c r="M570" s="1"/>
      <c r="N570" s="1"/>
      <c r="O570" s="1"/>
      <c r="P570" s="1"/>
      <c r="Q570" s="1"/>
      <c r="R570" s="1"/>
      <c r="S570" s="1"/>
      <c r="T570" s="1"/>
      <c r="U570" s="1"/>
      <c r="V570" s="1"/>
      <c r="W570" s="1"/>
      <c r="X570" s="1"/>
      <c r="Y570" s="1"/>
      <c r="Z570" s="1"/>
      <c r="AA570" s="1"/>
      <c r="AB570" s="1"/>
      <c r="AC570" s="1"/>
      <c r="AD570" s="1"/>
      <c r="AE570" s="1"/>
      <c r="AF570" s="1" t="str">
        <f>IFERROR(__xludf.DUMMYFUNCTION("""COMPUTED_VALUE"""),"++Waves of Entitlement - x5 additional Water damage")</f>
        <v>++Waves of Entitlement - x5 additional Water damage</v>
      </c>
      <c r="AG570" s="1" t="str">
        <f>IFERROR(__xludf.DUMMYFUNCTION("""COMPUTED_VALUE"""),"Land of Spira")</f>
        <v>Land of Spira</v>
      </c>
      <c r="AH570" s="1" t="b">
        <f>IFERROR(__xludf.DUMMYFUNCTION("""COMPUTED_VALUE"""),FALSE)</f>
        <v>0</v>
      </c>
    </row>
    <row r="571">
      <c r="A571" s="1" t="str">
        <f>IFERROR(__xludf.DUMMYFUNCTION("""COMPUTED_VALUE"""),"Vambraces of Tritonoch")</f>
        <v>Vambraces of Tritonoch</v>
      </c>
      <c r="B571" s="1" t="str">
        <f>IFERROR(__xludf.DUMMYFUNCTION("""COMPUTED_VALUE"""),"Arms")</f>
        <v>Arms</v>
      </c>
      <c r="C571" s="1"/>
      <c r="D571" s="1"/>
      <c r="E571" s="1">
        <f>IFERROR(__xludf.DUMMYFUNCTION("""COMPUTED_VALUE"""),800.0)</f>
        <v>800</v>
      </c>
      <c r="F571" s="2">
        <f>IFERROR(__xludf.DUMMYFUNCTION("""COMPUTED_VALUE"""),3.16E7)</f>
        <v>31600000</v>
      </c>
      <c r="G571" s="1" t="str">
        <f>IFERROR(__xludf.DUMMYFUNCTION("""COMPUTED_VALUE"""),"DEF")</f>
        <v>DEF</v>
      </c>
      <c r="H571" s="3">
        <f>IFERROR(__xludf.DUMMYFUNCTION("""COMPUTED_VALUE"""),20000.0)</f>
        <v>20000</v>
      </c>
      <c r="I571" s="1"/>
      <c r="J571" s="1"/>
      <c r="K571" s="1">
        <f>IFERROR(__xludf.DUMMYFUNCTION("""COMPUTED_VALUE"""),20000.0)</f>
        <v>20000</v>
      </c>
      <c r="L571" s="1"/>
      <c r="M571" s="1"/>
      <c r="N571" s="1"/>
      <c r="O571" s="1"/>
      <c r="P571" s="1"/>
      <c r="Q571" s="1"/>
      <c r="R571" s="1"/>
      <c r="S571" s="1"/>
      <c r="T571" s="1"/>
      <c r="U571" s="1"/>
      <c r="V571" s="1"/>
      <c r="W571" s="1"/>
      <c r="X571" s="1"/>
      <c r="Y571" s="1"/>
      <c r="Z571" s="1"/>
      <c r="AA571" s="1"/>
      <c r="AB571" s="1"/>
      <c r="AC571" s="1"/>
      <c r="AD571" s="1"/>
      <c r="AE571" s="1"/>
      <c r="AF571" s="1" t="str">
        <f>IFERROR(__xludf.DUMMYFUNCTION("""COMPUTED_VALUE"""),"++Waves of Entitlement - x5 additional Water damage")</f>
        <v>++Waves of Entitlement - x5 additional Water damage</v>
      </c>
      <c r="AG571" s="1" t="str">
        <f>IFERROR(__xludf.DUMMYFUNCTION("""COMPUTED_VALUE"""),"Land of Spira")</f>
        <v>Land of Spira</v>
      </c>
      <c r="AH571" s="1" t="b">
        <f>IFERROR(__xludf.DUMMYFUNCTION("""COMPUTED_VALUE"""),FALSE)</f>
        <v>0</v>
      </c>
    </row>
    <row r="572">
      <c r="A572" s="1" t="str">
        <f>IFERROR(__xludf.DUMMYFUNCTION("""COMPUTED_VALUE"""),"Trident of Tritonoch")</f>
        <v>Trident of Tritonoch</v>
      </c>
      <c r="B572" s="1" t="str">
        <f>IFERROR(__xludf.DUMMYFUNCTION("""COMPUTED_VALUE"""),"Hand")</f>
        <v>Hand</v>
      </c>
      <c r="C572" s="1"/>
      <c r="D572" s="1" t="str">
        <f>IFERROR(__xludf.DUMMYFUNCTION("""COMPUTED_VALUE"""),"Spear")</f>
        <v>Spear</v>
      </c>
      <c r="E572" s="1">
        <f>IFERROR(__xludf.DUMMYFUNCTION("""COMPUTED_VALUE"""),200.0)</f>
        <v>200</v>
      </c>
      <c r="F572" s="2">
        <f>IFERROR(__xludf.DUMMYFUNCTION("""COMPUTED_VALUE"""),7.14E7)</f>
        <v>71400000</v>
      </c>
      <c r="G572" s="1" t="str">
        <f>IFERROR(__xludf.DUMMYFUNCTION("""COMPUTED_VALUE"""),"DMG")</f>
        <v>DMG</v>
      </c>
      <c r="H572" s="3">
        <f>IFERROR(__xludf.DUMMYFUNCTION("""COMPUTED_VALUE"""),20000.0)</f>
        <v>20000</v>
      </c>
      <c r="I572" s="1"/>
      <c r="J572" s="1"/>
      <c r="K572" s="1">
        <f>IFERROR(__xludf.DUMMYFUNCTION("""COMPUTED_VALUE"""),20000.0)</f>
        <v>20000</v>
      </c>
      <c r="L572" s="1"/>
      <c r="M572" s="1"/>
      <c r="N572" s="1"/>
      <c r="O572" s="1"/>
      <c r="P572" s="1"/>
      <c r="Q572" s="1"/>
      <c r="R572" s="1"/>
      <c r="S572" s="1"/>
      <c r="T572" s="1"/>
      <c r="U572" s="1"/>
      <c r="V572" s="1"/>
      <c r="W572" s="1"/>
      <c r="X572" s="1"/>
      <c r="Y572" s="1"/>
      <c r="Z572" s="1"/>
      <c r="AA572" s="1"/>
      <c r="AB572" s="1"/>
      <c r="AC572" s="1">
        <f>IFERROR(__xludf.DUMMYFUNCTION("""COMPUTED_VALUE"""),20000.0)</f>
        <v>20000</v>
      </c>
      <c r="AD572" s="1"/>
      <c r="AE572" s="1"/>
      <c r="AF572" s="1" t="str">
        <f>IFERROR(__xludf.DUMMYFUNCTION("""COMPUTED_VALUE"""),"++Waves of Entitlement II - x10 additional Water damage. 20% chance of Slowness 3 to the target. +-Cannot be duplicated")</f>
        <v>++Waves of Entitlement II - x10 additional Water damage. 20% chance of Slowness 3 to the target. +-Cannot be duplicated</v>
      </c>
      <c r="AG572" s="1" t="str">
        <f>IFERROR(__xludf.DUMMYFUNCTION("""COMPUTED_VALUE"""),"Land of Spira")</f>
        <v>Land of Spira</v>
      </c>
      <c r="AH572" s="1" t="b">
        <f>IFERROR(__xludf.DUMMYFUNCTION("""COMPUTED_VALUE"""),FALSE)</f>
        <v>0</v>
      </c>
    </row>
    <row r="573">
      <c r="A573" s="1" t="str">
        <f>IFERROR(__xludf.DUMMYFUNCTION("""COMPUTED_VALUE"""),"Boots of Tritonoch")</f>
        <v>Boots of Tritonoch</v>
      </c>
      <c r="B573" s="1" t="str">
        <f>IFERROR(__xludf.DUMMYFUNCTION("""COMPUTED_VALUE"""),"Feet")</f>
        <v>Feet</v>
      </c>
      <c r="C573" s="1"/>
      <c r="D573" s="1"/>
      <c r="E573" s="1">
        <f>IFERROR(__xludf.DUMMYFUNCTION("""COMPUTED_VALUE"""),800.0)</f>
        <v>800</v>
      </c>
      <c r="F573" s="2">
        <f>IFERROR(__xludf.DUMMYFUNCTION("""COMPUTED_VALUE"""),3.16E7)</f>
        <v>31600000</v>
      </c>
      <c r="G573" s="1" t="str">
        <f>IFERROR(__xludf.DUMMYFUNCTION("""COMPUTED_VALUE"""),"DEF")</f>
        <v>DEF</v>
      </c>
      <c r="H573" s="3">
        <f>IFERROR(__xludf.DUMMYFUNCTION("""COMPUTED_VALUE"""),20000.0)</f>
        <v>20000</v>
      </c>
      <c r="I573" s="1"/>
      <c r="J573" s="1"/>
      <c r="K573" s="1">
        <f>IFERROR(__xludf.DUMMYFUNCTION("""COMPUTED_VALUE"""),20000.0)</f>
        <v>20000</v>
      </c>
      <c r="L573" s="1"/>
      <c r="M573" s="1"/>
      <c r="N573" s="1"/>
      <c r="O573" s="1"/>
      <c r="P573" s="1"/>
      <c r="Q573" s="1"/>
      <c r="R573" s="1"/>
      <c r="S573" s="1"/>
      <c r="T573" s="1"/>
      <c r="U573" s="1"/>
      <c r="V573" s="1"/>
      <c r="W573" s="1"/>
      <c r="X573" s="1"/>
      <c r="Y573" s="1"/>
      <c r="Z573" s="1"/>
      <c r="AA573" s="1"/>
      <c r="AB573" s="1"/>
      <c r="AC573" s="1"/>
      <c r="AD573" s="1"/>
      <c r="AE573" s="1"/>
      <c r="AF573" s="1" t="str">
        <f>IFERROR(__xludf.DUMMYFUNCTION("""COMPUTED_VALUE"""),"++Waves of Entitlement - x5 additional Water damage")</f>
        <v>++Waves of Entitlement - x5 additional Water damage</v>
      </c>
      <c r="AG573" s="1" t="str">
        <f>IFERROR(__xludf.DUMMYFUNCTION("""COMPUTED_VALUE"""),"Land of Spira")</f>
        <v>Land of Spira</v>
      </c>
      <c r="AH573" s="1" t="b">
        <f>IFERROR(__xludf.DUMMYFUNCTION("""COMPUTED_VALUE"""),FALSE)</f>
        <v>0</v>
      </c>
    </row>
    <row r="574">
      <c r="A574" s="1" t="str">
        <f>IFERROR(__xludf.DUMMYFUNCTION("""COMPUTED_VALUE"""),"Steel Bandit Dagger")</f>
        <v>Steel Bandit Dagger</v>
      </c>
      <c r="B574" s="1" t="str">
        <f>IFERROR(__xludf.DUMMYFUNCTION("""COMPUTED_VALUE"""),"Hand")</f>
        <v>Hand</v>
      </c>
      <c r="C574" s="1"/>
      <c r="D574" s="1" t="str">
        <f>IFERROR(__xludf.DUMMYFUNCTION("""COMPUTED_VALUE"""),"Knife")</f>
        <v>Knife</v>
      </c>
      <c r="E574" s="1">
        <f>IFERROR(__xludf.DUMMYFUNCTION("""COMPUTED_VALUE"""),1000.0)</f>
        <v>1000</v>
      </c>
      <c r="F574" s="2">
        <f>IFERROR(__xludf.DUMMYFUNCTION("""COMPUTED_VALUE"""),4.95E7)</f>
        <v>49500000</v>
      </c>
      <c r="G574" s="1" t="str">
        <f>IFERROR(__xludf.DUMMYFUNCTION("""COMPUTED_VALUE"""),"DMG")</f>
        <v>DMG</v>
      </c>
      <c r="H574" s="3">
        <f>IFERROR(__xludf.DUMMYFUNCTION("""COMPUTED_VALUE"""),50000.0)</f>
        <v>50000</v>
      </c>
      <c r="I574" s="1"/>
      <c r="J574" s="1"/>
      <c r="K574" s="1"/>
      <c r="L574" s="1"/>
      <c r="M574" s="1"/>
      <c r="N574" s="1"/>
      <c r="O574" s="1"/>
      <c r="P574" s="1"/>
      <c r="Q574" s="1"/>
      <c r="R574" s="1"/>
      <c r="S574" s="1"/>
      <c r="T574" s="1"/>
      <c r="U574" s="1"/>
      <c r="V574" s="1"/>
      <c r="W574" s="1"/>
      <c r="X574" s="1"/>
      <c r="Y574" s="1"/>
      <c r="Z574" s="1"/>
      <c r="AA574" s="1"/>
      <c r="AB574" s="1"/>
      <c r="AC574" s="1"/>
      <c r="AD574" s="1"/>
      <c r="AE574" s="1"/>
      <c r="AF574" s="1" t="str">
        <f>IFERROR(__xludf.DUMMYFUNCTION("""COMPUTED_VALUE"""),"++10% chance to steal gilders upon hitting an enemy guilders stolen are equivalent to 1,000*d20")</f>
        <v>++10% chance to steal gilders upon hitting an enemy guilders stolen are equivalent to 1,000*d20</v>
      </c>
      <c r="AG574" s="1" t="str">
        <f>IFERROR(__xludf.DUMMYFUNCTION("""COMPUTED_VALUE"""),"Land of Spira")</f>
        <v>Land of Spira</v>
      </c>
      <c r="AH574" s="1" t="b">
        <f>IFERROR(__xludf.DUMMYFUNCTION("""COMPUTED_VALUE"""),FALSE)</f>
        <v>0</v>
      </c>
    </row>
    <row r="575">
      <c r="A575" s="1" t="str">
        <f>IFERROR(__xludf.DUMMYFUNCTION("""COMPUTED_VALUE"""),"Bandit Hide Helm")</f>
        <v>Bandit Hide Helm</v>
      </c>
      <c r="B575" s="1" t="str">
        <f>IFERROR(__xludf.DUMMYFUNCTION("""COMPUTED_VALUE"""),"Head")</f>
        <v>Head</v>
      </c>
      <c r="C575" s="1"/>
      <c r="D575" s="1"/>
      <c r="E575" s="1">
        <f>IFERROR(__xludf.DUMMYFUNCTION("""COMPUTED_VALUE"""),1000.0)</f>
        <v>1000</v>
      </c>
      <c r="F575" s="2">
        <f>IFERROR(__xludf.DUMMYFUNCTION("""COMPUTED_VALUE"""),4.95E7)</f>
        <v>49500000</v>
      </c>
      <c r="G575" s="1" t="str">
        <f>IFERROR(__xludf.DUMMYFUNCTION("""COMPUTED_VALUE"""),"DEF")</f>
        <v>DEF</v>
      </c>
      <c r="H575" s="3">
        <f>IFERROR(__xludf.DUMMYFUNCTION("""COMPUTED_VALUE"""),50000.0)</f>
        <v>50000</v>
      </c>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t="str">
        <f>IFERROR(__xludf.DUMMYFUNCTION("""COMPUTED_VALUE"""),"Land of Spira")</f>
        <v>Land of Spira</v>
      </c>
      <c r="AH575" s="1" t="b">
        <f>IFERROR(__xludf.DUMMYFUNCTION("""COMPUTED_VALUE"""),FALSE)</f>
        <v>0</v>
      </c>
    </row>
    <row r="576">
      <c r="A576" s="1" t="str">
        <f>IFERROR(__xludf.DUMMYFUNCTION("""COMPUTED_VALUE"""),"Bandit Hide Padding")</f>
        <v>Bandit Hide Padding</v>
      </c>
      <c r="B576" s="1" t="str">
        <f>IFERROR(__xludf.DUMMYFUNCTION("""COMPUTED_VALUE"""),"Shoulders")</f>
        <v>Shoulders</v>
      </c>
      <c r="C576" s="1"/>
      <c r="D576" s="1"/>
      <c r="E576" s="1">
        <f>IFERROR(__xludf.DUMMYFUNCTION("""COMPUTED_VALUE"""),1000.0)</f>
        <v>1000</v>
      </c>
      <c r="F576" s="2">
        <f>IFERROR(__xludf.DUMMYFUNCTION("""COMPUTED_VALUE"""),4.95E7)</f>
        <v>49500000</v>
      </c>
      <c r="G576" s="1" t="str">
        <f>IFERROR(__xludf.DUMMYFUNCTION("""COMPUTED_VALUE"""),"DEF")</f>
        <v>DEF</v>
      </c>
      <c r="H576" s="3">
        <f>IFERROR(__xludf.DUMMYFUNCTION("""COMPUTED_VALUE"""),50000.0)</f>
        <v>50000</v>
      </c>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t="str">
        <f>IFERROR(__xludf.DUMMYFUNCTION("""COMPUTED_VALUE"""),"Land of Spira")</f>
        <v>Land of Spira</v>
      </c>
      <c r="AH576" s="1" t="b">
        <f>IFERROR(__xludf.DUMMYFUNCTION("""COMPUTED_VALUE"""),FALSE)</f>
        <v>0</v>
      </c>
    </row>
    <row r="577">
      <c r="A577" s="1" t="str">
        <f>IFERROR(__xludf.DUMMYFUNCTION("""COMPUTED_VALUE"""),"Bandit Hide Chestplate")</f>
        <v>Bandit Hide Chestplate</v>
      </c>
      <c r="B577" s="1" t="str">
        <f>IFERROR(__xludf.DUMMYFUNCTION("""COMPUTED_VALUE"""),"Torso")</f>
        <v>Torso</v>
      </c>
      <c r="C577" s="1"/>
      <c r="D577" s="1"/>
      <c r="E577" s="1">
        <f>IFERROR(__xludf.DUMMYFUNCTION("""COMPUTED_VALUE"""),1000.0)</f>
        <v>1000</v>
      </c>
      <c r="F577" s="2">
        <f>IFERROR(__xludf.DUMMYFUNCTION("""COMPUTED_VALUE"""),4.95E7)</f>
        <v>49500000</v>
      </c>
      <c r="G577" s="1" t="str">
        <f>IFERROR(__xludf.DUMMYFUNCTION("""COMPUTED_VALUE"""),"DEF")</f>
        <v>DEF</v>
      </c>
      <c r="H577" s="3">
        <f>IFERROR(__xludf.DUMMYFUNCTION("""COMPUTED_VALUE"""),50000.0)</f>
        <v>50000</v>
      </c>
      <c r="I577" s="1"/>
      <c r="J577" s="1"/>
      <c r="K577" s="1"/>
      <c r="L577" s="1"/>
      <c r="M577" s="1"/>
      <c r="N577" s="1"/>
      <c r="O577" s="1"/>
      <c r="P577" s="1"/>
      <c r="Q577" s="1"/>
      <c r="R577" s="1"/>
      <c r="S577" s="1"/>
      <c r="T577" s="1"/>
      <c r="U577" s="1"/>
      <c r="V577" s="1"/>
      <c r="W577" s="1"/>
      <c r="X577" s="1"/>
      <c r="Y577" s="1"/>
      <c r="Z577" s="1"/>
      <c r="AA577" s="1"/>
      <c r="AB577" s="1"/>
      <c r="AC577" s="1"/>
      <c r="AD577" s="1"/>
      <c r="AE577" s="1"/>
      <c r="AF577" s="1" t="str">
        <f>IFERROR(__xludf.DUMMYFUNCTION("""COMPUTED_VALUE"""),"++X2 damage with Knives")</f>
        <v>++X2 damage with Knives</v>
      </c>
      <c r="AG577" s="1" t="str">
        <f>IFERROR(__xludf.DUMMYFUNCTION("""COMPUTED_VALUE"""),"Land of Spira")</f>
        <v>Land of Spira</v>
      </c>
      <c r="AH577" s="1" t="b">
        <f>IFERROR(__xludf.DUMMYFUNCTION("""COMPUTED_VALUE"""),FALSE)</f>
        <v>0</v>
      </c>
    </row>
    <row r="578">
      <c r="A578" s="1" t="str">
        <f>IFERROR(__xludf.DUMMYFUNCTION("""COMPUTED_VALUE"""),"Bandit Hide Vambraces")</f>
        <v>Bandit Hide Vambraces</v>
      </c>
      <c r="B578" s="1" t="str">
        <f>IFERROR(__xludf.DUMMYFUNCTION("""COMPUTED_VALUE"""),"Arms")</f>
        <v>Arms</v>
      </c>
      <c r="C578" s="1"/>
      <c r="D578" s="1"/>
      <c r="E578" s="1">
        <f>IFERROR(__xludf.DUMMYFUNCTION("""COMPUTED_VALUE"""),1000.0)</f>
        <v>1000</v>
      </c>
      <c r="F578" s="2">
        <f>IFERROR(__xludf.DUMMYFUNCTION("""COMPUTED_VALUE"""),4.95E7)</f>
        <v>49500000</v>
      </c>
      <c r="G578" s="1" t="str">
        <f>IFERROR(__xludf.DUMMYFUNCTION("""COMPUTED_VALUE"""),"DEF")</f>
        <v>DEF</v>
      </c>
      <c r="H578" s="3">
        <f>IFERROR(__xludf.DUMMYFUNCTION("""COMPUTED_VALUE"""),50000.0)</f>
        <v>50000</v>
      </c>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t="str">
        <f>IFERROR(__xludf.DUMMYFUNCTION("""COMPUTED_VALUE"""),"Land of Spira")</f>
        <v>Land of Spira</v>
      </c>
      <c r="AH578" s="1" t="b">
        <f>IFERROR(__xludf.DUMMYFUNCTION("""COMPUTED_VALUE"""),FALSE)</f>
        <v>0</v>
      </c>
    </row>
    <row r="579">
      <c r="A579" s="1" t="str">
        <f>IFERROR(__xludf.DUMMYFUNCTION("""COMPUTED_VALUE"""),"Bandit Hide Greaves")</f>
        <v>Bandit Hide Greaves</v>
      </c>
      <c r="B579" s="1" t="str">
        <f>IFERROR(__xludf.DUMMYFUNCTION("""COMPUTED_VALUE"""),"Legs")</f>
        <v>Legs</v>
      </c>
      <c r="C579" s="1"/>
      <c r="D579" s="1"/>
      <c r="E579" s="1">
        <f>IFERROR(__xludf.DUMMYFUNCTION("""COMPUTED_VALUE"""),1000.0)</f>
        <v>1000</v>
      </c>
      <c r="F579" s="2">
        <f>IFERROR(__xludf.DUMMYFUNCTION("""COMPUTED_VALUE"""),4.95E7)</f>
        <v>49500000</v>
      </c>
      <c r="G579" s="1" t="str">
        <f>IFERROR(__xludf.DUMMYFUNCTION("""COMPUTED_VALUE"""),"DEF")</f>
        <v>DEF</v>
      </c>
      <c r="H579" s="3">
        <f>IFERROR(__xludf.DUMMYFUNCTION("""COMPUTED_VALUE"""),50000.0)</f>
        <v>50000</v>
      </c>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t="str">
        <f>IFERROR(__xludf.DUMMYFUNCTION("""COMPUTED_VALUE"""),"Land of Spira")</f>
        <v>Land of Spira</v>
      </c>
      <c r="AH579" s="1" t="b">
        <f>IFERROR(__xludf.DUMMYFUNCTION("""COMPUTED_VALUE"""),FALSE)</f>
        <v>0</v>
      </c>
    </row>
    <row r="580">
      <c r="A580" s="1" t="str">
        <f>IFERROR(__xludf.DUMMYFUNCTION("""COMPUTED_VALUE"""),"Bandit Hide Boots")</f>
        <v>Bandit Hide Boots</v>
      </c>
      <c r="B580" s="1" t="str">
        <f>IFERROR(__xludf.DUMMYFUNCTION("""COMPUTED_VALUE"""),"Feet")</f>
        <v>Feet</v>
      </c>
      <c r="C580" s="1"/>
      <c r="D580" s="1"/>
      <c r="E580" s="1">
        <f>IFERROR(__xludf.DUMMYFUNCTION("""COMPUTED_VALUE"""),1000.0)</f>
        <v>1000</v>
      </c>
      <c r="F580" s="2">
        <f>IFERROR(__xludf.DUMMYFUNCTION("""COMPUTED_VALUE"""),4.95E7)</f>
        <v>49500000</v>
      </c>
      <c r="G580" s="1" t="str">
        <f>IFERROR(__xludf.DUMMYFUNCTION("""COMPUTED_VALUE"""),"DEF")</f>
        <v>DEF</v>
      </c>
      <c r="H580" s="3">
        <f>IFERROR(__xludf.DUMMYFUNCTION("""COMPUTED_VALUE"""),50000.0)</f>
        <v>50000</v>
      </c>
      <c r="I580" s="1"/>
      <c r="J580" s="1"/>
      <c r="K580" s="1"/>
      <c r="L580" s="1"/>
      <c r="M580" s="1"/>
      <c r="N580" s="1"/>
      <c r="O580" s="1"/>
      <c r="P580" s="1"/>
      <c r="Q580" s="1"/>
      <c r="R580" s="1"/>
      <c r="S580" s="1"/>
      <c r="T580" s="1"/>
      <c r="U580" s="1"/>
      <c r="V580" s="1"/>
      <c r="W580" s="1"/>
      <c r="X580" s="1"/>
      <c r="Y580" s="1"/>
      <c r="Z580" s="1"/>
      <c r="AA580" s="1"/>
      <c r="AB580" s="1"/>
      <c r="AC580" s="1"/>
      <c r="AD580" s="1"/>
      <c r="AE580" s="1"/>
      <c r="AF580" s="1" t="str">
        <f>IFERROR(__xludf.DUMMYFUNCTION("""COMPUTED_VALUE""")," ++5 to all confiscate, pickpocket, or take rolls")</f>
        <v> ++5 to all confiscate, pickpocket, or take rolls</v>
      </c>
      <c r="AG580" s="1" t="str">
        <f>IFERROR(__xludf.DUMMYFUNCTION("""COMPUTED_VALUE"""),"Land of Spira")</f>
        <v>Land of Spira</v>
      </c>
      <c r="AH580" s="1" t="b">
        <f>IFERROR(__xludf.DUMMYFUNCTION("""COMPUTED_VALUE"""),FALSE)</f>
        <v>0</v>
      </c>
    </row>
    <row r="581">
      <c r="A581" s="1" t="str">
        <f>IFERROR(__xludf.DUMMYFUNCTION("""COMPUTED_VALUE"""),"Nunchucks")</f>
        <v>Nunchucks</v>
      </c>
      <c r="B581" s="1" t="str">
        <f>IFERROR(__xludf.DUMMYFUNCTION("""COMPUTED_VALUE"""),"Hand")</f>
        <v>Hand</v>
      </c>
      <c r="C581" s="1"/>
      <c r="D581" s="1" t="str">
        <f>IFERROR(__xludf.DUMMYFUNCTION("""COMPUTED_VALUE"""),"Club")</f>
        <v>Club</v>
      </c>
      <c r="E581" s="1">
        <f>IFERROR(__xludf.DUMMYFUNCTION("""COMPUTED_VALUE"""),3000.0)</f>
        <v>3000</v>
      </c>
      <c r="F581" s="2">
        <f>IFERROR(__xludf.DUMMYFUNCTION("""COMPUTED_VALUE"""),4.485E8)</f>
        <v>448500000</v>
      </c>
      <c r="G581" s="1" t="str">
        <f>IFERROR(__xludf.DUMMYFUNCTION("""COMPUTED_VALUE"""),"DMG")</f>
        <v>DMG</v>
      </c>
      <c r="H581" s="3">
        <f>IFERROR(__xludf.DUMMYFUNCTION("""COMPUTED_VALUE"""),150000.0)</f>
        <v>150000</v>
      </c>
      <c r="I581" s="1"/>
      <c r="J581" s="1"/>
      <c r="K581" s="1"/>
      <c r="L581" s="1"/>
      <c r="M581" s="1"/>
      <c r="N581" s="1"/>
      <c r="O581" s="1"/>
      <c r="P581" s="1"/>
      <c r="Q581" s="1"/>
      <c r="R581" s="1"/>
      <c r="S581" s="1"/>
      <c r="T581" s="1"/>
      <c r="U581" s="1"/>
      <c r="V581" s="1"/>
      <c r="W581" s="1"/>
      <c r="X581" s="1"/>
      <c r="Y581" s="1"/>
      <c r="Z581" s="1"/>
      <c r="AA581" s="1"/>
      <c r="AB581" s="1"/>
      <c r="AC581" s="1"/>
      <c r="AD581" s="1"/>
      <c r="AE581" s="1"/>
      <c r="AF581" s="1" t="str">
        <f>IFERROR(__xludf.DUMMYFUNCTION("""COMPUTED_VALUE"""),"++10% chance to disarm your enemy when hitting them")</f>
        <v>++10% chance to disarm your enemy when hitting them</v>
      </c>
      <c r="AG581" s="1" t="str">
        <f>IFERROR(__xludf.DUMMYFUNCTION("""COMPUTED_VALUE"""),"Dragonscale Island")</f>
        <v>Dragonscale Island</v>
      </c>
      <c r="AH581" s="1" t="b">
        <f>IFERROR(__xludf.DUMMYFUNCTION("""COMPUTED_VALUE"""),FALSE)</f>
        <v>0</v>
      </c>
    </row>
    <row r="582">
      <c r="A582" s="1" t="str">
        <f>IFERROR(__xludf.DUMMYFUNCTION("""COMPUTED_VALUE"""),"Shuriken (Enhanced)")</f>
        <v>Shuriken (Enhanced)</v>
      </c>
      <c r="B582" s="1" t="str">
        <f>IFERROR(__xludf.DUMMYFUNCTION("""COMPUTED_VALUE"""),"Hand")</f>
        <v>Hand</v>
      </c>
      <c r="C582" s="1" t="str">
        <f>IFERROR(__xludf.DUMMYFUNCTION("""COMPUTED_VALUE"""),"the tantamount Ninja weapon, requires a level of dexterity you probably don't possess")</f>
        <v>the tantamount Ninja weapon, requires a level of dexterity you probably don't possess</v>
      </c>
      <c r="D582" s="1" t="str">
        <f>IFERROR(__xludf.DUMMYFUNCTION("""COMPUTED_VALUE"""),"Boomerang")</f>
        <v>Boomerang</v>
      </c>
      <c r="E582" s="1">
        <f>IFERROR(__xludf.DUMMYFUNCTION("""COMPUTED_VALUE"""),1500.0)</f>
        <v>1500</v>
      </c>
      <c r="F582" s="2">
        <f>IFERROR(__xludf.DUMMYFUNCTION("""COMPUTED_VALUE"""),1.1175E8)</f>
        <v>111750000</v>
      </c>
      <c r="G582" s="1" t="str">
        <f>IFERROR(__xludf.DUMMYFUNCTION("""COMPUTED_VALUE"""),"DMG")</f>
        <v>DMG</v>
      </c>
      <c r="H582" s="3">
        <f>IFERROR(__xludf.DUMMYFUNCTION("""COMPUTED_VALUE"""),50000.0)</f>
        <v>50000</v>
      </c>
      <c r="I582" s="1"/>
      <c r="J582" s="1"/>
      <c r="K582" s="1"/>
      <c r="L582" s="1"/>
      <c r="M582" s="1"/>
      <c r="N582" s="1"/>
      <c r="O582" s="1"/>
      <c r="P582" s="1"/>
      <c r="Q582" s="1"/>
      <c r="R582" s="1"/>
      <c r="S582" s="1"/>
      <c r="T582" s="1"/>
      <c r="U582" s="1"/>
      <c r="V582" s="1"/>
      <c r="W582" s="1"/>
      <c r="X582" s="1"/>
      <c r="Y582" s="1">
        <f>IFERROR(__xludf.DUMMYFUNCTION("""COMPUTED_VALUE"""),25000.0)</f>
        <v>25000</v>
      </c>
      <c r="Z582" s="1"/>
      <c r="AA582" s="1"/>
      <c r="AB582" s="1"/>
      <c r="AC582" s="1"/>
      <c r="AD582" s="1"/>
      <c r="AE582" s="1"/>
      <c r="AF582" s="1" t="str">
        <f>IFERROR(__xludf.DUMMYFUNCTION("""COMPUTED_VALUE"""),"++Returns when thrown, can throw up to 4 in one attack (roll 1d4 to determine)")</f>
        <v>++Returns when thrown, can throw up to 4 in one attack (roll 1d4 to determine)</v>
      </c>
      <c r="AG582" s="1" t="str">
        <f>IFERROR(__xludf.DUMMYFUNCTION("""COMPUTED_VALUE"""),"Dragonscale Island")</f>
        <v>Dragonscale Island</v>
      </c>
      <c r="AH582" s="1" t="b">
        <f>IFERROR(__xludf.DUMMYFUNCTION("""COMPUTED_VALUE"""),FALSE)</f>
        <v>0</v>
      </c>
    </row>
    <row r="583">
      <c r="A583" s="1" t="str">
        <f>IFERROR(__xludf.DUMMYFUNCTION("""COMPUTED_VALUE"""),"Poison Dart Gun")</f>
        <v>Poison Dart Gun</v>
      </c>
      <c r="B583" s="1" t="str">
        <f>IFERROR(__xludf.DUMMYFUNCTION("""COMPUTED_VALUE"""),"Hand")</f>
        <v>Hand</v>
      </c>
      <c r="C583" s="1" t="str">
        <f>IFERROR(__xludf.DUMMYFUNCTION("""COMPUTED_VALUE"""),"Poisoners first, and most trusty weapon. Nearly as old as the poison masters themselves these weapons have been part of the ")</f>
        <v>Poisoners first, and most trusty weapon. Nearly as old as the poison masters themselves these weapons have been part of the </v>
      </c>
      <c r="D583" s="1" t="str">
        <f>IFERROR(__xludf.DUMMYFUNCTION("""COMPUTED_VALUE"""),"Firearm")</f>
        <v>Firearm</v>
      </c>
      <c r="E583" s="1">
        <f>IFERROR(__xludf.DUMMYFUNCTION("""COMPUTED_VALUE"""),2000.0)</f>
        <v>2000</v>
      </c>
      <c r="F583" s="2">
        <f>IFERROR(__xludf.DUMMYFUNCTION("""COMPUTED_VALUE"""),1.99E8)</f>
        <v>199000000</v>
      </c>
      <c r="G583" s="1" t="str">
        <f>IFERROR(__xludf.DUMMYFUNCTION("""COMPUTED_VALUE"""),"DMG")</f>
        <v>DMG</v>
      </c>
      <c r="H583" s="3">
        <f>IFERROR(__xludf.DUMMYFUNCTION("""COMPUTED_VALUE"""),75000.0)</f>
        <v>75000</v>
      </c>
      <c r="I583" s="1"/>
      <c r="J583" s="1"/>
      <c r="K583" s="1"/>
      <c r="L583" s="1"/>
      <c r="M583" s="1"/>
      <c r="N583" s="1"/>
      <c r="O583" s="1"/>
      <c r="P583" s="1"/>
      <c r="Q583" s="1"/>
      <c r="R583" s="1"/>
      <c r="S583" s="1"/>
      <c r="T583" s="1"/>
      <c r="U583" s="1"/>
      <c r="V583" s="1"/>
      <c r="W583" s="1"/>
      <c r="X583" s="3">
        <f>IFERROR(__xludf.DUMMYFUNCTION("""COMPUTED_VALUE"""),25000.0)</f>
        <v>25000</v>
      </c>
      <c r="Y583" s="1"/>
      <c r="Z583" s="1"/>
      <c r="AA583" s="1"/>
      <c r="AB583" s="1"/>
      <c r="AC583" s="1"/>
      <c r="AD583" s="1"/>
      <c r="AE583" s="1"/>
      <c r="AF583" s="1" t="str">
        <f>IFERROR(__xludf.DUMMYFUNCTION("""COMPUTED_VALUE"""),"++Inflicts Poison 2500 for 2 rounds. ++Uses darts as ammo")</f>
        <v>++Inflicts Poison 2500 for 2 rounds. ++Uses darts as ammo</v>
      </c>
      <c r="AG583" s="1" t="str">
        <f>IFERROR(__xludf.DUMMYFUNCTION("""COMPUTED_VALUE"""),"Dragonscale Island")</f>
        <v>Dragonscale Island</v>
      </c>
      <c r="AH583" s="1" t="b">
        <f>IFERROR(__xludf.DUMMYFUNCTION("""COMPUTED_VALUE"""),FALSE)</f>
        <v>0</v>
      </c>
    </row>
    <row r="584">
      <c r="A584" s="1" t="str">
        <f>IFERROR(__xludf.DUMMYFUNCTION("""COMPUTED_VALUE"""),"Poison Tipped Needle")</f>
        <v>Poison Tipped Needle</v>
      </c>
      <c r="B584" s="1" t="str">
        <f>IFERROR(__xludf.DUMMYFUNCTION("""COMPUTED_VALUE"""),"Hand")</f>
        <v>Hand</v>
      </c>
      <c r="C584" s="1" t="str">
        <f>IFERROR(__xludf.DUMMYFUNCTION("""COMPUTED_VALUE"""),"A needle dipped in master Wushang's thousand poisons or some other Wuxia novel esque bullshit")</f>
        <v>A needle dipped in master Wushang's thousand poisons or some other Wuxia novel esque bullshit</v>
      </c>
      <c r="D584" s="1" t="str">
        <f>IFERROR(__xludf.DUMMYFUNCTION("""COMPUTED_VALUE"""),"Knife")</f>
        <v>Knife</v>
      </c>
      <c r="E584" s="1">
        <f>IFERROR(__xludf.DUMMYFUNCTION("""COMPUTED_VALUE"""),2000.0)</f>
        <v>2000</v>
      </c>
      <c r="F584" s="2">
        <f>IFERROR(__xludf.DUMMYFUNCTION("""COMPUTED_VALUE"""),1.99E8)</f>
        <v>199000000</v>
      </c>
      <c r="G584" s="1" t="str">
        <f>IFERROR(__xludf.DUMMYFUNCTION("""COMPUTED_VALUE"""),"DMG")</f>
        <v>DMG</v>
      </c>
      <c r="H584" s="3">
        <f>IFERROR(__xludf.DUMMYFUNCTION("""COMPUTED_VALUE"""),75000.0)</f>
        <v>75000</v>
      </c>
      <c r="I584" s="1"/>
      <c r="J584" s="1"/>
      <c r="K584" s="1"/>
      <c r="L584" s="1"/>
      <c r="M584" s="1"/>
      <c r="N584" s="1"/>
      <c r="O584" s="1"/>
      <c r="P584" s="1"/>
      <c r="Q584" s="1"/>
      <c r="R584" s="1"/>
      <c r="S584" s="1"/>
      <c r="T584" s="1"/>
      <c r="U584" s="1"/>
      <c r="V584" s="1"/>
      <c r="W584" s="1"/>
      <c r="X584" s="3">
        <f>IFERROR(__xludf.DUMMYFUNCTION("""COMPUTED_VALUE"""),25000.0)</f>
        <v>25000</v>
      </c>
      <c r="Y584" s="1"/>
      <c r="Z584" s="1"/>
      <c r="AA584" s="1"/>
      <c r="AB584" s="1"/>
      <c r="AC584" s="1"/>
      <c r="AD584" s="1"/>
      <c r="AE584" s="1"/>
      <c r="AF584" s="1" t="str">
        <f>IFERROR(__xludf.DUMMYFUNCTION("""COMPUTED_VALUE"""),"++When rolling a Natural 19 or 20 deals X3 Damage. ++Inflicts Poison 100")</f>
        <v>++When rolling a Natural 19 or 20 deals X3 Damage. ++Inflicts Poison 100</v>
      </c>
      <c r="AG584" s="1" t="str">
        <f>IFERROR(__xludf.DUMMYFUNCTION("""COMPUTED_VALUE"""),"Dragonscale Island")</f>
        <v>Dragonscale Island</v>
      </c>
      <c r="AH584" s="1" t="b">
        <f>IFERROR(__xludf.DUMMYFUNCTION("""COMPUTED_VALUE"""),FALSE)</f>
        <v>0</v>
      </c>
    </row>
    <row r="585">
      <c r="A585" s="1" t="str">
        <f>IFERROR(__xludf.DUMMYFUNCTION("""COMPUTED_VALUE"""),"Katana (Enhanced)")</f>
        <v>Katana (Enhanced)</v>
      </c>
      <c r="B585" s="1" t="str">
        <f>IFERROR(__xludf.DUMMYFUNCTION("""COMPUTED_VALUE"""),"Hand")</f>
        <v>Hand</v>
      </c>
      <c r="C585" s="1" t="str">
        <f>IFERROR(__xludf.DUMMYFUNCTION("""COMPUTED_VALUE"""),"The sword of weebs and actual samurai alike, surprisingly yes, weebs do exist in Spira")</f>
        <v>The sword of weebs and actual samurai alike, surprisingly yes, weebs do exist in Spira</v>
      </c>
      <c r="D585" s="1" t="str">
        <f>IFERROR(__xludf.DUMMYFUNCTION("""COMPUTED_VALUE"""),"Sword")</f>
        <v>Sword</v>
      </c>
      <c r="E585" s="1">
        <f>IFERROR(__xludf.DUMMYFUNCTION("""COMPUTED_VALUE"""),2500.0)</f>
        <v>2500</v>
      </c>
      <c r="F585" s="2">
        <f>IFERROR(__xludf.DUMMYFUNCTION("""COMPUTED_VALUE"""),3.1125E8)</f>
        <v>311250000</v>
      </c>
      <c r="G585" s="1" t="str">
        <f>IFERROR(__xludf.DUMMYFUNCTION("""COMPUTED_VALUE"""),"DMG")</f>
        <v>DMG</v>
      </c>
      <c r="H585" s="3">
        <f>IFERROR(__xludf.DUMMYFUNCTION("""COMPUTED_VALUE"""),125000.0)</f>
        <v>125000</v>
      </c>
      <c r="I585" s="1"/>
      <c r="J585" s="1"/>
      <c r="K585" s="1"/>
      <c r="L585" s="1"/>
      <c r="M585" s="1"/>
      <c r="N585" s="1"/>
      <c r="O585" s="1"/>
      <c r="P585" s="1"/>
      <c r="Q585" s="1"/>
      <c r="R585" s="1"/>
      <c r="S585" s="1"/>
      <c r="T585" s="1"/>
      <c r="U585" s="1"/>
      <c r="V585" s="1"/>
      <c r="W585" s="1"/>
      <c r="X585" s="1"/>
      <c r="Y585" s="1"/>
      <c r="Z585" s="1"/>
      <c r="AA585" s="1"/>
      <c r="AB585" s="1"/>
      <c r="AC585" s="1"/>
      <c r="AD585" s="1"/>
      <c r="AE585" s="1"/>
      <c r="AF585" s="1" t="str">
        <f>IFERROR(__xludf.DUMMYFUNCTION("""COMPUTED_VALUE"""),"++Triples the chance for the sword ability to activate, +-Cannot be Forged")</f>
        <v>++Triples the chance for the sword ability to activate, +-Cannot be Forged</v>
      </c>
      <c r="AG585" s="1" t="str">
        <f>IFERROR(__xludf.DUMMYFUNCTION("""COMPUTED_VALUE"""),"Dragonscale Island")</f>
        <v>Dragonscale Island</v>
      </c>
      <c r="AH585" s="1" t="b">
        <f>IFERROR(__xludf.DUMMYFUNCTION("""COMPUTED_VALUE"""),FALSE)</f>
        <v>0</v>
      </c>
    </row>
    <row r="586">
      <c r="A586" s="1" t="str">
        <f>IFERROR(__xludf.DUMMYFUNCTION("""COMPUTED_VALUE"""),"Ninja Initiate's Cowl")</f>
        <v>Ninja Initiate's Cowl</v>
      </c>
      <c r="B586" s="1" t="str">
        <f>IFERROR(__xludf.DUMMYFUNCTION("""COMPUTED_VALUE"""),"Head")</f>
        <v>Head</v>
      </c>
      <c r="C586" s="1" t="str">
        <f>IFERROR(__xludf.DUMMYFUNCTION("""COMPUTED_VALUE"""),"Armor given to newbie Ninja's who have yet to choose a master")</f>
        <v>Armor given to newbie Ninja's who have yet to choose a master</v>
      </c>
      <c r="D586" s="1"/>
      <c r="E586" s="1">
        <f>IFERROR(__xludf.DUMMYFUNCTION("""COMPUTED_VALUE"""),2500.0)</f>
        <v>2500</v>
      </c>
      <c r="F586" s="2">
        <f>IFERROR(__xludf.DUMMYFUNCTION("""COMPUTED_VALUE"""),3.1125E8)</f>
        <v>311250000</v>
      </c>
      <c r="G586" s="1" t="str">
        <f>IFERROR(__xludf.DUMMYFUNCTION("""COMPUTED_VALUE"""),"DEF")</f>
        <v>DEF</v>
      </c>
      <c r="H586" s="3">
        <f>IFERROR(__xludf.DUMMYFUNCTION("""COMPUTED_VALUE"""),125000.0)</f>
        <v>125000</v>
      </c>
      <c r="I586" s="1"/>
      <c r="J586" s="1"/>
      <c r="K586" s="1"/>
      <c r="L586" s="1"/>
      <c r="M586" s="1"/>
      <c r="N586" s="1"/>
      <c r="O586" s="1"/>
      <c r="P586" s="1"/>
      <c r="Q586" s="1"/>
      <c r="R586" s="1"/>
      <c r="S586" s="1"/>
      <c r="T586" s="1"/>
      <c r="U586" s="1"/>
      <c r="V586" s="1"/>
      <c r="W586" s="1"/>
      <c r="X586" s="1"/>
      <c r="Y586" s="1"/>
      <c r="Z586" s="1"/>
      <c r="AA586" s="1"/>
      <c r="AB586" s="1"/>
      <c r="AC586" s="1"/>
      <c r="AD586" s="1"/>
      <c r="AE586" s="1"/>
      <c r="AF586" s="1" t="str">
        <f>IFERROR(__xludf.DUMMYFUNCTION("""COMPUTED_VALUE"""),"++X2 damage with Knives")</f>
        <v>++X2 damage with Knives</v>
      </c>
      <c r="AG586" s="1" t="str">
        <f>IFERROR(__xludf.DUMMYFUNCTION("""COMPUTED_VALUE"""),"Dragonscale Island")</f>
        <v>Dragonscale Island</v>
      </c>
      <c r="AH586" s="1" t="b">
        <f>IFERROR(__xludf.DUMMYFUNCTION("""COMPUTED_VALUE"""),FALSE)</f>
        <v>0</v>
      </c>
    </row>
    <row r="587">
      <c r="A587" s="1" t="str">
        <f>IFERROR(__xludf.DUMMYFUNCTION("""COMPUTED_VALUE"""),"Ninja Initiate's Cape")</f>
        <v>Ninja Initiate's Cape</v>
      </c>
      <c r="B587" s="1" t="str">
        <f>IFERROR(__xludf.DUMMYFUNCTION("""COMPUTED_VALUE"""),"Shoulders")</f>
        <v>Shoulders</v>
      </c>
      <c r="C587" s="1" t="str">
        <f>IFERROR(__xludf.DUMMYFUNCTION("""COMPUTED_VALUE"""),"Armor given to newbie Ninja's who have yet to choose a master")</f>
        <v>Armor given to newbie Ninja's who have yet to choose a master</v>
      </c>
      <c r="D587" s="1"/>
      <c r="E587" s="1">
        <f>IFERROR(__xludf.DUMMYFUNCTION("""COMPUTED_VALUE"""),2500.0)</f>
        <v>2500</v>
      </c>
      <c r="F587" s="2">
        <f>IFERROR(__xludf.DUMMYFUNCTION("""COMPUTED_VALUE"""),3.1125E8)</f>
        <v>311250000</v>
      </c>
      <c r="G587" s="1" t="str">
        <f>IFERROR(__xludf.DUMMYFUNCTION("""COMPUTED_VALUE"""),"DEF")</f>
        <v>DEF</v>
      </c>
      <c r="H587" s="3">
        <f>IFERROR(__xludf.DUMMYFUNCTION("""COMPUTED_VALUE"""),125000.0)</f>
        <v>125000</v>
      </c>
      <c r="I587" s="1"/>
      <c r="J587" s="1"/>
      <c r="K587" s="1"/>
      <c r="L587" s="1"/>
      <c r="M587" s="1"/>
      <c r="N587" s="1"/>
      <c r="O587" s="1"/>
      <c r="P587" s="1"/>
      <c r="Q587" s="1"/>
      <c r="R587" s="1"/>
      <c r="S587" s="1"/>
      <c r="T587" s="1"/>
      <c r="U587" s="1"/>
      <c r="V587" s="1"/>
      <c r="W587" s="1"/>
      <c r="X587" s="1"/>
      <c r="Y587" s="1"/>
      <c r="Z587" s="1"/>
      <c r="AA587" s="1"/>
      <c r="AB587" s="1"/>
      <c r="AC587" s="1"/>
      <c r="AD587" s="1"/>
      <c r="AE587" s="1"/>
      <c r="AF587" s="1" t="str">
        <f>IFERROR(__xludf.DUMMYFUNCTION("""COMPUTED_VALUE"""),"++X2 damage with Knives")</f>
        <v>++X2 damage with Knives</v>
      </c>
      <c r="AG587" s="1" t="str">
        <f>IFERROR(__xludf.DUMMYFUNCTION("""COMPUTED_VALUE"""),"Dragonscale Island")</f>
        <v>Dragonscale Island</v>
      </c>
      <c r="AH587" s="1" t="b">
        <f>IFERROR(__xludf.DUMMYFUNCTION("""COMPUTED_VALUE"""),FALSE)</f>
        <v>0</v>
      </c>
    </row>
    <row r="588">
      <c r="A588" s="1" t="str">
        <f>IFERROR(__xludf.DUMMYFUNCTION("""COMPUTED_VALUE"""),"Ninja Initiate's Vest")</f>
        <v>Ninja Initiate's Vest</v>
      </c>
      <c r="B588" s="1" t="str">
        <f>IFERROR(__xludf.DUMMYFUNCTION("""COMPUTED_VALUE"""),"Torso")</f>
        <v>Torso</v>
      </c>
      <c r="C588" s="1" t="str">
        <f>IFERROR(__xludf.DUMMYFUNCTION("""COMPUTED_VALUE"""),"Armor given to newbie Ninja's who have yet to choose a master")</f>
        <v>Armor given to newbie Ninja's who have yet to choose a master</v>
      </c>
      <c r="D588" s="1"/>
      <c r="E588" s="1">
        <f>IFERROR(__xludf.DUMMYFUNCTION("""COMPUTED_VALUE"""),2500.0)</f>
        <v>2500</v>
      </c>
      <c r="F588" s="2">
        <f>IFERROR(__xludf.DUMMYFUNCTION("""COMPUTED_VALUE"""),3.1125E8)</f>
        <v>311250000</v>
      </c>
      <c r="G588" s="1" t="str">
        <f>IFERROR(__xludf.DUMMYFUNCTION("""COMPUTED_VALUE"""),"DEF")</f>
        <v>DEF</v>
      </c>
      <c r="H588" s="3">
        <f>IFERROR(__xludf.DUMMYFUNCTION("""COMPUTED_VALUE"""),125000.0)</f>
        <v>125000</v>
      </c>
      <c r="I588" s="1"/>
      <c r="J588" s="1"/>
      <c r="K588" s="1"/>
      <c r="L588" s="1"/>
      <c r="M588" s="1"/>
      <c r="N588" s="1"/>
      <c r="O588" s="1"/>
      <c r="P588" s="1"/>
      <c r="Q588" s="1"/>
      <c r="R588" s="1"/>
      <c r="S588" s="1"/>
      <c r="T588" s="1"/>
      <c r="U588" s="1"/>
      <c r="V588" s="1"/>
      <c r="W588" s="1"/>
      <c r="X588" s="1"/>
      <c r="Y588" s="1"/>
      <c r="Z588" s="1"/>
      <c r="AA588" s="1"/>
      <c r="AB588" s="1"/>
      <c r="AC588" s="1"/>
      <c r="AD588" s="1"/>
      <c r="AE588" s="1"/>
      <c r="AF588" s="1" t="str">
        <f>IFERROR(__xludf.DUMMYFUNCTION("""COMPUTED_VALUE"""),"++X2 damage with Knives")</f>
        <v>++X2 damage with Knives</v>
      </c>
      <c r="AG588" s="1" t="str">
        <f>IFERROR(__xludf.DUMMYFUNCTION("""COMPUTED_VALUE"""),"Dragonscale Island")</f>
        <v>Dragonscale Island</v>
      </c>
      <c r="AH588" s="1" t="b">
        <f>IFERROR(__xludf.DUMMYFUNCTION("""COMPUTED_VALUE"""),FALSE)</f>
        <v>0</v>
      </c>
    </row>
    <row r="589">
      <c r="A589" s="1" t="str">
        <f>IFERROR(__xludf.DUMMYFUNCTION("""COMPUTED_VALUE"""),"Ninja Initiate's Gloves")</f>
        <v>Ninja Initiate's Gloves</v>
      </c>
      <c r="B589" s="1" t="str">
        <f>IFERROR(__xludf.DUMMYFUNCTION("""COMPUTED_VALUE"""),"Arms")</f>
        <v>Arms</v>
      </c>
      <c r="C589" s="1" t="str">
        <f>IFERROR(__xludf.DUMMYFUNCTION("""COMPUTED_VALUE"""),"Armor given to newbie Ninja's who have yet to choose a master")</f>
        <v>Armor given to newbie Ninja's who have yet to choose a master</v>
      </c>
      <c r="D589" s="1"/>
      <c r="E589" s="1">
        <f>IFERROR(__xludf.DUMMYFUNCTION("""COMPUTED_VALUE"""),2500.0)</f>
        <v>2500</v>
      </c>
      <c r="F589" s="2">
        <f>IFERROR(__xludf.DUMMYFUNCTION("""COMPUTED_VALUE"""),3.1125E8)</f>
        <v>311250000</v>
      </c>
      <c r="G589" s="1" t="str">
        <f>IFERROR(__xludf.DUMMYFUNCTION("""COMPUTED_VALUE"""),"DEF")</f>
        <v>DEF</v>
      </c>
      <c r="H589" s="3">
        <f>IFERROR(__xludf.DUMMYFUNCTION("""COMPUTED_VALUE"""),125000.0)</f>
        <v>125000</v>
      </c>
      <c r="I589" s="1"/>
      <c r="J589" s="1"/>
      <c r="K589" s="1"/>
      <c r="L589" s="1"/>
      <c r="M589" s="1"/>
      <c r="N589" s="1"/>
      <c r="O589" s="1"/>
      <c r="P589" s="1"/>
      <c r="Q589" s="1"/>
      <c r="R589" s="1"/>
      <c r="S589" s="1"/>
      <c r="T589" s="1"/>
      <c r="U589" s="1"/>
      <c r="V589" s="1"/>
      <c r="W589" s="1"/>
      <c r="X589" s="1"/>
      <c r="Y589" s="1"/>
      <c r="Z589" s="1"/>
      <c r="AA589" s="1"/>
      <c r="AB589" s="1"/>
      <c r="AC589" s="1"/>
      <c r="AD589" s="1"/>
      <c r="AE589" s="1"/>
      <c r="AF589" s="1" t="str">
        <f>IFERROR(__xludf.DUMMYFUNCTION("""COMPUTED_VALUE"""),"++X2 damage with Knives")</f>
        <v>++X2 damage with Knives</v>
      </c>
      <c r="AG589" s="1" t="str">
        <f>IFERROR(__xludf.DUMMYFUNCTION("""COMPUTED_VALUE"""),"Dragonscale Island")</f>
        <v>Dragonscale Island</v>
      </c>
      <c r="AH589" s="1" t="b">
        <f>IFERROR(__xludf.DUMMYFUNCTION("""COMPUTED_VALUE"""),FALSE)</f>
        <v>0</v>
      </c>
    </row>
    <row r="590">
      <c r="A590" s="1" t="str">
        <f>IFERROR(__xludf.DUMMYFUNCTION("""COMPUTED_VALUE"""),"Ninja Initiate's Sarouel")</f>
        <v>Ninja Initiate's Sarouel</v>
      </c>
      <c r="B590" s="1" t="str">
        <f>IFERROR(__xludf.DUMMYFUNCTION("""COMPUTED_VALUE"""),"Legs")</f>
        <v>Legs</v>
      </c>
      <c r="C590" s="1" t="str">
        <f>IFERROR(__xludf.DUMMYFUNCTION("""COMPUTED_VALUE"""),"Armor given to newbie Ninja's who have yet to choose a master")</f>
        <v>Armor given to newbie Ninja's who have yet to choose a master</v>
      </c>
      <c r="D590" s="1"/>
      <c r="E590" s="1">
        <f>IFERROR(__xludf.DUMMYFUNCTION("""COMPUTED_VALUE"""),2500.0)</f>
        <v>2500</v>
      </c>
      <c r="F590" s="2">
        <f>IFERROR(__xludf.DUMMYFUNCTION("""COMPUTED_VALUE"""),3.1125E8)</f>
        <v>311250000</v>
      </c>
      <c r="G590" s="1" t="str">
        <f>IFERROR(__xludf.DUMMYFUNCTION("""COMPUTED_VALUE"""),"DEF")</f>
        <v>DEF</v>
      </c>
      <c r="H590" s="3">
        <f>IFERROR(__xludf.DUMMYFUNCTION("""COMPUTED_VALUE"""),125000.0)</f>
        <v>125000</v>
      </c>
      <c r="I590" s="1"/>
      <c r="J590" s="1"/>
      <c r="K590" s="1"/>
      <c r="L590" s="1"/>
      <c r="M590" s="1"/>
      <c r="N590" s="1"/>
      <c r="O590" s="1"/>
      <c r="P590" s="1"/>
      <c r="Q590" s="1"/>
      <c r="R590" s="1"/>
      <c r="S590" s="1"/>
      <c r="T590" s="1"/>
      <c r="U590" s="1"/>
      <c r="V590" s="1"/>
      <c r="W590" s="1"/>
      <c r="X590" s="1"/>
      <c r="Y590" s="1"/>
      <c r="Z590" s="1"/>
      <c r="AA590" s="1"/>
      <c r="AB590" s="1"/>
      <c r="AC590" s="1"/>
      <c r="AD590" s="1"/>
      <c r="AE590" s="1"/>
      <c r="AF590" s="1" t="str">
        <f>IFERROR(__xludf.DUMMYFUNCTION("""COMPUTED_VALUE"""),"++X2 damage with Knives")</f>
        <v>++X2 damage with Knives</v>
      </c>
      <c r="AG590" s="1" t="str">
        <f>IFERROR(__xludf.DUMMYFUNCTION("""COMPUTED_VALUE"""),"Dragonscale Island")</f>
        <v>Dragonscale Island</v>
      </c>
      <c r="AH590" s="1" t="b">
        <f>IFERROR(__xludf.DUMMYFUNCTION("""COMPUTED_VALUE"""),FALSE)</f>
        <v>0</v>
      </c>
    </row>
    <row r="591">
      <c r="A591" s="1" t="str">
        <f>IFERROR(__xludf.DUMMYFUNCTION("""COMPUTED_VALUE"""),"Ninja Initiate's Sandals")</f>
        <v>Ninja Initiate's Sandals</v>
      </c>
      <c r="B591" s="1" t="str">
        <f>IFERROR(__xludf.DUMMYFUNCTION("""COMPUTED_VALUE"""),"Feet")</f>
        <v>Feet</v>
      </c>
      <c r="C591" s="1" t="str">
        <f>IFERROR(__xludf.DUMMYFUNCTION("""COMPUTED_VALUE"""),"Armor given to newbie Ninja's who have yet to choose a master")</f>
        <v>Armor given to newbie Ninja's who have yet to choose a master</v>
      </c>
      <c r="D591" s="1"/>
      <c r="E591" s="1">
        <f>IFERROR(__xludf.DUMMYFUNCTION("""COMPUTED_VALUE"""),2500.0)</f>
        <v>2500</v>
      </c>
      <c r="F591" s="2">
        <f>IFERROR(__xludf.DUMMYFUNCTION("""COMPUTED_VALUE"""),3.1125E8)</f>
        <v>311250000</v>
      </c>
      <c r="G591" s="1" t="str">
        <f>IFERROR(__xludf.DUMMYFUNCTION("""COMPUTED_VALUE"""),"DEF")</f>
        <v>DEF</v>
      </c>
      <c r="H591" s="3">
        <f>IFERROR(__xludf.DUMMYFUNCTION("""COMPUTED_VALUE"""),125000.0)</f>
        <v>125000</v>
      </c>
      <c r="I591" s="1"/>
      <c r="J591" s="1"/>
      <c r="K591" s="1"/>
      <c r="L591" s="1"/>
      <c r="M591" s="1"/>
      <c r="N591" s="1"/>
      <c r="O591" s="1"/>
      <c r="P591" s="1"/>
      <c r="Q591" s="1"/>
      <c r="R591" s="1"/>
      <c r="S591" s="1"/>
      <c r="T591" s="1"/>
      <c r="U591" s="1"/>
      <c r="V591" s="1"/>
      <c r="W591" s="1"/>
      <c r="X591" s="1"/>
      <c r="Y591" s="1"/>
      <c r="Z591" s="1"/>
      <c r="AA591" s="1"/>
      <c r="AB591" s="1"/>
      <c r="AC591" s="1"/>
      <c r="AD591" s="1"/>
      <c r="AE591" s="1"/>
      <c r="AF591" s="1" t="str">
        <f>IFERROR(__xludf.DUMMYFUNCTION("""COMPUTED_VALUE"""),"++X2 damage with Knives")</f>
        <v>++X2 damage with Knives</v>
      </c>
      <c r="AG591" s="1" t="str">
        <f>IFERROR(__xludf.DUMMYFUNCTION("""COMPUTED_VALUE"""),"Dragonscale Island")</f>
        <v>Dragonscale Island</v>
      </c>
      <c r="AH591" s="1" t="b">
        <f>IFERROR(__xludf.DUMMYFUNCTION("""COMPUTED_VALUE"""),FALSE)</f>
        <v>0</v>
      </c>
    </row>
    <row r="592">
      <c r="A592" s="1" t="str">
        <f>IFERROR(__xludf.DUMMYFUNCTION("""COMPUTED_VALUE"""),"Sai")</f>
        <v>Sai</v>
      </c>
      <c r="B592" s="1" t="str">
        <f>IFERROR(__xludf.DUMMYFUNCTION("""COMPUTED_VALUE"""),"Hand")</f>
        <v>Hand</v>
      </c>
      <c r="C592" s="1" t="str">
        <f>IFERROR(__xludf.DUMMYFUNCTION("""COMPUTED_VALUE"""),"A weapon designed for redirecting an enemies blade and then striking for their vitals")</f>
        <v>A weapon designed for redirecting an enemies blade and then striking for their vitals</v>
      </c>
      <c r="D592" s="1" t="str">
        <f>IFERROR(__xludf.DUMMYFUNCTION("""COMPUTED_VALUE"""),"Knife")</f>
        <v>Knife</v>
      </c>
      <c r="E592" s="1">
        <f>IFERROR(__xludf.DUMMYFUNCTION("""COMPUTED_VALUE"""),2500.0)</f>
        <v>2500</v>
      </c>
      <c r="F592" s="2">
        <f>IFERROR(__xludf.DUMMYFUNCTION("""COMPUTED_VALUE"""),3.1125E8)</f>
        <v>311250000</v>
      </c>
      <c r="G592" s="1" t="str">
        <f>IFERROR(__xludf.DUMMYFUNCTION("""COMPUTED_VALUE"""),"DEF")</f>
        <v>DEF</v>
      </c>
      <c r="H592" s="3">
        <f>IFERROR(__xludf.DUMMYFUNCTION("""COMPUTED_VALUE"""),125000.0)</f>
        <v>125000</v>
      </c>
      <c r="I592" s="1"/>
      <c r="J592" s="1"/>
      <c r="K592" s="1"/>
      <c r="L592" s="1"/>
      <c r="M592" s="1"/>
      <c r="N592" s="1"/>
      <c r="O592" s="1"/>
      <c r="P592" s="1"/>
      <c r="Q592" s="1"/>
      <c r="R592" s="1"/>
      <c r="S592" s="1"/>
      <c r="T592" s="1"/>
      <c r="U592" s="1"/>
      <c r="V592" s="1"/>
      <c r="W592" s="1"/>
      <c r="X592" s="1"/>
      <c r="Y592" s="1"/>
      <c r="Z592" s="1"/>
      <c r="AA592" s="1"/>
      <c r="AB592" s="1"/>
      <c r="AC592" s="1"/>
      <c r="AD592" s="1"/>
      <c r="AE592" s="1"/>
      <c r="AF592" s="1" t="str">
        <f>IFERROR(__xludf.DUMMYFUNCTION("""COMPUTED_VALUE"""),"++Defensive Fighting: This weapon uses it's DEF as damage for attacks made with the weapon. ++Dastardly Deflection: 25% chance to parry any weapon attacks targeting the user.")</f>
        <v>++Defensive Fighting: This weapon uses it's DEF as damage for attacks made with the weapon. ++Dastardly Deflection: 25% chance to parry any weapon attacks targeting the user.</v>
      </c>
      <c r="AG592" s="1" t="str">
        <f>IFERROR(__xludf.DUMMYFUNCTION("""COMPUTED_VALUE"""),"Dragonscale Island")</f>
        <v>Dragonscale Island</v>
      </c>
      <c r="AH592" s="1" t="b">
        <f>IFERROR(__xludf.DUMMYFUNCTION("""COMPUTED_VALUE"""),FALSE)</f>
        <v>0</v>
      </c>
    </row>
    <row r="593">
      <c r="A593" s="1" t="str">
        <f>IFERROR(__xludf.DUMMYFUNCTION("""COMPUTED_VALUE"""),"Poison Master's Mask")</f>
        <v>Poison Master's Mask</v>
      </c>
      <c r="B593" s="1" t="str">
        <f>IFERROR(__xludf.DUMMYFUNCTION("""COMPUTED_VALUE"""),"Head")</f>
        <v>Head</v>
      </c>
      <c r="C593"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3" s="1"/>
      <c r="E593" s="1">
        <f>IFERROR(__xludf.DUMMYFUNCTION("""COMPUTED_VALUE"""),2500.0)</f>
        <v>2500</v>
      </c>
      <c r="F593" s="2">
        <f>IFERROR(__xludf.DUMMYFUNCTION("""COMPUTED_VALUE"""),3.1125E8)</f>
        <v>311250000</v>
      </c>
      <c r="G593" s="1" t="str">
        <f>IFERROR(__xludf.DUMMYFUNCTION("""COMPUTED_VALUE"""),"DEF")</f>
        <v>DEF</v>
      </c>
      <c r="H593" s="3">
        <f>IFERROR(__xludf.DUMMYFUNCTION("""COMPUTED_VALUE"""),125000.0)</f>
        <v>125000</v>
      </c>
      <c r="I593" s="1"/>
      <c r="J593" s="1"/>
      <c r="K593" s="1"/>
      <c r="L593" s="1"/>
      <c r="M593" s="1"/>
      <c r="N593" s="1"/>
      <c r="O593" s="1"/>
      <c r="P593" s="1"/>
      <c r="Q593" s="1"/>
      <c r="R593" s="1"/>
      <c r="S593" s="1"/>
      <c r="T593" s="1"/>
      <c r="U593" s="1"/>
      <c r="V593" s="1"/>
      <c r="W593" s="1"/>
      <c r="X593" s="1"/>
      <c r="Y593" s="1"/>
      <c r="Z593" s="1"/>
      <c r="AA593" s="1"/>
      <c r="AB593" s="1"/>
      <c r="AC593" s="1"/>
      <c r="AD593" s="1"/>
      <c r="AE593" s="1"/>
      <c r="AF593" s="1" t="str">
        <f>IFERROR(__xludf.DUMMYFUNCTION("""COMPUTED_VALUE"""),"++X2 Poison damage")</f>
        <v>++X2 Poison damage</v>
      </c>
      <c r="AG593" s="1" t="str">
        <f>IFERROR(__xludf.DUMMYFUNCTION("""COMPUTED_VALUE"""),"Dragonscale Island")</f>
        <v>Dragonscale Island</v>
      </c>
      <c r="AH593" s="1" t="b">
        <f>IFERROR(__xludf.DUMMYFUNCTION("""COMPUTED_VALUE"""),FALSE)</f>
        <v>0</v>
      </c>
    </row>
    <row r="594">
      <c r="A594" s="1" t="str">
        <f>IFERROR(__xludf.DUMMYFUNCTION("""COMPUTED_VALUE"""),"Poison Master's Cape")</f>
        <v>Poison Master's Cape</v>
      </c>
      <c r="B594" s="1" t="str">
        <f>IFERROR(__xludf.DUMMYFUNCTION("""COMPUTED_VALUE"""),"Shoulders")</f>
        <v>Shoulders</v>
      </c>
      <c r="C594"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4" s="1"/>
      <c r="E594" s="1">
        <f>IFERROR(__xludf.DUMMYFUNCTION("""COMPUTED_VALUE"""),2500.0)</f>
        <v>2500</v>
      </c>
      <c r="F594" s="2">
        <f>IFERROR(__xludf.DUMMYFUNCTION("""COMPUTED_VALUE"""),3.1125E8)</f>
        <v>311250000</v>
      </c>
      <c r="G594" s="1" t="str">
        <f>IFERROR(__xludf.DUMMYFUNCTION("""COMPUTED_VALUE"""),"DEF")</f>
        <v>DEF</v>
      </c>
      <c r="H594" s="3">
        <f>IFERROR(__xludf.DUMMYFUNCTION("""COMPUTED_VALUE"""),125000.0)</f>
        <v>125000</v>
      </c>
      <c r="I594" s="1"/>
      <c r="J594" s="1"/>
      <c r="K594" s="1"/>
      <c r="L594" s="1"/>
      <c r="M594" s="1"/>
      <c r="N594" s="1"/>
      <c r="O594" s="1"/>
      <c r="P594" s="1"/>
      <c r="Q594" s="1"/>
      <c r="R594" s="1"/>
      <c r="S594" s="1"/>
      <c r="T594" s="1"/>
      <c r="U594" s="1"/>
      <c r="V594" s="1"/>
      <c r="W594" s="1"/>
      <c r="X594" s="1"/>
      <c r="Y594" s="1"/>
      <c r="Z594" s="1"/>
      <c r="AA594" s="1"/>
      <c r="AB594" s="1"/>
      <c r="AC594" s="1"/>
      <c r="AD594" s="1"/>
      <c r="AE594" s="1"/>
      <c r="AF594" s="1" t="str">
        <f>IFERROR(__xludf.DUMMYFUNCTION("""COMPUTED_VALUE"""),"++X2 Poison damage")</f>
        <v>++X2 Poison damage</v>
      </c>
      <c r="AG594" s="1" t="str">
        <f>IFERROR(__xludf.DUMMYFUNCTION("""COMPUTED_VALUE"""),"Dragonscale Island")</f>
        <v>Dragonscale Island</v>
      </c>
      <c r="AH594" s="1" t="b">
        <f>IFERROR(__xludf.DUMMYFUNCTION("""COMPUTED_VALUE"""),FALSE)</f>
        <v>0</v>
      </c>
    </row>
    <row r="595">
      <c r="A595" s="1" t="str">
        <f>IFERROR(__xludf.DUMMYFUNCTION("""COMPUTED_VALUE"""),"Poison Master's Robe")</f>
        <v>Poison Master's Robe</v>
      </c>
      <c r="B595" s="1" t="str">
        <f>IFERROR(__xludf.DUMMYFUNCTION("""COMPUTED_VALUE"""),"Torso")</f>
        <v>Torso</v>
      </c>
      <c r="C595"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5" s="1"/>
      <c r="E595" s="1">
        <f>IFERROR(__xludf.DUMMYFUNCTION("""COMPUTED_VALUE"""),2500.0)</f>
        <v>2500</v>
      </c>
      <c r="F595" s="2">
        <f>IFERROR(__xludf.DUMMYFUNCTION("""COMPUTED_VALUE"""),3.1125E8)</f>
        <v>311250000</v>
      </c>
      <c r="G595" s="1" t="str">
        <f>IFERROR(__xludf.DUMMYFUNCTION("""COMPUTED_VALUE"""),"DEF")</f>
        <v>DEF</v>
      </c>
      <c r="H595" s="3">
        <f>IFERROR(__xludf.DUMMYFUNCTION("""COMPUTED_VALUE"""),125000.0)</f>
        <v>125000</v>
      </c>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t="str">
        <f>IFERROR(__xludf.DUMMYFUNCTION("""COMPUTED_VALUE"""),"Dragonscale Island")</f>
        <v>Dragonscale Island</v>
      </c>
      <c r="AH595" s="1" t="b">
        <f>IFERROR(__xludf.DUMMYFUNCTION("""COMPUTED_VALUE"""),FALSE)</f>
        <v>0</v>
      </c>
    </row>
    <row r="596">
      <c r="A596" s="1" t="str">
        <f>IFERROR(__xludf.DUMMYFUNCTION("""COMPUTED_VALUE"""),"Poison Master's Heavy Duty Gloves")</f>
        <v>Poison Master's Heavy Duty Gloves</v>
      </c>
      <c r="B596" s="1" t="str">
        <f>IFERROR(__xludf.DUMMYFUNCTION("""COMPUTED_VALUE"""),"Arms")</f>
        <v>Arms</v>
      </c>
      <c r="C596"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6" s="1"/>
      <c r="E596" s="1">
        <f>IFERROR(__xludf.DUMMYFUNCTION("""COMPUTED_VALUE"""),2500.0)</f>
        <v>2500</v>
      </c>
      <c r="F596" s="2">
        <f>IFERROR(__xludf.DUMMYFUNCTION("""COMPUTED_VALUE"""),3.1125E8)</f>
        <v>311250000</v>
      </c>
      <c r="G596" s="1" t="str">
        <f>IFERROR(__xludf.DUMMYFUNCTION("""COMPUTED_VALUE"""),"DEF")</f>
        <v>DEF</v>
      </c>
      <c r="H596" s="3">
        <f>IFERROR(__xludf.DUMMYFUNCTION("""COMPUTED_VALUE"""),125000.0)</f>
        <v>125000</v>
      </c>
      <c r="I596" s="1"/>
      <c r="J596" s="1"/>
      <c r="K596" s="1"/>
      <c r="L596" s="1"/>
      <c r="M596" s="1"/>
      <c r="N596" s="1"/>
      <c r="O596" s="1"/>
      <c r="P596" s="1"/>
      <c r="Q596" s="1"/>
      <c r="R596" s="1"/>
      <c r="S596" s="1"/>
      <c r="T596" s="1"/>
      <c r="U596" s="1"/>
      <c r="V596" s="1"/>
      <c r="W596" s="1"/>
      <c r="X596" s="1"/>
      <c r="Y596" s="1"/>
      <c r="Z596" s="1"/>
      <c r="AA596" s="1"/>
      <c r="AB596" s="1"/>
      <c r="AC596" s="1"/>
      <c r="AD596" s="1"/>
      <c r="AE596" s="1"/>
      <c r="AF596" s="1" t="str">
        <f>IFERROR(__xludf.DUMMYFUNCTION("""COMPUTED_VALUE"""),"++Poison Immunity")</f>
        <v>++Poison Immunity</v>
      </c>
      <c r="AG596" s="1" t="str">
        <f>IFERROR(__xludf.DUMMYFUNCTION("""COMPUTED_VALUE"""),"Dragonscale Island")</f>
        <v>Dragonscale Island</v>
      </c>
      <c r="AH596" s="1" t="b">
        <f>IFERROR(__xludf.DUMMYFUNCTION("""COMPUTED_VALUE"""),FALSE)</f>
        <v>0</v>
      </c>
    </row>
    <row r="597">
      <c r="A597" s="1" t="str">
        <f>IFERROR(__xludf.DUMMYFUNCTION("""COMPUTED_VALUE"""),"Poison Master's Sarouel")</f>
        <v>Poison Master's Sarouel</v>
      </c>
      <c r="B597" s="1" t="str">
        <f>IFERROR(__xludf.DUMMYFUNCTION("""COMPUTED_VALUE"""),"Legs")</f>
        <v>Legs</v>
      </c>
      <c r="C597"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7" s="1"/>
      <c r="E597" s="1">
        <f>IFERROR(__xludf.DUMMYFUNCTION("""COMPUTED_VALUE"""),2500.0)</f>
        <v>2500</v>
      </c>
      <c r="F597" s="2">
        <f>IFERROR(__xludf.DUMMYFUNCTION("""COMPUTED_VALUE"""),3.1125E8)</f>
        <v>311250000</v>
      </c>
      <c r="G597" s="1" t="str">
        <f>IFERROR(__xludf.DUMMYFUNCTION("""COMPUTED_VALUE"""),"DEF")</f>
        <v>DEF</v>
      </c>
      <c r="H597" s="3">
        <f>IFERROR(__xludf.DUMMYFUNCTION("""COMPUTED_VALUE"""),125000.0)</f>
        <v>125000</v>
      </c>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t="str">
        <f>IFERROR(__xludf.DUMMYFUNCTION("""COMPUTED_VALUE"""),"Dragonscale Island")</f>
        <v>Dragonscale Island</v>
      </c>
      <c r="AH597" s="1" t="b">
        <f>IFERROR(__xludf.DUMMYFUNCTION("""COMPUTED_VALUE"""),FALSE)</f>
        <v>0</v>
      </c>
    </row>
    <row r="598">
      <c r="A598" s="1" t="str">
        <f>IFERROR(__xludf.DUMMYFUNCTION("""COMPUTED_VALUE"""),"Poison Master's Boots")</f>
        <v>Poison Master's Boots</v>
      </c>
      <c r="B598" s="1" t="str">
        <f>IFERROR(__xludf.DUMMYFUNCTION("""COMPUTED_VALUE"""),"Feet")</f>
        <v>Feet</v>
      </c>
      <c r="C598"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D598" s="1"/>
      <c r="E598" s="1">
        <f>IFERROR(__xludf.DUMMYFUNCTION("""COMPUTED_VALUE"""),2500.0)</f>
        <v>2500</v>
      </c>
      <c r="F598" s="2">
        <f>IFERROR(__xludf.DUMMYFUNCTION("""COMPUTED_VALUE"""),3.1125E8)</f>
        <v>311250000</v>
      </c>
      <c r="G598" s="1" t="str">
        <f>IFERROR(__xludf.DUMMYFUNCTION("""COMPUTED_VALUE"""),"DEF")</f>
        <v>DEF</v>
      </c>
      <c r="H598" s="3">
        <f>IFERROR(__xludf.DUMMYFUNCTION("""COMPUTED_VALUE"""),125000.0)</f>
        <v>125000</v>
      </c>
      <c r="I598" s="1"/>
      <c r="J598" s="1"/>
      <c r="K598" s="1"/>
      <c r="L598" s="1"/>
      <c r="M598" s="1"/>
      <c r="N598" s="1"/>
      <c r="O598" s="1"/>
      <c r="P598" s="1"/>
      <c r="Q598" s="1"/>
      <c r="R598" s="1"/>
      <c r="S598" s="1"/>
      <c r="T598" s="1"/>
      <c r="U598" s="1"/>
      <c r="V598" s="1"/>
      <c r="W598" s="1"/>
      <c r="X598" s="1"/>
      <c r="Y598" s="1"/>
      <c r="Z598" s="1"/>
      <c r="AA598" s="1"/>
      <c r="AB598" s="1"/>
      <c r="AC598" s="1"/>
      <c r="AD598" s="1"/>
      <c r="AE598" s="1"/>
      <c r="AF598" s="1" t="str">
        <f>IFERROR(__xludf.DUMMYFUNCTION("""COMPUTED_VALUE"""),"++When an enemy is Poisoned gain Haste 3")</f>
        <v>++When an enemy is Poisoned gain Haste 3</v>
      </c>
      <c r="AG598" s="1" t="str">
        <f>IFERROR(__xludf.DUMMYFUNCTION("""COMPUTED_VALUE"""),"Dragonscale Island")</f>
        <v>Dragonscale Island</v>
      </c>
      <c r="AH598" s="1" t="b">
        <f>IFERROR(__xludf.DUMMYFUNCTION("""COMPUTED_VALUE"""),FALSE)</f>
        <v>0</v>
      </c>
    </row>
    <row r="599">
      <c r="A599" s="1" t="str">
        <f>IFERROR(__xludf.DUMMYFUNCTION("""COMPUTED_VALUE"""),"Ambusher's Cowl")</f>
        <v>Ambusher's Cowl</v>
      </c>
      <c r="B599" s="1" t="str">
        <f>IFERROR(__xludf.DUMMYFUNCTION("""COMPUTED_VALUE"""),"Head")</f>
        <v>Head</v>
      </c>
      <c r="C599" s="1" t="str">
        <f>IFERROR(__xludf.DUMMYFUNCTION("""COMPUTED_VALUE"""),"The armor of intermediate ninja's who have decided to pursue the art of the ambush to the extreme")</f>
        <v>The armor of intermediate ninja's who have decided to pursue the art of the ambush to the extreme</v>
      </c>
      <c r="D599" s="1"/>
      <c r="E599" s="1">
        <f>IFERROR(__xludf.DUMMYFUNCTION("""COMPUTED_VALUE"""),2500.0)</f>
        <v>2500</v>
      </c>
      <c r="F599" s="2">
        <f>IFERROR(__xludf.DUMMYFUNCTION("""COMPUTED_VALUE"""),3.1125E8)</f>
        <v>311250000</v>
      </c>
      <c r="G599" s="1" t="str">
        <f>IFERROR(__xludf.DUMMYFUNCTION("""COMPUTED_VALUE"""),"DEF")</f>
        <v>DEF</v>
      </c>
      <c r="H599" s="3">
        <f>IFERROR(__xludf.DUMMYFUNCTION("""COMPUTED_VALUE"""),125000.0)</f>
        <v>125000</v>
      </c>
      <c r="I599" s="1"/>
      <c r="J599" s="1"/>
      <c r="K599" s="1"/>
      <c r="L599" s="1"/>
      <c r="M599" s="1"/>
      <c r="N599" s="1"/>
      <c r="O599" s="1"/>
      <c r="P599" s="1"/>
      <c r="Q599" s="1"/>
      <c r="R599" s="1"/>
      <c r="S599" s="1"/>
      <c r="T599" s="1"/>
      <c r="U599" s="1"/>
      <c r="V599" s="1"/>
      <c r="W599" s="1"/>
      <c r="X599" s="1"/>
      <c r="Y599" s="1"/>
      <c r="Z599" s="1"/>
      <c r="AA599" s="1"/>
      <c r="AB599" s="1"/>
      <c r="AC599" s="1"/>
      <c r="AD599" s="1"/>
      <c r="AE599" s="1"/>
      <c r="AF599" s="1" t="str">
        <f>IFERROR(__xludf.DUMMYFUNCTION("""COMPUTED_VALUE"""),"++Conceal is Guaranteed to cast if the last action you took was a weapon attack")</f>
        <v>++Conceal is Guaranteed to cast if the last action you took was a weapon attack</v>
      </c>
      <c r="AG599" s="1" t="str">
        <f>IFERROR(__xludf.DUMMYFUNCTION("""COMPUTED_VALUE"""),"Dragonscale Island")</f>
        <v>Dragonscale Island</v>
      </c>
      <c r="AH599" s="1" t="b">
        <f>IFERROR(__xludf.DUMMYFUNCTION("""COMPUTED_VALUE"""),FALSE)</f>
        <v>0</v>
      </c>
    </row>
    <row r="600">
      <c r="A600" s="1" t="str">
        <f>IFERROR(__xludf.DUMMYFUNCTION("""COMPUTED_VALUE"""),"Ambusher's Cape")</f>
        <v>Ambusher's Cape</v>
      </c>
      <c r="B600" s="1" t="str">
        <f>IFERROR(__xludf.DUMMYFUNCTION("""COMPUTED_VALUE"""),"Shoulders")</f>
        <v>Shoulders</v>
      </c>
      <c r="C600" s="1" t="str">
        <f>IFERROR(__xludf.DUMMYFUNCTION("""COMPUTED_VALUE"""),"The armor of intermediate ninja's who have decided to pursue the art of the ambush to the extreme")</f>
        <v>The armor of intermediate ninja's who have decided to pursue the art of the ambush to the extreme</v>
      </c>
      <c r="D600" s="1"/>
      <c r="E600" s="1">
        <f>IFERROR(__xludf.DUMMYFUNCTION("""COMPUTED_VALUE"""),2500.0)</f>
        <v>2500</v>
      </c>
      <c r="F600" s="2">
        <f>IFERROR(__xludf.DUMMYFUNCTION("""COMPUTED_VALUE"""),3.1125E8)</f>
        <v>311250000</v>
      </c>
      <c r="G600" s="1" t="str">
        <f>IFERROR(__xludf.DUMMYFUNCTION("""COMPUTED_VALUE"""),"DEF")</f>
        <v>DEF</v>
      </c>
      <c r="H600" s="3">
        <f>IFERROR(__xludf.DUMMYFUNCTION("""COMPUTED_VALUE"""),125000.0)</f>
        <v>125000</v>
      </c>
      <c r="I600" s="1"/>
      <c r="J600" s="1"/>
      <c r="K600" s="1"/>
      <c r="L600" s="1"/>
      <c r="M600" s="1"/>
      <c r="N600" s="1"/>
      <c r="O600" s="1"/>
      <c r="P600" s="1"/>
      <c r="Q600" s="1"/>
      <c r="R600" s="1"/>
      <c r="S600" s="1"/>
      <c r="T600" s="1"/>
      <c r="U600" s="1"/>
      <c r="V600" s="1"/>
      <c r="W600" s="1"/>
      <c r="X600" s="1"/>
      <c r="Y600" s="1"/>
      <c r="Z600" s="1"/>
      <c r="AA600" s="1"/>
      <c r="AB600" s="1"/>
      <c r="AC600" s="1"/>
      <c r="AD600" s="1"/>
      <c r="AE600" s="1"/>
      <c r="AF600" s="1" t="str">
        <f>IFERROR(__xludf.DUMMYFUNCTION("""COMPUTED_VALUE"""),"++Conceal: upon entering combat you are invulnerable for 1 round or until you attack")</f>
        <v>++Conceal: upon entering combat you are invulnerable for 1 round or until you attack</v>
      </c>
      <c r="AG600" s="1" t="str">
        <f>IFERROR(__xludf.DUMMYFUNCTION("""COMPUTED_VALUE"""),"Dragonscale Island")</f>
        <v>Dragonscale Island</v>
      </c>
      <c r="AH600" s="1" t="b">
        <f>IFERROR(__xludf.DUMMYFUNCTION("""COMPUTED_VALUE"""),FALSE)</f>
        <v>0</v>
      </c>
    </row>
    <row r="601">
      <c r="A601" s="1" t="str">
        <f>IFERROR(__xludf.DUMMYFUNCTION("""COMPUTED_VALUE"""),"Ambusher's Vest")</f>
        <v>Ambusher's Vest</v>
      </c>
      <c r="B601" s="1" t="str">
        <f>IFERROR(__xludf.DUMMYFUNCTION("""COMPUTED_VALUE"""),"Torso")</f>
        <v>Torso</v>
      </c>
      <c r="C601" s="1" t="str">
        <f>IFERROR(__xludf.DUMMYFUNCTION("""COMPUTED_VALUE"""),"The armor of intermediate ninja's who have decided to pursue the art of the ambush to the extreme")</f>
        <v>The armor of intermediate ninja's who have decided to pursue the art of the ambush to the extreme</v>
      </c>
      <c r="D601" s="1"/>
      <c r="E601" s="1">
        <f>IFERROR(__xludf.DUMMYFUNCTION("""COMPUTED_VALUE"""),2500.0)</f>
        <v>2500</v>
      </c>
      <c r="F601" s="2">
        <f>IFERROR(__xludf.DUMMYFUNCTION("""COMPUTED_VALUE"""),3.1125E8)</f>
        <v>311250000</v>
      </c>
      <c r="G601" s="1" t="str">
        <f>IFERROR(__xludf.DUMMYFUNCTION("""COMPUTED_VALUE"""),"DEF")</f>
        <v>DEF</v>
      </c>
      <c r="H601" s="3">
        <f>IFERROR(__xludf.DUMMYFUNCTION("""COMPUTED_VALUE"""),125000.0)</f>
        <v>125000</v>
      </c>
      <c r="I601" s="1"/>
      <c r="J601" s="1"/>
      <c r="K601" s="1"/>
      <c r="L601" s="1"/>
      <c r="M601" s="1"/>
      <c r="N601" s="1"/>
      <c r="O601" s="1"/>
      <c r="P601" s="1"/>
      <c r="Q601" s="1"/>
      <c r="R601" s="1"/>
      <c r="S601" s="1"/>
      <c r="T601" s="1"/>
      <c r="U601" s="1"/>
      <c r="V601" s="1"/>
      <c r="W601" s="1"/>
      <c r="X601" s="1"/>
      <c r="Y601" s="1"/>
      <c r="Z601" s="1"/>
      <c r="AA601" s="1"/>
      <c r="AB601" s="1"/>
      <c r="AC601" s="1"/>
      <c r="AD601" s="1"/>
      <c r="AE601" s="1"/>
      <c r="AF601" s="1" t="str">
        <f>IFERROR(__xludf.DUMMYFUNCTION("""COMPUTED_VALUE"""),"++When breaking concealment deal X2 damage")</f>
        <v>++When breaking concealment deal X2 damage</v>
      </c>
      <c r="AG601" s="1" t="str">
        <f>IFERROR(__xludf.DUMMYFUNCTION("""COMPUTED_VALUE"""),"Dragonscale Island")</f>
        <v>Dragonscale Island</v>
      </c>
      <c r="AH601" s="1" t="b">
        <f>IFERROR(__xludf.DUMMYFUNCTION("""COMPUTED_VALUE"""),FALSE)</f>
        <v>0</v>
      </c>
    </row>
    <row r="602">
      <c r="A602" s="1" t="str">
        <f>IFERROR(__xludf.DUMMYFUNCTION("""COMPUTED_VALUE"""),"Ambusher's Gloves")</f>
        <v>Ambusher's Gloves</v>
      </c>
      <c r="B602" s="1" t="str">
        <f>IFERROR(__xludf.DUMMYFUNCTION("""COMPUTED_VALUE"""),"Arms")</f>
        <v>Arms</v>
      </c>
      <c r="C602" s="1" t="str">
        <f>IFERROR(__xludf.DUMMYFUNCTION("""COMPUTED_VALUE"""),"The armor of intermediate ninja's who have decided to pursue the art of the ambush to the extreme")</f>
        <v>The armor of intermediate ninja's who have decided to pursue the art of the ambush to the extreme</v>
      </c>
      <c r="D602" s="1"/>
      <c r="E602" s="1">
        <f>IFERROR(__xludf.DUMMYFUNCTION("""COMPUTED_VALUE"""),2500.0)</f>
        <v>2500</v>
      </c>
      <c r="F602" s="2">
        <f>IFERROR(__xludf.DUMMYFUNCTION("""COMPUTED_VALUE"""),3.1125E8)</f>
        <v>311250000</v>
      </c>
      <c r="G602" s="1" t="str">
        <f>IFERROR(__xludf.DUMMYFUNCTION("""COMPUTED_VALUE"""),"DEF")</f>
        <v>DEF</v>
      </c>
      <c r="H602" s="3">
        <f>IFERROR(__xludf.DUMMYFUNCTION("""COMPUTED_VALUE"""),125000.0)</f>
        <v>125000</v>
      </c>
      <c r="I602" s="1"/>
      <c r="J602" s="1"/>
      <c r="K602" s="1"/>
      <c r="L602" s="1"/>
      <c r="M602" s="1"/>
      <c r="N602" s="1"/>
      <c r="O602" s="1"/>
      <c r="P602" s="1"/>
      <c r="Q602" s="1"/>
      <c r="R602" s="1"/>
      <c r="S602" s="1"/>
      <c r="T602" s="1"/>
      <c r="U602" s="1"/>
      <c r="V602" s="1"/>
      <c r="W602" s="1"/>
      <c r="X602" s="1"/>
      <c r="Y602" s="1"/>
      <c r="Z602" s="1"/>
      <c r="AA602" s="1"/>
      <c r="AB602" s="1"/>
      <c r="AC602" s="1"/>
      <c r="AD602" s="1"/>
      <c r="AE602" s="1"/>
      <c r="AF602" s="1" t="str">
        <f>IFERROR(__xludf.DUMMYFUNCTION("""COMPUTED_VALUE"""),"++X2 damage with knives, ++Knife ability is 3 times as likely to activate. +-Cannot be forged +-Cannot be duplicated")</f>
        <v>++X2 damage with knives, ++Knife ability is 3 times as likely to activate. +-Cannot be forged +-Cannot be duplicated</v>
      </c>
      <c r="AG602" s="1" t="str">
        <f>IFERROR(__xludf.DUMMYFUNCTION("""COMPUTED_VALUE"""),"Dragonscale Island")</f>
        <v>Dragonscale Island</v>
      </c>
      <c r="AH602" s="1" t="b">
        <f>IFERROR(__xludf.DUMMYFUNCTION("""COMPUTED_VALUE"""),FALSE)</f>
        <v>0</v>
      </c>
    </row>
    <row r="603">
      <c r="A603" s="1" t="str">
        <f>IFERROR(__xludf.DUMMYFUNCTION("""COMPUTED_VALUE"""),"Ambusher's Sarouel")</f>
        <v>Ambusher's Sarouel</v>
      </c>
      <c r="B603" s="1" t="str">
        <f>IFERROR(__xludf.DUMMYFUNCTION("""COMPUTED_VALUE"""),"Legs")</f>
        <v>Legs</v>
      </c>
      <c r="C603" s="1" t="str">
        <f>IFERROR(__xludf.DUMMYFUNCTION("""COMPUTED_VALUE"""),"The armor of intermediate ninja's who have decided to pursue the art of the ambush to the extreme")</f>
        <v>The armor of intermediate ninja's who have decided to pursue the art of the ambush to the extreme</v>
      </c>
      <c r="D603" s="1"/>
      <c r="E603" s="1">
        <f>IFERROR(__xludf.DUMMYFUNCTION("""COMPUTED_VALUE"""),2500.0)</f>
        <v>2500</v>
      </c>
      <c r="F603" s="2">
        <f>IFERROR(__xludf.DUMMYFUNCTION("""COMPUTED_VALUE"""),3.1125E8)</f>
        <v>311250000</v>
      </c>
      <c r="G603" s="1" t="str">
        <f>IFERROR(__xludf.DUMMYFUNCTION("""COMPUTED_VALUE"""),"DEF")</f>
        <v>DEF</v>
      </c>
      <c r="H603" s="3">
        <f>IFERROR(__xludf.DUMMYFUNCTION("""COMPUTED_VALUE"""),125000.0)</f>
        <v>125000</v>
      </c>
      <c r="I603" s="1"/>
      <c r="J603" s="1"/>
      <c r="K603" s="1"/>
      <c r="L603" s="1"/>
      <c r="M603" s="1"/>
      <c r="N603" s="1"/>
      <c r="O603" s="1"/>
      <c r="P603" s="1"/>
      <c r="Q603" s="1"/>
      <c r="R603" s="1"/>
      <c r="S603" s="1"/>
      <c r="T603" s="1"/>
      <c r="U603" s="1"/>
      <c r="V603" s="1"/>
      <c r="W603" s="1"/>
      <c r="X603" s="1"/>
      <c r="Y603" s="1"/>
      <c r="Z603" s="1"/>
      <c r="AA603" s="1"/>
      <c r="AB603" s="1"/>
      <c r="AC603" s="1"/>
      <c r="AD603" s="1"/>
      <c r="AE603" s="1"/>
      <c r="AF603" s="1" t="str">
        <f>IFERROR(__xludf.DUMMYFUNCTION("""COMPUTED_VALUE"""),"++X2 damage with knives")</f>
        <v>++X2 damage with knives</v>
      </c>
      <c r="AG603" s="1" t="str">
        <f>IFERROR(__xludf.DUMMYFUNCTION("""COMPUTED_VALUE"""),"Dragonscale Island")</f>
        <v>Dragonscale Island</v>
      </c>
      <c r="AH603" s="1" t="b">
        <f>IFERROR(__xludf.DUMMYFUNCTION("""COMPUTED_VALUE"""),FALSE)</f>
        <v>0</v>
      </c>
    </row>
    <row r="604">
      <c r="A604" s="1" t="str">
        <f>IFERROR(__xludf.DUMMYFUNCTION("""COMPUTED_VALUE"""),"Ambusher's Sandals")</f>
        <v>Ambusher's Sandals</v>
      </c>
      <c r="B604" s="1" t="str">
        <f>IFERROR(__xludf.DUMMYFUNCTION("""COMPUTED_VALUE"""),"Feet")</f>
        <v>Feet</v>
      </c>
      <c r="C604" s="1" t="str">
        <f>IFERROR(__xludf.DUMMYFUNCTION("""COMPUTED_VALUE"""),"The armor of intermediate ninja's who have decided to pursue the art of the ambush to the extreme")</f>
        <v>The armor of intermediate ninja's who have decided to pursue the art of the ambush to the extreme</v>
      </c>
      <c r="D604" s="1"/>
      <c r="E604" s="1">
        <f>IFERROR(__xludf.DUMMYFUNCTION("""COMPUTED_VALUE"""),2500.0)</f>
        <v>2500</v>
      </c>
      <c r="F604" s="2">
        <f>IFERROR(__xludf.DUMMYFUNCTION("""COMPUTED_VALUE"""),3.1125E8)</f>
        <v>311250000</v>
      </c>
      <c r="G604" s="1" t="str">
        <f>IFERROR(__xludf.DUMMYFUNCTION("""COMPUTED_VALUE"""),"DEF")</f>
        <v>DEF</v>
      </c>
      <c r="H604" s="3">
        <f>IFERROR(__xludf.DUMMYFUNCTION("""COMPUTED_VALUE"""),125000.0)</f>
        <v>125000</v>
      </c>
      <c r="I604" s="1"/>
      <c r="J604" s="1"/>
      <c r="K604" s="1"/>
      <c r="L604" s="1"/>
      <c r="M604" s="1"/>
      <c r="N604" s="1"/>
      <c r="O604" s="1"/>
      <c r="P604" s="1"/>
      <c r="Q604" s="1"/>
      <c r="R604" s="1"/>
      <c r="S604" s="1"/>
      <c r="T604" s="1"/>
      <c r="U604" s="1"/>
      <c r="V604" s="1"/>
      <c r="W604" s="1"/>
      <c r="X604" s="1"/>
      <c r="Y604" s="1"/>
      <c r="Z604" s="1"/>
      <c r="AA604" s="1"/>
      <c r="AB604" s="1"/>
      <c r="AC604" s="1"/>
      <c r="AD604" s="1"/>
      <c r="AE604" s="1"/>
      <c r="AF604" s="1" t="str">
        <f>IFERROR(__xludf.DUMMYFUNCTION("""COMPUTED_VALUE"""),"++When breaking concealment gain invigorate 5")</f>
        <v>++When breaking concealment gain invigorate 5</v>
      </c>
      <c r="AG604" s="1" t="str">
        <f>IFERROR(__xludf.DUMMYFUNCTION("""COMPUTED_VALUE"""),"Dragonscale Island")</f>
        <v>Dragonscale Island</v>
      </c>
      <c r="AH604" s="1" t="b">
        <f>IFERROR(__xludf.DUMMYFUNCTION("""COMPUTED_VALUE"""),FALSE)</f>
        <v>0</v>
      </c>
    </row>
    <row r="605">
      <c r="A605" s="1" t="str">
        <f>IFERROR(__xludf.DUMMYFUNCTION("""COMPUTED_VALUE"""),"Blade of Ancestral Blood")</f>
        <v>Blade of Ancestral Blood</v>
      </c>
      <c r="B605" s="1" t="str">
        <f>IFERROR(__xludf.DUMMYFUNCTION("""COMPUTED_VALUE"""),"Hand")</f>
        <v>Hand</v>
      </c>
      <c r="C605" s="1" t="str">
        <f>IFERROR(__xludf.DUMMYFUNCTION("""COMPUTED_VALUE"""),"(Quest Item) This knife holds all the grief of Inugima, the man who turned his back on his clan and lived in grief for his decision until the day he died. The blade is stained red with the blood of Inugima's family and now is stained with his as well. It "&amp;"still seems to hold some special power and you guess it's story probably isn't over yet.")</f>
        <v>(Quest Item) This knife holds all the grief of Inugima, the man who turned his back on his clan and lived in grief for his decision until the day he died. The blade is stained red with the blood of Inugima's family and now is stained with his as well. It still seems to hold some special power and you guess it's story probably isn't over yet.</v>
      </c>
      <c r="D605" s="1" t="str">
        <f>IFERROR(__xludf.DUMMYFUNCTION("""COMPUTED_VALUE"""),"Knife")</f>
        <v>Knife</v>
      </c>
      <c r="E605" s="1">
        <f>IFERROR(__xludf.DUMMYFUNCTION("""COMPUTED_VALUE"""),200.0)</f>
        <v>200</v>
      </c>
      <c r="F605" s="2">
        <f>IFERROR(__xludf.DUMMYFUNCTION("""COMPUTED_VALUE"""),1.797E9)</f>
        <v>1797000000</v>
      </c>
      <c r="G605" s="1" t="str">
        <f>IFERROR(__xludf.DUMMYFUNCTION("""COMPUTED_VALUE"""),"DMG")</f>
        <v>DMG</v>
      </c>
      <c r="H605" s="1">
        <f>IFERROR(__xludf.DUMMYFUNCTION("""COMPUTED_VALUE"""),50000.0)</f>
        <v>50000</v>
      </c>
      <c r="I605" s="1"/>
      <c r="J605" s="1"/>
      <c r="K605" s="1"/>
      <c r="L605" s="1"/>
      <c r="M605" s="1"/>
      <c r="N605" s="1"/>
      <c r="O605" s="1"/>
      <c r="P605" s="1"/>
      <c r="Q605" s="1"/>
      <c r="R605" s="1">
        <f>IFERROR(__xludf.DUMMYFUNCTION("""COMPUTED_VALUE"""),50000.0)</f>
        <v>50000</v>
      </c>
      <c r="S605" s="1"/>
      <c r="T605" s="1"/>
      <c r="U605" s="1"/>
      <c r="V605" s="1"/>
      <c r="W605" s="1"/>
      <c r="X605" s="1">
        <f>IFERROR(__xludf.DUMMYFUNCTION("""COMPUTED_VALUE"""),50000.0)</f>
        <v>50000</v>
      </c>
      <c r="Y605" s="1">
        <f>IFERROR(__xludf.DUMMYFUNCTION("""COMPUTED_VALUE"""),100000.0)</f>
        <v>100000</v>
      </c>
      <c r="Z605" s="1"/>
      <c r="AA605" s="1"/>
      <c r="AB605" s="1"/>
      <c r="AC605" s="1">
        <f>IFERROR(__xludf.DUMMYFUNCTION("""COMPUTED_VALUE"""),50000.0)</f>
        <v>50000</v>
      </c>
      <c r="AD605" s="1"/>
      <c r="AE605" s="1"/>
      <c r="AF605" s="1" t="str">
        <f>IFERROR(__xludf.DUMMYFUNCTION("""COMPUTED_VALUE"""),"(Knife) ++The Cursed Knife Forged in Blood: X4 blood damage. ++The Blood of the Backstabbed: When hitting an enemy from concealment you gain a further X4 blood damage for the rest of battle and Invigorated 3. ++Repentance: Stab yourself and use your blood"&amp;" to attack you enemy dealing 100000 blood damage and 1000 bleed on hit 5000 hp +-Cannot be Duplicated")</f>
        <v>(Knife) ++The Cursed Knife Forged in Blood: X4 blood damage. ++The Blood of the Backstabbed: When hitting an enemy from concealment you gain a further X4 blood damage for the rest of battle and Invigorated 3. ++Repentance: Stab yourself and use your blood to attack you enemy dealing 100000 blood damage and 1000 bleed on hit 5000 hp +-Cannot be Duplicated</v>
      </c>
      <c r="AG605" s="1" t="str">
        <f>IFERROR(__xludf.DUMMYFUNCTION("""COMPUTED_VALUE"""),"Dragonscale Island")</f>
        <v>Dragonscale Island</v>
      </c>
      <c r="AH605" s="1" t="b">
        <f>IFERROR(__xludf.DUMMYFUNCTION("""COMPUTED_VALUE"""),FALSE)</f>
        <v>0</v>
      </c>
    </row>
    <row r="606">
      <c r="A606" s="1" t="str">
        <f>IFERROR(__xludf.DUMMYFUNCTION("""COMPUTED_VALUE"""),"Lunaris, Sword of The Moon")</f>
        <v>Lunaris, Sword of The Moon</v>
      </c>
      <c r="B606" s="1" t="str">
        <f>IFERROR(__xludf.DUMMYFUNCTION("""COMPUTED_VALUE"""),"Hand")</f>
        <v>Hand</v>
      </c>
      <c r="C606" s="1" t="str">
        <f>IFERROR(__xludf.DUMMYFUNCTION("""COMPUTED_VALUE"""),"(Quest Item) This blade, Bathed in the light of the fallen moon Goddess holds the power of the moon itself within, it was brought into being when a blade forged in the blood of those betrayed and broken by one they loved was brought to the once beautiful "&amp;"shrine of the betrayed Goddess where it was reformed with the power of the goddess's will and holds within it her wish to protect those around her.")</f>
        <v>(Quest Item) This blade, Bathed in the light of the fallen moon Goddess holds the power of the moon itself within, it was brought into being when a blade forged in the blood of those betrayed and broken by one they loved was brought to the once beautiful shrine of the betrayed Goddess where it was reformed with the power of the goddess's will and holds within it her wish to protect those around her.</v>
      </c>
      <c r="D606" s="1" t="str">
        <f>IFERROR(__xludf.DUMMYFUNCTION("""COMPUTED_VALUE"""),"Sword")</f>
        <v>Sword</v>
      </c>
      <c r="E606" s="1">
        <f>IFERROR(__xludf.DUMMYFUNCTION("""COMPUTED_VALUE"""),200.0)</f>
        <v>200</v>
      </c>
      <c r="F606" s="2">
        <f>IFERROR(__xludf.DUMMYFUNCTION("""COMPUTED_VALUE"""),7.194E9)</f>
        <v>7194000000</v>
      </c>
      <c r="G606" s="1" t="str">
        <f>IFERROR(__xludf.DUMMYFUNCTION("""COMPUTED_VALUE"""),"DEF")</f>
        <v>DEF</v>
      </c>
      <c r="H606" s="3">
        <f>IFERROR(__xludf.DUMMYFUNCTION("""COMPUTED_VALUE"""),200000.0)</f>
        <v>200000</v>
      </c>
      <c r="I606" s="1"/>
      <c r="J606" s="1"/>
      <c r="K606" s="1"/>
      <c r="L606" s="1"/>
      <c r="M606" s="1"/>
      <c r="N606" s="3">
        <f>IFERROR(__xludf.DUMMYFUNCTION("""COMPUTED_VALUE"""),100000.0)</f>
        <v>100000</v>
      </c>
      <c r="O606" s="1"/>
      <c r="P606" s="1"/>
      <c r="Q606" s="1"/>
      <c r="R606" s="1"/>
      <c r="S606" s="1"/>
      <c r="T606" s="1"/>
      <c r="U606" s="1"/>
      <c r="V606" s="1"/>
      <c r="W606" s="1"/>
      <c r="X606" s="1"/>
      <c r="Y606" s="1"/>
      <c r="Z606" s="1"/>
      <c r="AA606" s="1"/>
      <c r="AB606" s="3">
        <f>IFERROR(__xludf.DUMMYFUNCTION("""COMPUTED_VALUE"""),200000.0)</f>
        <v>200000</v>
      </c>
      <c r="AC606" s="3">
        <f>IFERROR(__xludf.DUMMYFUNCTION("""COMPUTED_VALUE"""),100000.0)</f>
        <v>100000</v>
      </c>
      <c r="AD606" s="1"/>
      <c r="AE606" s="1"/>
      <c r="AF606" s="1" t="str">
        <f>IFERROR(__xludf.DUMMYFUNCTION("""COMPUTED_VALUE"""),"(Sword) ++The Blade Blessed By The Stars Above: X6 Astral Damage and this blade uses it's defense as damage. ++To Protect Those You Love: When fighting with at least 2 allies deal X6 further damage with this weapon. ++Forgiveness: Raise your sword into th"&amp;"e sky drowning the battlefield in the light of the moon no matter what time it is or where you are. This moonlight protects you and your allies granting you all X2 Defense and Nullifies all Dark and Chaos spells cast on the battlefield regardless of who c"&amp;"asts them. +-Cannot be Duplicated")</f>
        <v>(Sword) ++The Blade Blessed By The Stars Above: X6 Astral Damage and this blade uses it's defense as damage. ++To Protect Those You Love: When fighting with at least 2 allies deal X6 further damage with this weapon. ++Forgiveness: Raise your sword into the sky drowning the battlefield in the light of the moon no matter what time it is or where you are. This moonlight protects you and your allies granting you all X2 Defense and Nullifies all Dark and Chaos spells cast on the battlefield regardless of who casts them. +-Cannot be Duplicated</v>
      </c>
      <c r="AG606" s="1" t="str">
        <f>IFERROR(__xludf.DUMMYFUNCTION("""COMPUTED_VALUE"""),"Abstara")</f>
        <v>Abstara</v>
      </c>
      <c r="AH606" s="1" t="b">
        <f>IFERROR(__xludf.DUMMYFUNCTION("""COMPUTED_VALUE"""),FALSE)</f>
        <v>0</v>
      </c>
    </row>
    <row r="607">
      <c r="A607" s="1" t="str">
        <f>IFERROR(__xludf.DUMMYFUNCTION("""COMPUTED_VALUE"""),"Master Inugima's Cowl")</f>
        <v>Master Inugima's Cowl</v>
      </c>
      <c r="B607" s="1" t="str">
        <f>IFERROR(__xludf.DUMMYFUNCTION("""COMPUTED_VALUE"""),"Head")</f>
        <v>Head</v>
      </c>
      <c r="C607" s="1" t="str">
        <f>IFERROR(__xludf.DUMMYFUNCTION("""COMPUTED_VALUE"""),"Mob Exclusive")</f>
        <v>Mob Exclusive</v>
      </c>
      <c r="D607" s="1"/>
      <c r="E607" s="1">
        <f>IFERROR(__xludf.DUMMYFUNCTION("""COMPUTED_VALUE"""),1.0)</f>
        <v>1</v>
      </c>
      <c r="F607" s="2">
        <f>IFERROR(__xludf.DUMMYFUNCTION("""COMPUTED_VALUE"""),0.0)</f>
        <v>0</v>
      </c>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t="str">
        <f>IFERROR(__xludf.DUMMYFUNCTION("""COMPUTED_VALUE"""),"Dragonscale Island")</f>
        <v>Dragonscale Island</v>
      </c>
      <c r="AH607" s="1" t="b">
        <f>IFERROR(__xludf.DUMMYFUNCTION("""COMPUTED_VALUE"""),TRUE)</f>
        <v>1</v>
      </c>
    </row>
    <row r="608">
      <c r="A608" s="1" t="str">
        <f>IFERROR(__xludf.DUMMYFUNCTION("""COMPUTED_VALUE"""),"Master Inugima's Cape")</f>
        <v>Master Inugima's Cape</v>
      </c>
      <c r="B608" s="1" t="str">
        <f>IFERROR(__xludf.DUMMYFUNCTION("""COMPUTED_VALUE"""),"Shoulders")</f>
        <v>Shoulders</v>
      </c>
      <c r="C608" s="1" t="str">
        <f>IFERROR(__xludf.DUMMYFUNCTION("""COMPUTED_VALUE"""),"Mob Exclusive")</f>
        <v>Mob Exclusive</v>
      </c>
      <c r="D608" s="1"/>
      <c r="E608" s="1">
        <f>IFERROR(__xludf.DUMMYFUNCTION("""COMPUTED_VALUE"""),1.0)</f>
        <v>1</v>
      </c>
      <c r="F608" s="2">
        <f>IFERROR(__xludf.DUMMYFUNCTION("""COMPUTED_VALUE"""),0.0)</f>
        <v>0</v>
      </c>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t="str">
        <f>IFERROR(__xludf.DUMMYFUNCTION("""COMPUTED_VALUE"""),"Dragonscale Island")</f>
        <v>Dragonscale Island</v>
      </c>
      <c r="AH608" s="1" t="b">
        <f>IFERROR(__xludf.DUMMYFUNCTION("""COMPUTED_VALUE"""),TRUE)</f>
        <v>1</v>
      </c>
    </row>
    <row r="609">
      <c r="A609" s="1" t="str">
        <f>IFERROR(__xludf.DUMMYFUNCTION("""COMPUTED_VALUE"""),"Master Inugima's Cloak")</f>
        <v>Master Inugima's Cloak</v>
      </c>
      <c r="B609" s="1" t="str">
        <f>IFERROR(__xludf.DUMMYFUNCTION("""COMPUTED_VALUE"""),"Torso")</f>
        <v>Torso</v>
      </c>
      <c r="C609" s="1" t="str">
        <f>IFERROR(__xludf.DUMMYFUNCTION("""COMPUTED_VALUE"""),"Mob Exclusive")</f>
        <v>Mob Exclusive</v>
      </c>
      <c r="D609" s="1"/>
      <c r="E609" s="1">
        <f>IFERROR(__xludf.DUMMYFUNCTION("""COMPUTED_VALUE"""),1.0)</f>
        <v>1</v>
      </c>
      <c r="F609" s="2">
        <f>IFERROR(__xludf.DUMMYFUNCTION("""COMPUTED_VALUE"""),0.0)</f>
        <v>0</v>
      </c>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t="str">
        <f>IFERROR(__xludf.DUMMYFUNCTION("""COMPUTED_VALUE"""),"Dragonscale Island")</f>
        <v>Dragonscale Island</v>
      </c>
      <c r="AH609" s="1" t="b">
        <f>IFERROR(__xludf.DUMMYFUNCTION("""COMPUTED_VALUE"""),TRUE)</f>
        <v>1</v>
      </c>
    </row>
    <row r="610">
      <c r="A610" s="1" t="str">
        <f>IFERROR(__xludf.DUMMYFUNCTION("""COMPUTED_VALUE"""),"Master Inugima's Gloves")</f>
        <v>Master Inugima's Gloves</v>
      </c>
      <c r="B610" s="1" t="str">
        <f>IFERROR(__xludf.DUMMYFUNCTION("""COMPUTED_VALUE"""),"Arms")</f>
        <v>Arms</v>
      </c>
      <c r="C610" s="1" t="str">
        <f>IFERROR(__xludf.DUMMYFUNCTION("""COMPUTED_VALUE"""),"Mob Exclusive")</f>
        <v>Mob Exclusive</v>
      </c>
      <c r="D610" s="1"/>
      <c r="E610" s="1">
        <f>IFERROR(__xludf.DUMMYFUNCTION("""COMPUTED_VALUE"""),1.0)</f>
        <v>1</v>
      </c>
      <c r="F610" s="2">
        <f>IFERROR(__xludf.DUMMYFUNCTION("""COMPUTED_VALUE"""),0.0)</f>
        <v>0</v>
      </c>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t="str">
        <f>IFERROR(__xludf.DUMMYFUNCTION("""COMPUTED_VALUE"""),"Dragonscale Island")</f>
        <v>Dragonscale Island</v>
      </c>
      <c r="AH610" s="1" t="b">
        <f>IFERROR(__xludf.DUMMYFUNCTION("""COMPUTED_VALUE"""),TRUE)</f>
        <v>1</v>
      </c>
    </row>
    <row r="611">
      <c r="A611" s="1" t="str">
        <f>IFERROR(__xludf.DUMMYFUNCTION("""COMPUTED_VALUE"""),"Master Inugima's Sarouel")</f>
        <v>Master Inugima's Sarouel</v>
      </c>
      <c r="B611" s="1" t="str">
        <f>IFERROR(__xludf.DUMMYFUNCTION("""COMPUTED_VALUE"""),"Legs")</f>
        <v>Legs</v>
      </c>
      <c r="C611" s="1" t="str">
        <f>IFERROR(__xludf.DUMMYFUNCTION("""COMPUTED_VALUE"""),"Mob Exclusive")</f>
        <v>Mob Exclusive</v>
      </c>
      <c r="D611" s="1"/>
      <c r="E611" s="1">
        <f>IFERROR(__xludf.DUMMYFUNCTION("""COMPUTED_VALUE"""),1.0)</f>
        <v>1</v>
      </c>
      <c r="F611" s="2">
        <f>IFERROR(__xludf.DUMMYFUNCTION("""COMPUTED_VALUE"""),0.0)</f>
        <v>0</v>
      </c>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t="str">
        <f>IFERROR(__xludf.DUMMYFUNCTION("""COMPUTED_VALUE"""),"Dragonscale Island")</f>
        <v>Dragonscale Island</v>
      </c>
      <c r="AH611" s="1" t="b">
        <f>IFERROR(__xludf.DUMMYFUNCTION("""COMPUTED_VALUE"""),TRUE)</f>
        <v>1</v>
      </c>
    </row>
    <row r="612">
      <c r="A612" s="1" t="str">
        <f>IFERROR(__xludf.DUMMYFUNCTION("""COMPUTED_VALUE"""),"Master Inugima's Boots")</f>
        <v>Master Inugima's Boots</v>
      </c>
      <c r="B612" s="1" t="str">
        <f>IFERROR(__xludf.DUMMYFUNCTION("""COMPUTED_VALUE"""),"Feet")</f>
        <v>Feet</v>
      </c>
      <c r="C612" s="1" t="str">
        <f>IFERROR(__xludf.DUMMYFUNCTION("""COMPUTED_VALUE"""),"Mob Exclusive")</f>
        <v>Mob Exclusive</v>
      </c>
      <c r="D612" s="1"/>
      <c r="E612" s="1">
        <f>IFERROR(__xludf.DUMMYFUNCTION("""COMPUTED_VALUE"""),1.0)</f>
        <v>1</v>
      </c>
      <c r="F612" s="2">
        <f>IFERROR(__xludf.DUMMYFUNCTION("""COMPUTED_VALUE"""),0.0)</f>
        <v>0</v>
      </c>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t="str">
        <f>IFERROR(__xludf.DUMMYFUNCTION("""COMPUTED_VALUE"""),"Dragonscale Island")</f>
        <v>Dragonscale Island</v>
      </c>
      <c r="AH612" s="1" t="b">
        <f>IFERROR(__xludf.DUMMYFUNCTION("""COMPUTED_VALUE"""),TRUE)</f>
        <v>1</v>
      </c>
    </row>
    <row r="613">
      <c r="A613" s="1" t="str">
        <f>IFERROR(__xludf.DUMMYFUNCTION("""COMPUTED_VALUE"""),"Master Inugima's Ring")</f>
        <v>Master Inugima's Ring</v>
      </c>
      <c r="B613" s="1" t="str">
        <f>IFERROR(__xludf.DUMMYFUNCTION("""COMPUTED_VALUE"""),"Finger")</f>
        <v>Finger</v>
      </c>
      <c r="C613" s="1" t="str">
        <f>IFERROR(__xludf.DUMMYFUNCTION("""COMPUTED_VALUE"""),"Mob Exclusive")</f>
        <v>Mob Exclusive</v>
      </c>
      <c r="D613" s="1"/>
      <c r="E613" s="1">
        <f>IFERROR(__xludf.DUMMYFUNCTION("""COMPUTED_VALUE"""),1.0)</f>
        <v>1</v>
      </c>
      <c r="F613" s="2">
        <f>IFERROR(__xludf.DUMMYFUNCTION("""COMPUTED_VALUE"""),0.0)</f>
        <v>0</v>
      </c>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t="str">
        <f>IFERROR(__xludf.DUMMYFUNCTION("""COMPUTED_VALUE"""),"++Grants Immunity being unable to act from any sources including sleep, stun, frozen, etc. +-Can only be equipped by Master Inugima Equipping this ring will devour the soul of he who equips it killing them permanently")</f>
        <v>++Grants Immunity being unable to act from any sources including sleep, stun, frozen, etc. +-Can only be equipped by Master Inugima Equipping this ring will devour the soul of he who equips it killing them permanently</v>
      </c>
      <c r="AG613" s="1" t="str">
        <f>IFERROR(__xludf.DUMMYFUNCTION("""COMPUTED_VALUE"""),"Dragonscale Island")</f>
        <v>Dragonscale Island</v>
      </c>
      <c r="AH613" s="1" t="b">
        <f>IFERROR(__xludf.DUMMYFUNCTION("""COMPUTED_VALUE"""),TRUE)</f>
        <v>1</v>
      </c>
    </row>
    <row r="614">
      <c r="A614" s="1" t="str">
        <f>IFERROR(__xludf.DUMMYFUNCTION("""COMPUTED_VALUE"""),"Master Inugima's Pendant")</f>
        <v>Master Inugima's Pendant</v>
      </c>
      <c r="B614" s="1" t="str">
        <f>IFERROR(__xludf.DUMMYFUNCTION("""COMPUTED_VALUE"""),"Neck")</f>
        <v>Neck</v>
      </c>
      <c r="C614" s="1" t="str">
        <f>IFERROR(__xludf.DUMMYFUNCTION("""COMPUTED_VALUE"""),"Mob Exclusive")</f>
        <v>Mob Exclusive</v>
      </c>
      <c r="D614" s="1"/>
      <c r="E614" s="1">
        <f>IFERROR(__xludf.DUMMYFUNCTION("""COMPUTED_VALUE"""),1.0)</f>
        <v>1</v>
      </c>
      <c r="F614" s="2">
        <f>IFERROR(__xludf.DUMMYFUNCTION("""COMPUTED_VALUE"""),0.0)</f>
        <v>0</v>
      </c>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t="str">
        <f>IFERROR(__xludf.DUMMYFUNCTION("""COMPUTED_VALUE"""),"Dragonscale Island")</f>
        <v>Dragonscale Island</v>
      </c>
      <c r="AH614" s="1" t="b">
        <f>IFERROR(__xludf.DUMMYFUNCTION("""COMPUTED_VALUE"""),TRUE)</f>
        <v>1</v>
      </c>
    </row>
    <row r="615">
      <c r="A615" s="1" t="str">
        <f>IFERROR(__xludf.DUMMYFUNCTION("""COMPUTED_VALUE"""),"Amulet of Giving")</f>
        <v>Amulet of Giving</v>
      </c>
      <c r="B615" s="1" t="str">
        <f>IFERROR(__xludf.DUMMYFUNCTION("""COMPUTED_VALUE"""),"Neck")</f>
        <v>Neck</v>
      </c>
      <c r="C615" s="1" t="str">
        <f>IFERROR(__xludf.DUMMYFUNCTION("""COMPUTED_VALUE"""),"Thanksgiving Event Item")</f>
        <v>Thanksgiving Event Item</v>
      </c>
      <c r="D615" s="1"/>
      <c r="E615" s="1">
        <f>IFERROR(__xludf.DUMMYFUNCTION("""COMPUTED_VALUE"""),1.0)</f>
        <v>1</v>
      </c>
      <c r="F615" s="2">
        <f>IFERROR(__xludf.DUMMYFUNCTION("""COMPUTED_VALUE"""),0.0)</f>
        <v>0</v>
      </c>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t="str">
        <f>IFERROR(__xludf.DUMMYFUNCTION("""COMPUTED_VALUE"""),"++Allows you to give up your next turn turn to give a party member a second turn. +-one use per battle +-Cannot be duplicated.")</f>
        <v>++Allows you to give up your next turn turn to give a party member a second turn. +-one use per battle +-Cannot be duplicated.</v>
      </c>
      <c r="AG615" s="1" t="str">
        <f>IFERROR(__xludf.DUMMYFUNCTION("""COMPUTED_VALUE"""),"Land of Spira")</f>
        <v>Land of Spira</v>
      </c>
      <c r="AH615" s="1" t="b">
        <f>IFERROR(__xludf.DUMMYFUNCTION("""COMPUTED_VALUE"""),FALSE)</f>
        <v>0</v>
      </c>
    </row>
    <row r="616">
      <c r="A616" s="1" t="str">
        <f>IFERROR(__xludf.DUMMYFUNCTION("""COMPUTED_VALUE"""),"Pilgrim's Hat")</f>
        <v>Pilgrim's Hat</v>
      </c>
      <c r="B616" s="1" t="str">
        <f>IFERROR(__xludf.DUMMYFUNCTION("""COMPUTED_VALUE"""),"Head")</f>
        <v>Head</v>
      </c>
      <c r="C616" s="1" t="str">
        <f>IFERROR(__xludf.DUMMYFUNCTION("""COMPUTED_VALUE"""),"Thanksgiving Event Item")</f>
        <v>Thanksgiving Event Item</v>
      </c>
      <c r="D616" s="1"/>
      <c r="E616" s="1">
        <f>IFERROR(__xludf.DUMMYFUNCTION("""COMPUTED_VALUE"""),1.0)</f>
        <v>1</v>
      </c>
      <c r="F616" s="2">
        <f>IFERROR(__xludf.DUMMYFUNCTION("""COMPUTED_VALUE"""),0.0)</f>
        <v>0</v>
      </c>
      <c r="G616" s="1" t="str">
        <f>IFERROR(__xludf.DUMMYFUNCTION("""COMPUTED_VALUE"""),"DEF")</f>
        <v>DEF</v>
      </c>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t="str">
        <f>IFERROR(__xludf.DUMMYFUNCTION("""COMPUTED_VALUE"""),"++Double the hunger, thirst, and energy you receive when consuming a consumable. +-Cannot be duplicated.")</f>
        <v>++Double the hunger, thirst, and energy you receive when consuming a consumable. +-Cannot be duplicated.</v>
      </c>
      <c r="AG616" s="1" t="str">
        <f>IFERROR(__xludf.DUMMYFUNCTION("""COMPUTED_VALUE"""),"Land of Spira")</f>
        <v>Land of Spira</v>
      </c>
      <c r="AH616" s="1" t="b">
        <f>IFERROR(__xludf.DUMMYFUNCTION("""COMPUTED_VALUE"""),FALSE)</f>
        <v>0</v>
      </c>
    </row>
    <row r="617">
      <c r="A617" s="1" t="str">
        <f>IFERROR(__xludf.DUMMYFUNCTION("""COMPUTED_VALUE"""),"Dragon Flute")</f>
        <v>Dragon Flute</v>
      </c>
      <c r="B617" s="1" t="str">
        <f>IFERROR(__xludf.DUMMYFUNCTION("""COMPUTED_VALUE"""),"Hand")</f>
        <v>Hand</v>
      </c>
      <c r="C617" s="1" t="str">
        <f>IFERROR(__xludf.DUMMYFUNCTION("""COMPUTED_VALUE"""),"A flute carved from dragon bone that exudes an enchanting aura when played. It is said that this flute was given as a gift to the dragonoids to signal peace between them and the dragons.")</f>
        <v>A flute carved from dragon bone that exudes an enchanting aura when played. It is said that this flute was given as a gift to the dragonoids to signal peace between them and the dragons.</v>
      </c>
      <c r="D617" s="1" t="str">
        <f>IFERROR(__xludf.DUMMYFUNCTION("""COMPUTED_VALUE"""),"Instrument")</f>
        <v>Instrument</v>
      </c>
      <c r="E617" s="1">
        <f>IFERROR(__xludf.DUMMYFUNCTION("""COMPUTED_VALUE"""),100.0)</f>
        <v>100</v>
      </c>
      <c r="F617" s="2">
        <f>IFERROR(__xludf.DUMMYFUNCTION("""COMPUTED_VALUE"""),450000.0)</f>
        <v>450000</v>
      </c>
      <c r="G617" s="1" t="str">
        <f>IFERROR(__xludf.DUMMYFUNCTION("""COMPUTED_VALUE"""),"DMG")</f>
        <v>DMG</v>
      </c>
      <c r="H617" s="1"/>
      <c r="I617" s="1"/>
      <c r="J617" s="1"/>
      <c r="K617" s="1"/>
      <c r="L617" s="1"/>
      <c r="M617" s="1"/>
      <c r="N617" s="1"/>
      <c r="O617" s="1"/>
      <c r="P617" s="1"/>
      <c r="Q617" s="1"/>
      <c r="R617" s="1"/>
      <c r="S617" s="1"/>
      <c r="T617" s="1"/>
      <c r="U617" s="1"/>
      <c r="V617" s="1"/>
      <c r="W617" s="1"/>
      <c r="X617" s="1"/>
      <c r="Y617" s="1"/>
      <c r="Z617" s="1"/>
      <c r="AA617" s="1"/>
      <c r="AB617" s="1"/>
      <c r="AC617" s="1"/>
      <c r="AD617" s="1"/>
      <c r="AE617" s="1">
        <f>IFERROR(__xludf.DUMMYFUNCTION("""COMPUTED_VALUE"""),5000.0)</f>
        <v>5000</v>
      </c>
      <c r="AF617" s="1" t="str">
        <f>IFERROR(__xludf.DUMMYFUNCTION("""COMPUTED_VALUE"""),"++Summons 1 of the following dragons with a d4 roll: Fire Dragon, Poison Dragon, Storm Dragon, Ancient Water Dragon, Level determined by dm/gm. +-one use per battle")</f>
        <v>++Summons 1 of the following dragons with a d4 roll: Fire Dragon, Poison Dragon, Storm Dragon, Ancient Water Dragon, Level determined by dm/gm. +-one use per battle</v>
      </c>
      <c r="AG617" s="1" t="str">
        <f>IFERROR(__xludf.DUMMYFUNCTION("""COMPUTED_VALUE"""),"Dragonscale Island")</f>
        <v>Dragonscale Island</v>
      </c>
      <c r="AH617" s="1" t="b">
        <f>IFERROR(__xludf.DUMMYFUNCTION("""COMPUTED_VALUE"""),FALSE)</f>
        <v>0</v>
      </c>
    </row>
    <row r="618">
      <c r="A618" s="1" t="str">
        <f>IFERROR(__xludf.DUMMYFUNCTION("""COMPUTED_VALUE"""),"Harbingers' Helm of the Unrestrained (Spira)")</f>
        <v>Harbingers' Helm of the Unrestrained (Spira)</v>
      </c>
      <c r="B618" s="1" t="str">
        <f>IFERROR(__xludf.DUMMYFUNCTION("""COMPUTED_VALUE"""),"Head")</f>
        <v>Head</v>
      </c>
      <c r="C618" s="1" t="str">
        <f>IFERROR(__xludf.DUMMYFUNCTION("""COMPUTED_VALUE"""),"The helmet is made of a dark steel which invades the weares mind, originally takes the appearance of a hood but becomes covers more of the wearers face and becomes more bestial looking as the wearer gives in to their insanity more and more.")</f>
        <v>The helmet is made of a dark steel which invades the weares mind, originally takes the appearance of a hood but becomes covers more of the wearers face and becomes more bestial looking as the wearer gives in to their insanity more and more.</v>
      </c>
      <c r="D618" s="1"/>
      <c r="E618" s="1">
        <f>IFERROR(__xludf.DUMMYFUNCTION("""COMPUTED_VALUE"""),200.0)</f>
        <v>200</v>
      </c>
      <c r="F618" s="2">
        <f>IFERROR(__xludf.DUMMYFUNCTION("""COMPUTED_VALUE"""),7.98E8)</f>
        <v>798000000</v>
      </c>
      <c r="G618" s="1" t="str">
        <f>IFERROR(__xludf.DUMMYFUNCTION("""COMPUTED_VALUE"""),"DEF")</f>
        <v>DEF</v>
      </c>
      <c r="H618" s="3">
        <f>IFERROR(__xludf.DUMMYFUNCTION("""COMPUTED_VALUE"""),50000.0)</f>
        <v>50000</v>
      </c>
      <c r="I618" s="1">
        <f>IFERROR(__xludf.DUMMYFUNCTION("""COMPUTED_VALUE"""),10000.0)</f>
        <v>10000</v>
      </c>
      <c r="J618" s="1"/>
      <c r="K618" s="1">
        <f>IFERROR(__xludf.DUMMYFUNCTION("""COMPUTED_VALUE"""),10000.0)</f>
        <v>10000</v>
      </c>
      <c r="L618" s="1">
        <f>IFERROR(__xludf.DUMMYFUNCTION("""COMPUTED_VALUE"""),10000.0)</f>
        <v>10000</v>
      </c>
      <c r="M618" s="1">
        <f>IFERROR(__xludf.DUMMYFUNCTION("""COMPUTED_VALUE"""),10000.0)</f>
        <v>10000</v>
      </c>
      <c r="N618" s="1">
        <f>IFERROR(__xludf.DUMMYFUNCTION("""COMPUTED_VALUE"""),10000.0)</f>
        <v>10000</v>
      </c>
      <c r="O618" s="1">
        <f>IFERROR(__xludf.DUMMYFUNCTION("""COMPUTED_VALUE"""),10000.0)</f>
        <v>10000</v>
      </c>
      <c r="P618" s="1">
        <f>IFERROR(__xludf.DUMMYFUNCTION("""COMPUTED_VALUE"""),10000.0)</f>
        <v>10000</v>
      </c>
      <c r="Q618" s="1">
        <f>IFERROR(__xludf.DUMMYFUNCTION("""COMPUTED_VALUE"""),10000.0)</f>
        <v>10000</v>
      </c>
      <c r="R618" s="1">
        <f>IFERROR(__xludf.DUMMYFUNCTION("""COMPUTED_VALUE"""),10000.0)</f>
        <v>10000</v>
      </c>
      <c r="S618" s="1">
        <f>IFERROR(__xludf.DUMMYFUNCTION("""COMPUTED_VALUE"""),10000.0)</f>
        <v>10000</v>
      </c>
      <c r="T618" s="1"/>
      <c r="U618" s="1"/>
      <c r="V618" s="1"/>
      <c r="W618" s="1"/>
      <c r="X618" s="1">
        <f>IFERROR(__xludf.DUMMYFUNCTION("""COMPUTED_VALUE"""),10000.0)</f>
        <v>10000</v>
      </c>
      <c r="Y618" s="1">
        <f>IFERROR(__xludf.DUMMYFUNCTION("""COMPUTED_VALUE"""),10000.0)</f>
        <v>10000</v>
      </c>
      <c r="Z618" s="1"/>
      <c r="AA618" s="1">
        <f>IFERROR(__xludf.DUMMYFUNCTION("""COMPUTED_VALUE"""),10000.0)</f>
        <v>10000</v>
      </c>
      <c r="AB618" s="1">
        <f>IFERROR(__xludf.DUMMYFUNCTION("""COMPUTED_VALUE"""),10000.0)</f>
        <v>10000</v>
      </c>
      <c r="AC618" s="1">
        <f>IFERROR(__xludf.DUMMYFUNCTION("""COMPUTED_VALUE"""),10000.0)</f>
        <v>10000</v>
      </c>
      <c r="AD618" s="1"/>
      <c r="AE618" s="1"/>
      <c r="AF618" s="1" t="str">
        <f>IFERROR(__xludf.DUMMYFUNCTION("""COMPUTED_VALUE"""),"++Unbroken will - You become immune to all effects that would prevent you from taking your turn.")</f>
        <v>++Unbroken will - You become immune to all effects that would prevent you from taking your turn.</v>
      </c>
      <c r="AG618" s="1" t="str">
        <f>IFERROR(__xludf.DUMMYFUNCTION("""COMPUTED_VALUE"""),"Land of Spira")</f>
        <v>Land of Spira</v>
      </c>
      <c r="AH618" s="1" t="b">
        <f>IFERROR(__xludf.DUMMYFUNCTION("""COMPUTED_VALUE"""),FALSE)</f>
        <v>0</v>
      </c>
    </row>
    <row r="619">
      <c r="A619" s="1" t="str">
        <f>IFERROR(__xludf.DUMMYFUNCTION("""COMPUTED_VALUE"""),"Harbingers' Shifting Pauldrons (Spira)")</f>
        <v>Harbingers' Shifting Pauldrons (Spira)</v>
      </c>
      <c r="B619" s="1" t="str">
        <f>IFERROR(__xludf.DUMMYFUNCTION("""COMPUTED_VALUE"""),"Shoulders")</f>
        <v>Shoulders</v>
      </c>
      <c r="C619" s="1" t="str">
        <f>IFERROR(__xludf.DUMMYFUNCTION("""COMPUTED_VALUE"""),"(Quest Item) This knife holds all the grief of Inugima, the man who turned his back on his clan and lived in grief for his descision until the day he died. The blade is stained red with the blood of Inugima's family and now is stained with his as well. It"&amp;" still seems to hold some special power and you guess it's story probably isn't over yet.")</f>
        <v>(Quest Item) This knife holds all the grief of Inugima, the man who turned his back on his clan and lived in grief for his descision until the day he died. The blade is stained red with the blood of Inugima's family and now is stained with his as well. It still seems to hold some special power and you guess it's story probably isn't over yet.</v>
      </c>
      <c r="D619" s="1"/>
      <c r="E619" s="1">
        <f>IFERROR(__xludf.DUMMYFUNCTION("""COMPUTED_VALUE"""),200.0)</f>
        <v>200</v>
      </c>
      <c r="F619" s="2">
        <f>IFERROR(__xludf.DUMMYFUNCTION("""COMPUTED_VALUE"""),7.98E8)</f>
        <v>798000000</v>
      </c>
      <c r="G619" s="1" t="str">
        <f>IFERROR(__xludf.DUMMYFUNCTION("""COMPUTED_VALUE"""),"DEF")</f>
        <v>DEF</v>
      </c>
      <c r="H619" s="3">
        <f>IFERROR(__xludf.DUMMYFUNCTION("""COMPUTED_VALUE"""),50000.0)</f>
        <v>50000</v>
      </c>
      <c r="I619" s="1">
        <f>IFERROR(__xludf.DUMMYFUNCTION("""COMPUTED_VALUE"""),10000.0)</f>
        <v>10000</v>
      </c>
      <c r="J619" s="1"/>
      <c r="K619" s="1">
        <f>IFERROR(__xludf.DUMMYFUNCTION("""COMPUTED_VALUE"""),10000.0)</f>
        <v>10000</v>
      </c>
      <c r="L619" s="1">
        <f>IFERROR(__xludf.DUMMYFUNCTION("""COMPUTED_VALUE"""),10000.0)</f>
        <v>10000</v>
      </c>
      <c r="M619" s="1">
        <f>IFERROR(__xludf.DUMMYFUNCTION("""COMPUTED_VALUE"""),10000.0)</f>
        <v>10000</v>
      </c>
      <c r="N619" s="1">
        <f>IFERROR(__xludf.DUMMYFUNCTION("""COMPUTED_VALUE"""),10000.0)</f>
        <v>10000</v>
      </c>
      <c r="O619" s="1">
        <f>IFERROR(__xludf.DUMMYFUNCTION("""COMPUTED_VALUE"""),10000.0)</f>
        <v>10000</v>
      </c>
      <c r="P619" s="1">
        <f>IFERROR(__xludf.DUMMYFUNCTION("""COMPUTED_VALUE"""),10000.0)</f>
        <v>10000</v>
      </c>
      <c r="Q619" s="1">
        <f>IFERROR(__xludf.DUMMYFUNCTION("""COMPUTED_VALUE"""),10000.0)</f>
        <v>10000</v>
      </c>
      <c r="R619" s="1">
        <f>IFERROR(__xludf.DUMMYFUNCTION("""COMPUTED_VALUE"""),10000.0)</f>
        <v>10000</v>
      </c>
      <c r="S619" s="1">
        <f>IFERROR(__xludf.DUMMYFUNCTION("""COMPUTED_VALUE"""),10000.0)</f>
        <v>10000</v>
      </c>
      <c r="T619" s="1"/>
      <c r="U619" s="1"/>
      <c r="V619" s="1"/>
      <c r="W619" s="1"/>
      <c r="X619" s="1">
        <f>IFERROR(__xludf.DUMMYFUNCTION("""COMPUTED_VALUE"""),10000.0)</f>
        <v>10000</v>
      </c>
      <c r="Y619" s="1">
        <f>IFERROR(__xludf.DUMMYFUNCTION("""COMPUTED_VALUE"""),10000.0)</f>
        <v>10000</v>
      </c>
      <c r="Z619" s="1"/>
      <c r="AA619" s="1">
        <f>IFERROR(__xludf.DUMMYFUNCTION("""COMPUTED_VALUE"""),10000.0)</f>
        <v>10000</v>
      </c>
      <c r="AB619" s="1">
        <f>IFERROR(__xludf.DUMMYFUNCTION("""COMPUTED_VALUE"""),10000.0)</f>
        <v>10000</v>
      </c>
      <c r="AC619" s="1">
        <f>IFERROR(__xludf.DUMMYFUNCTION("""COMPUTED_VALUE"""),10000.0)</f>
        <v>10000</v>
      </c>
      <c r="AD619" s="1"/>
      <c r="AE619" s="1"/>
      <c r="AF619" s="1" t="str">
        <f>IFERROR(__xludf.DUMMYFUNCTION("""COMPUTED_VALUE"""),"++Adrenaline - Upon being hit with any attack gain 1 stack of Insanity.")</f>
        <v>++Adrenaline - Upon being hit with any attack gain 1 stack of Insanity.</v>
      </c>
      <c r="AG619" s="1" t="str">
        <f>IFERROR(__xludf.DUMMYFUNCTION("""COMPUTED_VALUE"""),"Land of Spira")</f>
        <v>Land of Spira</v>
      </c>
      <c r="AH619" s="1" t="b">
        <f>IFERROR(__xludf.DUMMYFUNCTION("""COMPUTED_VALUE"""),FALSE)</f>
        <v>0</v>
      </c>
    </row>
    <row r="620">
      <c r="A620" s="1" t="str">
        <f>IFERROR(__xludf.DUMMYFUNCTION("""COMPUTED_VALUE"""),"Harbingers' Emblazoned Chest of The Encroaching Void (Spira)")</f>
        <v>Harbingers' Emblazoned Chest of The Encroaching Void (Spira)</v>
      </c>
      <c r="B620" s="1" t="str">
        <f>IFERROR(__xludf.DUMMYFUNCTION("""COMPUTED_VALUE"""),"Torso")</f>
        <v>Torso</v>
      </c>
      <c r="C620" s="1" t="str">
        <f>IFERROR(__xludf.DUMMYFUNCTION("""COMPUTED_VALUE"""),"The Harbinger's armor is made of a dark steel which drives its wearer progressively further whilst in combat. The armor takes the rage of its wearer and multiplies it tenfold whilst breaking off the subconscious limiters on a wearers strength.")</f>
        <v>The Harbinger's armor is made of a dark steel which drives its wearer progressively further whilst in combat. The armor takes the rage of its wearer and multiplies it tenfold whilst breaking off the subconscious limiters on a wearers strength.</v>
      </c>
      <c r="D620" s="1"/>
      <c r="E620" s="1">
        <f>IFERROR(__xludf.DUMMYFUNCTION("""COMPUTED_VALUE"""),200.0)</f>
        <v>200</v>
      </c>
      <c r="F620" s="2">
        <f>IFERROR(__xludf.DUMMYFUNCTION("""COMPUTED_VALUE"""),7.98E8)</f>
        <v>798000000</v>
      </c>
      <c r="G620" s="1" t="str">
        <f>IFERROR(__xludf.DUMMYFUNCTION("""COMPUTED_VALUE"""),"DEF")</f>
        <v>DEF</v>
      </c>
      <c r="H620" s="3">
        <f>IFERROR(__xludf.DUMMYFUNCTION("""COMPUTED_VALUE"""),50000.0)</f>
        <v>50000</v>
      </c>
      <c r="I620" s="1">
        <f>IFERROR(__xludf.DUMMYFUNCTION("""COMPUTED_VALUE"""),10000.0)</f>
        <v>10000</v>
      </c>
      <c r="J620" s="1"/>
      <c r="K620" s="1">
        <f>IFERROR(__xludf.DUMMYFUNCTION("""COMPUTED_VALUE"""),10000.0)</f>
        <v>10000</v>
      </c>
      <c r="L620" s="1">
        <f>IFERROR(__xludf.DUMMYFUNCTION("""COMPUTED_VALUE"""),10000.0)</f>
        <v>10000</v>
      </c>
      <c r="M620" s="1">
        <f>IFERROR(__xludf.DUMMYFUNCTION("""COMPUTED_VALUE"""),10000.0)</f>
        <v>10000</v>
      </c>
      <c r="N620" s="1">
        <f>IFERROR(__xludf.DUMMYFUNCTION("""COMPUTED_VALUE"""),10000.0)</f>
        <v>10000</v>
      </c>
      <c r="O620" s="1">
        <f>IFERROR(__xludf.DUMMYFUNCTION("""COMPUTED_VALUE"""),10000.0)</f>
        <v>10000</v>
      </c>
      <c r="P620" s="1">
        <f>IFERROR(__xludf.DUMMYFUNCTION("""COMPUTED_VALUE"""),10000.0)</f>
        <v>10000</v>
      </c>
      <c r="Q620" s="1">
        <f>IFERROR(__xludf.DUMMYFUNCTION("""COMPUTED_VALUE"""),10000.0)</f>
        <v>10000</v>
      </c>
      <c r="R620" s="1">
        <f>IFERROR(__xludf.DUMMYFUNCTION("""COMPUTED_VALUE"""),10000.0)</f>
        <v>10000</v>
      </c>
      <c r="S620" s="1">
        <f>IFERROR(__xludf.DUMMYFUNCTION("""COMPUTED_VALUE"""),10000.0)</f>
        <v>10000</v>
      </c>
      <c r="T620" s="1"/>
      <c r="U620" s="1"/>
      <c r="V620" s="1"/>
      <c r="W620" s="1"/>
      <c r="X620" s="1">
        <f>IFERROR(__xludf.DUMMYFUNCTION("""COMPUTED_VALUE"""),10000.0)</f>
        <v>10000</v>
      </c>
      <c r="Y620" s="1">
        <f>IFERROR(__xludf.DUMMYFUNCTION("""COMPUTED_VALUE"""),10000.0)</f>
        <v>10000</v>
      </c>
      <c r="Z620" s="1"/>
      <c r="AA620" s="1">
        <f>IFERROR(__xludf.DUMMYFUNCTION("""COMPUTED_VALUE"""),10000.0)</f>
        <v>10000</v>
      </c>
      <c r="AB620" s="1">
        <f>IFERROR(__xludf.DUMMYFUNCTION("""COMPUTED_VALUE"""),10000.0)</f>
        <v>10000</v>
      </c>
      <c r="AC620" s="1">
        <f>IFERROR(__xludf.DUMMYFUNCTION("""COMPUTED_VALUE"""),10000.0)</f>
        <v>10000</v>
      </c>
      <c r="AD620" s="1"/>
      <c r="AE620" s="1"/>
      <c r="AF620" s="1" t="str">
        <f>IFERROR(__xludf.DUMMYFUNCTION("""COMPUTED_VALUE"""),"++Bloodlust - Upon targeting any enemy with an attack gain 2 stacks of insanity")</f>
        <v>++Bloodlust - Upon targeting any enemy with an attack gain 2 stacks of insanity</v>
      </c>
      <c r="AG620" s="1" t="str">
        <f>IFERROR(__xludf.DUMMYFUNCTION("""COMPUTED_VALUE"""),"Land of Spira")</f>
        <v>Land of Spira</v>
      </c>
      <c r="AH620" s="1" t="b">
        <f>IFERROR(__xludf.DUMMYFUNCTION("""COMPUTED_VALUE"""),FALSE)</f>
        <v>0</v>
      </c>
    </row>
    <row r="621">
      <c r="A621" s="1" t="str">
        <f>IFERROR(__xludf.DUMMYFUNCTION("""COMPUTED_VALUE"""),"Harbingers' Broken Fettering (Spira)")</f>
        <v>Harbingers' Broken Fettering (Spira)</v>
      </c>
      <c r="B621" s="1" t="str">
        <f>IFERROR(__xludf.DUMMYFUNCTION("""COMPUTED_VALUE"""),"Arms")</f>
        <v>Arms</v>
      </c>
      <c r="C621" s="1" t="str">
        <f>IFERROR(__xludf.DUMMYFUNCTION("""COMPUTED_VALUE"""),"Some have witnessed how the wearers of this mythical armor seem completely unreactive to the pain and it is speculated that the armor itself temporarily cuts off all feelings of pain to keep the wearer fighting.")</f>
        <v>Some have witnessed how the wearers of this mythical armor seem completely unreactive to the pain and it is speculated that the armor itself temporarily cuts off all feelings of pain to keep the wearer fighting.</v>
      </c>
      <c r="D621" s="1"/>
      <c r="E621" s="1">
        <f>IFERROR(__xludf.DUMMYFUNCTION("""COMPUTED_VALUE"""),200.0)</f>
        <v>200</v>
      </c>
      <c r="F621" s="2">
        <f>IFERROR(__xludf.DUMMYFUNCTION("""COMPUTED_VALUE"""),7.98E8)</f>
        <v>798000000</v>
      </c>
      <c r="G621" s="1" t="str">
        <f>IFERROR(__xludf.DUMMYFUNCTION("""COMPUTED_VALUE"""),"DEF")</f>
        <v>DEF</v>
      </c>
      <c r="H621" s="3">
        <f>IFERROR(__xludf.DUMMYFUNCTION("""COMPUTED_VALUE"""),50000.0)</f>
        <v>50000</v>
      </c>
      <c r="I621" s="1">
        <f>IFERROR(__xludf.DUMMYFUNCTION("""COMPUTED_VALUE"""),10000.0)</f>
        <v>10000</v>
      </c>
      <c r="J621" s="1"/>
      <c r="K621" s="1">
        <f>IFERROR(__xludf.DUMMYFUNCTION("""COMPUTED_VALUE"""),10000.0)</f>
        <v>10000</v>
      </c>
      <c r="L621" s="1">
        <f>IFERROR(__xludf.DUMMYFUNCTION("""COMPUTED_VALUE"""),10000.0)</f>
        <v>10000</v>
      </c>
      <c r="M621" s="1">
        <f>IFERROR(__xludf.DUMMYFUNCTION("""COMPUTED_VALUE"""),10000.0)</f>
        <v>10000</v>
      </c>
      <c r="N621" s="1">
        <f>IFERROR(__xludf.DUMMYFUNCTION("""COMPUTED_VALUE"""),10000.0)</f>
        <v>10000</v>
      </c>
      <c r="O621" s="1">
        <f>IFERROR(__xludf.DUMMYFUNCTION("""COMPUTED_VALUE"""),10000.0)</f>
        <v>10000</v>
      </c>
      <c r="P621" s="1">
        <f>IFERROR(__xludf.DUMMYFUNCTION("""COMPUTED_VALUE"""),10000.0)</f>
        <v>10000</v>
      </c>
      <c r="Q621" s="1">
        <f>IFERROR(__xludf.DUMMYFUNCTION("""COMPUTED_VALUE"""),10000.0)</f>
        <v>10000</v>
      </c>
      <c r="R621" s="1">
        <f>IFERROR(__xludf.DUMMYFUNCTION("""COMPUTED_VALUE"""),10000.0)</f>
        <v>10000</v>
      </c>
      <c r="S621" s="1">
        <f>IFERROR(__xludf.DUMMYFUNCTION("""COMPUTED_VALUE"""),10000.0)</f>
        <v>10000</v>
      </c>
      <c r="T621" s="1"/>
      <c r="U621" s="1"/>
      <c r="V621" s="1"/>
      <c r="W621" s="1"/>
      <c r="X621" s="1">
        <f>IFERROR(__xludf.DUMMYFUNCTION("""COMPUTED_VALUE"""),10000.0)</f>
        <v>10000</v>
      </c>
      <c r="Y621" s="1">
        <f>IFERROR(__xludf.DUMMYFUNCTION("""COMPUTED_VALUE"""),10000.0)</f>
        <v>10000</v>
      </c>
      <c r="Z621" s="1"/>
      <c r="AA621" s="1">
        <f>IFERROR(__xludf.DUMMYFUNCTION("""COMPUTED_VALUE"""),10000.0)</f>
        <v>10000</v>
      </c>
      <c r="AB621" s="1">
        <f>IFERROR(__xludf.DUMMYFUNCTION("""COMPUTED_VALUE"""),10000.0)</f>
        <v>10000</v>
      </c>
      <c r="AC621" s="1">
        <f>IFERROR(__xludf.DUMMYFUNCTION("""COMPUTED_VALUE"""),10000.0)</f>
        <v>10000</v>
      </c>
      <c r="AD621" s="1"/>
      <c r="AE621" s="1"/>
      <c r="AF621" s="1" t="str">
        <f>IFERROR(__xludf.DUMMYFUNCTION("""COMPUTED_VALUE"""),"++To Break From Your Shackles - You lash out cleaving your way through reality creating a small distortion dealing 500,000 delta damage to all enemies and allies and inflict Shuttering 5, requiring everyone to roll a fail or succeed roll to bind themselve"&amp;"s to this plane or have a party member who succeeded use an action to help them, or if they fail 5 times they will be lost to the void forever, consumes 10 stacks of insanity to cast (Permadeath)(considered an instant death effect for purposes of immunity"&amp;")")</f>
        <v>++To Break From Your Shackles - You lash out cleaving your way through reality creating a small distortion dealing 500,000 delta damage to all enemies and allies and inflict Shuttering 5, requiring everyone to roll a fail or succeed roll to bind themselves to this plane or have a party member who succeeded use an action to help them, or if they fail 5 times they will be lost to the void forever, consumes 10 stacks of insanity to cast (Permadeath)(considered an instant death effect for purposes of immunity)</v>
      </c>
      <c r="AG621" s="1" t="str">
        <f>IFERROR(__xludf.DUMMYFUNCTION("""COMPUTED_VALUE"""),"Land of Spira")</f>
        <v>Land of Spira</v>
      </c>
      <c r="AH621" s="1" t="b">
        <f>IFERROR(__xludf.DUMMYFUNCTION("""COMPUTED_VALUE"""),FALSE)</f>
        <v>0</v>
      </c>
    </row>
    <row r="622">
      <c r="A622" s="1" t="str">
        <f>IFERROR(__xludf.DUMMYFUNCTION("""COMPUTED_VALUE"""),"Harbingers' Ethereal Chausses (Spira)")</f>
        <v>Harbingers' Ethereal Chausses (Spira)</v>
      </c>
      <c r="B622" s="1" t="str">
        <f>IFERROR(__xludf.DUMMYFUNCTION("""COMPUTED_VALUE"""),"Legs")</f>
        <v>Legs</v>
      </c>
      <c r="C622" s="1" t="str">
        <f>IFERROR(__xludf.DUMMYFUNCTION("""COMPUTED_VALUE"""),"Even with broken bones the armor will not allow the wearer to stop fighting, spikes will form from the armor piercing into the damaged limbs and letting the wearer continue controller these destroyed limbs via the armor itself.")</f>
        <v>Even with broken bones the armor will not allow the wearer to stop fighting, spikes will form from the armor piercing into the damaged limbs and letting the wearer continue controller these destroyed limbs via the armor itself.</v>
      </c>
      <c r="D622" s="1"/>
      <c r="E622" s="1">
        <f>IFERROR(__xludf.DUMMYFUNCTION("""COMPUTED_VALUE"""),200.0)</f>
        <v>200</v>
      </c>
      <c r="F622" s="2">
        <f>IFERROR(__xludf.DUMMYFUNCTION("""COMPUTED_VALUE"""),7.98E8)</f>
        <v>798000000</v>
      </c>
      <c r="G622" s="1" t="str">
        <f>IFERROR(__xludf.DUMMYFUNCTION("""COMPUTED_VALUE"""),"DEF")</f>
        <v>DEF</v>
      </c>
      <c r="H622" s="3">
        <f>IFERROR(__xludf.DUMMYFUNCTION("""COMPUTED_VALUE"""),50000.0)</f>
        <v>50000</v>
      </c>
      <c r="I622" s="1">
        <f>IFERROR(__xludf.DUMMYFUNCTION("""COMPUTED_VALUE"""),10000.0)</f>
        <v>10000</v>
      </c>
      <c r="J622" s="1"/>
      <c r="K622" s="1">
        <f>IFERROR(__xludf.DUMMYFUNCTION("""COMPUTED_VALUE"""),10000.0)</f>
        <v>10000</v>
      </c>
      <c r="L622" s="1">
        <f>IFERROR(__xludf.DUMMYFUNCTION("""COMPUTED_VALUE"""),10000.0)</f>
        <v>10000</v>
      </c>
      <c r="M622" s="1">
        <f>IFERROR(__xludf.DUMMYFUNCTION("""COMPUTED_VALUE"""),10000.0)</f>
        <v>10000</v>
      </c>
      <c r="N622" s="1">
        <f>IFERROR(__xludf.DUMMYFUNCTION("""COMPUTED_VALUE"""),10000.0)</f>
        <v>10000</v>
      </c>
      <c r="O622" s="1">
        <f>IFERROR(__xludf.DUMMYFUNCTION("""COMPUTED_VALUE"""),10000.0)</f>
        <v>10000</v>
      </c>
      <c r="P622" s="1">
        <f>IFERROR(__xludf.DUMMYFUNCTION("""COMPUTED_VALUE"""),10000.0)</f>
        <v>10000</v>
      </c>
      <c r="Q622" s="1">
        <f>IFERROR(__xludf.DUMMYFUNCTION("""COMPUTED_VALUE"""),10000.0)</f>
        <v>10000</v>
      </c>
      <c r="R622" s="1">
        <f>IFERROR(__xludf.DUMMYFUNCTION("""COMPUTED_VALUE"""),10000.0)</f>
        <v>10000</v>
      </c>
      <c r="S622" s="1">
        <f>IFERROR(__xludf.DUMMYFUNCTION("""COMPUTED_VALUE"""),10000.0)</f>
        <v>10000</v>
      </c>
      <c r="T622" s="1"/>
      <c r="U622" s="1"/>
      <c r="V622" s="1"/>
      <c r="W622" s="1"/>
      <c r="X622" s="1">
        <f>IFERROR(__xludf.DUMMYFUNCTION("""COMPUTED_VALUE"""),10000.0)</f>
        <v>10000</v>
      </c>
      <c r="Y622" s="1">
        <f>IFERROR(__xludf.DUMMYFUNCTION("""COMPUTED_VALUE"""),10000.0)</f>
        <v>10000</v>
      </c>
      <c r="Z622" s="1"/>
      <c r="AA622" s="1">
        <f>IFERROR(__xludf.DUMMYFUNCTION("""COMPUTED_VALUE"""),10000.0)</f>
        <v>10000</v>
      </c>
      <c r="AB622" s="1">
        <f>IFERROR(__xludf.DUMMYFUNCTION("""COMPUTED_VALUE"""),10000.0)</f>
        <v>10000</v>
      </c>
      <c r="AC622" s="1">
        <f>IFERROR(__xludf.DUMMYFUNCTION("""COMPUTED_VALUE"""),10000.0)</f>
        <v>10000</v>
      </c>
      <c r="AD622" s="1"/>
      <c r="AE622" s="1"/>
      <c r="AF622" s="1" t="str">
        <f>IFERROR(__xludf.DUMMYFUNCTION("""COMPUTED_VALUE"""),"++Voidal Instinct - 50% chance to avoid all delta attacks and instant death effects
++To the Last Drop of Blood - Grants immunity to slowness.")</f>
        <v>++Voidal Instinct - 50% chance to avoid all delta attacks and instant death effects
++To the Last Drop of Blood - Grants immunity to slowness.</v>
      </c>
      <c r="AG622" s="1" t="str">
        <f>IFERROR(__xludf.DUMMYFUNCTION("""COMPUTED_VALUE"""),"Land of Spira")</f>
        <v>Land of Spira</v>
      </c>
      <c r="AH622" s="1" t="b">
        <f>IFERROR(__xludf.DUMMYFUNCTION("""COMPUTED_VALUE"""),FALSE)</f>
        <v>0</v>
      </c>
    </row>
    <row r="623">
      <c r="A623" s="1" t="str">
        <f>IFERROR(__xludf.DUMMYFUNCTION("""COMPUTED_VALUE"""),"Harbingers' Spiked Sabatons (Spira)")</f>
        <v>Harbingers' Spiked Sabatons (Spira)</v>
      </c>
      <c r="B623" s="1" t="str">
        <f>IFERROR(__xludf.DUMMYFUNCTION("""COMPUTED_VALUE"""),"Feet")</f>
        <v>Feet</v>
      </c>
      <c r="C623" s="1"/>
      <c r="D623" s="1"/>
      <c r="E623" s="1">
        <f>IFERROR(__xludf.DUMMYFUNCTION("""COMPUTED_VALUE"""),200.0)</f>
        <v>200</v>
      </c>
      <c r="F623" s="2">
        <f>IFERROR(__xludf.DUMMYFUNCTION("""COMPUTED_VALUE"""),7.98E8)</f>
        <v>798000000</v>
      </c>
      <c r="G623" s="1" t="str">
        <f>IFERROR(__xludf.DUMMYFUNCTION("""COMPUTED_VALUE"""),"DEF")</f>
        <v>DEF</v>
      </c>
      <c r="H623" s="3">
        <f>IFERROR(__xludf.DUMMYFUNCTION("""COMPUTED_VALUE"""),50000.0)</f>
        <v>50000</v>
      </c>
      <c r="I623" s="1">
        <f>IFERROR(__xludf.DUMMYFUNCTION("""COMPUTED_VALUE"""),10000.0)</f>
        <v>10000</v>
      </c>
      <c r="J623" s="1"/>
      <c r="K623" s="1">
        <f>IFERROR(__xludf.DUMMYFUNCTION("""COMPUTED_VALUE"""),10000.0)</f>
        <v>10000</v>
      </c>
      <c r="L623" s="1">
        <f>IFERROR(__xludf.DUMMYFUNCTION("""COMPUTED_VALUE"""),10000.0)</f>
        <v>10000</v>
      </c>
      <c r="M623" s="1">
        <f>IFERROR(__xludf.DUMMYFUNCTION("""COMPUTED_VALUE"""),10000.0)</f>
        <v>10000</v>
      </c>
      <c r="N623" s="1">
        <f>IFERROR(__xludf.DUMMYFUNCTION("""COMPUTED_VALUE"""),10000.0)</f>
        <v>10000</v>
      </c>
      <c r="O623" s="1">
        <f>IFERROR(__xludf.DUMMYFUNCTION("""COMPUTED_VALUE"""),10000.0)</f>
        <v>10000</v>
      </c>
      <c r="P623" s="1">
        <f>IFERROR(__xludf.DUMMYFUNCTION("""COMPUTED_VALUE"""),10000.0)</f>
        <v>10000</v>
      </c>
      <c r="Q623" s="1">
        <f>IFERROR(__xludf.DUMMYFUNCTION("""COMPUTED_VALUE"""),10000.0)</f>
        <v>10000</v>
      </c>
      <c r="R623" s="1">
        <f>IFERROR(__xludf.DUMMYFUNCTION("""COMPUTED_VALUE"""),10000.0)</f>
        <v>10000</v>
      </c>
      <c r="S623" s="1">
        <f>IFERROR(__xludf.DUMMYFUNCTION("""COMPUTED_VALUE"""),10000.0)</f>
        <v>10000</v>
      </c>
      <c r="T623" s="1"/>
      <c r="U623" s="1"/>
      <c r="V623" s="1"/>
      <c r="W623" s="1"/>
      <c r="X623" s="1">
        <f>IFERROR(__xludf.DUMMYFUNCTION("""COMPUTED_VALUE"""),10000.0)</f>
        <v>10000</v>
      </c>
      <c r="Y623" s="1">
        <f>IFERROR(__xludf.DUMMYFUNCTION("""COMPUTED_VALUE"""),10000.0)</f>
        <v>10000</v>
      </c>
      <c r="Z623" s="1"/>
      <c r="AA623" s="1">
        <f>IFERROR(__xludf.DUMMYFUNCTION("""COMPUTED_VALUE"""),10000.0)</f>
        <v>10000</v>
      </c>
      <c r="AB623" s="1">
        <f>IFERROR(__xludf.DUMMYFUNCTION("""COMPUTED_VALUE"""),10000.0)</f>
        <v>10000</v>
      </c>
      <c r="AC623" s="1">
        <f>IFERROR(__xludf.DUMMYFUNCTION("""COMPUTED_VALUE"""),10000.0)</f>
        <v>10000</v>
      </c>
      <c r="AD623" s="1"/>
      <c r="AE623" s="1"/>
      <c r="AF623" s="1" t="str">
        <f>IFERROR(__xludf.DUMMYFUNCTION("""COMPUTED_VALUE"""),"++Leg Sweep - Strike at an opponent's legs making a hit or miss attack (adding mobility) on hit you knock the opponent to the ground inflicting them with slowness 3")</f>
        <v>++Leg Sweep - Strike at an opponent's legs making a hit or miss attack (adding mobility) on hit you knock the opponent to the ground inflicting them with slowness 3</v>
      </c>
      <c r="AG623" s="1" t="str">
        <f>IFERROR(__xludf.DUMMYFUNCTION("""COMPUTED_VALUE"""),"Land of Spira")</f>
        <v>Land of Spira</v>
      </c>
      <c r="AH623" s="1" t="b">
        <f>IFERROR(__xludf.DUMMYFUNCTION("""COMPUTED_VALUE"""),FALSE)</f>
        <v>0</v>
      </c>
    </row>
    <row r="624">
      <c r="A624" s="1" t="str">
        <f>IFERROR(__xludf.DUMMYFUNCTION("""COMPUTED_VALUE"""),"Harbingers' Vow (Spira)")</f>
        <v>Harbingers' Vow (Spira)</v>
      </c>
      <c r="B624" s="1" t="str">
        <f>IFERROR(__xludf.DUMMYFUNCTION("""COMPUTED_VALUE"""),"Finger")</f>
        <v>Finger</v>
      </c>
      <c r="C624" s="1"/>
      <c r="D624" s="1"/>
      <c r="E624" s="1">
        <f>IFERROR(__xludf.DUMMYFUNCTION("""COMPUTED_VALUE"""),1.0)</f>
        <v>1</v>
      </c>
      <c r="F624" s="2">
        <f>IFERROR(__xludf.DUMMYFUNCTION("""COMPUTED_VALUE"""),0.0)</f>
        <v>0</v>
      </c>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t="str">
        <f>IFERROR(__xludf.DUMMYFUNCTION("""COMPUTED_VALUE"""),"++Pervading Madness - at the start of each of your turns flip a coin with heads being 1 and tails being 2 or roll a d2, gain that many stacks of insanity")</f>
        <v>++Pervading Madness - at the start of each of your turns flip a coin with heads being 1 and tails being 2 or roll a d2, gain that many stacks of insanity</v>
      </c>
      <c r="AG624" s="1" t="str">
        <f>IFERROR(__xludf.DUMMYFUNCTION("""COMPUTED_VALUE"""),"Land of Spira")</f>
        <v>Land of Spira</v>
      </c>
      <c r="AH624" s="1" t="b">
        <f>IFERROR(__xludf.DUMMYFUNCTION("""COMPUTED_VALUE"""),FALSE)</f>
        <v>0</v>
      </c>
    </row>
    <row r="625">
      <c r="A625" s="1" t="str">
        <f>IFERROR(__xludf.DUMMYFUNCTION("""COMPUTED_VALUE"""),"Harbingers' Resolve (Spira)")</f>
        <v>Harbingers' Resolve (Spira)</v>
      </c>
      <c r="B625" s="1" t="str">
        <f>IFERROR(__xludf.DUMMYFUNCTION("""COMPUTED_VALUE"""),"Neck")</f>
        <v>Neck</v>
      </c>
      <c r="C625" s="1"/>
      <c r="D625" s="1"/>
      <c r="E625" s="1">
        <f>IFERROR(__xludf.DUMMYFUNCTION("""COMPUTED_VALUE"""),1.0)</f>
        <v>1</v>
      </c>
      <c r="F625" s="2">
        <f>IFERROR(__xludf.DUMMYFUNCTION("""COMPUTED_VALUE"""),0.0)</f>
        <v>0</v>
      </c>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t="str">
        <f>IFERROR(__xludf.DUMMYFUNCTION("""COMPUTED_VALUE"""),"++To the Death! - Upon taking lethal damage resist it with 1 hp and gain 10 stacks of insanity (once per battle)")</f>
        <v>++To the Death! - Upon taking lethal damage resist it with 1 hp and gain 10 stacks of insanity (once per battle)</v>
      </c>
      <c r="AG625" s="1" t="str">
        <f>IFERROR(__xludf.DUMMYFUNCTION("""COMPUTED_VALUE"""),"Land of Spira")</f>
        <v>Land of Spira</v>
      </c>
      <c r="AH625" s="1" t="b">
        <f>IFERROR(__xludf.DUMMYFUNCTION("""COMPUTED_VALUE"""),FALSE)</f>
        <v>0</v>
      </c>
    </row>
    <row r="626">
      <c r="A626" s="1" t="str">
        <f>IFERROR(__xludf.DUMMYFUNCTION("""COMPUTED_VALUE"""),"Harbingers' Fist of Iron (Spira)")</f>
        <v>Harbingers' Fist of Iron (Spira)</v>
      </c>
      <c r="B626" s="1" t="str">
        <f>IFERROR(__xludf.DUMMYFUNCTION("""COMPUTED_VALUE"""),"Hand")</f>
        <v>Hand</v>
      </c>
      <c r="C626" s="1"/>
      <c r="D626" s="1" t="str">
        <f>IFERROR(__xludf.DUMMYFUNCTION("""COMPUTED_VALUE"""),"Gauntlet")</f>
        <v>Gauntlet</v>
      </c>
      <c r="E626" s="1">
        <f>IFERROR(__xludf.DUMMYFUNCTION("""COMPUTED_VALUE"""),200.0)</f>
        <v>200</v>
      </c>
      <c r="F626" s="2">
        <f>IFERROR(__xludf.DUMMYFUNCTION("""COMPUTED_VALUE"""),1.99E8)</f>
        <v>199000000</v>
      </c>
      <c r="G626" s="1" t="str">
        <f>IFERROR(__xludf.DUMMYFUNCTION("""COMPUTED_VALUE"""),"DEF")</f>
        <v>DEF</v>
      </c>
      <c r="H626" s="3">
        <f>IFERROR(__xludf.DUMMYFUNCTION("""COMPUTED_VALUE"""),50000.0)</f>
        <v>50000</v>
      </c>
      <c r="I626" s="1"/>
      <c r="J626" s="1"/>
      <c r="K626" s="1"/>
      <c r="L626" s="1"/>
      <c r="M626" s="1"/>
      <c r="N626" s="1"/>
      <c r="O626" s="1"/>
      <c r="P626" s="1"/>
      <c r="Q626" s="1"/>
      <c r="R626" s="1"/>
      <c r="S626" s="1"/>
      <c r="T626" s="1"/>
      <c r="U626" s="1"/>
      <c r="V626" s="1"/>
      <c r="W626" s="1"/>
      <c r="X626" s="1"/>
      <c r="Y626" s="1"/>
      <c r="Z626" s="1"/>
      <c r="AA626" s="1"/>
      <c r="AB626" s="1"/>
      <c r="AC626" s="3">
        <f>IFERROR(__xludf.DUMMYFUNCTION("""COMPUTED_VALUE"""),50000.0)</f>
        <v>50000</v>
      </c>
      <c r="AD626" s="1"/>
      <c r="AE626" s="1"/>
      <c r="AF626" s="1" t="str">
        <f>IFERROR(__xludf.DUMMYFUNCTION("""COMPUTED_VALUE"""),"++One fist of Iron -  When attacking with this weapon you can choose to attack with the Harbingers' Claw of Steel in the same action. ++Throat Grab - make a hit or miss attack to prevent an enemy from acting on their turn as long as they remain grappled. "&amp;"To break free from the grapple the enemy must roll evasion to attempt to break free from your grasp at the end of each of your turns. ++20% chance to remove enemy from battle")</f>
        <v>++One fist of Iron -  When attacking with this weapon you can choose to attack with the Harbingers' Claw of Steel in the same action. ++Throat Grab - make a hit or miss attack to prevent an enemy from acting on their turn as long as they remain grappled. To break free from the grapple the enemy must roll evasion to attempt to break free from your grasp at the end of each of your turns. ++20% chance to remove enemy from battle</v>
      </c>
      <c r="AG626" s="1" t="str">
        <f>IFERROR(__xludf.DUMMYFUNCTION("""COMPUTED_VALUE"""),"Land of Spira")</f>
        <v>Land of Spira</v>
      </c>
      <c r="AH626" s="1" t="b">
        <f>IFERROR(__xludf.DUMMYFUNCTION("""COMPUTED_VALUE"""),FALSE)</f>
        <v>0</v>
      </c>
    </row>
    <row r="627">
      <c r="A627" s="1" t="str">
        <f>IFERROR(__xludf.DUMMYFUNCTION("""COMPUTED_VALUE"""),"Harbingers' Claw of Steel (Spira)")</f>
        <v>Harbingers' Claw of Steel (Spira)</v>
      </c>
      <c r="B627" s="1" t="str">
        <f>IFERROR(__xludf.DUMMYFUNCTION("""COMPUTED_VALUE"""),"Hand")</f>
        <v>Hand</v>
      </c>
      <c r="C627" s="1"/>
      <c r="D627" s="1" t="str">
        <f>IFERROR(__xludf.DUMMYFUNCTION("""COMPUTED_VALUE"""),"Claw")</f>
        <v>Claw</v>
      </c>
      <c r="E627" s="1">
        <f>IFERROR(__xludf.DUMMYFUNCTION("""COMPUTED_VALUE"""),200.0)</f>
        <v>200</v>
      </c>
      <c r="F627" s="2">
        <f>IFERROR(__xludf.DUMMYFUNCTION("""COMPUTED_VALUE"""),1.99E8)</f>
        <v>199000000</v>
      </c>
      <c r="G627" s="1" t="str">
        <f>IFERROR(__xludf.DUMMYFUNCTION("""COMPUTED_VALUE"""),"DMG")</f>
        <v>DMG</v>
      </c>
      <c r="H627" s="3">
        <f>IFERROR(__xludf.DUMMYFUNCTION("""COMPUTED_VALUE"""),50000.0)</f>
        <v>50000</v>
      </c>
      <c r="I627" s="1"/>
      <c r="J627" s="1"/>
      <c r="K627" s="1"/>
      <c r="L627" s="1"/>
      <c r="M627" s="1"/>
      <c r="N627" s="1"/>
      <c r="O627" s="1"/>
      <c r="P627" s="1"/>
      <c r="Q627" s="1"/>
      <c r="R627" s="1"/>
      <c r="S627" s="1"/>
      <c r="T627" s="1"/>
      <c r="U627" s="1"/>
      <c r="V627" s="1"/>
      <c r="W627" s="1"/>
      <c r="X627" s="1"/>
      <c r="Y627" s="1"/>
      <c r="Z627" s="1">
        <f>IFERROR(__xludf.DUMMYFUNCTION("""COMPUTED_VALUE"""),25000.0)</f>
        <v>25000</v>
      </c>
      <c r="AA627" s="1"/>
      <c r="AB627" s="1"/>
      <c r="AC627" s="3">
        <f>IFERROR(__xludf.DUMMYFUNCTION("""COMPUTED_VALUE"""),25000.0)</f>
        <v>25000</v>
      </c>
      <c r="AD627" s="1"/>
      <c r="AE627" s="1"/>
      <c r="AF627" s="1" t="str">
        <f>IFERROR(__xludf.DUMMYFUNCTION("""COMPUTED_VALUE"""),"++And Another of Steel - When attacking with this weapon you can choose to attack with the Harbingers' Fist of Iron in the same action. ++Elemental Rend - inflicts 1000 damage per round of each element (Excluding Acoustic, Zen, Time, Physical, Melee, and "&amp;"Ranged) when attacking an enemy ++Maddening Blows - targeting an enemy with this weapon inflicts you with 1 stack of insanity")</f>
        <v>++And Another of Steel - When attacking with this weapon you can choose to attack with the Harbingers' Fist of Iron in the same action. ++Elemental Rend - inflicts 1000 damage per round of each element (Excluding Acoustic, Zen, Time, Physical, Melee, and Ranged) when attacking an enemy ++Maddening Blows - targeting an enemy with this weapon inflicts you with 1 stack of insanity</v>
      </c>
      <c r="AG627" s="1" t="str">
        <f>IFERROR(__xludf.DUMMYFUNCTION("""COMPUTED_VALUE"""),"Land of Spira")</f>
        <v>Land of Spira</v>
      </c>
      <c r="AH627" s="1" t="b">
        <f>IFERROR(__xludf.DUMMYFUNCTION("""COMPUTED_VALUE"""),FALSE)</f>
        <v>0</v>
      </c>
    </row>
    <row r="628">
      <c r="A628" s="1" t="str">
        <f>IFERROR(__xludf.DUMMYFUNCTION("""COMPUTED_VALUE"""),"Eagles Claw")</f>
        <v>Eagles Claw</v>
      </c>
      <c r="B628" s="1" t="str">
        <f>IFERROR(__xludf.DUMMYFUNCTION("""COMPUTED_VALUE"""),"Hand")</f>
        <v>Hand</v>
      </c>
      <c r="C628" s="1"/>
      <c r="D628" s="1" t="str">
        <f>IFERROR(__xludf.DUMMYFUNCTION("""COMPUTED_VALUE"""),"Claw")</f>
        <v>Claw</v>
      </c>
      <c r="E628" s="1">
        <f>IFERROR(__xludf.DUMMYFUNCTION("""COMPUTED_VALUE"""),200.0)</f>
        <v>200</v>
      </c>
      <c r="F628" s="2">
        <f>IFERROR(__xludf.DUMMYFUNCTION("""COMPUTED_VALUE"""),1900000.0)</f>
        <v>1900000</v>
      </c>
      <c r="G628" s="1" t="str">
        <f>IFERROR(__xludf.DUMMYFUNCTION("""COMPUTED_VALUE"""),"DMG")</f>
        <v>DMG</v>
      </c>
      <c r="H628" s="3">
        <f>IFERROR(__xludf.DUMMYFUNCTION("""COMPUTED_VALUE"""),10000.0)</f>
        <v>10000</v>
      </c>
      <c r="I628" s="1"/>
      <c r="J628" s="1"/>
      <c r="K628" s="1"/>
      <c r="L628" s="1"/>
      <c r="M628" s="1"/>
      <c r="N628" s="1"/>
      <c r="O628" s="1"/>
      <c r="P628" s="1"/>
      <c r="Q628" s="1"/>
      <c r="R628" s="1"/>
      <c r="S628" s="1"/>
      <c r="T628" s="1"/>
      <c r="U628" s="1"/>
      <c r="V628" s="1"/>
      <c r="W628" s="1"/>
      <c r="X628" s="1"/>
      <c r="Y628" s="1"/>
      <c r="Z628" s="1"/>
      <c r="AA628" s="1"/>
      <c r="AB628" s="1"/>
      <c r="AC628" s="1"/>
      <c r="AD628" s="1"/>
      <c r="AE628" s="1"/>
      <c r="AF628" s="1" t="str">
        <f>IFERROR(__xludf.DUMMYFUNCTION("""COMPUTED_VALUE"""),"++Eagles Removal - 20% Chance to remove the target from battle. ")</f>
        <v>++Eagles Removal - 20% Chance to remove the target from battle. </v>
      </c>
      <c r="AG628" s="1" t="str">
        <f>IFERROR(__xludf.DUMMYFUNCTION("""COMPUTED_VALUE"""),"Land of Spira")</f>
        <v>Land of Spira</v>
      </c>
      <c r="AH628" s="1" t="b">
        <f>IFERROR(__xludf.DUMMYFUNCTION("""COMPUTED_VALUE"""),FALSE)</f>
        <v>0</v>
      </c>
    </row>
    <row r="629">
      <c r="A629" s="1" t="str">
        <f>IFERROR(__xludf.DUMMYFUNCTION("""COMPUTED_VALUE"""),"Golden Gauntlet")</f>
        <v>Golden Gauntlet</v>
      </c>
      <c r="B629" s="1" t="str">
        <f>IFERROR(__xludf.DUMMYFUNCTION("""COMPUTED_VALUE"""),"Hand")</f>
        <v>Hand</v>
      </c>
      <c r="C629" s="1"/>
      <c r="D629" s="1" t="str">
        <f>IFERROR(__xludf.DUMMYFUNCTION("""COMPUTED_VALUE"""),"Gauntlet")</f>
        <v>Gauntlet</v>
      </c>
      <c r="E629" s="1">
        <f>IFERROR(__xludf.DUMMYFUNCTION("""COMPUTED_VALUE"""),200.0)</f>
        <v>200</v>
      </c>
      <c r="F629" s="2">
        <f>IFERROR(__xludf.DUMMYFUNCTION("""COMPUTED_VALUE"""),1900000.0)</f>
        <v>1900000</v>
      </c>
      <c r="G629" s="1" t="str">
        <f>IFERROR(__xludf.DUMMYFUNCTION("""COMPUTED_VALUE"""),"DMG")</f>
        <v>DMG</v>
      </c>
      <c r="H629" s="3">
        <f>IFERROR(__xludf.DUMMYFUNCTION("""COMPUTED_VALUE"""),5000.0)</f>
        <v>5000</v>
      </c>
      <c r="I629" s="1"/>
      <c r="J629" s="1"/>
      <c r="K629" s="1"/>
      <c r="L629" s="1"/>
      <c r="M629" s="1"/>
      <c r="N629" s="3">
        <f>IFERROR(__xludf.DUMMYFUNCTION("""COMPUTED_VALUE"""),2500.0)</f>
        <v>2500</v>
      </c>
      <c r="O629" s="1"/>
      <c r="P629" s="1"/>
      <c r="Q629" s="3">
        <f>IFERROR(__xludf.DUMMYFUNCTION("""COMPUTED_VALUE"""),2500.0)</f>
        <v>2500</v>
      </c>
      <c r="R629" s="1"/>
      <c r="S629" s="1"/>
      <c r="T629" s="1"/>
      <c r="U629" s="1"/>
      <c r="V629" s="1"/>
      <c r="W629" s="1"/>
      <c r="X629" s="1"/>
      <c r="Y629" s="1"/>
      <c r="Z629" s="1"/>
      <c r="AA629" s="1"/>
      <c r="AB629" s="1"/>
      <c r="AC629" s="1"/>
      <c r="AD629" s="1"/>
      <c r="AE629" s="1"/>
      <c r="AF629" s="1"/>
      <c r="AG629" s="1" t="str">
        <f>IFERROR(__xludf.DUMMYFUNCTION("""COMPUTED_VALUE"""),"Land of Spira")</f>
        <v>Land of Spira</v>
      </c>
      <c r="AH629" s="1" t="b">
        <f>IFERROR(__xludf.DUMMYFUNCTION("""COMPUTED_VALUE"""),FALSE)</f>
        <v>0</v>
      </c>
    </row>
    <row r="630">
      <c r="A630" s="1" t="str">
        <f>IFERROR(__xludf.DUMMYFUNCTION("""COMPUTED_VALUE"""),"Hand Crossbow")</f>
        <v>Hand Crossbow</v>
      </c>
      <c r="B630" s="1" t="str">
        <f>IFERROR(__xludf.DUMMYFUNCTION("""COMPUTED_VALUE"""),"Hand")</f>
        <v>Hand</v>
      </c>
      <c r="C630" s="1"/>
      <c r="D630" s="1" t="str">
        <f>IFERROR(__xludf.DUMMYFUNCTION("""COMPUTED_VALUE"""),"Bow")</f>
        <v>Bow</v>
      </c>
      <c r="E630" s="1">
        <f>IFERROR(__xludf.DUMMYFUNCTION("""COMPUTED_VALUE"""),200.0)</f>
        <v>200</v>
      </c>
      <c r="F630" s="2">
        <f>IFERROR(__xludf.DUMMYFUNCTION("""COMPUTED_VALUE"""),1900000.0)</f>
        <v>1900000</v>
      </c>
      <c r="G630" s="1" t="str">
        <f>IFERROR(__xludf.DUMMYFUNCTION("""COMPUTED_VALUE"""),"DMG")</f>
        <v>DMG</v>
      </c>
      <c r="H630" s="3">
        <f>IFERROR(__xludf.DUMMYFUNCTION("""COMPUTED_VALUE"""),10000.0)</f>
        <v>10000</v>
      </c>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t="str">
        <f>IFERROR(__xludf.DUMMYFUNCTION("""COMPUTED_VALUE"""),"Land of Spira")</f>
        <v>Land of Spira</v>
      </c>
      <c r="AH630" s="1" t="b">
        <f>IFERROR(__xludf.DUMMYFUNCTION("""COMPUTED_VALUE"""),FALSE)</f>
        <v>0</v>
      </c>
    </row>
    <row r="631">
      <c r="A631" s="1" t="str">
        <f>IFERROR(__xludf.DUMMYFUNCTION("""COMPUTED_VALUE"""),"Flintlock Pistol")</f>
        <v>Flintlock Pistol</v>
      </c>
      <c r="B631" s="1" t="str">
        <f>IFERROR(__xludf.DUMMYFUNCTION("""COMPUTED_VALUE"""),"Hand")</f>
        <v>Hand</v>
      </c>
      <c r="C631" s="1"/>
      <c r="D631" s="1" t="str">
        <f>IFERROR(__xludf.DUMMYFUNCTION("""COMPUTED_VALUE"""),"Firearm")</f>
        <v>Firearm</v>
      </c>
      <c r="E631" s="1">
        <f>IFERROR(__xludf.DUMMYFUNCTION("""COMPUTED_VALUE"""),200.0)</f>
        <v>200</v>
      </c>
      <c r="F631" s="2">
        <f>IFERROR(__xludf.DUMMYFUNCTION("""COMPUTED_VALUE"""),1900000.0)</f>
        <v>1900000</v>
      </c>
      <c r="G631" s="1" t="str">
        <f>IFERROR(__xludf.DUMMYFUNCTION("""COMPUTED_VALUE"""),"DMG")</f>
        <v>DMG</v>
      </c>
      <c r="H631" s="1">
        <f>IFERROR(__xludf.DUMMYFUNCTION("""COMPUTED_VALUE"""),10000.0)</f>
        <v>10000</v>
      </c>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t="str">
        <f>IFERROR(__xludf.DUMMYFUNCTION("""COMPUTED_VALUE"""),"Land of Spira")</f>
        <v>Land of Spira</v>
      </c>
      <c r="AH631" s="1" t="b">
        <f>IFERROR(__xludf.DUMMYFUNCTION("""COMPUTED_VALUE"""),FALSE)</f>
        <v>0</v>
      </c>
    </row>
    <row r="632">
      <c r="A632" s="1" t="str">
        <f>IFERROR(__xludf.DUMMYFUNCTION("""COMPUTED_VALUE"""),"Head of Gévaudan")</f>
        <v>Head of Gévaudan</v>
      </c>
      <c r="B632" s="1" t="str">
        <f>IFERROR(__xludf.DUMMYFUNCTION("""COMPUTED_VALUE"""),"Head")</f>
        <v>Head</v>
      </c>
      <c r="C632" s="1"/>
      <c r="D632" s="1"/>
      <c r="E632" s="1">
        <f>IFERROR(__xludf.DUMMYFUNCTION("""COMPUTED_VALUE"""),200.0)</f>
        <v>200</v>
      </c>
      <c r="F632" s="2">
        <f>IFERROR(__xludf.DUMMYFUNCTION("""COMPUTED_VALUE"""),1900000.0)</f>
        <v>1900000</v>
      </c>
      <c r="G632" s="1" t="str">
        <f>IFERROR(__xludf.DUMMYFUNCTION("""COMPUTED_VALUE"""),"DEF")</f>
        <v>DEF</v>
      </c>
      <c r="H632" s="1">
        <f>IFERROR(__xludf.DUMMYFUNCTION("""COMPUTED_VALUE"""),10000.0)</f>
        <v>10000</v>
      </c>
      <c r="I632" s="1"/>
      <c r="J632" s="1"/>
      <c r="K632" s="1"/>
      <c r="L632" s="1"/>
      <c r="M632" s="1"/>
      <c r="N632" s="1"/>
      <c r="O632" s="1"/>
      <c r="P632" s="1"/>
      <c r="Q632" s="1"/>
      <c r="R632" s="1"/>
      <c r="S632" s="1"/>
      <c r="T632" s="1"/>
      <c r="U632" s="1"/>
      <c r="V632" s="1"/>
      <c r="W632" s="1"/>
      <c r="X632" s="1"/>
      <c r="Y632" s="1"/>
      <c r="Z632" s="1"/>
      <c r="AA632" s="1"/>
      <c r="AB632" s="1"/>
      <c r="AC632" s="1"/>
      <c r="AD632" s="1"/>
      <c r="AE632" s="1"/>
      <c r="AF632" s="1" t="str">
        <f>IFERROR(__xludf.DUMMYFUNCTION("""COMPUTED_VALUE"""),"++ +5 to intimidation, ++Soul Shake: Allows to cast ""Shaken Soul""")</f>
        <v>++ +5 to intimidation, ++Soul Shake: Allows to cast "Shaken Soul"</v>
      </c>
      <c r="AG632" s="1" t="str">
        <f>IFERROR(__xludf.DUMMYFUNCTION("""COMPUTED_VALUE"""),"Land of Spira")</f>
        <v>Land of Spira</v>
      </c>
      <c r="AH632" s="1" t="b">
        <f>IFERROR(__xludf.DUMMYFUNCTION("""COMPUTED_VALUE"""),FALSE)</f>
        <v>0</v>
      </c>
    </row>
    <row r="633">
      <c r="A633" s="1" t="str">
        <f>IFERROR(__xludf.DUMMYFUNCTION("""COMPUTED_VALUE"""),"Phantasmal Scythe")</f>
        <v>Phantasmal Scythe</v>
      </c>
      <c r="B633" s="1" t="str">
        <f>IFERROR(__xludf.DUMMYFUNCTION("""COMPUTED_VALUE"""),"Hand")</f>
        <v>Hand</v>
      </c>
      <c r="C633" s="1"/>
      <c r="D633" s="1" t="str">
        <f>IFERROR(__xludf.DUMMYFUNCTION("""COMPUTED_VALUE"""),"Scythe")</f>
        <v>Scythe</v>
      </c>
      <c r="E633" s="1">
        <f>IFERROR(__xludf.DUMMYFUNCTION("""COMPUTED_VALUE"""),1000.0)</f>
        <v>1000</v>
      </c>
      <c r="F633" s="2">
        <f>IFERROR(__xludf.DUMMYFUNCTION("""COMPUTED_VALUE"""),4.95E7)</f>
        <v>49500000</v>
      </c>
      <c r="G633" s="1" t="str">
        <f>IFERROR(__xludf.DUMMYFUNCTION("""COMPUTED_VALUE"""),"DMG")</f>
        <v>DMG</v>
      </c>
      <c r="H633" s="1"/>
      <c r="I633" s="1"/>
      <c r="J633" s="1"/>
      <c r="K633" s="1"/>
      <c r="L633" s="1"/>
      <c r="M633" s="1"/>
      <c r="N633" s="1"/>
      <c r="O633" s="1"/>
      <c r="P633" s="1">
        <f>IFERROR(__xludf.DUMMYFUNCTION("""COMPUTED_VALUE"""),50000.0)</f>
        <v>50000</v>
      </c>
      <c r="Q633" s="1"/>
      <c r="R633" s="1"/>
      <c r="S633" s="1"/>
      <c r="T633" s="1"/>
      <c r="U633" s="1"/>
      <c r="V633" s="1"/>
      <c r="W633" s="1"/>
      <c r="X633" s="1"/>
      <c r="Y633" s="1"/>
      <c r="Z633" s="1"/>
      <c r="AA633" s="1"/>
      <c r="AB633" s="1"/>
      <c r="AC633" s="1"/>
      <c r="AD633" s="1"/>
      <c r="AE633" s="1"/>
      <c r="AF633" s="1"/>
      <c r="AG633" s="1" t="str">
        <f>IFERROR(__xludf.DUMMYFUNCTION("""COMPUTED_VALUE"""),"Land of Spira")</f>
        <v>Land of Spira</v>
      </c>
      <c r="AH633" s="1" t="b">
        <f>IFERROR(__xludf.DUMMYFUNCTION("""COMPUTED_VALUE"""),FALSE)</f>
        <v>0</v>
      </c>
    </row>
    <row r="634">
      <c r="A634" s="1" t="str">
        <f>IFERROR(__xludf.DUMMYFUNCTION("""COMPUTED_VALUE"""),"Piranha Tooth Dagger")</f>
        <v>Piranha Tooth Dagger</v>
      </c>
      <c r="B634" s="1" t="str">
        <f>IFERROR(__xludf.DUMMYFUNCTION("""COMPUTED_VALUE"""),"Hand")</f>
        <v>Hand</v>
      </c>
      <c r="C634" s="1"/>
      <c r="D634" s="1" t="str">
        <f>IFERROR(__xludf.DUMMYFUNCTION("""COMPUTED_VALUE"""),"Knife")</f>
        <v>Knife</v>
      </c>
      <c r="E634" s="1">
        <f>IFERROR(__xludf.DUMMYFUNCTION("""COMPUTED_VALUE"""),10.0)</f>
        <v>10</v>
      </c>
      <c r="F634" s="2">
        <f>IFERROR(__xludf.DUMMYFUNCTION("""COMPUTED_VALUE"""),1000.0)</f>
        <v>1000</v>
      </c>
      <c r="G634" s="1" t="str">
        <f>IFERROR(__xludf.DUMMYFUNCTION("""COMPUTED_VALUE"""),"DMG")</f>
        <v>DMG</v>
      </c>
      <c r="H634" s="1">
        <f>IFERROR(__xludf.DUMMYFUNCTION("""COMPUTED_VALUE"""),500.0)</f>
        <v>500</v>
      </c>
      <c r="I634" s="1"/>
      <c r="J634" s="1"/>
      <c r="K634" s="1"/>
      <c r="L634" s="1"/>
      <c r="M634" s="1"/>
      <c r="N634" s="1"/>
      <c r="O634" s="1"/>
      <c r="P634" s="1"/>
      <c r="Q634" s="1"/>
      <c r="R634" s="1"/>
      <c r="S634" s="1"/>
      <c r="T634" s="1"/>
      <c r="U634" s="1"/>
      <c r="V634" s="1"/>
      <c r="W634" s="1"/>
      <c r="X634" s="1"/>
      <c r="Y634" s="1"/>
      <c r="Z634" s="1"/>
      <c r="AA634" s="1"/>
      <c r="AB634" s="1"/>
      <c r="AC634" s="1"/>
      <c r="AD634" s="1"/>
      <c r="AE634" s="1"/>
      <c r="AF634" s="1" t="str">
        <f>IFERROR(__xludf.DUMMYFUNCTION("""COMPUTED_VALUE"""),"++Increases damage by X2 for every time you hit an enemy with this weapon during a single battle (Goes back to normal damage after battle)")</f>
        <v>++Increases damage by X2 for every time you hit an enemy with this weapon during a single battle (Goes back to normal damage after battle)</v>
      </c>
      <c r="AG634" s="1" t="str">
        <f>IFERROR(__xludf.DUMMYFUNCTION("""COMPUTED_VALUE"""),"Land of Spira")</f>
        <v>Land of Spira</v>
      </c>
      <c r="AH634" s="1" t="b">
        <f>IFERROR(__xludf.DUMMYFUNCTION("""COMPUTED_VALUE"""),FALSE)</f>
        <v>0</v>
      </c>
    </row>
    <row r="635">
      <c r="A635" s="1" t="str">
        <f>IFERROR(__xludf.DUMMYFUNCTION("""COMPUTED_VALUE"""),"Rhino Horn Spear")</f>
        <v>Rhino Horn Spear</v>
      </c>
      <c r="B635" s="1" t="str">
        <f>IFERROR(__xludf.DUMMYFUNCTION("""COMPUTED_VALUE"""),"Hand")</f>
        <v>Hand</v>
      </c>
      <c r="C635" s="1"/>
      <c r="D635" s="1" t="str">
        <f>IFERROR(__xludf.DUMMYFUNCTION("""COMPUTED_VALUE"""),"Spear")</f>
        <v>Spear</v>
      </c>
      <c r="E635" s="1">
        <f>IFERROR(__xludf.DUMMYFUNCTION("""COMPUTED_VALUE"""),200.0)</f>
        <v>200</v>
      </c>
      <c r="F635" s="2">
        <f>IFERROR(__xludf.DUMMYFUNCTION("""COMPUTED_VALUE"""),1900000.0)</f>
        <v>1900000</v>
      </c>
      <c r="G635" s="1" t="str">
        <f>IFERROR(__xludf.DUMMYFUNCTION("""COMPUTED_VALUE"""),"DMG")</f>
        <v>DMG</v>
      </c>
      <c r="H635" s="1">
        <f>IFERROR(__xludf.DUMMYFUNCTION("""COMPUTED_VALUE"""),10000.0)</f>
        <v>10000</v>
      </c>
      <c r="I635" s="1"/>
      <c r="J635" s="1"/>
      <c r="K635" s="1"/>
      <c r="L635" s="1"/>
      <c r="M635" s="1"/>
      <c r="N635" s="1"/>
      <c r="O635" s="1"/>
      <c r="P635" s="1"/>
      <c r="Q635" s="1"/>
      <c r="R635" s="1"/>
      <c r="S635" s="1"/>
      <c r="T635" s="1"/>
      <c r="U635" s="1"/>
      <c r="V635" s="1"/>
      <c r="W635" s="1"/>
      <c r="X635" s="1"/>
      <c r="Y635" s="1"/>
      <c r="Z635" s="1"/>
      <c r="AA635" s="1"/>
      <c r="AB635" s="1"/>
      <c r="AC635" s="1"/>
      <c r="AD635" s="1"/>
      <c r="AE635" s="1"/>
      <c r="AF635" s="1" t="str">
        <f>IFERROR(__xludf.DUMMYFUNCTION("""COMPUTED_VALUE"""),"++Charge - The first attack made with this weapon deals X2 damage")</f>
        <v>++Charge - The first attack made with this weapon deals X2 damage</v>
      </c>
      <c r="AG635" s="1" t="str">
        <f>IFERROR(__xludf.DUMMYFUNCTION("""COMPUTED_VALUE"""),"Land of Spira")</f>
        <v>Land of Spira</v>
      </c>
      <c r="AH635" s="1" t="b">
        <f>IFERROR(__xludf.DUMMYFUNCTION("""COMPUTED_VALUE"""),FALSE)</f>
        <v>0</v>
      </c>
    </row>
    <row r="636">
      <c r="A636" s="1" t="str">
        <f>IFERROR(__xludf.DUMMYFUNCTION("""COMPUTED_VALUE"""),"Rock Axe")</f>
        <v>Rock Axe</v>
      </c>
      <c r="B636" s="1" t="str">
        <f>IFERROR(__xludf.DUMMYFUNCTION("""COMPUTED_VALUE"""),"Hand")</f>
        <v>Hand</v>
      </c>
      <c r="C636" s="1"/>
      <c r="D636" s="1" t="str">
        <f>IFERROR(__xludf.DUMMYFUNCTION("""COMPUTED_VALUE"""),"Axe")</f>
        <v>Axe</v>
      </c>
      <c r="E636" s="1">
        <f>IFERROR(__xludf.DUMMYFUNCTION("""COMPUTED_VALUE"""),40.0)</f>
        <v>40</v>
      </c>
      <c r="F636" s="2">
        <f>IFERROR(__xludf.DUMMYFUNCTION("""COMPUTED_VALUE"""),60000.0)</f>
        <v>60000</v>
      </c>
      <c r="G636" s="1" t="str">
        <f>IFERROR(__xludf.DUMMYFUNCTION("""COMPUTED_VALUE"""),"DMG")</f>
        <v>DMG</v>
      </c>
      <c r="H636" s="1">
        <f>IFERROR(__xludf.DUMMYFUNCTION("""COMPUTED_VALUE"""),1000.0)</f>
        <v>1000</v>
      </c>
      <c r="I636" s="1"/>
      <c r="J636" s="1"/>
      <c r="K636" s="1"/>
      <c r="L636" s="1"/>
      <c r="M636" s="1">
        <f>IFERROR(__xludf.DUMMYFUNCTION("""COMPUTED_VALUE"""),1000.0)</f>
        <v>1000</v>
      </c>
      <c r="N636" s="1"/>
      <c r="O636" s="1"/>
      <c r="P636" s="1"/>
      <c r="Q636" s="1"/>
      <c r="R636" s="1"/>
      <c r="S636" s="1"/>
      <c r="T636" s="1"/>
      <c r="U636" s="1"/>
      <c r="V636" s="1"/>
      <c r="W636" s="1"/>
      <c r="X636" s="1"/>
      <c r="Y636" s="1"/>
      <c r="Z636" s="1"/>
      <c r="AA636" s="1"/>
      <c r="AB636" s="1"/>
      <c r="AC636" s="1"/>
      <c r="AD636" s="1"/>
      <c r="AE636" s="1"/>
      <c r="AF636" s="1"/>
      <c r="AG636" s="1" t="str">
        <f>IFERROR(__xludf.DUMMYFUNCTION("""COMPUTED_VALUE"""),"Land of Spira")</f>
        <v>Land of Spira</v>
      </c>
      <c r="AH636" s="1" t="b">
        <f>IFERROR(__xludf.DUMMYFUNCTION("""COMPUTED_VALUE"""),FALSE)</f>
        <v>0</v>
      </c>
    </row>
    <row r="637">
      <c r="A637" s="1" t="str">
        <f>IFERROR(__xludf.DUMMYFUNCTION("""COMPUTED_VALUE"""),"Saber Tooth")</f>
        <v>Saber Tooth</v>
      </c>
      <c r="B637" s="1" t="str">
        <f>IFERROR(__xludf.DUMMYFUNCTION("""COMPUTED_VALUE"""),"Hand")</f>
        <v>Hand</v>
      </c>
      <c r="C637" s="1"/>
      <c r="D637" s="1" t="str">
        <f>IFERROR(__xludf.DUMMYFUNCTION("""COMPUTED_VALUE"""),"Knife")</f>
        <v>Knife</v>
      </c>
      <c r="E637" s="1">
        <f>IFERROR(__xludf.DUMMYFUNCTION("""COMPUTED_VALUE"""),200.0)</f>
        <v>200</v>
      </c>
      <c r="F637" s="2">
        <f>IFERROR(__xludf.DUMMYFUNCTION("""COMPUTED_VALUE"""),1900000.0)</f>
        <v>1900000</v>
      </c>
      <c r="G637" s="1" t="str">
        <f>IFERROR(__xludf.DUMMYFUNCTION("""COMPUTED_VALUE"""),"DMG")</f>
        <v>DMG</v>
      </c>
      <c r="H637" s="3">
        <f>IFERROR(__xludf.DUMMYFUNCTION("""COMPUTED_VALUE"""),10000.0)</f>
        <v>10000</v>
      </c>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t="str">
        <f>IFERROR(__xludf.DUMMYFUNCTION("""COMPUTED_VALUE"""),"Land of Spira")</f>
        <v>Land of Spira</v>
      </c>
      <c r="AH637" s="1" t="b">
        <f>IFERROR(__xludf.DUMMYFUNCTION("""COMPUTED_VALUE"""),FALSE)</f>
        <v>0</v>
      </c>
    </row>
    <row r="638">
      <c r="A638" s="1" t="str">
        <f>IFERROR(__xludf.DUMMYFUNCTION("""COMPUTED_VALUE"""),"Worm Tooth Chainsaw")</f>
        <v>Worm Tooth Chainsaw</v>
      </c>
      <c r="B638" s="1" t="str">
        <f>IFERROR(__xludf.DUMMYFUNCTION("""COMPUTED_VALUE"""),"Hand")</f>
        <v>Hand</v>
      </c>
      <c r="C638" s="1"/>
      <c r="D638" s="1" t="str">
        <f>IFERROR(__xludf.DUMMYFUNCTION("""COMPUTED_VALUE"""),"Axe")</f>
        <v>Axe</v>
      </c>
      <c r="E638" s="1">
        <f>IFERROR(__xludf.DUMMYFUNCTION("""COMPUTED_VALUE"""),1200.0)</f>
        <v>1200</v>
      </c>
      <c r="F638" s="2">
        <f>IFERROR(__xludf.DUMMYFUNCTION("""COMPUTED_VALUE"""),7.14E7)</f>
        <v>71400000</v>
      </c>
      <c r="G638" s="1" t="str">
        <f>IFERROR(__xludf.DUMMYFUNCTION("""COMPUTED_VALUE"""),"DMG")</f>
        <v>DMG</v>
      </c>
      <c r="H638" s="3">
        <f>IFERROR(__xludf.DUMMYFUNCTION("""COMPUTED_VALUE"""),50000.0)</f>
        <v>50000</v>
      </c>
      <c r="I638" s="1"/>
      <c r="J638" s="1"/>
      <c r="K638" s="1"/>
      <c r="L638" s="1"/>
      <c r="M638" s="1"/>
      <c r="N638" s="1"/>
      <c r="O638" s="1"/>
      <c r="P638" s="1"/>
      <c r="Q638" s="1"/>
      <c r="R638" s="1"/>
      <c r="S638" s="1"/>
      <c r="T638" s="1"/>
      <c r="U638" s="1"/>
      <c r="V638" s="1"/>
      <c r="W638" s="1"/>
      <c r="X638" s="1"/>
      <c r="Y638" s="3">
        <f>IFERROR(__xludf.DUMMYFUNCTION("""COMPUTED_VALUE"""),10000.0)</f>
        <v>10000</v>
      </c>
      <c r="Z638" s="1"/>
      <c r="AA638" s="1"/>
      <c r="AB638" s="1"/>
      <c r="AC638" s="1"/>
      <c r="AD638" s="1"/>
      <c r="AE638" s="1"/>
      <c r="AF638" s="1" t="str">
        <f>IFERROR(__xludf.DUMMYFUNCTION("""COMPUTED_VALUE"""),"++Spinning Chain - Make a hit or miss attack (Adding Mobility) on hit set an enemies defense to 0 for 1 round 500 sp")</f>
        <v>++Spinning Chain - Make a hit or miss attack (Adding Mobility) on hit set an enemies defense to 0 for 1 round 500 sp</v>
      </c>
      <c r="AG638" s="1" t="str">
        <f>IFERROR(__xludf.DUMMYFUNCTION("""COMPUTED_VALUE"""),"Land of Spira")</f>
        <v>Land of Spira</v>
      </c>
      <c r="AH638" s="1" t="b">
        <f>IFERROR(__xludf.DUMMYFUNCTION("""COMPUTED_VALUE"""),FALSE)</f>
        <v>0</v>
      </c>
    </row>
    <row r="639">
      <c r="A639" s="1" t="str">
        <f>IFERROR(__xludf.DUMMYFUNCTION("""COMPUTED_VALUE"""),"Shark Tooth Greatclub")</f>
        <v>Shark Tooth Greatclub</v>
      </c>
      <c r="B639" s="1" t="str">
        <f>IFERROR(__xludf.DUMMYFUNCTION("""COMPUTED_VALUE"""),"Hand")</f>
        <v>Hand</v>
      </c>
      <c r="C639" s="1"/>
      <c r="D639" s="1" t="str">
        <f>IFERROR(__xludf.DUMMYFUNCTION("""COMPUTED_VALUE"""),"Club")</f>
        <v>Club</v>
      </c>
      <c r="E639" s="1">
        <f>IFERROR(__xludf.DUMMYFUNCTION("""COMPUTED_VALUE"""),500.0)</f>
        <v>500</v>
      </c>
      <c r="F639" s="2">
        <f>IFERROR(__xludf.DUMMYFUNCTION("""COMPUTED_VALUE"""),1.225E7)</f>
        <v>12250000</v>
      </c>
      <c r="G639" s="1" t="str">
        <f>IFERROR(__xludf.DUMMYFUNCTION("""COMPUTED_VALUE"""),"DMG")</f>
        <v>DMG</v>
      </c>
      <c r="H639" s="3">
        <f>IFERROR(__xludf.DUMMYFUNCTION("""COMPUTED_VALUE"""),25000.0)</f>
        <v>25000</v>
      </c>
      <c r="I639" s="1"/>
      <c r="J639" s="1"/>
      <c r="K639" s="1"/>
      <c r="L639" s="1"/>
      <c r="M639" s="1"/>
      <c r="N639" s="1"/>
      <c r="O639" s="1"/>
      <c r="P639" s="1"/>
      <c r="Q639" s="1"/>
      <c r="R639" s="1"/>
      <c r="S639" s="1"/>
      <c r="T639" s="1"/>
      <c r="U639" s="1"/>
      <c r="V639" s="1"/>
      <c r="W639" s="1"/>
      <c r="X639" s="1"/>
      <c r="Y639" s="1"/>
      <c r="Z639" s="1"/>
      <c r="AA639" s="1"/>
      <c r="AB639" s="1"/>
      <c r="AC639" s="1"/>
      <c r="AD639" s="1"/>
      <c r="AE639" s="1"/>
      <c r="AF639" s="1" t="str">
        <f>IFERROR(__xludf.DUMMYFUNCTION("""COMPUTED_VALUE"""),"++Abrasive Blow - hitting an enemy with this weapon causes them to be Injured graveky inflicting them with slowness until healed by any means.")</f>
        <v>++Abrasive Blow - hitting an enemy with this weapon causes them to be Injured graveky inflicting them with slowness until healed by any means.</v>
      </c>
      <c r="AG639" s="1" t="str">
        <f>IFERROR(__xludf.DUMMYFUNCTION("""COMPUTED_VALUE"""),"Land of Spira")</f>
        <v>Land of Spira</v>
      </c>
      <c r="AH639" s="1" t="b">
        <f>IFERROR(__xludf.DUMMYFUNCTION("""COMPUTED_VALUE"""),FALSE)</f>
        <v>0</v>
      </c>
    </row>
    <row r="640">
      <c r="A640" s="1" t="str">
        <f>IFERROR(__xludf.DUMMYFUNCTION("""COMPUTED_VALUE"""),"Sticky Slime Guantlets")</f>
        <v>Sticky Slime Guantlets</v>
      </c>
      <c r="B640" s="1" t="str">
        <f>IFERROR(__xludf.DUMMYFUNCTION("""COMPUTED_VALUE"""),"Hand")</f>
        <v>Hand</v>
      </c>
      <c r="C640" s="1"/>
      <c r="D640" s="1" t="str">
        <f>IFERROR(__xludf.DUMMYFUNCTION("""COMPUTED_VALUE"""),"Gauntlet")</f>
        <v>Gauntlet</v>
      </c>
      <c r="E640" s="1">
        <f>IFERROR(__xludf.DUMMYFUNCTION("""COMPUTED_VALUE"""),400.0)</f>
        <v>400</v>
      </c>
      <c r="F640" s="2">
        <f>IFERROR(__xludf.DUMMYFUNCTION("""COMPUTED_VALUE"""),7800000.0)</f>
        <v>7800000</v>
      </c>
      <c r="G640" s="1" t="str">
        <f>IFERROR(__xludf.DUMMYFUNCTION("""COMPUTED_VALUE"""),"DEF")</f>
        <v>DEF</v>
      </c>
      <c r="H640" s="3">
        <f>IFERROR(__xludf.DUMMYFUNCTION("""COMPUTED_VALUE"""),20000.0)</f>
        <v>20000</v>
      </c>
      <c r="I640" s="1"/>
      <c r="J640" s="1"/>
      <c r="K640" s="1"/>
      <c r="L640" s="1"/>
      <c r="M640" s="1"/>
      <c r="N640" s="1"/>
      <c r="O640" s="1"/>
      <c r="P640" s="1"/>
      <c r="Q640" s="1"/>
      <c r="R640" s="1"/>
      <c r="S640" s="1"/>
      <c r="T640" s="1"/>
      <c r="U640" s="1"/>
      <c r="V640" s="1"/>
      <c r="W640" s="1"/>
      <c r="X640" s="1"/>
      <c r="Y640" s="1"/>
      <c r="Z640" s="1"/>
      <c r="AA640" s="1"/>
      <c r="AB640" s="1"/>
      <c r="AC640" s="1"/>
      <c r="AD640" s="1"/>
      <c r="AE640" s="1"/>
      <c r="AF640" s="1" t="str">
        <f>IFERROR(__xludf.DUMMYFUNCTION("""COMPUTED_VALUE"""),"++Slimey Grasp - When these gloves are equipped the natural power ""take"" Is guaranteed to succeed.")</f>
        <v>++Slimey Grasp - When these gloves are equipped the natural power "take" Is guaranteed to succeed.</v>
      </c>
      <c r="AG640" s="1" t="str">
        <f>IFERROR(__xludf.DUMMYFUNCTION("""COMPUTED_VALUE"""),"Land of Spira")</f>
        <v>Land of Spira</v>
      </c>
      <c r="AH640" s="1" t="b">
        <f>IFERROR(__xludf.DUMMYFUNCTION("""COMPUTED_VALUE"""),FALSE)</f>
        <v>0</v>
      </c>
    </row>
    <row r="641">
      <c r="A641" s="1" t="str">
        <f>IFERROR(__xludf.DUMMYFUNCTION("""COMPUTED_VALUE"""),"Draconic Scythe")</f>
        <v>Draconic Scythe</v>
      </c>
      <c r="B641" s="1" t="str">
        <f>IFERROR(__xludf.DUMMYFUNCTION("""COMPUTED_VALUE"""),"Hand")</f>
        <v>Hand</v>
      </c>
      <c r="C641" s="1"/>
      <c r="D641" s="1" t="str">
        <f>IFERROR(__xludf.DUMMYFUNCTION("""COMPUTED_VALUE"""),"Scythe")</f>
        <v>Scythe</v>
      </c>
      <c r="E641" s="1">
        <f>IFERROR(__xludf.DUMMYFUNCTION("""COMPUTED_VALUE"""),2000.0)</f>
        <v>2000</v>
      </c>
      <c r="F641" s="2">
        <f>IFERROR(__xludf.DUMMYFUNCTION("""COMPUTED_VALUE"""),1.99E8)</f>
        <v>199000000</v>
      </c>
      <c r="G641" s="1" t="str">
        <f>IFERROR(__xludf.DUMMYFUNCTION("""COMPUTED_VALUE"""),"DMG")</f>
        <v>DMG</v>
      </c>
      <c r="H641" s="1"/>
      <c r="I641" s="1"/>
      <c r="J641" s="1"/>
      <c r="K641" s="1"/>
      <c r="L641" s="1"/>
      <c r="M641" s="1"/>
      <c r="N641" s="1"/>
      <c r="O641" s="1"/>
      <c r="P641" s="3">
        <f>IFERROR(__xludf.DUMMYFUNCTION("""COMPUTED_VALUE"""),100000.0)</f>
        <v>100000</v>
      </c>
      <c r="Q641" s="1"/>
      <c r="R641" s="1"/>
      <c r="S641" s="1"/>
      <c r="T641" s="1"/>
      <c r="U641" s="1"/>
      <c r="V641" s="1"/>
      <c r="W641" s="1"/>
      <c r="X641" s="1"/>
      <c r="Y641" s="1"/>
      <c r="Z641" s="1"/>
      <c r="AA641" s="1"/>
      <c r="AB641" s="1"/>
      <c r="AC641" s="1"/>
      <c r="AD641" s="1"/>
      <c r="AE641" s="1"/>
      <c r="AF641" s="1" t="str">
        <f>IFERROR(__xludf.DUMMYFUNCTION("""COMPUTED_VALUE"""),"++Draconic Soul - When Fighting alongside any draconic allies (including Dragon companions or Dragonians) or if the wielder itself is draconic this weapon deals an additional X5 damage")</f>
        <v>++Draconic Soul - When Fighting alongside any draconic allies (including Dragon companions or Dragonians) or if the wielder itself is draconic this weapon deals an additional X5 damage</v>
      </c>
      <c r="AG641" s="1" t="str">
        <f>IFERROR(__xludf.DUMMYFUNCTION("""COMPUTED_VALUE"""),"Land of Spira")</f>
        <v>Land of Spira</v>
      </c>
      <c r="AH641" s="1" t="b">
        <f>IFERROR(__xludf.DUMMYFUNCTION("""COMPUTED_VALUE"""),FALSE)</f>
        <v>0</v>
      </c>
    </row>
    <row r="642">
      <c r="A642" s="1" t="str">
        <f>IFERROR(__xludf.DUMMYFUNCTION("""COMPUTED_VALUE"""),"Elemental Scythe")</f>
        <v>Elemental Scythe</v>
      </c>
      <c r="B642" s="1" t="str">
        <f>IFERROR(__xludf.DUMMYFUNCTION("""COMPUTED_VALUE"""),"Hand")</f>
        <v>Hand</v>
      </c>
      <c r="C642" s="1"/>
      <c r="D642" s="1" t="str">
        <f>IFERROR(__xludf.DUMMYFUNCTION("""COMPUTED_VALUE"""),"Scythe")</f>
        <v>Scythe</v>
      </c>
      <c r="E642" s="1">
        <f>IFERROR(__xludf.DUMMYFUNCTION("""COMPUTED_VALUE"""),2000.0)</f>
        <v>2000</v>
      </c>
      <c r="F642" s="2">
        <f>IFERROR(__xludf.DUMMYFUNCTION("""COMPUTED_VALUE"""),1.99E8)</f>
        <v>199000000</v>
      </c>
      <c r="G642" s="1" t="str">
        <f>IFERROR(__xludf.DUMMYFUNCTION("""COMPUTED_VALUE"""),"DMG")</f>
        <v>DMG</v>
      </c>
      <c r="H642" s="1"/>
      <c r="I642" s="3">
        <f>IFERROR(__xludf.DUMMYFUNCTION("""COMPUTED_VALUE"""),20000.0)</f>
        <v>20000</v>
      </c>
      <c r="J642" s="3">
        <f>IFERROR(__xludf.DUMMYFUNCTION("""COMPUTED_VALUE"""),20000.0)</f>
        <v>20000</v>
      </c>
      <c r="K642" s="3">
        <f>IFERROR(__xludf.DUMMYFUNCTION("""COMPUTED_VALUE"""),20000.0)</f>
        <v>20000</v>
      </c>
      <c r="L642" s="3">
        <f>IFERROR(__xludf.DUMMYFUNCTION("""COMPUTED_VALUE"""),20000.0)</f>
        <v>20000</v>
      </c>
      <c r="M642" s="3">
        <f>IFERROR(__xludf.DUMMYFUNCTION("""COMPUTED_VALUE"""),20000.0)</f>
        <v>20000</v>
      </c>
      <c r="N642" s="1"/>
      <c r="O642" s="1"/>
      <c r="P642" s="1"/>
      <c r="Q642" s="1"/>
      <c r="R642" s="1"/>
      <c r="S642" s="1"/>
      <c r="T642" s="1"/>
      <c r="U642" s="1"/>
      <c r="V642" s="1"/>
      <c r="W642" s="1"/>
      <c r="X642" s="1"/>
      <c r="Y642" s="1"/>
      <c r="Z642" s="1"/>
      <c r="AA642" s="1"/>
      <c r="AB642" s="1"/>
      <c r="AC642" s="1"/>
      <c r="AD642" s="1"/>
      <c r="AE642" s="1"/>
      <c r="AF642" s="1" t="str">
        <f>IFERROR(__xludf.DUMMYFUNCTION("""COMPUTED_VALUE"""),"++This scythe is unnaffected by Immunities to fire, earth, nature, water, or storm.")</f>
        <v>++This scythe is unnaffected by Immunities to fire, earth, nature, water, or storm.</v>
      </c>
      <c r="AG642" s="1" t="str">
        <f>IFERROR(__xludf.DUMMYFUNCTION("""COMPUTED_VALUE"""),"Land of Spira")</f>
        <v>Land of Spira</v>
      </c>
      <c r="AH642" s="1" t="b">
        <f>IFERROR(__xludf.DUMMYFUNCTION("""COMPUTED_VALUE"""),FALSE)</f>
        <v>0</v>
      </c>
    </row>
    <row r="643">
      <c r="A643" s="1" t="str">
        <f>IFERROR(__xludf.DUMMYFUNCTION("""COMPUTED_VALUE"""),"Staff of the Elemental King of Water")</f>
        <v>Staff of the Elemental King of Water</v>
      </c>
      <c r="B643" s="1" t="str">
        <f>IFERROR(__xludf.DUMMYFUNCTION("""COMPUTED_VALUE"""),"Hand")</f>
        <v>Hand</v>
      </c>
      <c r="C643" s="1"/>
      <c r="D643" s="1" t="str">
        <f>IFERROR(__xludf.DUMMYFUNCTION("""COMPUTED_VALUE"""),"Staff")</f>
        <v>Staff</v>
      </c>
      <c r="E643" s="1">
        <f>IFERROR(__xludf.DUMMYFUNCTION("""COMPUTED_VALUE"""),1000.0)</f>
        <v>1000</v>
      </c>
      <c r="F643" s="2">
        <f>IFERROR(__xludf.DUMMYFUNCTION("""COMPUTED_VALUE"""),4.95E7)</f>
        <v>49500000</v>
      </c>
      <c r="G643" s="1" t="str">
        <f>IFERROR(__xludf.DUMMYFUNCTION("""COMPUTED_VALUE"""),"DMG")</f>
        <v>DMG</v>
      </c>
      <c r="H643" s="1"/>
      <c r="I643" s="1"/>
      <c r="J643" s="1"/>
      <c r="K643" s="3">
        <f>IFERROR(__xludf.DUMMYFUNCTION("""COMPUTED_VALUE"""),50000.0)</f>
        <v>50000</v>
      </c>
      <c r="L643" s="1"/>
      <c r="M643" s="1"/>
      <c r="N643" s="1"/>
      <c r="O643" s="1"/>
      <c r="P643" s="1"/>
      <c r="Q643" s="1"/>
      <c r="R643" s="1"/>
      <c r="S643" s="1"/>
      <c r="T643" s="1"/>
      <c r="U643" s="1"/>
      <c r="V643" s="1"/>
      <c r="W643" s="1"/>
      <c r="X643" s="1"/>
      <c r="Y643" s="1"/>
      <c r="Z643" s="1"/>
      <c r="AA643" s="1"/>
      <c r="AB643" s="1"/>
      <c r="AC643" s="1"/>
      <c r="AD643" s="1"/>
      <c r="AE643" s="1"/>
      <c r="AF643" s="1" t="str">
        <f>IFERROR(__xludf.DUMMYFUNCTION("""COMPUTED_VALUE"""),"++Summoned Water Elementals deal 5X water damage")</f>
        <v>++Summoned Water Elementals deal 5X water damage</v>
      </c>
      <c r="AG643" s="1" t="str">
        <f>IFERROR(__xludf.DUMMYFUNCTION("""COMPUTED_VALUE"""),"Land of Spira")</f>
        <v>Land of Spira</v>
      </c>
      <c r="AH643" s="1" t="b">
        <f>IFERROR(__xludf.DUMMYFUNCTION("""COMPUTED_VALUE"""),FALSE)</f>
        <v>0</v>
      </c>
    </row>
    <row r="644">
      <c r="A644" s="1" t="str">
        <f>IFERROR(__xludf.DUMMYFUNCTION("""COMPUTED_VALUE"""),"Bashe's Tail")</f>
        <v>Bashe's Tail</v>
      </c>
      <c r="B644" s="1" t="str">
        <f>IFERROR(__xludf.DUMMYFUNCTION("""COMPUTED_VALUE"""),"Legs")</f>
        <v>Legs</v>
      </c>
      <c r="C644" s="1"/>
      <c r="D644" s="1"/>
      <c r="E644" s="1">
        <f>IFERROR(__xludf.DUMMYFUNCTION("""COMPUTED_VALUE"""),800.0)</f>
        <v>800</v>
      </c>
      <c r="F644" s="2">
        <f>IFERROR(__xludf.DUMMYFUNCTION("""COMPUTED_VALUE"""),3.16E7)</f>
        <v>31600000</v>
      </c>
      <c r="G644" s="1" t="str">
        <f>IFERROR(__xludf.DUMMYFUNCTION("""COMPUTED_VALUE"""),"DEF")</f>
        <v>DEF</v>
      </c>
      <c r="H644" s="3">
        <f>IFERROR(__xludf.DUMMYFUNCTION("""COMPUTED_VALUE"""),40000.0)</f>
        <v>40000</v>
      </c>
      <c r="I644" s="1"/>
      <c r="J644" s="1"/>
      <c r="K644" s="1"/>
      <c r="L644" s="1"/>
      <c r="M644" s="1"/>
      <c r="N644" s="1"/>
      <c r="O644" s="1"/>
      <c r="P644" s="1"/>
      <c r="Q644" s="1"/>
      <c r="R644" s="1"/>
      <c r="S644" s="1"/>
      <c r="T644" s="1"/>
      <c r="U644" s="1"/>
      <c r="V644" s="1"/>
      <c r="W644" s="1"/>
      <c r="X644" s="1"/>
      <c r="Y644" s="1"/>
      <c r="Z644" s="1"/>
      <c r="AA644" s="1"/>
      <c r="AB644" s="1"/>
      <c r="AC644" s="1"/>
      <c r="AD644" s="1"/>
      <c r="AE644" s="1"/>
      <c r="AF644" s="1" t="str">
        <f>IFERROR(__xludf.DUMMYFUNCTION("""COMPUTED_VALUE"""),"++Smash - Allows you to attack with the tail as if it were a club weapon")</f>
        <v>++Smash - Allows you to attack with the tail as if it were a club weapon</v>
      </c>
      <c r="AG644" s="1" t="str">
        <f>IFERROR(__xludf.DUMMYFUNCTION("""COMPUTED_VALUE"""),"Land of Spira")</f>
        <v>Land of Spira</v>
      </c>
      <c r="AH644" s="1" t="b">
        <f>IFERROR(__xludf.DUMMYFUNCTION("""COMPUTED_VALUE"""),FALSE)</f>
        <v>0</v>
      </c>
    </row>
    <row r="645">
      <c r="A645" s="1" t="str">
        <f>IFERROR(__xludf.DUMMYFUNCTION("""COMPUTED_VALUE"""),"Bashe's Flute")</f>
        <v>Bashe's Flute</v>
      </c>
      <c r="B645" s="1" t="str">
        <f>IFERROR(__xludf.DUMMYFUNCTION("""COMPUTED_VALUE"""),"Hand")</f>
        <v>Hand</v>
      </c>
      <c r="C645" s="1"/>
      <c r="D645" s="1" t="str">
        <f>IFERROR(__xludf.DUMMYFUNCTION("""COMPUTED_VALUE"""),"Instrument")</f>
        <v>Instrument</v>
      </c>
      <c r="E645" s="1">
        <f>IFERROR(__xludf.DUMMYFUNCTION("""COMPUTED_VALUE"""),1000.0)</f>
        <v>1000</v>
      </c>
      <c r="F645" s="2">
        <f>IFERROR(__xludf.DUMMYFUNCTION("""COMPUTED_VALUE"""),4.95E7)</f>
        <v>49500000</v>
      </c>
      <c r="G645" s="1" t="str">
        <f>IFERROR(__xludf.DUMMYFUNCTION("""COMPUTED_VALUE"""),"DMG")</f>
        <v>DMG</v>
      </c>
      <c r="H645" s="1"/>
      <c r="I645" s="1"/>
      <c r="J645" s="1"/>
      <c r="K645" s="1"/>
      <c r="L645" s="1"/>
      <c r="M645" s="1"/>
      <c r="N645" s="1"/>
      <c r="O645" s="1"/>
      <c r="P645" s="1"/>
      <c r="Q645" s="1"/>
      <c r="R645" s="1"/>
      <c r="S645" s="1"/>
      <c r="T645" s="1"/>
      <c r="U645" s="1"/>
      <c r="V645" s="1"/>
      <c r="W645" s="1"/>
      <c r="X645" s="1"/>
      <c r="Y645" s="1"/>
      <c r="Z645" s="1"/>
      <c r="AA645" s="1"/>
      <c r="AB645" s="1"/>
      <c r="AC645" s="1"/>
      <c r="AD645" s="1"/>
      <c r="AE645" s="3">
        <f>IFERROR(__xludf.DUMMYFUNCTION("""COMPUTED_VALUE"""),50000.0)</f>
        <v>50000</v>
      </c>
      <c r="AF645" s="1" t="str">
        <f>IFERROR(__xludf.DUMMYFUNCTION("""COMPUTED_VALUE"""),"++When Equipped with Bashe's Tail Deal 5X damage and cast 2 acoustic powers in an action instead of one for your first turn")</f>
        <v>++When Equipped with Bashe's Tail Deal 5X damage and cast 2 acoustic powers in an action instead of one for your first turn</v>
      </c>
      <c r="AG645" s="1" t="str">
        <f>IFERROR(__xludf.DUMMYFUNCTION("""COMPUTED_VALUE"""),"Land of Spira")</f>
        <v>Land of Spira</v>
      </c>
      <c r="AH645" s="1" t="b">
        <f>IFERROR(__xludf.DUMMYFUNCTION("""COMPUTED_VALUE"""),FALSE)</f>
        <v>0</v>
      </c>
    </row>
    <row r="646">
      <c r="A646" s="1" t="str">
        <f>IFERROR(__xludf.DUMMYFUNCTION("""COMPUTED_VALUE"""),"Grash's Favorite Length Of Iron")</f>
        <v>Grash's Favorite Length Of Iron</v>
      </c>
      <c r="B646" s="1" t="str">
        <f>IFERROR(__xludf.DUMMYFUNCTION("""COMPUTED_VALUE"""),"Hand")</f>
        <v>Hand</v>
      </c>
      <c r="C646" s="1"/>
      <c r="D646" s="1" t="str">
        <f>IFERROR(__xludf.DUMMYFUNCTION("""COMPUTED_VALUE"""),"Club")</f>
        <v>Club</v>
      </c>
      <c r="E646" s="1">
        <f>IFERROR(__xludf.DUMMYFUNCTION("""COMPUTED_VALUE"""),2000.0)</f>
        <v>2000</v>
      </c>
      <c r="F646" s="2">
        <f>IFERROR(__xludf.DUMMYFUNCTION("""COMPUTED_VALUE"""),1.99E8)</f>
        <v>199000000</v>
      </c>
      <c r="G646" s="1" t="str">
        <f>IFERROR(__xludf.DUMMYFUNCTION("""COMPUTED_VALUE"""),"DMG")</f>
        <v>DMG</v>
      </c>
      <c r="H646" s="1">
        <f>IFERROR(__xludf.DUMMYFUNCTION("""COMPUTED_VALUE"""),100000.0)</f>
        <v>100000</v>
      </c>
      <c r="I646" s="1"/>
      <c r="J646" s="1"/>
      <c r="K646" s="1"/>
      <c r="L646" s="1"/>
      <c r="M646" s="1"/>
      <c r="N646" s="1"/>
      <c r="O646" s="1"/>
      <c r="P646" s="1"/>
      <c r="Q646" s="1"/>
      <c r="R646" s="1"/>
      <c r="S646" s="1"/>
      <c r="T646" s="1"/>
      <c r="U646" s="1"/>
      <c r="V646" s="1"/>
      <c r="W646" s="1"/>
      <c r="X646" s="1"/>
      <c r="Y646" s="1"/>
      <c r="Z646" s="1"/>
      <c r="AA646" s="1"/>
      <c r="AB646" s="1"/>
      <c r="AC646" s="1"/>
      <c r="AD646" s="1"/>
      <c r="AE646" s="1"/>
      <c r="AF646" s="1" t="str">
        <f>IFERROR(__xludf.DUMMYFUNCTION("""COMPUTED_VALUE"""),"++When a Samurai Wields this weapon they get access to the ""Grash's Smashing Success"" Natural Power")</f>
        <v>++When a Samurai Wields this weapon they get access to the "Grash's Smashing Success" Natural Power</v>
      </c>
      <c r="AG646" s="1" t="str">
        <f>IFERROR(__xludf.DUMMYFUNCTION("""COMPUTED_VALUE"""),"Land of Spira")</f>
        <v>Land of Spira</v>
      </c>
      <c r="AH646" s="1" t="b">
        <f>IFERROR(__xludf.DUMMYFUNCTION("""COMPUTED_VALUE"""),FALSE)</f>
        <v>0</v>
      </c>
    </row>
    <row r="647">
      <c r="A647" s="1" t="str">
        <f>IFERROR(__xludf.DUMMYFUNCTION("""COMPUTED_VALUE"""),"Wolf Tooth Neclace")</f>
        <v>Wolf Tooth Neclace</v>
      </c>
      <c r="B647" s="1" t="str">
        <f>IFERROR(__xludf.DUMMYFUNCTION("""COMPUTED_VALUE"""),"Neck")</f>
        <v>Neck</v>
      </c>
      <c r="C647" s="1"/>
      <c r="D647" s="1"/>
      <c r="E647" s="1">
        <f>IFERROR(__xludf.DUMMYFUNCTION("""COMPUTED_VALUE"""),1.0)</f>
        <v>1</v>
      </c>
      <c r="F647" s="2">
        <f>IFERROR(__xludf.DUMMYFUNCTION("""COMPUTED_VALUE"""),0.0)</f>
        <v>0</v>
      </c>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t="str">
        <f>IFERROR(__xludf.DUMMYFUNCTION("""COMPUTED_VALUE"""),"++When fighting alongside a Beast Companion you get +5 to all weapon attacks (Wearing multiple does not cause this effect to stack)")</f>
        <v>++When fighting alongside a Beast Companion you get +5 to all weapon attacks (Wearing multiple does not cause this effect to stack)</v>
      </c>
      <c r="AG647" s="1" t="str">
        <f>IFERROR(__xludf.DUMMYFUNCTION("""COMPUTED_VALUE"""),"Land of Spira")</f>
        <v>Land of Spira</v>
      </c>
      <c r="AH647" s="1" t="b">
        <f>IFERROR(__xludf.DUMMYFUNCTION("""COMPUTED_VALUE"""),FALSE)</f>
        <v>0</v>
      </c>
    </row>
    <row r="648">
      <c r="A648" s="1" t="str">
        <f>IFERROR(__xludf.DUMMYFUNCTION("""COMPUTED_VALUE"""),"Dragon Scale Necklace")</f>
        <v>Dragon Scale Necklace</v>
      </c>
      <c r="B648" s="1" t="str">
        <f>IFERROR(__xludf.DUMMYFUNCTION("""COMPUTED_VALUE"""),"Neck")</f>
        <v>Neck</v>
      </c>
      <c r="C648" s="1"/>
      <c r="D648" s="1"/>
      <c r="E648" s="1">
        <f>IFERROR(__xludf.DUMMYFUNCTION("""COMPUTED_VALUE"""),1.0)</f>
        <v>1</v>
      </c>
      <c r="F648" s="2">
        <f>IFERROR(__xludf.DUMMYFUNCTION("""COMPUTED_VALUE"""),0.0)</f>
        <v>0</v>
      </c>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t="str">
        <f>IFERROR(__xludf.DUMMYFUNCTION("""COMPUTED_VALUE"""),"++When fighting alongside a Draconic Companion you get +5 to all weapon attacks (Wearing multiple does not cause this effect to stack)")</f>
        <v>++When fighting alongside a Draconic Companion you get +5 to all weapon attacks (Wearing multiple does not cause this effect to stack)</v>
      </c>
      <c r="AG648" s="1" t="str">
        <f>IFERROR(__xludf.DUMMYFUNCTION("""COMPUTED_VALUE"""),"Land of Spira")</f>
        <v>Land of Spira</v>
      </c>
      <c r="AH648" s="1" t="b">
        <f>IFERROR(__xludf.DUMMYFUNCTION("""COMPUTED_VALUE"""),FALSE)</f>
        <v>0</v>
      </c>
    </row>
    <row r="649">
      <c r="A649" s="1" t="str">
        <f>IFERROR(__xludf.DUMMYFUNCTION("""COMPUTED_VALUE"""),"Heavenly Necklace")</f>
        <v>Heavenly Necklace</v>
      </c>
      <c r="B649" s="1" t="str">
        <f>IFERROR(__xludf.DUMMYFUNCTION("""COMPUTED_VALUE"""),"Neck")</f>
        <v>Neck</v>
      </c>
      <c r="C649" s="1"/>
      <c r="D649" s="1"/>
      <c r="E649" s="1">
        <f>IFERROR(__xludf.DUMMYFUNCTION("""COMPUTED_VALUE"""),1.0)</f>
        <v>1</v>
      </c>
      <c r="F649" s="2">
        <f>IFERROR(__xludf.DUMMYFUNCTION("""COMPUTED_VALUE"""),0.0)</f>
        <v>0</v>
      </c>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t="str">
        <f>IFERROR(__xludf.DUMMYFUNCTION("""COMPUTED_VALUE"""),"++When fighting alongside a Heavenly Companion you get +5 to all weapon attacks (Wearing multiple does not cause this effect to stack)")</f>
        <v>++When fighting alongside a Heavenly Companion you get +5 to all weapon attacks (Wearing multiple does not cause this effect to stack)</v>
      </c>
      <c r="AG649" s="1" t="str">
        <f>IFERROR(__xludf.DUMMYFUNCTION("""COMPUTED_VALUE"""),"Land of Spira")</f>
        <v>Land of Spira</v>
      </c>
      <c r="AH649" s="1" t="b">
        <f>IFERROR(__xludf.DUMMYFUNCTION("""COMPUTED_VALUE"""),FALSE)</f>
        <v>0</v>
      </c>
    </row>
    <row r="650">
      <c r="A650" s="1" t="str">
        <f>IFERROR(__xludf.DUMMYFUNCTION("""COMPUTED_VALUE"""),"Demonic Necklace")</f>
        <v>Demonic Necklace</v>
      </c>
      <c r="B650" s="1" t="str">
        <f>IFERROR(__xludf.DUMMYFUNCTION("""COMPUTED_VALUE"""),"Neck")</f>
        <v>Neck</v>
      </c>
      <c r="C650" s="1"/>
      <c r="D650" s="1"/>
      <c r="E650" s="1">
        <f>IFERROR(__xludf.DUMMYFUNCTION("""COMPUTED_VALUE"""),1.0)</f>
        <v>1</v>
      </c>
      <c r="F650" s="2">
        <f>IFERROR(__xludf.DUMMYFUNCTION("""COMPUTED_VALUE"""),0.0)</f>
        <v>0</v>
      </c>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t="str">
        <f>IFERROR(__xludf.DUMMYFUNCTION("""COMPUTED_VALUE"""),"++When fighting alongside a Demonic Companion you get +5 to all weapon attacks (Wearing multiple does not cause this effect to stack)")</f>
        <v>++When fighting alongside a Demonic Companion you get +5 to all weapon attacks (Wearing multiple does not cause this effect to stack)</v>
      </c>
      <c r="AG650" s="1" t="str">
        <f>IFERROR(__xludf.DUMMYFUNCTION("""COMPUTED_VALUE"""),"Land of Spira")</f>
        <v>Land of Spira</v>
      </c>
      <c r="AH650" s="1" t="b">
        <f>IFERROR(__xludf.DUMMYFUNCTION("""COMPUTED_VALUE"""),FALSE)</f>
        <v>0</v>
      </c>
    </row>
    <row r="651">
      <c r="A651" s="1" t="str">
        <f>IFERROR(__xludf.DUMMYFUNCTION("""COMPUTED_VALUE"""),"The Cloak of Gévaudan")</f>
        <v>The Cloak of Gévaudan</v>
      </c>
      <c r="B651" s="1" t="str">
        <f>IFERROR(__xludf.DUMMYFUNCTION("""COMPUTED_VALUE"""),"Shoulders")</f>
        <v>Shoulders</v>
      </c>
      <c r="C651" s="1"/>
      <c r="D651" s="1"/>
      <c r="E651" s="1">
        <f>IFERROR(__xludf.DUMMYFUNCTION("""COMPUTED_VALUE"""),800.0)</f>
        <v>800</v>
      </c>
      <c r="F651" s="2">
        <f>IFERROR(__xludf.DUMMYFUNCTION("""COMPUTED_VALUE"""),3.16E7)</f>
        <v>31600000</v>
      </c>
      <c r="G651" s="1" t="str">
        <f>IFERROR(__xludf.DUMMYFUNCTION("""COMPUTED_VALUE"""),"DEF")</f>
        <v>DEF</v>
      </c>
      <c r="H651" s="1">
        <f>IFERROR(__xludf.DUMMYFUNCTION("""COMPUTED_VALUE"""),25000.0)</f>
        <v>25000</v>
      </c>
      <c r="I651" s="1">
        <f>IFERROR(__xludf.DUMMYFUNCTION("""COMPUTED_VALUE"""),15000.0)</f>
        <v>15000</v>
      </c>
      <c r="J651" s="1"/>
      <c r="K651" s="1"/>
      <c r="L651" s="1"/>
      <c r="M651" s="1"/>
      <c r="N651" s="1"/>
      <c r="O651" s="1"/>
      <c r="P651" s="1"/>
      <c r="Q651" s="1"/>
      <c r="R651" s="1"/>
      <c r="S651" s="1"/>
      <c r="T651" s="1"/>
      <c r="U651" s="1"/>
      <c r="V651" s="1"/>
      <c r="W651" s="1"/>
      <c r="X651" s="1"/>
      <c r="Y651" s="1"/>
      <c r="Z651" s="1"/>
      <c r="AA651" s="1"/>
      <c r="AB651" s="1"/>
      <c r="AC651" s="1"/>
      <c r="AD651" s="1"/>
      <c r="AE651" s="1"/>
      <c r="AF651" s="1" t="str">
        <f>IFERROR(__xludf.DUMMYFUNCTION("""COMPUTED_VALUE"""),"++The warm coat grants you immunity to freezing.")</f>
        <v>++The warm coat grants you immunity to freezing.</v>
      </c>
      <c r="AG651" s="1" t="str">
        <f>IFERROR(__xludf.DUMMYFUNCTION("""COMPUTED_VALUE"""),"Land of Spira")</f>
        <v>Land of Spira</v>
      </c>
      <c r="AH651" s="1" t="b">
        <f>IFERROR(__xludf.DUMMYFUNCTION("""COMPUTED_VALUE"""),FALSE)</f>
        <v>0</v>
      </c>
    </row>
    <row r="652">
      <c r="A652" s="1" t="str">
        <f>IFERROR(__xludf.DUMMYFUNCTION("""COMPUTED_VALUE"""),"Spirit Glyph")</f>
        <v>Spirit Glyph</v>
      </c>
      <c r="B652" s="1" t="str">
        <f>IFERROR(__xludf.DUMMYFUNCTION("""COMPUTED_VALUE"""),"Ring")</f>
        <v>Ring</v>
      </c>
      <c r="C652" s="1"/>
      <c r="D652" s="1"/>
      <c r="E652" s="1">
        <f>IFERROR(__xludf.DUMMYFUNCTION("""COMPUTED_VALUE"""),1.0)</f>
        <v>1</v>
      </c>
      <c r="F652" s="2">
        <f>IFERROR(__xludf.DUMMYFUNCTION("""COMPUTED_VALUE"""),0.0)</f>
        <v>0</v>
      </c>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t="str">
        <f>IFERROR(__xludf.DUMMYFUNCTION("""COMPUTED_VALUE"""),"++When Fighting alongside a spirit companion you get ++5 to all weapon attacks. ++You get access to the ""Spiritual Meld"" Spell (Wearing multiple does not cause this effect to stack)")</f>
        <v>++When Fighting alongside a spirit companion you get ++5 to all weapon attacks. ++You get access to the "Spiritual Meld" Spell (Wearing multiple does not cause this effect to stack)</v>
      </c>
      <c r="AG652" s="1" t="str">
        <f>IFERROR(__xludf.DUMMYFUNCTION("""COMPUTED_VALUE"""),"Land of Spira")</f>
        <v>Land of Spira</v>
      </c>
      <c r="AH652" s="1" t="b">
        <f>IFERROR(__xludf.DUMMYFUNCTION("""COMPUTED_VALUE"""),FALSE)</f>
        <v>0</v>
      </c>
    </row>
    <row r="653">
      <c r="A653" s="1" t="str">
        <f>IFERROR(__xludf.DUMMYFUNCTION("""COMPUTED_VALUE"""),"Necromantic Sigil")</f>
        <v>Necromantic Sigil</v>
      </c>
      <c r="B653" s="1" t="str">
        <f>IFERROR(__xludf.DUMMYFUNCTION("""COMPUTED_VALUE"""),"Ring")</f>
        <v>Ring</v>
      </c>
      <c r="C653" s="1"/>
      <c r="D653" s="1"/>
      <c r="E653" s="1">
        <f>IFERROR(__xludf.DUMMYFUNCTION("""COMPUTED_VALUE"""),1.0)</f>
        <v>1</v>
      </c>
      <c r="F653" s="2">
        <f>IFERROR(__xludf.DUMMYFUNCTION("""COMPUTED_VALUE"""),0.0)</f>
        <v>0</v>
      </c>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t="str">
        <f>IFERROR(__xludf.DUMMYFUNCTION("""COMPUTED_VALUE"""),"++When Fighting alongside an undead companion you get +5 to all weapon attacks (Wearing multiple does not cause this effect to stack)")</f>
        <v>++When Fighting alongside an undead companion you get +5 to all weapon attacks (Wearing multiple does not cause this effect to stack)</v>
      </c>
      <c r="AG653" s="1" t="str">
        <f>IFERROR(__xludf.DUMMYFUNCTION("""COMPUTED_VALUE"""),"Land of Spira")</f>
        <v>Land of Spira</v>
      </c>
      <c r="AH653" s="1" t="b">
        <f>IFERROR(__xludf.DUMMYFUNCTION("""COMPUTED_VALUE"""),FALSE)</f>
        <v>0</v>
      </c>
    </row>
    <row r="654">
      <c r="A654" s="1" t="str">
        <f>IFERROR(__xludf.DUMMYFUNCTION("""COMPUTED_VALUE"""),"Dragonslayer")</f>
        <v>Dragonslayer</v>
      </c>
      <c r="B654" s="1" t="str">
        <f>IFERROR(__xludf.DUMMYFUNCTION("""COMPUTED_VALUE"""),"Hand")</f>
        <v>Hand</v>
      </c>
      <c r="C654" s="1" t="str">
        <f>IFERROR(__xludf.DUMMYFUNCTION("""COMPUTED_VALUE"""),"It was too big to be called a sword. Massive, thick, heavy, and far too rough. Indeed, it was a heap of raw iron.")</f>
        <v>It was too big to be called a sword. Massive, thick, heavy, and far too rough. Indeed, it was a heap of raw iron.</v>
      </c>
      <c r="D654" s="1" t="str">
        <f>IFERROR(__xludf.DUMMYFUNCTION("""COMPUTED_VALUE"""),"Sword")</f>
        <v>Sword</v>
      </c>
      <c r="E654" s="1">
        <f>IFERROR(__xludf.DUMMYFUNCTION("""COMPUTED_VALUE"""),2000.0)</f>
        <v>2000</v>
      </c>
      <c r="F654" s="2">
        <f>IFERROR(__xludf.DUMMYFUNCTION("""COMPUTED_VALUE"""),1.99E8)</f>
        <v>199000000</v>
      </c>
      <c r="G654" s="1" t="str">
        <f>IFERROR(__xludf.DUMMYFUNCTION("""COMPUTED_VALUE"""),"DMG")</f>
        <v>DMG</v>
      </c>
      <c r="H654" s="1">
        <f>IFERROR(__xludf.DUMMYFUNCTION("""COMPUTED_VALUE"""),100000.0)</f>
        <v>100000</v>
      </c>
      <c r="I654" s="1"/>
      <c r="J654" s="1"/>
      <c r="K654" s="1"/>
      <c r="L654" s="1"/>
      <c r="M654" s="1"/>
      <c r="N654" s="1"/>
      <c r="O654" s="1"/>
      <c r="P654" s="1"/>
      <c r="Q654" s="1"/>
      <c r="R654" s="1"/>
      <c r="S654" s="1"/>
      <c r="T654" s="1"/>
      <c r="U654" s="1"/>
      <c r="V654" s="1"/>
      <c r="W654" s="1"/>
      <c r="X654" s="1"/>
      <c r="Y654" s="1"/>
      <c r="Z654" s="1"/>
      <c r="AA654" s="1"/>
      <c r="AB654" s="1"/>
      <c r="AC654" s="1"/>
      <c r="AD654" s="1"/>
      <c r="AE654" s="1"/>
      <c r="AF654" s="1" t="str">
        <f>IFERROR(__xludf.DUMMYFUNCTION("""COMPUTED_VALUE"""),"++Deals X10 damage when fighting a Dragon or Monstrosity")</f>
        <v>++Deals X10 damage when fighting a Dragon or Monstrosity</v>
      </c>
      <c r="AG654" s="1" t="str">
        <f>IFERROR(__xludf.DUMMYFUNCTION("""COMPUTED_VALUE"""),"Land of Spira")</f>
        <v>Land of Spira</v>
      </c>
      <c r="AH654" s="1" t="b">
        <f>IFERROR(__xludf.DUMMYFUNCTION("""COMPUTED_VALUE"""),FALSE)</f>
        <v>0</v>
      </c>
    </row>
    <row r="655">
      <c r="A655" s="1" t="str">
        <f>IFERROR(__xludf.DUMMYFUNCTION("""COMPUTED_VALUE"""),"Rusted Halberd")</f>
        <v>Rusted Halberd</v>
      </c>
      <c r="B655" s="1" t="str">
        <f>IFERROR(__xludf.DUMMYFUNCTION("""COMPUTED_VALUE"""),"Hand")</f>
        <v>Hand</v>
      </c>
      <c r="C655" s="1"/>
      <c r="D655" s="1" t="str">
        <f>IFERROR(__xludf.DUMMYFUNCTION("""COMPUTED_VALUE"""),"Spear")</f>
        <v>Spear</v>
      </c>
      <c r="E655" s="1">
        <f>IFERROR(__xludf.DUMMYFUNCTION("""COMPUTED_VALUE"""),100.0)</f>
        <v>100</v>
      </c>
      <c r="F655" s="2">
        <f>IFERROR(__xludf.DUMMYFUNCTION("""COMPUTED_VALUE"""),450000.0)</f>
        <v>450000</v>
      </c>
      <c r="G655" s="1" t="str">
        <f>IFERROR(__xludf.DUMMYFUNCTION("""COMPUTED_VALUE"""),"DMG")</f>
        <v>DMG</v>
      </c>
      <c r="H655" s="1">
        <f>IFERROR(__xludf.DUMMYFUNCTION("""COMPUTED_VALUE"""),5000.0)</f>
        <v>5000</v>
      </c>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t="str">
        <f>IFERROR(__xludf.DUMMYFUNCTION("""COMPUTED_VALUE"""),"Land of Spira")</f>
        <v>Land of Spira</v>
      </c>
      <c r="AH655" s="1" t="b">
        <f>IFERROR(__xludf.DUMMYFUNCTION("""COMPUTED_VALUE"""),FALSE)</f>
        <v>0</v>
      </c>
    </row>
    <row r="656">
      <c r="A656" s="1" t="str">
        <f>IFERROR(__xludf.DUMMYFUNCTION("""COMPUTED_VALUE"""),"Diseased Rapier")</f>
        <v>Diseased Rapier</v>
      </c>
      <c r="B656" s="1" t="str">
        <f>IFERROR(__xludf.DUMMYFUNCTION("""COMPUTED_VALUE"""),"Hand")</f>
        <v>Hand</v>
      </c>
      <c r="C656" s="1"/>
      <c r="D656" s="1" t="str">
        <f>IFERROR(__xludf.DUMMYFUNCTION("""COMPUTED_VALUE"""),"Sword")</f>
        <v>Sword</v>
      </c>
      <c r="E656" s="1">
        <f>IFERROR(__xludf.DUMMYFUNCTION("""COMPUTED_VALUE"""),50.0)</f>
        <v>50</v>
      </c>
      <c r="F656" s="2">
        <f>IFERROR(__xludf.DUMMYFUNCTION("""COMPUTED_VALUE"""),100000.0)</f>
        <v>100000</v>
      </c>
      <c r="G656" s="1" t="str">
        <f>IFERROR(__xludf.DUMMYFUNCTION("""COMPUTED_VALUE"""),"DMG")</f>
        <v>DMG</v>
      </c>
      <c r="H656" s="1">
        <f>IFERROR(__xludf.DUMMYFUNCTION("""COMPUTED_VALUE"""),2500.0)</f>
        <v>2500</v>
      </c>
      <c r="I656" s="1"/>
      <c r="J656" s="1"/>
      <c r="K656" s="1"/>
      <c r="L656" s="1"/>
      <c r="M656" s="1"/>
      <c r="N656" s="1"/>
      <c r="O656" s="1"/>
      <c r="P656" s="1"/>
      <c r="Q656" s="1"/>
      <c r="R656" s="1"/>
      <c r="S656" s="1"/>
      <c r="T656" s="1"/>
      <c r="U656" s="1"/>
      <c r="V656" s="1"/>
      <c r="W656" s="1"/>
      <c r="X656" s="1"/>
      <c r="Y656" s="1"/>
      <c r="Z656" s="1"/>
      <c r="AA656" s="1"/>
      <c r="AB656" s="1"/>
      <c r="AC656" s="1"/>
      <c r="AD656" s="1"/>
      <c r="AE656" s="1"/>
      <c r="AF656" s="1" t="str">
        <f>IFERROR(__xludf.DUMMYFUNCTION("""COMPUTED_VALUE"""),"++15% chance to inflict the target with a random non-pemanent disease")</f>
        <v>++15% chance to inflict the target with a random non-pemanent disease</v>
      </c>
      <c r="AG656" s="1" t="str">
        <f>IFERROR(__xludf.DUMMYFUNCTION("""COMPUTED_VALUE"""),"Land of Spira")</f>
        <v>Land of Spira</v>
      </c>
      <c r="AH656" s="1" t="b">
        <f>IFERROR(__xludf.DUMMYFUNCTION("""COMPUTED_VALUE"""),FALSE)</f>
        <v>0</v>
      </c>
    </row>
    <row r="657">
      <c r="A657" s="1" t="str">
        <f>IFERROR(__xludf.DUMMYFUNCTION("""COMPUTED_VALUE"""),"Symbol of Greed")</f>
        <v>Symbol of Greed</v>
      </c>
      <c r="B657" s="1" t="str">
        <f>IFERROR(__xludf.DUMMYFUNCTION("""COMPUTED_VALUE"""),"Finger")</f>
        <v>Finger</v>
      </c>
      <c r="C657" s="1"/>
      <c r="D657" s="1"/>
      <c r="E657" s="1">
        <f>IFERROR(__xludf.DUMMYFUNCTION("""COMPUTED_VALUE"""),1.0)</f>
        <v>1</v>
      </c>
      <c r="F657" s="2">
        <f>IFERROR(__xludf.DUMMYFUNCTION("""COMPUTED_VALUE"""),0.0)</f>
        <v>0</v>
      </c>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t="str">
        <f>IFERROR(__xludf.DUMMYFUNCTION("""COMPUTED_VALUE"""),"++Great Deal - When determining the difficulty to haggle with a shopkeeper, the shopkeeper rolls the difficulty twice and takes the lower number +-(merchant class only)")</f>
        <v>++Great Deal - When determining the difficulty to haggle with a shopkeeper, the shopkeeper rolls the difficulty twice and takes the lower number +-(merchant class only)</v>
      </c>
      <c r="AG657" s="1" t="str">
        <f>IFERROR(__xludf.DUMMYFUNCTION("""COMPUTED_VALUE"""),"Land of Spira")</f>
        <v>Land of Spira</v>
      </c>
      <c r="AH657" s="1" t="b">
        <f>IFERROR(__xludf.DUMMYFUNCTION("""COMPUTED_VALUE"""),FALSE)</f>
        <v>0</v>
      </c>
    </row>
    <row r="658">
      <c r="A658" s="1" t="str">
        <f>IFERROR(__xludf.DUMMYFUNCTION("""COMPUTED_VALUE"""),"Enchanted Quiver")</f>
        <v>Enchanted Quiver</v>
      </c>
      <c r="B658" s="1" t="str">
        <f>IFERROR(__xludf.DUMMYFUNCTION("""COMPUTED_VALUE"""),"Shoulders")</f>
        <v>Shoulders</v>
      </c>
      <c r="C658" s="1"/>
      <c r="D658" s="1"/>
      <c r="E658" s="1">
        <f>IFERROR(__xludf.DUMMYFUNCTION("""COMPUTED_VALUE"""),1.0)</f>
        <v>1</v>
      </c>
      <c r="F658" s="2">
        <f>IFERROR(__xludf.DUMMYFUNCTION("""COMPUTED_VALUE"""),0.0)</f>
        <v>0</v>
      </c>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t="str">
        <f>IFERROR(__xludf.DUMMYFUNCTION("""COMPUTED_VALUE"""),"++Magic Arrow - ++5 to all attack rolls with a bow +-(Archer Class Only)")</f>
        <v>++Magic Arrow - ++5 to all attack rolls with a bow +-(Archer Class Only)</v>
      </c>
      <c r="AG658" s="1" t="str">
        <f>IFERROR(__xludf.DUMMYFUNCTION("""COMPUTED_VALUE"""),"Land of Spira")</f>
        <v>Land of Spira</v>
      </c>
      <c r="AH658" s="1" t="b">
        <f>IFERROR(__xludf.DUMMYFUNCTION("""COMPUTED_VALUE"""),FALSE)</f>
        <v>0</v>
      </c>
    </row>
    <row r="659">
      <c r="A659" s="1" t="str">
        <f>IFERROR(__xludf.DUMMYFUNCTION("""COMPUTED_VALUE"""),"Ring of the Siren")</f>
        <v>Ring of the Siren</v>
      </c>
      <c r="B659" s="1" t="str">
        <f>IFERROR(__xludf.DUMMYFUNCTION("""COMPUTED_VALUE"""),"Finger")</f>
        <v>Finger</v>
      </c>
      <c r="C659" s="1"/>
      <c r="D659" s="1"/>
      <c r="E659" s="1">
        <f>IFERROR(__xludf.DUMMYFUNCTION("""COMPUTED_VALUE"""),1.0)</f>
        <v>1</v>
      </c>
      <c r="F659" s="2">
        <f>IFERROR(__xludf.DUMMYFUNCTION("""COMPUTED_VALUE"""),0.0)</f>
        <v>0</v>
      </c>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t="str">
        <f>IFERROR(__xludf.DUMMYFUNCTION("""COMPUTED_VALUE"""),"++X2 acoustic damage ++Song of the Siren - At the start of battle you may roll a fail or Succeed roll to enchant an enemy, causing them to join your side, (for the sake of immunities this counts as possession) +-(Bard Class Only)")</f>
        <v>++X2 acoustic damage ++Song of the Siren - At the start of battle you may roll a fail or Succeed roll to enchant an enemy, causing them to join your side, (for the sake of immunities this counts as possession) +-(Bard Class Only)</v>
      </c>
      <c r="AG659" s="1" t="str">
        <f>IFERROR(__xludf.DUMMYFUNCTION("""COMPUTED_VALUE"""),"Land of Spira")</f>
        <v>Land of Spira</v>
      </c>
      <c r="AH659" s="1" t="b">
        <f>IFERROR(__xludf.DUMMYFUNCTION("""COMPUTED_VALUE"""),FALSE)</f>
        <v>0</v>
      </c>
    </row>
    <row r="660">
      <c r="A660" s="1" t="str">
        <f>IFERROR(__xludf.DUMMYFUNCTION("""COMPUTED_VALUE"""),"Amulet of The Berserker")</f>
        <v>Amulet of The Berserker</v>
      </c>
      <c r="B660" s="1" t="str">
        <f>IFERROR(__xludf.DUMMYFUNCTION("""COMPUTED_VALUE"""),"Neck")</f>
        <v>Neck</v>
      </c>
      <c r="C660" s="1"/>
      <c r="D660" s="1"/>
      <c r="E660" s="1">
        <f>IFERROR(__xludf.DUMMYFUNCTION("""COMPUTED_VALUE"""),1.0)</f>
        <v>1</v>
      </c>
      <c r="F660" s="2">
        <f>IFERROR(__xludf.DUMMYFUNCTION("""COMPUTED_VALUE"""),0.0)</f>
        <v>0</v>
      </c>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t="str">
        <f>IFERROR(__xludf.DUMMYFUNCTION("""COMPUTED_VALUE"""),"++Berserk - When attacking or being attacked gain 1 stack of Insanity +-(Brawler Class Only)")</f>
        <v>++Berserk - When attacking or being attacked gain 1 stack of Insanity +-(Brawler Class Only)</v>
      </c>
      <c r="AG660" s="1" t="str">
        <f>IFERROR(__xludf.DUMMYFUNCTION("""COMPUTED_VALUE"""),"Land of Spira")</f>
        <v>Land of Spira</v>
      </c>
      <c r="AH660" s="1" t="b">
        <f>IFERROR(__xludf.DUMMYFUNCTION("""COMPUTED_VALUE"""),FALSE)</f>
        <v>0</v>
      </c>
    </row>
    <row r="661">
      <c r="A661" s="1" t="str">
        <f>IFERROR(__xludf.DUMMYFUNCTION("""COMPUTED_VALUE"""),"Mask of the Cultist")</f>
        <v>Mask of the Cultist</v>
      </c>
      <c r="B661" s="1" t="str">
        <f>IFERROR(__xludf.DUMMYFUNCTION("""COMPUTED_VALUE"""),"Head")</f>
        <v>Head</v>
      </c>
      <c r="C661" s="1"/>
      <c r="D661" s="1"/>
      <c r="E661" s="1">
        <f>IFERROR(__xludf.DUMMYFUNCTION("""COMPUTED_VALUE"""),1.0)</f>
        <v>1</v>
      </c>
      <c r="F661" s="2">
        <f>IFERROR(__xludf.DUMMYFUNCTION("""COMPUTED_VALUE"""),0.0)</f>
        <v>0</v>
      </c>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t="str">
        <f>IFERROR(__xludf.DUMMYFUNCTION("""COMPUTED_VALUE"""),"++One of Us - when fighting alongside another party member with an evil alignment you gain +5 to your attack rolls. +-(Cultist Class Only)")</f>
        <v>++One of Us - when fighting alongside another party member with an evil alignment you gain +5 to your attack rolls. +-(Cultist Class Only)</v>
      </c>
      <c r="AG661" s="1" t="str">
        <f>IFERROR(__xludf.DUMMYFUNCTION("""COMPUTED_VALUE"""),"Land of Spira")</f>
        <v>Land of Spira</v>
      </c>
      <c r="AH661" s="1" t="b">
        <f>IFERROR(__xludf.DUMMYFUNCTION("""COMPUTED_VALUE"""),FALSE)</f>
        <v>0</v>
      </c>
    </row>
    <row r="662">
      <c r="A662" s="1" t="str">
        <f>IFERROR(__xludf.DUMMYFUNCTION("""COMPUTED_VALUE"""),"""Natural"" Cologne")</f>
        <v>"Natural" Cologne</v>
      </c>
      <c r="B662" s="1" t="str">
        <f>IFERROR(__xludf.DUMMYFUNCTION("""COMPUTED_VALUE"""),"Neck")</f>
        <v>Neck</v>
      </c>
      <c r="C662" s="1"/>
      <c r="D662" s="1"/>
      <c r="E662" s="1">
        <f>IFERROR(__xludf.DUMMYFUNCTION("""COMPUTED_VALUE"""),1.0)</f>
        <v>1</v>
      </c>
      <c r="F662" s="2">
        <f>IFERROR(__xludf.DUMMYFUNCTION("""COMPUTED_VALUE"""),0.0)</f>
        <v>0</v>
      </c>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t="str">
        <f>IFERROR(__xludf.DUMMYFUNCTION("""COMPUTED_VALUE"""),"++Animal Friend - When trying to tame a creature you only have to succeed on a charisma roll twice instead of thrice +-(Druid Class Only)")</f>
        <v>++Animal Friend - When trying to tame a creature you only have to succeed on a charisma roll twice instead of thrice +-(Druid Class Only)</v>
      </c>
      <c r="AG662" s="1" t="str">
        <f>IFERROR(__xludf.DUMMYFUNCTION("""COMPUTED_VALUE"""),"Land of Spira")</f>
        <v>Land of Spira</v>
      </c>
      <c r="AH662" s="1" t="b">
        <f>IFERROR(__xludf.DUMMYFUNCTION("""COMPUTED_VALUE"""),FALSE)</f>
        <v>0</v>
      </c>
    </row>
    <row r="663">
      <c r="A663" s="1" t="str">
        <f>IFERROR(__xludf.DUMMYFUNCTION("""COMPUTED_VALUE"""),"Bonded Ring")</f>
        <v>Bonded Ring</v>
      </c>
      <c r="B663" s="1" t="str">
        <f>IFERROR(__xludf.DUMMYFUNCTION("""COMPUTED_VALUE"""),"Finger")</f>
        <v>Finger</v>
      </c>
      <c r="C663" s="1"/>
      <c r="D663" s="1"/>
      <c r="E663" s="1">
        <f>IFERROR(__xludf.DUMMYFUNCTION("""COMPUTED_VALUE"""),1.0)</f>
        <v>1</v>
      </c>
      <c r="F663" s="2">
        <f>IFERROR(__xludf.DUMMYFUNCTION("""COMPUTED_VALUE"""),0.0)</f>
        <v>0</v>
      </c>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t="str">
        <f>IFERROR(__xludf.DUMMYFUNCTION("""COMPUTED_VALUE"""),"++A Bond Stronger Than Iron - When with a hatched companion you gain a 10% chance to be unnaffected by an attack +-one use per battle +-(Cavalier Class Only)")</f>
        <v>++A Bond Stronger Than Iron - When with a hatched companion you gain a 10% chance to be unnaffected by an attack +-one use per battle +-(Cavalier Class Only)</v>
      </c>
      <c r="AG663" s="1" t="str">
        <f>IFERROR(__xludf.DUMMYFUNCTION("""COMPUTED_VALUE"""),"Land of Spira")</f>
        <v>Land of Spira</v>
      </c>
      <c r="AH663" s="1" t="b">
        <f>IFERROR(__xludf.DUMMYFUNCTION("""COMPUTED_VALUE"""),FALSE)</f>
        <v>0</v>
      </c>
    </row>
    <row r="664">
      <c r="A664" s="1" t="str">
        <f>IFERROR(__xludf.DUMMYFUNCTION("""COMPUTED_VALUE"""),"Deadeye Brooch")</f>
        <v>Deadeye Brooch</v>
      </c>
      <c r="B664" s="1" t="str">
        <f>IFERROR(__xludf.DUMMYFUNCTION("""COMPUTED_VALUE"""),"Neck")</f>
        <v>Neck</v>
      </c>
      <c r="C664" s="1"/>
      <c r="D664" s="1"/>
      <c r="E664" s="1">
        <f>IFERROR(__xludf.DUMMYFUNCTION("""COMPUTED_VALUE"""),1.0)</f>
        <v>1</v>
      </c>
      <c r="F664" s="2">
        <f>IFERROR(__xludf.DUMMYFUNCTION("""COMPUTED_VALUE"""),0.0)</f>
        <v>0</v>
      </c>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t="str">
        <f>IFERROR(__xludf.DUMMYFUNCTION("""COMPUTED_VALUE"""),"++One Shot, One Kill - If you kill an enemy with one shot using a firearm you can attack again with the firearm +-(Gunslinger Class Only)")</f>
        <v>++One Shot, One Kill - If you kill an enemy with one shot using a firearm you can attack again with the firearm +-(Gunslinger Class Only)</v>
      </c>
      <c r="AG664" s="1" t="str">
        <f>IFERROR(__xludf.DUMMYFUNCTION("""COMPUTED_VALUE"""),"Land of Spira")</f>
        <v>Land of Spira</v>
      </c>
      <c r="AH664" s="1" t="b">
        <f>IFERROR(__xludf.DUMMYFUNCTION("""COMPUTED_VALUE"""),FALSE)</f>
        <v>0</v>
      </c>
    </row>
    <row r="665">
      <c r="A665" s="1" t="str">
        <f>IFERROR(__xludf.DUMMYFUNCTION("""COMPUTED_VALUE"""),"Tool Kit")</f>
        <v>Tool Kit</v>
      </c>
      <c r="B665" s="1" t="str">
        <f>IFERROR(__xludf.DUMMYFUNCTION("""COMPUTED_VALUE"""),"Ring")</f>
        <v>Ring</v>
      </c>
      <c r="C665" s="1"/>
      <c r="D665" s="1"/>
      <c r="E665" s="1">
        <f>IFERROR(__xludf.DUMMYFUNCTION("""COMPUTED_VALUE"""),1.0)</f>
        <v>1</v>
      </c>
      <c r="F665" s="2">
        <f>IFERROR(__xludf.DUMMYFUNCTION("""COMPUTED_VALUE"""),0.0)</f>
        <v>0</v>
      </c>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t="str">
        <f>IFERROR(__xludf.DUMMYFUNCTION("""COMPUTED_VALUE"""),"++The Right Tool For The Job - once per dungeon you are guaranteed to disable a trap +-(Hunter Class Only)")</f>
        <v>++The Right Tool For The Job - once per dungeon you are guaranteed to disable a trap +-(Hunter Class Only)</v>
      </c>
      <c r="AG665" s="1" t="str">
        <f>IFERROR(__xludf.DUMMYFUNCTION("""COMPUTED_VALUE"""),"Land of Spira")</f>
        <v>Land of Spira</v>
      </c>
      <c r="AH665" s="1" t="b">
        <f>IFERROR(__xludf.DUMMYFUNCTION("""COMPUTED_VALUE"""),FALSE)</f>
        <v>0</v>
      </c>
    </row>
    <row r="666">
      <c r="A666" s="1" t="str">
        <f>IFERROR(__xludf.DUMMYFUNCTION("""COMPUTED_VALUE"""),"Basic Bitch Award")</f>
        <v>Basic Bitch Award</v>
      </c>
      <c r="B666" s="1" t="str">
        <f>IFERROR(__xludf.DUMMYFUNCTION("""COMPUTED_VALUE"""),"Ring")</f>
        <v>Ring</v>
      </c>
      <c r="C666" s="1"/>
      <c r="D666" s="1"/>
      <c r="E666" s="1">
        <f>IFERROR(__xludf.DUMMYFUNCTION("""COMPUTED_VALUE"""),1.0)</f>
        <v>1</v>
      </c>
      <c r="F666" s="2">
        <f>IFERROR(__xludf.DUMMYFUNCTION("""COMPUTED_VALUE"""),0.0)</f>
        <v>0</v>
      </c>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t="str">
        <f>IFERROR(__xludf.DUMMYFUNCTION("""COMPUTED_VALUE"""),"++Joe Schmoe - +5 Charisma +-(Knight Class Only)")</f>
        <v>++Joe Schmoe - +5 Charisma +-(Knight Class Only)</v>
      </c>
      <c r="AG666" s="1" t="str">
        <f>IFERROR(__xludf.DUMMYFUNCTION("""COMPUTED_VALUE"""),"Land of Spira")</f>
        <v>Land of Spira</v>
      </c>
      <c r="AH666" s="1" t="b">
        <f>IFERROR(__xludf.DUMMYFUNCTION("""COMPUTED_VALUE"""),FALSE)</f>
        <v>0</v>
      </c>
    </row>
    <row r="667">
      <c r="A667" s="1" t="str">
        <f>IFERROR(__xludf.DUMMYFUNCTION("""COMPUTED_VALUE"""),"Ring of The Frail Scholar")</f>
        <v>Ring of The Frail Scholar</v>
      </c>
      <c r="B667" s="1" t="str">
        <f>IFERROR(__xludf.DUMMYFUNCTION("""COMPUTED_VALUE"""),"Ring")</f>
        <v>Ring</v>
      </c>
      <c r="C667" s="1"/>
      <c r="D667" s="1"/>
      <c r="E667" s="1">
        <f>IFERROR(__xludf.DUMMYFUNCTION("""COMPUTED_VALUE"""),1.0)</f>
        <v>1</v>
      </c>
      <c r="F667" s="2">
        <f>IFERROR(__xludf.DUMMYFUNCTION("""COMPUTED_VALUE"""),0.0)</f>
        <v>0</v>
      </c>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t="str">
        <f>IFERROR(__xludf.DUMMYFUNCTION("""COMPUTED_VALUE"""),"++Frail Scholar - Lowers HP by half but doubles SP +-(Mage, Wizard, and Sorcerer Class Only)")</f>
        <v>++Frail Scholar - Lowers HP by half but doubles SP +-(Mage, Wizard, and Sorcerer Class Only)</v>
      </c>
      <c r="AG667" s="1" t="str">
        <f>IFERROR(__xludf.DUMMYFUNCTION("""COMPUTED_VALUE"""),"Land of Spira")</f>
        <v>Land of Spira</v>
      </c>
      <c r="AH667" s="1" t="b">
        <f>IFERROR(__xludf.DUMMYFUNCTION("""COMPUTED_VALUE"""),FALSE)</f>
        <v>0</v>
      </c>
    </row>
    <row r="668">
      <c r="A668" s="1" t="str">
        <f>IFERROR(__xludf.DUMMYFUNCTION("""COMPUTED_VALUE"""),"Ring of Sticky FIngers")</f>
        <v>Ring of Sticky FIngers</v>
      </c>
      <c r="B668" s="1" t="str">
        <f>IFERROR(__xludf.DUMMYFUNCTION("""COMPUTED_VALUE"""),"Ring")</f>
        <v>Ring</v>
      </c>
      <c r="C668" s="1"/>
      <c r="D668" s="1"/>
      <c r="E668" s="1">
        <f>IFERROR(__xludf.DUMMYFUNCTION("""COMPUTED_VALUE"""),1.0)</f>
        <v>1</v>
      </c>
      <c r="F668" s="2">
        <f>IFERROR(__xludf.DUMMYFUNCTION("""COMPUTED_VALUE"""),0.0)</f>
        <v>0</v>
      </c>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t="str">
        <f>IFERROR(__xludf.DUMMYFUNCTION("""COMPUTED_VALUE"""),"++Sticky FIngers - Allows you to use confiscate, take, and pickpocket skills twice +-(Marauder Class Only)")</f>
        <v>++Sticky FIngers - Allows you to use confiscate, take, and pickpocket skills twice +-(Marauder Class Only)</v>
      </c>
      <c r="AG668" s="1" t="str">
        <f>IFERROR(__xludf.DUMMYFUNCTION("""COMPUTED_VALUE"""),"Land of Spira")</f>
        <v>Land of Spira</v>
      </c>
      <c r="AH668" s="1" t="b">
        <f>IFERROR(__xludf.DUMMYFUNCTION("""COMPUTED_VALUE"""),FALSE)</f>
        <v>0</v>
      </c>
    </row>
    <row r="669">
      <c r="A669" s="1" t="str">
        <f>IFERROR(__xludf.DUMMYFUNCTION("""COMPUTED_VALUE"""),"Spirit Furnace")</f>
        <v>Spirit Furnace</v>
      </c>
      <c r="B669" s="1" t="str">
        <f>IFERROR(__xludf.DUMMYFUNCTION("""COMPUTED_VALUE"""),"Neck")</f>
        <v>Neck</v>
      </c>
      <c r="C669" s="1"/>
      <c r="D669" s="1"/>
      <c r="E669" s="1">
        <f>IFERROR(__xludf.DUMMYFUNCTION("""COMPUTED_VALUE"""),1.0)</f>
        <v>1</v>
      </c>
      <c r="F669" s="2">
        <f>IFERROR(__xludf.DUMMYFUNCTION("""COMPUTED_VALUE"""),0.0)</f>
        <v>0</v>
      </c>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t="str">
        <f>IFERROR(__xludf.DUMMYFUNCTION("""COMPUTED_VALUE"""),"++Cultivation - If you have not yet attacked during the current battle you deal X4 additional damage during your next attack.. +-(Monk Class Only)")</f>
        <v>++Cultivation - If you have not yet attacked during the current battle you deal X4 additional damage during your next attack.. +-(Monk Class Only)</v>
      </c>
      <c r="AG669" s="1" t="str">
        <f>IFERROR(__xludf.DUMMYFUNCTION("""COMPUTED_VALUE"""),"Land of Spira")</f>
        <v>Land of Spira</v>
      </c>
      <c r="AH669" s="1" t="b">
        <f>IFERROR(__xludf.DUMMYFUNCTION("""COMPUTED_VALUE"""),FALSE)</f>
        <v>0</v>
      </c>
    </row>
    <row r="670">
      <c r="A670" s="1" t="str">
        <f>IFERROR(__xludf.DUMMYFUNCTION("""COMPUTED_VALUE"""),"Smokebomb Pouch")</f>
        <v>Smokebomb Pouch</v>
      </c>
      <c r="B670" s="1" t="str">
        <f>IFERROR(__xludf.DUMMYFUNCTION("""COMPUTED_VALUE"""),"Legs")</f>
        <v>Legs</v>
      </c>
      <c r="C670" s="1"/>
      <c r="D670" s="1"/>
      <c r="E670" s="1">
        <f>IFERROR(__xludf.DUMMYFUNCTION("""COMPUTED_VALUE"""),1.0)</f>
        <v>1</v>
      </c>
      <c r="F670" s="2">
        <f>IFERROR(__xludf.DUMMYFUNCTION("""COMPUTED_VALUE"""),0.0)</f>
        <v>0</v>
      </c>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t="str">
        <f>IFERROR(__xludf.DUMMYFUNCTION("""COMPUTED_VALUE"""),"++Smoke Bomb - Conceal abilities are guaranteed to succeed +-(Ninja Class Only)")</f>
        <v>++Smoke Bomb - Conceal abilities are guaranteed to succeed +-(Ninja Class Only)</v>
      </c>
      <c r="AG670" s="1" t="str">
        <f>IFERROR(__xludf.DUMMYFUNCTION("""COMPUTED_VALUE"""),"Land of Spira")</f>
        <v>Land of Spira</v>
      </c>
      <c r="AH670" s="1" t="b">
        <f>IFERROR(__xludf.DUMMYFUNCTION("""COMPUTED_VALUE"""),FALSE)</f>
        <v>0</v>
      </c>
    </row>
    <row r="671">
      <c r="A671" s="1" t="str">
        <f>IFERROR(__xludf.DUMMYFUNCTION("""COMPUTED_VALUE"""),"Certificate of Shield Bashing School")</f>
        <v>Certificate of Shield Bashing School</v>
      </c>
      <c r="B671" s="1" t="str">
        <f>IFERROR(__xludf.DUMMYFUNCTION("""COMPUTED_VALUE"""),"Neck")</f>
        <v>Neck</v>
      </c>
      <c r="C671" s="1"/>
      <c r="D671" s="1"/>
      <c r="E671" s="1">
        <f>IFERROR(__xludf.DUMMYFUNCTION("""COMPUTED_VALUE"""),1.0)</f>
        <v>1</v>
      </c>
      <c r="F671" s="2">
        <f>IFERROR(__xludf.DUMMYFUNCTION("""COMPUTED_VALUE"""),0.0)</f>
        <v>0</v>
      </c>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t="str">
        <f>IFERROR(__xludf.DUMMYFUNCTION("""COMPUTED_VALUE"""),"++Shield Bash Extraordinaire - When attacking with a shield you may add your mobility bonus to the attack roll +-(Paladin Class Only)")</f>
        <v>++Shield Bash Extraordinaire - When attacking with a shield you may add your mobility bonus to the attack roll +-(Paladin Class Only)</v>
      </c>
      <c r="AG671" s="1" t="str">
        <f>IFERROR(__xludf.DUMMYFUNCTION("""COMPUTED_VALUE"""),"Land of Spira")</f>
        <v>Land of Spira</v>
      </c>
      <c r="AH671" s="1" t="b">
        <f>IFERROR(__xludf.DUMMYFUNCTION("""COMPUTED_VALUE"""),FALSE)</f>
        <v>0</v>
      </c>
    </row>
    <row r="672">
      <c r="A672" s="1" t="str">
        <f>IFERROR(__xludf.DUMMYFUNCTION("""COMPUTED_VALUE"""),"Goblet of Greed")</f>
        <v>Goblet of Greed</v>
      </c>
      <c r="B672" s="1" t="str">
        <f>IFERROR(__xludf.DUMMYFUNCTION("""COMPUTED_VALUE"""),"Neck")</f>
        <v>Neck</v>
      </c>
      <c r="C672" s="1"/>
      <c r="D672" s="1"/>
      <c r="E672" s="1">
        <f>IFERROR(__xludf.DUMMYFUNCTION("""COMPUTED_VALUE"""),1.0)</f>
        <v>1</v>
      </c>
      <c r="F672" s="2">
        <f>IFERROR(__xludf.DUMMYFUNCTION("""COMPUTED_VALUE"""),0.0)</f>
        <v>0</v>
      </c>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t="str">
        <f>IFERROR(__xludf.DUMMYFUNCTION("""COMPUTED_VALUE"""),"++MORE!!! MOOOORE!!!!! - multiply your damage by X*2 until the end of battle where X is equal to the amount of times you stole from someone during battle. +-(Pirate Class Only)")</f>
        <v>++MORE!!! MOOOORE!!!!! - multiply your damage by X*2 until the end of battle where X is equal to the amount of times you stole from someone during battle. +-(Pirate Class Only)</v>
      </c>
      <c r="AG672" s="1" t="str">
        <f>IFERROR(__xludf.DUMMYFUNCTION("""COMPUTED_VALUE"""),"Land of Spira")</f>
        <v>Land of Spira</v>
      </c>
      <c r="AH672" s="1" t="b">
        <f>IFERROR(__xludf.DUMMYFUNCTION("""COMPUTED_VALUE"""),FALSE)</f>
        <v>0</v>
      </c>
    </row>
    <row r="673">
      <c r="A673" s="1" t="str">
        <f>IFERROR(__xludf.DUMMYFUNCTION("""COMPUTED_VALUE"""),"Holy Symbol")</f>
        <v>Holy Symbol</v>
      </c>
      <c r="B673" s="1" t="str">
        <f>IFERROR(__xludf.DUMMYFUNCTION("""COMPUTED_VALUE"""),"Neck")</f>
        <v>Neck</v>
      </c>
      <c r="C673" s="1"/>
      <c r="D673" s="1"/>
      <c r="E673" s="1">
        <f>IFERROR(__xludf.DUMMYFUNCTION("""COMPUTED_VALUE"""),1.0)</f>
        <v>1</v>
      </c>
      <c r="F673" s="2">
        <f>IFERROR(__xludf.DUMMYFUNCTION("""COMPUTED_VALUE"""),0.0)</f>
        <v>0</v>
      </c>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t="str">
        <f>IFERROR(__xludf.DUMMYFUNCTION("""COMPUTED_VALUE"""),"++Holy Prescence - You can prevent 1 curse, disease, or possesion from affecting a party member once per battle/journey. +-(Priest Class Only)")</f>
        <v>++Holy Prescence - You can prevent 1 curse, disease, or possesion from affecting a party member once per battle/journey. +-(Priest Class Only)</v>
      </c>
      <c r="AG673" s="1" t="str">
        <f>IFERROR(__xludf.DUMMYFUNCTION("""COMPUTED_VALUE"""),"Land of Spira")</f>
        <v>Land of Spira</v>
      </c>
      <c r="AH673" s="1" t="b">
        <f>IFERROR(__xludf.DUMMYFUNCTION("""COMPUTED_VALUE"""),FALSE)</f>
        <v>0</v>
      </c>
    </row>
    <row r="674">
      <c r="A674" s="1" t="str">
        <f>IFERROR(__xludf.DUMMYFUNCTION("""COMPUTED_VALUE"""),"Mysterious Merchant's Scythe")</f>
        <v>Mysterious Merchant's Scythe</v>
      </c>
      <c r="B674" s="1" t="str">
        <f>IFERROR(__xludf.DUMMYFUNCTION("""COMPUTED_VALUE"""),"Hand")</f>
        <v>Hand</v>
      </c>
      <c r="C674" s="1" t="str">
        <f>IFERROR(__xludf.DUMMYFUNCTION("""COMPUTED_VALUE"""),"The scythe of the mysterious merchant himself imbued with a great power")</f>
        <v>The scythe of the mysterious merchant himself imbued with a great power</v>
      </c>
      <c r="D674" s="1" t="str">
        <f>IFERROR(__xludf.DUMMYFUNCTION("""COMPUTED_VALUE"""),"Scythe")</f>
        <v>Scythe</v>
      </c>
      <c r="E674" s="1">
        <f>IFERROR(__xludf.DUMMYFUNCTION("""COMPUTED_VALUE"""),1000.0)</f>
        <v>1000</v>
      </c>
      <c r="F674" s="2">
        <f>IFERROR(__xludf.DUMMYFUNCTION("""COMPUTED_VALUE"""),4.95E7)</f>
        <v>49500000</v>
      </c>
      <c r="G674" s="1" t="str">
        <f>IFERROR(__xludf.DUMMYFUNCTION("""COMPUTED_VALUE"""),"DMG")</f>
        <v>DMG</v>
      </c>
      <c r="H674" s="1"/>
      <c r="I674" s="1"/>
      <c r="J674" s="1"/>
      <c r="K674" s="1"/>
      <c r="L674" s="1"/>
      <c r="M674" s="1"/>
      <c r="N674" s="1"/>
      <c r="O674" s="1"/>
      <c r="P674" s="1">
        <f>IFERROR(__xludf.DUMMYFUNCTION("""COMPUTED_VALUE"""),50000.0)</f>
        <v>50000</v>
      </c>
      <c r="Q674" s="1"/>
      <c r="R674" s="1"/>
      <c r="S674" s="1"/>
      <c r="T674" s="1"/>
      <c r="U674" s="1"/>
      <c r="V674" s="1"/>
      <c r="W674" s="1"/>
      <c r="X674" s="1"/>
      <c r="Y674" s="1"/>
      <c r="Z674" s="1"/>
      <c r="AA674" s="1"/>
      <c r="AB674" s="1"/>
      <c r="AC674" s="1"/>
      <c r="AD674" s="1"/>
      <c r="AE674" s="1"/>
      <c r="AF674" s="1" t="str">
        <f>IFERROR(__xludf.DUMMYFUNCTION("""COMPUTED_VALUE"""),"++Burning Souls - This weapon can devour up to 100 souls to increase it's damage by X*1000 with X representing the souls imbued. When at maximum souls Imbued you can unleash an attack dealing 500,000 Spirit damage to all enemies but stunning you until the"&amp;" end of battle. +-(Reaper Class Only). ++(0/100 Souls imbued)")</f>
        <v>++Burning Souls - This weapon can devour up to 100 souls to increase it's damage by X*1000 with X representing the souls imbued. When at maximum souls Imbued you can unleash an attack dealing 500,000 Spirit damage to all enemies but stunning you until the end of battle. +-(Reaper Class Only). ++(0/100 Souls imbued)</v>
      </c>
      <c r="AG674" s="1" t="str">
        <f>IFERROR(__xludf.DUMMYFUNCTION("""COMPUTED_VALUE"""),"Land of Spira")</f>
        <v>Land of Spira</v>
      </c>
      <c r="AH674" s="1" t="b">
        <f>IFERROR(__xludf.DUMMYFUNCTION("""COMPUTED_VALUE"""),FALSE)</f>
        <v>0</v>
      </c>
    </row>
    <row r="675">
      <c r="A675" s="1" t="str">
        <f>IFERROR(__xludf.DUMMYFUNCTION("""COMPUTED_VALUE"""),"Cursed Saya")</f>
        <v>Cursed Saya</v>
      </c>
      <c r="B675" s="1" t="str">
        <f>IFERROR(__xludf.DUMMYFUNCTION("""COMPUTED_VALUE"""),"Legs")</f>
        <v>Legs</v>
      </c>
      <c r="C675" s="1" t="str">
        <f>IFERROR(__xludf.DUMMYFUNCTION("""COMPUTED_VALUE"""),"A saya unearthed in an ancient temple, those wearing this saya feel an unbeleivable surge of joy and power seeing their opponents in a weakend state.")</f>
        <v>A saya unearthed in an ancient temple, those wearing this saya feel an unbeleivable surge of joy and power seeing their opponents in a weakend state.</v>
      </c>
      <c r="D675" s="1"/>
      <c r="E675" s="1">
        <f>IFERROR(__xludf.DUMMYFUNCTION("""COMPUTED_VALUE"""),1.0)</f>
        <v>1</v>
      </c>
      <c r="F675" s="2">
        <f>IFERROR(__xludf.DUMMYFUNCTION("""COMPUTED_VALUE"""),0.0)</f>
        <v>0</v>
      </c>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t="str">
        <f>IFERROR(__xludf.DUMMYFUNCTION("""COMPUTED_VALUE"""),"++Debilitating Strike - When attacking an enemy with your weapon deal X2 damage for every negative effect inflicted on that enemy +-(Samurai Class Only)")</f>
        <v>++Debilitating Strike - When attacking an enemy with your weapon deal X2 damage for every negative effect inflicted on that enemy +-(Samurai Class Only)</v>
      </c>
      <c r="AG675" s="1" t="str">
        <f>IFERROR(__xludf.DUMMYFUNCTION("""COMPUTED_VALUE"""),"Land of Spira")</f>
        <v>Land of Spira</v>
      </c>
      <c r="AH675" s="1" t="b">
        <f>IFERROR(__xludf.DUMMYFUNCTION("""COMPUTED_VALUE"""),FALSE)</f>
        <v>0</v>
      </c>
    </row>
    <row r="676">
      <c r="A676" s="1" t="str">
        <f>IFERROR(__xludf.DUMMYFUNCTION("""COMPUTED_VALUE"""),"Shamanic Staff")</f>
        <v>Shamanic Staff</v>
      </c>
      <c r="B676" s="1" t="str">
        <f>IFERROR(__xludf.DUMMYFUNCTION("""COMPUTED_VALUE"""),"Hand")</f>
        <v>Hand</v>
      </c>
      <c r="C676" s="1" t="str">
        <f>IFERROR(__xludf.DUMMYFUNCTION("""COMPUTED_VALUE"""),"A long staff made with elder wood, the magic focus of this weapon is a piece of Hanged Man's Jasper, a rare gemstone with a high affinity for spirit magic.")</f>
        <v>A long staff made with elder wood, the magic focus of this weapon is a piece of Hanged Man's Jasper, a rare gemstone with a high affinity for spirit magic.</v>
      </c>
      <c r="D676" s="1" t="str">
        <f>IFERROR(__xludf.DUMMYFUNCTION("""COMPUTED_VALUE"""),"Staff")</f>
        <v>Staff</v>
      </c>
      <c r="E676" s="1">
        <f>IFERROR(__xludf.DUMMYFUNCTION("""COMPUTED_VALUE"""),1500.0)</f>
        <v>1500</v>
      </c>
      <c r="F676" s="2">
        <f>IFERROR(__xludf.DUMMYFUNCTION("""COMPUTED_VALUE"""),1.1175E8)</f>
        <v>111750000</v>
      </c>
      <c r="G676" s="1" t="str">
        <f>IFERROR(__xludf.DUMMYFUNCTION("""COMPUTED_VALUE"""),"DMG")</f>
        <v>DMG</v>
      </c>
      <c r="H676" s="1"/>
      <c r="I676" s="1">
        <f>IFERROR(__xludf.DUMMYFUNCTION("""COMPUTED_VALUE"""),25000.0)</f>
        <v>25000</v>
      </c>
      <c r="J676" s="1"/>
      <c r="K676" s="1"/>
      <c r="L676" s="1"/>
      <c r="M676" s="1"/>
      <c r="N676" s="1"/>
      <c r="O676" s="1"/>
      <c r="P676" s="1">
        <f>IFERROR(__xludf.DUMMYFUNCTION("""COMPUTED_VALUE"""),25000.0)</f>
        <v>25000</v>
      </c>
      <c r="Q676" s="1"/>
      <c r="R676" s="1"/>
      <c r="S676" s="1"/>
      <c r="T676" s="1"/>
      <c r="U676" s="1"/>
      <c r="V676" s="1"/>
      <c r="W676" s="1"/>
      <c r="X676" s="1">
        <f>IFERROR(__xludf.DUMMYFUNCTION("""COMPUTED_VALUE"""),25000.0)</f>
        <v>25000</v>
      </c>
      <c r="Y676" s="1"/>
      <c r="Z676" s="1"/>
      <c r="AA676" s="1"/>
      <c r="AB676" s="1"/>
      <c r="AC676" s="1"/>
      <c r="AD676" s="1"/>
      <c r="AE676" s="1"/>
      <c r="AF676" s="1" t="str">
        <f>IFERROR(__xludf.DUMMYFUNCTION("""COMPUTED_VALUE"""),"++In Tandem - When attacking any enemy that your spirit has previously targetted you gain a +5 to attack rolls against that enemy. Cost: 500 sp")</f>
        <v>++In Tandem - When attacking any enemy that your spirit has previously targetted you gain a +5 to attack rolls against that enemy. Cost: 500 sp</v>
      </c>
      <c r="AG676" s="1" t="str">
        <f>IFERROR(__xludf.DUMMYFUNCTION("""COMPUTED_VALUE"""),"Land of Spira")</f>
        <v>Land of Spira</v>
      </c>
      <c r="AH676" s="1" t="b">
        <f>IFERROR(__xludf.DUMMYFUNCTION("""COMPUTED_VALUE"""),FALSE)</f>
        <v>0</v>
      </c>
    </row>
    <row r="677">
      <c r="A677" s="1" t="str">
        <f>IFERROR(__xludf.DUMMYFUNCTION("""COMPUTED_VALUE"""),"Rune Necklace")</f>
        <v>Rune Necklace</v>
      </c>
      <c r="B677" s="1" t="str">
        <f>IFERROR(__xludf.DUMMYFUNCTION("""COMPUTED_VALUE"""),"Neck")</f>
        <v>Neck</v>
      </c>
      <c r="C677" s="1" t="str">
        <f>IFERROR(__xludf.DUMMYFUNCTION("""COMPUTED_VALUE"""),"A necklace given to Shaman's upon completeing their rite, to be a High shaman, the spirits recognize this as a sign of power and bow to those wearing this necklace.")</f>
        <v>A necklace given to Shaman's upon completeing their rite, to be a High shaman, the spirits recognize this as a sign of power and bow to those wearing this necklace.</v>
      </c>
      <c r="D677" s="1"/>
      <c r="E677" s="1">
        <f>IFERROR(__xludf.DUMMYFUNCTION("""COMPUTED_VALUE"""),1.0)</f>
        <v>1</v>
      </c>
      <c r="F677" s="2">
        <f>IFERROR(__xludf.DUMMYFUNCTION("""COMPUTED_VALUE"""),0.0)</f>
        <v>0</v>
      </c>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t="str">
        <f>IFERROR(__xludf.DUMMYFUNCTION("""COMPUTED_VALUE"""),"++Spirit's Friend - Any summoned Spirit gains +5 to all perks and X2 base stats +-(Shaman Class Only)")</f>
        <v>++Spirit's Friend - Any summoned Spirit gains +5 to all perks and X2 base stats +-(Shaman Class Only)</v>
      </c>
      <c r="AG677" s="1" t="str">
        <f>IFERROR(__xludf.DUMMYFUNCTION("""COMPUTED_VALUE"""),"Land of Spira")</f>
        <v>Land of Spira</v>
      </c>
      <c r="AH677" s="1" t="b">
        <f>IFERROR(__xludf.DUMMYFUNCTION("""COMPUTED_VALUE"""),FALSE)</f>
        <v>0</v>
      </c>
    </row>
    <row r="678">
      <c r="A678" s="1" t="str">
        <f>IFERROR(__xludf.DUMMYFUNCTION("""COMPUTED_VALUE"""),"Spell Sponge")</f>
        <v>Spell Sponge</v>
      </c>
      <c r="B678" s="1" t="str">
        <f>IFERROR(__xludf.DUMMYFUNCTION("""COMPUTED_VALUE"""),"Neck")</f>
        <v>Neck</v>
      </c>
      <c r="C678" s="1" t="str">
        <f>IFERROR(__xludf.DUMMYFUNCTION("""COMPUTED_VALUE"""),"A mushroom found rarely in an unknown cave within Spira it has high magic absorption powers and those with magical bloodlines can weild these to great effect to reverse their enemies back upon them.")</f>
        <v>A mushroom found rarely in an unknown cave within Spira it has high magic absorption powers and those with magical bloodlines can weild these to great effect to reverse their enemies back upon them.</v>
      </c>
      <c r="D678" s="1"/>
      <c r="E678" s="1">
        <f>IFERROR(__xludf.DUMMYFUNCTION("""COMPUTED_VALUE"""),1.0)</f>
        <v>1</v>
      </c>
      <c r="F678" s="2">
        <f>IFERROR(__xludf.DUMMYFUNCTION("""COMPUTED_VALUE"""),0.0)</f>
        <v>0</v>
      </c>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t="str">
        <f>IFERROR(__xludf.DUMMYFUNCTION("""COMPUTED_VALUE"""),"++Spell Sponge - If you are unaffected by a spell casted by an enemy you can choose to immediately cast the same spell back at them even if you don't have the spell equipped or don't know the spell +-(Mage, Wizard, and Sorcerer Class Only)")</f>
        <v>++Spell Sponge - If you are unaffected by a spell casted by an enemy you can choose to immediately cast the same spell back at them even if you don't have the spell equipped or don't know the spell +-(Mage, Wizard, and Sorcerer Class Only)</v>
      </c>
      <c r="AG678" s="1" t="str">
        <f>IFERROR(__xludf.DUMMYFUNCTION("""COMPUTED_VALUE"""),"Land of Spira")</f>
        <v>Land of Spira</v>
      </c>
      <c r="AH678" s="1" t="b">
        <f>IFERROR(__xludf.DUMMYFUNCTION("""COMPUTED_VALUE"""),FALSE)</f>
        <v>0</v>
      </c>
    </row>
    <row r="679">
      <c r="A679" s="1" t="str">
        <f>IFERROR(__xludf.DUMMYFUNCTION("""COMPUTED_VALUE"""),"Viking's Warpaint")</f>
        <v>Viking's Warpaint</v>
      </c>
      <c r="B679" s="1" t="str">
        <f>IFERROR(__xludf.DUMMYFUNCTION("""COMPUTED_VALUE"""),"Head")</f>
        <v>Head</v>
      </c>
      <c r="C679" s="1" t="str">
        <f>IFERROR(__xludf.DUMMYFUNCTION("""COMPUTED_VALUE"""),"A set of primitive paint imported from Knappadalr, for some reason these paints fill you with rage.")</f>
        <v>A set of primitive paint imported from Knappadalr, for some reason these paints fill you with rage.</v>
      </c>
      <c r="D679" s="1"/>
      <c r="E679" s="1">
        <f>IFERROR(__xludf.DUMMYFUNCTION("""COMPUTED_VALUE"""),1.0)</f>
        <v>1</v>
      </c>
      <c r="F679" s="2">
        <f>IFERROR(__xludf.DUMMYFUNCTION("""COMPUTED_VALUE"""),0.0)</f>
        <v>0</v>
      </c>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t="str">
        <f>IFERROR(__xludf.DUMMYFUNCTION("""COMPUTED_VALUE"""),"++Rage - When you either parry or are unaffected by a weapon attack your next attack deals X4 damage +-(Viking Class Only)")</f>
        <v>++Rage - When you either parry or are unaffected by a weapon attack your next attack deals X4 damage +-(Viking Class Only)</v>
      </c>
      <c r="AG679" s="1" t="str">
        <f>IFERROR(__xludf.DUMMYFUNCTION("""COMPUTED_VALUE"""),"Land of Spira")</f>
        <v>Land of Spira</v>
      </c>
      <c r="AH679" s="1" t="b">
        <f>IFERROR(__xludf.DUMMYFUNCTION("""COMPUTED_VALUE"""),FALSE)</f>
        <v>0</v>
      </c>
    </row>
    <row r="680">
      <c r="A680" s="1" t="str">
        <f>IFERROR(__xludf.DUMMYFUNCTION("""COMPUTED_VALUE"""),"Speed Shoes")</f>
        <v>Speed Shoes</v>
      </c>
      <c r="B680" s="1" t="str">
        <f>IFERROR(__xludf.DUMMYFUNCTION("""COMPUTED_VALUE"""),"Feet")</f>
        <v>Feet</v>
      </c>
      <c r="C680" s="1" t="str">
        <f>IFERROR(__xludf.DUMMYFUNCTION("""COMPUTED_VALUE"""),"A pair of red shoes that make you feel like dancing.")</f>
        <v>A pair of red shoes that make you feel like dancing.</v>
      </c>
      <c r="D680" s="1"/>
      <c r="E680" s="1">
        <f>IFERROR(__xludf.DUMMYFUNCTION("""COMPUTED_VALUE"""),1.0)</f>
        <v>1</v>
      </c>
      <c r="F680" s="2">
        <f>IFERROR(__xludf.DUMMYFUNCTION("""COMPUTED_VALUE"""),0.0)</f>
        <v>0</v>
      </c>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t="str">
        <f>IFERROR(__xludf.DUMMYFUNCTION("""COMPUTED_VALUE"""),"++Can't Touch This - When you successfully dodge an attack you can immediate attack with a weapon attack +-(Warrior Class Only)")</f>
        <v>++Can't Touch This - When you successfully dodge an attack you can immediate attack with a weapon attack +-(Warrior Class Only)</v>
      </c>
      <c r="AG680" s="1" t="str">
        <f>IFERROR(__xludf.DUMMYFUNCTION("""COMPUTED_VALUE"""),"Land of Spira")</f>
        <v>Land of Spira</v>
      </c>
      <c r="AH680" s="1" t="b">
        <f>IFERROR(__xludf.DUMMYFUNCTION("""COMPUTED_VALUE"""),FALSE)</f>
        <v>0</v>
      </c>
    </row>
    <row r="681">
      <c r="A681" s="1" t="str">
        <f>IFERROR(__xludf.DUMMYFUNCTION("""COMPUTED_VALUE"""),"Book of Hexes")</f>
        <v>Book of Hexes</v>
      </c>
      <c r="B681" s="1" t="str">
        <f>IFERROR(__xludf.DUMMYFUNCTION("""COMPUTED_VALUE"""),"Legs")</f>
        <v>Legs</v>
      </c>
      <c r="C681" s="1" t="str">
        <f>IFERROR(__xludf.DUMMYFUNCTION("""COMPUTED_VALUE"""),"The staple item for a witch.")</f>
        <v>The staple item for a witch.</v>
      </c>
      <c r="D681" s="1"/>
      <c r="E681" s="1">
        <f>IFERROR(__xludf.DUMMYFUNCTION("""COMPUTED_VALUE"""),1.0)</f>
        <v>1</v>
      </c>
      <c r="F681" s="2">
        <f>IFERROR(__xludf.DUMMYFUNCTION("""COMPUTED_VALUE"""),0.0)</f>
        <v>0</v>
      </c>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t="str">
        <f>IFERROR(__xludf.DUMMYFUNCTION("""COMPUTED_VALUE"""),"++Hex - Any enemy you inflict with a debuff takes X2 additional damage from the self and all allies. +-(Witch Class Only)")</f>
        <v>++Hex - Any enemy you inflict with a debuff takes X2 additional damage from the self and all allies. +-(Witch Class Only)</v>
      </c>
      <c r="AG681" s="1" t="str">
        <f>IFERROR(__xludf.DUMMYFUNCTION("""COMPUTED_VALUE"""),"Land of Spira")</f>
        <v>Land of Spira</v>
      </c>
      <c r="AH681" s="1" t="b">
        <f>IFERROR(__xludf.DUMMYFUNCTION("""COMPUTED_VALUE"""),FALSE)</f>
        <v>0</v>
      </c>
    </row>
    <row r="682">
      <c r="A682" s="1" t="str">
        <f>IFERROR(__xludf.DUMMYFUNCTION("""COMPUTED_VALUE"""),"Ring of Boring")</f>
        <v>Ring of Boring</v>
      </c>
      <c r="B682" s="1" t="str">
        <f>IFERROR(__xludf.DUMMYFUNCTION("""COMPUTED_VALUE"""),"Finger")</f>
        <v>Finger</v>
      </c>
      <c r="C682" s="1" t="str">
        <f>IFERROR(__xludf.DUMMYFUNCTION("""COMPUTED_VALUE"""),"The item for people who made a character but decided they were ""too good"" for it's abilities.")</f>
        <v>The item for people who made a character but decided they were "too good" for it's abilities.</v>
      </c>
      <c r="D682" s="1"/>
      <c r="E682" s="1">
        <f>IFERROR(__xludf.DUMMYFUNCTION("""COMPUTED_VALUE"""),1.0)</f>
        <v>1</v>
      </c>
      <c r="F682" s="2">
        <f>IFERROR(__xludf.DUMMYFUNCTION("""COMPUTED_VALUE"""),0.0)</f>
        <v>0</v>
      </c>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t="str">
        <f>IFERROR(__xludf.DUMMYFUNCTION("""COMPUTED_VALUE"""),"++Why are you so boring? - X2 additional damage.")</f>
        <v>++Why are you so boring? - X2 additional damage.</v>
      </c>
      <c r="AG682" s="1" t="str">
        <f>IFERROR(__xludf.DUMMYFUNCTION("""COMPUTED_VALUE"""),"Land of Spira")</f>
        <v>Land of Spira</v>
      </c>
      <c r="AH682" s="1" t="b">
        <f>IFERROR(__xludf.DUMMYFUNCTION("""COMPUTED_VALUE"""),FALSE)</f>
        <v>0</v>
      </c>
    </row>
    <row r="683">
      <c r="A683" s="1" t="str">
        <f>IFERROR(__xludf.DUMMYFUNCTION("""COMPUTED_VALUE"""),"Frozen Spearman's High-Low Dress")</f>
        <v>Frozen Spearman's High-Low Dress</v>
      </c>
      <c r="B683" s="1" t="str">
        <f>IFERROR(__xludf.DUMMYFUNCTION("""COMPUTED_VALUE"""),"Torso")</f>
        <v>Torso</v>
      </c>
      <c r="C683" s="1"/>
      <c r="D683" s="1"/>
      <c r="E683" s="1">
        <f>IFERROR(__xludf.DUMMYFUNCTION("""COMPUTED_VALUE"""),200.0)</f>
        <v>200</v>
      </c>
      <c r="F683" s="2">
        <f>IFERROR(__xludf.DUMMYFUNCTION("""COMPUTED_VALUE"""),1.99E8)</f>
        <v>199000000</v>
      </c>
      <c r="G683" s="1" t="str">
        <f>IFERROR(__xludf.DUMMYFUNCTION("""COMPUTED_VALUE"""),"DEF")</f>
        <v>DEF</v>
      </c>
      <c r="H683" s="1">
        <f>IFERROR(__xludf.DUMMYFUNCTION("""COMPUTED_VALUE"""),25000.0)</f>
        <v>25000</v>
      </c>
      <c r="I683" s="1"/>
      <c r="J683" s="1"/>
      <c r="K683" s="1"/>
      <c r="L683" s="1"/>
      <c r="M683" s="1">
        <f>IFERROR(__xludf.DUMMYFUNCTION("""COMPUTED_VALUE"""),25000.0)</f>
        <v>25000</v>
      </c>
      <c r="N683" s="1"/>
      <c r="O683" s="1"/>
      <c r="P683" s="1"/>
      <c r="Q683" s="1"/>
      <c r="R683" s="1"/>
      <c r="S683" s="1">
        <f>IFERROR(__xludf.DUMMYFUNCTION("""COMPUTED_VALUE"""),25000.0)</f>
        <v>25000</v>
      </c>
      <c r="T683" s="1"/>
      <c r="U683" s="1"/>
      <c r="V683" s="1"/>
      <c r="W683" s="1"/>
      <c r="X683" s="1"/>
      <c r="Y683" s="1"/>
      <c r="Z683" s="1"/>
      <c r="AA683" s="1"/>
      <c r="AB683" s="1"/>
      <c r="AC683" s="1">
        <f>IFERROR(__xludf.DUMMYFUNCTION("""COMPUTED_VALUE"""),25000.0)</f>
        <v>25000</v>
      </c>
      <c r="AD683" s="1"/>
      <c r="AE683" s="1"/>
      <c r="AF683" s="1" t="str">
        <f>IFERROR(__xludf.DUMMYFUNCTION("""COMPUTED_VALUE"""),"++Regal Authority - At the start of battle there's a 25% chance of recruiting one enemy to join you (100% if they are a player with a starting town in any tundra region) This counts as possession for the purposes of immunity")</f>
        <v>++Regal Authority - At the start of battle there's a 25% chance of recruiting one enemy to join you (100% if they are a player with a starting town in any tundra region) This counts as possession for the purposes of immunity</v>
      </c>
      <c r="AG683" s="1" t="str">
        <f>IFERROR(__xludf.DUMMYFUNCTION("""COMPUTED_VALUE"""),"Land of Spira")</f>
        <v>Land of Spira</v>
      </c>
      <c r="AH683" s="1" t="b">
        <f>IFERROR(__xludf.DUMMYFUNCTION("""COMPUTED_VALUE"""),FALSE)</f>
        <v>0</v>
      </c>
    </row>
    <row r="684">
      <c r="A684" s="1" t="str">
        <f>IFERROR(__xludf.DUMMYFUNCTION("""COMPUTED_VALUE"""),"Frozen Spearman's Jhodpur's")</f>
        <v>Frozen Spearman's Jhodpur's</v>
      </c>
      <c r="B684" s="1" t="str">
        <f>IFERROR(__xludf.DUMMYFUNCTION("""COMPUTED_VALUE"""),"Legs")</f>
        <v>Legs</v>
      </c>
      <c r="C684" s="1"/>
      <c r="D684" s="1"/>
      <c r="E684" s="1">
        <f>IFERROR(__xludf.DUMMYFUNCTION("""COMPUTED_VALUE"""),200.0)</f>
        <v>200</v>
      </c>
      <c r="F684" s="2">
        <f>IFERROR(__xludf.DUMMYFUNCTION("""COMPUTED_VALUE"""),1.99E8)</f>
        <v>199000000</v>
      </c>
      <c r="G684" s="1" t="str">
        <f>IFERROR(__xludf.DUMMYFUNCTION("""COMPUTED_VALUE"""),"DEF")</f>
        <v>DEF</v>
      </c>
      <c r="H684" s="1">
        <f>IFERROR(__xludf.DUMMYFUNCTION("""COMPUTED_VALUE"""),25000.0)</f>
        <v>25000</v>
      </c>
      <c r="I684" s="1"/>
      <c r="J684" s="1"/>
      <c r="K684" s="1"/>
      <c r="L684" s="1"/>
      <c r="M684" s="1">
        <f>IFERROR(__xludf.DUMMYFUNCTION("""COMPUTED_VALUE"""),25000.0)</f>
        <v>25000</v>
      </c>
      <c r="N684" s="1"/>
      <c r="O684" s="1"/>
      <c r="P684" s="1"/>
      <c r="Q684" s="1"/>
      <c r="R684" s="1"/>
      <c r="S684" s="1">
        <f>IFERROR(__xludf.DUMMYFUNCTION("""COMPUTED_VALUE"""),25000.0)</f>
        <v>25000</v>
      </c>
      <c r="T684" s="1"/>
      <c r="U684" s="1"/>
      <c r="V684" s="1"/>
      <c r="W684" s="1"/>
      <c r="X684" s="1"/>
      <c r="Y684" s="1"/>
      <c r="Z684" s="1"/>
      <c r="AA684" s="1"/>
      <c r="AB684" s="1"/>
      <c r="AC684" s="1">
        <f>IFERROR(__xludf.DUMMYFUNCTION("""COMPUTED_VALUE"""),25000.0)</f>
        <v>25000</v>
      </c>
      <c r="AD684" s="1"/>
      <c r="AE684" s="1"/>
      <c r="AF684" s="1" t="str">
        <f>IFERROR(__xludf.DUMMYFUNCTION("""COMPUTED_VALUE"""),"++Cavalry Charge - Summon a frosty steed to run down your enemies dealing 50,000 unavoidable Storm damage with a 15% chance of freeing all enemies - 500 sp")</f>
        <v>++Cavalry Charge - Summon a frosty steed to run down your enemies dealing 50,000 unavoidable Storm damage with a 15% chance of freeing all enemies - 500 sp</v>
      </c>
      <c r="AG684" s="1" t="str">
        <f>IFERROR(__xludf.DUMMYFUNCTION("""COMPUTED_VALUE"""),"Land of Spira")</f>
        <v>Land of Spira</v>
      </c>
      <c r="AH684" s="1" t="b">
        <f>IFERROR(__xludf.DUMMYFUNCTION("""COMPUTED_VALUE"""),FALSE)</f>
        <v>0</v>
      </c>
    </row>
    <row r="685">
      <c r="A685" s="1" t="str">
        <f>IFERROR(__xludf.DUMMYFUNCTION("""COMPUTED_VALUE"""),"Frozen Spearman's Fur Boots")</f>
        <v>Frozen Spearman's Fur Boots</v>
      </c>
      <c r="B685" s="1" t="str">
        <f>IFERROR(__xludf.DUMMYFUNCTION("""COMPUTED_VALUE"""),"Feet")</f>
        <v>Feet</v>
      </c>
      <c r="C685" s="1"/>
      <c r="D685" s="1"/>
      <c r="E685" s="1">
        <f>IFERROR(__xludf.DUMMYFUNCTION("""COMPUTED_VALUE"""),200.0)</f>
        <v>200</v>
      </c>
      <c r="F685" s="2">
        <f>IFERROR(__xludf.DUMMYFUNCTION("""COMPUTED_VALUE"""),1.99E8)</f>
        <v>199000000</v>
      </c>
      <c r="G685" s="1" t="str">
        <f>IFERROR(__xludf.DUMMYFUNCTION("""COMPUTED_VALUE"""),"DEF")</f>
        <v>DEF</v>
      </c>
      <c r="H685" s="1">
        <f>IFERROR(__xludf.DUMMYFUNCTION("""COMPUTED_VALUE"""),25000.0)</f>
        <v>25000</v>
      </c>
      <c r="I685" s="1"/>
      <c r="J685" s="1"/>
      <c r="K685" s="1"/>
      <c r="L685" s="1"/>
      <c r="M685" s="1">
        <f>IFERROR(__xludf.DUMMYFUNCTION("""COMPUTED_VALUE"""),25000.0)</f>
        <v>25000</v>
      </c>
      <c r="N685" s="1"/>
      <c r="O685" s="1"/>
      <c r="P685" s="1"/>
      <c r="Q685" s="1"/>
      <c r="R685" s="1"/>
      <c r="S685" s="1">
        <f>IFERROR(__xludf.DUMMYFUNCTION("""COMPUTED_VALUE"""),25000.0)</f>
        <v>25000</v>
      </c>
      <c r="T685" s="1"/>
      <c r="U685" s="1"/>
      <c r="V685" s="1"/>
      <c r="W685" s="1"/>
      <c r="X685" s="1"/>
      <c r="Y685" s="1"/>
      <c r="Z685" s="1"/>
      <c r="AA685" s="1"/>
      <c r="AB685" s="1"/>
      <c r="AC685" s="1">
        <f>IFERROR(__xludf.DUMMYFUNCTION("""COMPUTED_VALUE"""),25000.0)</f>
        <v>25000</v>
      </c>
      <c r="AD685" s="1"/>
      <c r="AE685" s="1"/>
      <c r="AF685" s="1" t="str">
        <f>IFERROR(__xludf.DUMMYFUNCTION("""COMPUTED_VALUE"""),"++Frosty Footwork - Upon successfully hitting an enemy you can make a second attack")</f>
        <v>++Frosty Footwork - Upon successfully hitting an enemy you can make a second attack</v>
      </c>
      <c r="AG685" s="1" t="str">
        <f>IFERROR(__xludf.DUMMYFUNCTION("""COMPUTED_VALUE"""),"Land of Spira")</f>
        <v>Land of Spira</v>
      </c>
      <c r="AH685" s="1" t="b">
        <f>IFERROR(__xludf.DUMMYFUNCTION("""COMPUTED_VALUE"""),FALSE)</f>
        <v>0</v>
      </c>
    </row>
    <row r="686">
      <c r="A686" s="1" t="str">
        <f>IFERROR(__xludf.DUMMYFUNCTION("""COMPUTED_VALUE"""),"Frozen Spearman's Bracers")</f>
        <v>Frozen Spearman's Bracers</v>
      </c>
      <c r="B686" s="1" t="str">
        <f>IFERROR(__xludf.DUMMYFUNCTION("""COMPUTED_VALUE"""),"Arms")</f>
        <v>Arms</v>
      </c>
      <c r="C686" s="1"/>
      <c r="D686" s="1"/>
      <c r="E686" s="1">
        <f>IFERROR(__xludf.DUMMYFUNCTION("""COMPUTED_VALUE"""),200.0)</f>
        <v>200</v>
      </c>
      <c r="F686" s="2">
        <f>IFERROR(__xludf.DUMMYFUNCTION("""COMPUTED_VALUE"""),1.99E8)</f>
        <v>199000000</v>
      </c>
      <c r="G686" s="1" t="str">
        <f>IFERROR(__xludf.DUMMYFUNCTION("""COMPUTED_VALUE"""),"DEF")</f>
        <v>DEF</v>
      </c>
      <c r="H686" s="1">
        <f>IFERROR(__xludf.DUMMYFUNCTION("""COMPUTED_VALUE"""),25000.0)</f>
        <v>25000</v>
      </c>
      <c r="I686" s="1"/>
      <c r="J686" s="1"/>
      <c r="K686" s="1"/>
      <c r="L686" s="1"/>
      <c r="M686" s="1">
        <f>IFERROR(__xludf.DUMMYFUNCTION("""COMPUTED_VALUE"""),25000.0)</f>
        <v>25000</v>
      </c>
      <c r="N686" s="1"/>
      <c r="O686" s="1"/>
      <c r="P686" s="1"/>
      <c r="Q686" s="1"/>
      <c r="R686" s="1"/>
      <c r="S686" s="1">
        <f>IFERROR(__xludf.DUMMYFUNCTION("""COMPUTED_VALUE"""),25000.0)</f>
        <v>25000</v>
      </c>
      <c r="T686" s="1"/>
      <c r="U686" s="1"/>
      <c r="V686" s="1"/>
      <c r="W686" s="1"/>
      <c r="X686" s="1"/>
      <c r="Y686" s="1"/>
      <c r="Z686" s="1"/>
      <c r="AA686" s="1"/>
      <c r="AB686" s="1"/>
      <c r="AC686" s="1">
        <f>IFERROR(__xludf.DUMMYFUNCTION("""COMPUTED_VALUE"""),25000.0)</f>
        <v>25000</v>
      </c>
      <c r="AD686" s="1"/>
      <c r="AE686" s="1"/>
      <c r="AF686" s="1" t="str">
        <f>IFERROR(__xludf.DUMMYFUNCTION("""COMPUTED_VALUE"""),"++Queen's Counter - Upon successfully evading an attack you can Immediately attack the person who attacked you.")</f>
        <v>++Queen's Counter - Upon successfully evading an attack you can Immediately attack the person who attacked you.</v>
      </c>
      <c r="AG686" s="1" t="str">
        <f>IFERROR(__xludf.DUMMYFUNCTION("""COMPUTED_VALUE"""),"Land of Spira")</f>
        <v>Land of Spira</v>
      </c>
      <c r="AH686" s="1" t="b">
        <f>IFERROR(__xludf.DUMMYFUNCTION("""COMPUTED_VALUE"""),FALSE)</f>
        <v>0</v>
      </c>
    </row>
    <row r="687">
      <c r="A687" s="1" t="str">
        <f>IFERROR(__xludf.DUMMYFUNCTION("""COMPUTED_VALUE"""),"Frozen Spearman's Fur Cloak")</f>
        <v>Frozen Spearman's Fur Cloak</v>
      </c>
      <c r="B687" s="1" t="str">
        <f>IFERROR(__xludf.DUMMYFUNCTION("""COMPUTED_VALUE"""),"Pauldrons")</f>
        <v>Pauldrons</v>
      </c>
      <c r="C687" s="1"/>
      <c r="D687" s="1"/>
      <c r="E687" s="1">
        <f>IFERROR(__xludf.DUMMYFUNCTION("""COMPUTED_VALUE"""),200.0)</f>
        <v>200</v>
      </c>
      <c r="F687" s="2">
        <f>IFERROR(__xludf.DUMMYFUNCTION("""COMPUTED_VALUE"""),1.99E8)</f>
        <v>199000000</v>
      </c>
      <c r="G687" s="1" t="str">
        <f>IFERROR(__xludf.DUMMYFUNCTION("""COMPUTED_VALUE"""),"DEF")</f>
        <v>DEF</v>
      </c>
      <c r="H687" s="1">
        <f>IFERROR(__xludf.DUMMYFUNCTION("""COMPUTED_VALUE"""),25000.0)</f>
        <v>25000</v>
      </c>
      <c r="I687" s="1"/>
      <c r="J687" s="1"/>
      <c r="K687" s="1"/>
      <c r="L687" s="1"/>
      <c r="M687" s="1">
        <f>IFERROR(__xludf.DUMMYFUNCTION("""COMPUTED_VALUE"""),25000.0)</f>
        <v>25000</v>
      </c>
      <c r="N687" s="1"/>
      <c r="O687" s="1"/>
      <c r="P687" s="1"/>
      <c r="Q687" s="1"/>
      <c r="R687" s="1"/>
      <c r="S687" s="1">
        <f>IFERROR(__xludf.DUMMYFUNCTION("""COMPUTED_VALUE"""),25000.0)</f>
        <v>25000</v>
      </c>
      <c r="T687" s="1"/>
      <c r="U687" s="1"/>
      <c r="V687" s="1"/>
      <c r="W687" s="1"/>
      <c r="X687" s="1"/>
      <c r="Y687" s="1"/>
      <c r="Z687" s="1"/>
      <c r="AA687" s="1"/>
      <c r="AB687" s="1"/>
      <c r="AC687" s="1">
        <f>IFERROR(__xludf.DUMMYFUNCTION("""COMPUTED_VALUE"""),25000.0)</f>
        <v>25000</v>
      </c>
      <c r="AD687" s="1"/>
      <c r="AE687" s="1"/>
      <c r="AF687" s="1" t="str">
        <f>IFERROR(__xludf.DUMMYFUNCTION("""COMPUTED_VALUE"""),"++A Land of Ice and Snow - X4 Storm and Water damage")</f>
        <v>++A Land of Ice and Snow - X4 Storm and Water damage</v>
      </c>
      <c r="AG687" s="1" t="str">
        <f>IFERROR(__xludf.DUMMYFUNCTION("""COMPUTED_VALUE"""),"Land of Spira")</f>
        <v>Land of Spira</v>
      </c>
      <c r="AH687" s="1" t="b">
        <f>IFERROR(__xludf.DUMMYFUNCTION("""COMPUTED_VALUE"""),FALSE)</f>
        <v>0</v>
      </c>
    </row>
    <row r="688">
      <c r="A688" s="1" t="str">
        <f>IFERROR(__xludf.DUMMYFUNCTION("""COMPUTED_VALUE"""),"Frost Mage's Cloak")</f>
        <v>Frost Mage's Cloak</v>
      </c>
      <c r="B688" s="1" t="str">
        <f>IFERROR(__xludf.DUMMYFUNCTION("""COMPUTED_VALUE"""),"Torso")</f>
        <v>Torso</v>
      </c>
      <c r="C688" s="1"/>
      <c r="D688" s="1"/>
      <c r="E688" s="1">
        <f>IFERROR(__xludf.DUMMYFUNCTION("""COMPUTED_VALUE"""),200.0)</f>
        <v>200</v>
      </c>
      <c r="F688" s="2">
        <f>IFERROR(__xludf.DUMMYFUNCTION("""COMPUTED_VALUE"""),4350000.0)</f>
        <v>4350000</v>
      </c>
      <c r="G688" s="1" t="str">
        <f>IFERROR(__xludf.DUMMYFUNCTION("""COMPUTED_VALUE"""),"DEF")</f>
        <v>DEF</v>
      </c>
      <c r="H688" s="1"/>
      <c r="I688" s="1"/>
      <c r="J688" s="1"/>
      <c r="K688" s="1">
        <f>IFERROR(__xludf.DUMMYFUNCTION("""COMPUTED_VALUE"""),5000.0)</f>
        <v>5000</v>
      </c>
      <c r="L688" s="1">
        <f>IFERROR(__xludf.DUMMYFUNCTION("""COMPUTED_VALUE"""),5000.0)</f>
        <v>5000</v>
      </c>
      <c r="M688" s="1"/>
      <c r="N688" s="1"/>
      <c r="O688" s="1"/>
      <c r="P688" s="1"/>
      <c r="Q688" s="1"/>
      <c r="R688" s="1"/>
      <c r="S688" s="1"/>
      <c r="T688" s="1"/>
      <c r="U688" s="1"/>
      <c r="V688" s="1"/>
      <c r="W688" s="1"/>
      <c r="X688" s="1"/>
      <c r="Y688" s="1"/>
      <c r="Z688" s="1"/>
      <c r="AA688" s="1"/>
      <c r="AB688" s="1"/>
      <c r="AC688" s="1">
        <f>IFERROR(__xludf.DUMMYFUNCTION("""COMPUTED_VALUE"""),5000.0)</f>
        <v>5000</v>
      </c>
      <c r="AD688" s="1"/>
      <c r="AE688" s="1"/>
      <c r="AF688" s="1" t="str">
        <f>IFERROR(__xludf.DUMMYFUNCTION("""COMPUTED_VALUE"""),"++500HP, ++500SP, ++X4 Water and Storm Damage, ++Immunity to Freezing, +-Cannot be Duplicated.")</f>
        <v>++500HP, ++500SP, ++X4 Water and Storm Damage, ++Immunity to Freezing, +-Cannot be Duplicated.</v>
      </c>
      <c r="AG688" s="1" t="str">
        <f>IFERROR(__xludf.DUMMYFUNCTION("""COMPUTED_VALUE"""),"Land of Spira")</f>
        <v>Land of Spira</v>
      </c>
      <c r="AH688" s="1" t="b">
        <f>IFERROR(__xludf.DUMMYFUNCTION("""COMPUTED_VALUE"""),FALSE)</f>
        <v>0</v>
      </c>
    </row>
    <row r="689">
      <c r="A689" s="1" t="str">
        <f>IFERROR(__xludf.DUMMYFUNCTION("""COMPUTED_VALUE"""),"Frost Mage's Boots")</f>
        <v>Frost Mage's Boots</v>
      </c>
      <c r="B689" s="1" t="str">
        <f>IFERROR(__xludf.DUMMYFUNCTION("""COMPUTED_VALUE"""),"Feet")</f>
        <v>Feet</v>
      </c>
      <c r="C689" s="1"/>
      <c r="D689" s="1"/>
      <c r="E689" s="1">
        <f>IFERROR(__xludf.DUMMYFUNCTION("""COMPUTED_VALUE"""),200.0)</f>
        <v>200</v>
      </c>
      <c r="F689" s="2">
        <f>IFERROR(__xludf.DUMMYFUNCTION("""COMPUTED_VALUE"""),4350000.0)</f>
        <v>4350000</v>
      </c>
      <c r="G689" s="1" t="str">
        <f>IFERROR(__xludf.DUMMYFUNCTION("""COMPUTED_VALUE"""),"DEF")</f>
        <v>DEF</v>
      </c>
      <c r="H689" s="1"/>
      <c r="I689" s="1"/>
      <c r="J689" s="1"/>
      <c r="K689" s="1">
        <f>IFERROR(__xludf.DUMMYFUNCTION("""COMPUTED_VALUE"""),5000.0)</f>
        <v>5000</v>
      </c>
      <c r="L689" s="1">
        <f>IFERROR(__xludf.DUMMYFUNCTION("""COMPUTED_VALUE"""),5000.0)</f>
        <v>5000</v>
      </c>
      <c r="M689" s="1"/>
      <c r="N689" s="1"/>
      <c r="O689" s="1"/>
      <c r="P689" s="1"/>
      <c r="Q689" s="1"/>
      <c r="R689" s="1"/>
      <c r="S689" s="1"/>
      <c r="T689" s="1"/>
      <c r="U689" s="1"/>
      <c r="V689" s="1"/>
      <c r="W689" s="1"/>
      <c r="X689" s="1"/>
      <c r="Y689" s="1"/>
      <c r="Z689" s="1"/>
      <c r="AA689" s="1"/>
      <c r="AB689" s="1"/>
      <c r="AC689" s="1">
        <f>IFERROR(__xludf.DUMMYFUNCTION("""COMPUTED_VALUE"""),5000.0)</f>
        <v>5000</v>
      </c>
      <c r="AD689" s="1"/>
      <c r="AE689" s="1"/>
      <c r="AF689" s="1" t="str">
        <f>IFERROR(__xludf.DUMMYFUNCTION("""COMPUTED_VALUE"""),"++500HP, ++500SP, ++X4 Water and Storm Damage, ++Immunity to Freezing, +-Cannot be Duplicated.")</f>
        <v>++500HP, ++500SP, ++X4 Water and Storm Damage, ++Immunity to Freezing, +-Cannot be Duplicated.</v>
      </c>
      <c r="AG689" s="1" t="str">
        <f>IFERROR(__xludf.DUMMYFUNCTION("""COMPUTED_VALUE"""),"Land of Spira")</f>
        <v>Land of Spira</v>
      </c>
      <c r="AH689" s="1" t="b">
        <f>IFERROR(__xludf.DUMMYFUNCTION("""COMPUTED_VALUE"""),FALSE)</f>
        <v>0</v>
      </c>
    </row>
    <row r="690">
      <c r="A690" s="1" t="str">
        <f>IFERROR(__xludf.DUMMYFUNCTION("""COMPUTED_VALUE"""),"Frost Mage's Hood")</f>
        <v>Frost Mage's Hood</v>
      </c>
      <c r="B690" s="1" t="str">
        <f>IFERROR(__xludf.DUMMYFUNCTION("""COMPUTED_VALUE"""),"Head")</f>
        <v>Head</v>
      </c>
      <c r="C690" s="1"/>
      <c r="D690" s="1"/>
      <c r="E690" s="1">
        <f>IFERROR(__xludf.DUMMYFUNCTION("""COMPUTED_VALUE"""),200.0)</f>
        <v>200</v>
      </c>
      <c r="F690" s="2">
        <f>IFERROR(__xludf.DUMMYFUNCTION("""COMPUTED_VALUE"""),4350000.0)</f>
        <v>4350000</v>
      </c>
      <c r="G690" s="1" t="str">
        <f>IFERROR(__xludf.DUMMYFUNCTION("""COMPUTED_VALUE"""),"DEF")</f>
        <v>DEF</v>
      </c>
      <c r="H690" s="1"/>
      <c r="I690" s="1"/>
      <c r="J690" s="1"/>
      <c r="K690" s="1">
        <f>IFERROR(__xludf.DUMMYFUNCTION("""COMPUTED_VALUE"""),5000.0)</f>
        <v>5000</v>
      </c>
      <c r="L690" s="1">
        <f>IFERROR(__xludf.DUMMYFUNCTION("""COMPUTED_VALUE"""),5000.0)</f>
        <v>5000</v>
      </c>
      <c r="M690" s="1"/>
      <c r="N690" s="1"/>
      <c r="O690" s="1"/>
      <c r="P690" s="1"/>
      <c r="Q690" s="1"/>
      <c r="R690" s="1"/>
      <c r="S690" s="1"/>
      <c r="T690" s="1"/>
      <c r="U690" s="1"/>
      <c r="V690" s="1"/>
      <c r="W690" s="1"/>
      <c r="X690" s="1"/>
      <c r="Y690" s="1"/>
      <c r="Z690" s="1"/>
      <c r="AA690" s="1"/>
      <c r="AB690" s="1"/>
      <c r="AC690" s="1">
        <f>IFERROR(__xludf.DUMMYFUNCTION("""COMPUTED_VALUE"""),5000.0)</f>
        <v>5000</v>
      </c>
      <c r="AD690" s="1"/>
      <c r="AE690" s="1"/>
      <c r="AF690" s="1" t="str">
        <f>IFERROR(__xludf.DUMMYFUNCTION("""COMPUTED_VALUE"""),"++500HP, ++500SP, ++X4 Water and Storm Damage, ++Immunity to Freezing, +-Cannot be Duplicated.")</f>
        <v>++500HP, ++500SP, ++X4 Water and Storm Damage, ++Immunity to Freezing, +-Cannot be Duplicated.</v>
      </c>
      <c r="AG690" s="1" t="str">
        <f>IFERROR(__xludf.DUMMYFUNCTION("""COMPUTED_VALUE"""),"Land of Spira")</f>
        <v>Land of Spira</v>
      </c>
      <c r="AH690" s="1" t="b">
        <f>IFERROR(__xludf.DUMMYFUNCTION("""COMPUTED_VALUE"""),FALSE)</f>
        <v>0</v>
      </c>
    </row>
    <row r="691">
      <c r="A691" s="1" t="str">
        <f>IFERROR(__xludf.DUMMYFUNCTION("""COMPUTED_VALUE"""),"Crown of Frozen Swords")</f>
        <v>Crown of Frozen Swords</v>
      </c>
      <c r="B691" s="1" t="str">
        <f>IFERROR(__xludf.DUMMYFUNCTION("""COMPUTED_VALUE"""),"Head")</f>
        <v>Head</v>
      </c>
      <c r="C691" s="1"/>
      <c r="D691" s="1"/>
      <c r="E691" s="1">
        <f>IFERROR(__xludf.DUMMYFUNCTION("""COMPUTED_VALUE"""),200.0)</f>
        <v>200</v>
      </c>
      <c r="F691" s="2">
        <f>IFERROR(__xludf.DUMMYFUNCTION("""COMPUTED_VALUE"""),7.98E8)</f>
        <v>798000000</v>
      </c>
      <c r="G691" s="1" t="str">
        <f>IFERROR(__xludf.DUMMYFUNCTION("""COMPUTED_VALUE"""),"DEF")</f>
        <v>DEF</v>
      </c>
      <c r="H691" s="1">
        <f>IFERROR(__xludf.DUMMYFUNCTION("""COMPUTED_VALUE"""),50000.0)</f>
        <v>50000</v>
      </c>
      <c r="I691" s="1"/>
      <c r="J691" s="1"/>
      <c r="K691" s="1"/>
      <c r="L691" s="1"/>
      <c r="M691" s="1">
        <f>IFERROR(__xludf.DUMMYFUNCTION("""COMPUTED_VALUE"""),50000.0)</f>
        <v>50000</v>
      </c>
      <c r="N691" s="1"/>
      <c r="O691" s="1"/>
      <c r="P691" s="1"/>
      <c r="Q691" s="1"/>
      <c r="R691" s="1"/>
      <c r="S691" s="1">
        <f>IFERROR(__xludf.DUMMYFUNCTION("""COMPUTED_VALUE"""),50000.0)</f>
        <v>50000</v>
      </c>
      <c r="T691" s="1"/>
      <c r="U691" s="1"/>
      <c r="V691" s="1"/>
      <c r="W691" s="1"/>
      <c r="X691" s="1"/>
      <c r="Y691" s="1"/>
      <c r="Z691" s="1"/>
      <c r="AA691" s="1"/>
      <c r="AB691" s="1"/>
      <c r="AC691" s="1">
        <f>IFERROR(__xludf.DUMMYFUNCTION("""COMPUTED_VALUE"""),50000.0)</f>
        <v>50000</v>
      </c>
      <c r="AD691" s="1"/>
      <c r="AE691" s="1"/>
      <c r="AF691" s="1" t="str">
        <f>IFERROR(__xludf.DUMMYFUNCTION("""COMPUTED_VALUE"""),"++King of The Frozen Wastes - X2 Storm damage ++15% chance to hit all enemies with a weapon attack")</f>
        <v>++King of The Frozen Wastes - X2 Storm damage ++15% chance to hit all enemies with a weapon attack</v>
      </c>
      <c r="AG691" s="1" t="str">
        <f>IFERROR(__xludf.DUMMYFUNCTION("""COMPUTED_VALUE"""),"Land of Spira")</f>
        <v>Land of Spira</v>
      </c>
      <c r="AH691" s="1" t="b">
        <f>IFERROR(__xludf.DUMMYFUNCTION("""COMPUTED_VALUE"""),FALSE)</f>
        <v>0</v>
      </c>
    </row>
    <row r="692">
      <c r="A692" s="1" t="str">
        <f>IFERROR(__xludf.DUMMYFUNCTION("""COMPUTED_VALUE"""),"Frost-bitten Cape")</f>
        <v>Frost-bitten Cape</v>
      </c>
      <c r="B692" s="1" t="str">
        <f>IFERROR(__xludf.DUMMYFUNCTION("""COMPUTED_VALUE"""),"Shoulders")</f>
        <v>Shoulders</v>
      </c>
      <c r="C692" s="1"/>
      <c r="D692" s="1"/>
      <c r="E692" s="1">
        <f>IFERROR(__xludf.DUMMYFUNCTION("""COMPUTED_VALUE"""),200.0)</f>
        <v>200</v>
      </c>
      <c r="F692" s="2">
        <f>IFERROR(__xludf.DUMMYFUNCTION("""COMPUTED_VALUE"""),7.98E8)</f>
        <v>798000000</v>
      </c>
      <c r="G692" s="1" t="str">
        <f>IFERROR(__xludf.DUMMYFUNCTION("""COMPUTED_VALUE"""),"DEF")</f>
        <v>DEF</v>
      </c>
      <c r="H692" s="1">
        <f>IFERROR(__xludf.DUMMYFUNCTION("""COMPUTED_VALUE"""),50000.0)</f>
        <v>50000</v>
      </c>
      <c r="I692" s="1"/>
      <c r="J692" s="1"/>
      <c r="K692" s="1"/>
      <c r="L692" s="1"/>
      <c r="M692" s="1">
        <f>IFERROR(__xludf.DUMMYFUNCTION("""COMPUTED_VALUE"""),50000.0)</f>
        <v>50000</v>
      </c>
      <c r="N692" s="1"/>
      <c r="O692" s="1"/>
      <c r="P692" s="1"/>
      <c r="Q692" s="1"/>
      <c r="R692" s="1"/>
      <c r="S692" s="1">
        <f>IFERROR(__xludf.DUMMYFUNCTION("""COMPUTED_VALUE"""),50000.0)</f>
        <v>50000</v>
      </c>
      <c r="T692" s="1"/>
      <c r="U692" s="1"/>
      <c r="V692" s="1"/>
      <c r="W692" s="1"/>
      <c r="X692" s="1"/>
      <c r="Y692" s="1"/>
      <c r="Z692" s="1"/>
      <c r="AA692" s="1"/>
      <c r="AB692" s="1"/>
      <c r="AC692" s="1">
        <f>IFERROR(__xludf.DUMMYFUNCTION("""COMPUTED_VALUE"""),50000.0)</f>
        <v>50000</v>
      </c>
      <c r="AD692" s="1"/>
      <c r="AE692" s="1"/>
      <c r="AF692" s="1" t="str">
        <f>IFERROR(__xludf.DUMMYFUNCTION("""COMPUTED_VALUE"""),"++Frostbite - Enemies hit with a weapon attack take 5000 Storm damage per round for 3 rounds")</f>
        <v>++Frostbite - Enemies hit with a weapon attack take 5000 Storm damage per round for 3 rounds</v>
      </c>
      <c r="AG692" s="1" t="str">
        <f>IFERROR(__xludf.DUMMYFUNCTION("""COMPUTED_VALUE"""),"Land of Spira")</f>
        <v>Land of Spira</v>
      </c>
      <c r="AH692" s="1" t="b">
        <f>IFERROR(__xludf.DUMMYFUNCTION("""COMPUTED_VALUE"""),FALSE)</f>
        <v>0</v>
      </c>
    </row>
    <row r="693">
      <c r="A693" s="1" t="str">
        <f>IFERROR(__xludf.DUMMYFUNCTION("""COMPUTED_VALUE"""),"Ice-steel Pauldrons")</f>
        <v>Ice-steel Pauldrons</v>
      </c>
      <c r="B693" s="1" t="str">
        <f>IFERROR(__xludf.DUMMYFUNCTION("""COMPUTED_VALUE"""),"Shoulders")</f>
        <v>Shoulders</v>
      </c>
      <c r="C693" s="1"/>
      <c r="D693" s="1"/>
      <c r="E693" s="1">
        <f>IFERROR(__xludf.DUMMYFUNCTION("""COMPUTED_VALUE"""),200.0)</f>
        <v>200</v>
      </c>
      <c r="F693" s="2">
        <f>IFERROR(__xludf.DUMMYFUNCTION("""COMPUTED_VALUE"""),7.98E8)</f>
        <v>798000000</v>
      </c>
      <c r="G693" s="1" t="str">
        <f>IFERROR(__xludf.DUMMYFUNCTION("""COMPUTED_VALUE"""),"DEF")</f>
        <v>DEF</v>
      </c>
      <c r="H693" s="1">
        <f>IFERROR(__xludf.DUMMYFUNCTION("""COMPUTED_VALUE"""),50000.0)</f>
        <v>50000</v>
      </c>
      <c r="I693" s="1"/>
      <c r="J693" s="1"/>
      <c r="K693" s="1"/>
      <c r="L693" s="1"/>
      <c r="M693" s="1">
        <f>IFERROR(__xludf.DUMMYFUNCTION("""COMPUTED_VALUE"""),50000.0)</f>
        <v>50000</v>
      </c>
      <c r="N693" s="1"/>
      <c r="O693" s="1"/>
      <c r="P693" s="1"/>
      <c r="Q693" s="1"/>
      <c r="R693" s="1"/>
      <c r="S693" s="1">
        <f>IFERROR(__xludf.DUMMYFUNCTION("""COMPUTED_VALUE"""),50000.0)</f>
        <v>50000</v>
      </c>
      <c r="T693" s="1"/>
      <c r="U693" s="1"/>
      <c r="V693" s="1"/>
      <c r="W693" s="1"/>
      <c r="X693" s="1"/>
      <c r="Y693" s="1"/>
      <c r="Z693" s="1"/>
      <c r="AA693" s="1"/>
      <c r="AB693" s="1"/>
      <c r="AC693" s="1">
        <f>IFERROR(__xludf.DUMMYFUNCTION("""COMPUTED_VALUE"""),50000.0)</f>
        <v>50000</v>
      </c>
      <c r="AD693" s="1"/>
      <c r="AE693" s="1"/>
      <c r="AF693" s="1" t="str">
        <f>IFERROR(__xludf.DUMMYFUNCTION("""COMPUTED_VALUE"""),"++Cold Shoulder - Immunity to freeze")</f>
        <v>++Cold Shoulder - Immunity to freeze</v>
      </c>
      <c r="AG693" s="1" t="str">
        <f>IFERROR(__xludf.DUMMYFUNCTION("""COMPUTED_VALUE"""),"Land of Spira")</f>
        <v>Land of Spira</v>
      </c>
      <c r="AH693" s="1" t="b">
        <f>IFERROR(__xludf.DUMMYFUNCTION("""COMPUTED_VALUE"""),FALSE)</f>
        <v>0</v>
      </c>
    </row>
    <row r="694">
      <c r="A694" s="1" t="str">
        <f>IFERROR(__xludf.DUMMYFUNCTION("""COMPUTED_VALUE"""),"Ice-steel Bracers")</f>
        <v>Ice-steel Bracers</v>
      </c>
      <c r="B694" s="1" t="str">
        <f>IFERROR(__xludf.DUMMYFUNCTION("""COMPUTED_VALUE"""),"Arms")</f>
        <v>Arms</v>
      </c>
      <c r="C694" s="1"/>
      <c r="D694" s="1"/>
      <c r="E694" s="1">
        <f>IFERROR(__xludf.DUMMYFUNCTION("""COMPUTED_VALUE"""),200.0)</f>
        <v>200</v>
      </c>
      <c r="F694" s="2">
        <f>IFERROR(__xludf.DUMMYFUNCTION("""COMPUTED_VALUE"""),7.98E8)</f>
        <v>798000000</v>
      </c>
      <c r="G694" s="1" t="str">
        <f>IFERROR(__xludf.DUMMYFUNCTION("""COMPUTED_VALUE"""),"DEF")</f>
        <v>DEF</v>
      </c>
      <c r="H694" s="1">
        <f>IFERROR(__xludf.DUMMYFUNCTION("""COMPUTED_VALUE"""),50000.0)</f>
        <v>50000</v>
      </c>
      <c r="I694" s="1"/>
      <c r="J694" s="1"/>
      <c r="K694" s="1"/>
      <c r="L694" s="1"/>
      <c r="M694" s="1">
        <f>IFERROR(__xludf.DUMMYFUNCTION("""COMPUTED_VALUE"""),50000.0)</f>
        <v>50000</v>
      </c>
      <c r="N694" s="1"/>
      <c r="O694" s="1"/>
      <c r="P694" s="1"/>
      <c r="Q694" s="1"/>
      <c r="R694" s="1"/>
      <c r="S694" s="1">
        <f>IFERROR(__xludf.DUMMYFUNCTION("""COMPUTED_VALUE"""),50000.0)</f>
        <v>50000</v>
      </c>
      <c r="T694" s="1"/>
      <c r="U694" s="1"/>
      <c r="V694" s="1"/>
      <c r="W694" s="1"/>
      <c r="X694" s="1"/>
      <c r="Y694" s="1"/>
      <c r="Z694" s="1"/>
      <c r="AA694" s="1"/>
      <c r="AB694" s="1"/>
      <c r="AC694" s="1">
        <f>IFERROR(__xludf.DUMMYFUNCTION("""COMPUTED_VALUE"""),50000.0)</f>
        <v>50000</v>
      </c>
      <c r="AD694" s="1"/>
      <c r="AE694" s="1"/>
      <c r="AF694" s="1" t="str">
        <f>IFERROR(__xludf.DUMMYFUNCTION("""COMPUTED_VALUE"""),"++A Moment of Weakness - (Can only target frozen enemies) Strike the enemy with your weapon dealing X3 Weapon damage and Giving the enemy disoriented 3 - 500 sp")</f>
        <v>++A Moment of Weakness - (Can only target frozen enemies) Strike the enemy with your weapon dealing X3 Weapon damage and Giving the enemy disoriented 3 - 500 sp</v>
      </c>
      <c r="AG694" s="1" t="str">
        <f>IFERROR(__xludf.DUMMYFUNCTION("""COMPUTED_VALUE"""),"Land of Spira")</f>
        <v>Land of Spira</v>
      </c>
      <c r="AH694" s="1" t="b">
        <f>IFERROR(__xludf.DUMMYFUNCTION("""COMPUTED_VALUE"""),FALSE)</f>
        <v>0</v>
      </c>
    </row>
    <row r="695">
      <c r="A695" s="1" t="str">
        <f>IFERROR(__xludf.DUMMYFUNCTION("""COMPUTED_VALUE"""),"Ice-steel Chausses")</f>
        <v>Ice-steel Chausses</v>
      </c>
      <c r="B695" s="1" t="str">
        <f>IFERROR(__xludf.DUMMYFUNCTION("""COMPUTED_VALUE"""),"Legs")</f>
        <v>Legs</v>
      </c>
      <c r="C695" s="1" t="str">
        <f>IFERROR(__xludf.DUMMYFUNCTION("""COMPUTED_VALUE"""),"The chinks in the armor suggest a lack of care over the past years.")</f>
        <v>The chinks in the armor suggest a lack of care over the past years.</v>
      </c>
      <c r="D695" s="1"/>
      <c r="E695" s="1">
        <f>IFERROR(__xludf.DUMMYFUNCTION("""COMPUTED_VALUE"""),200.0)</f>
        <v>200</v>
      </c>
      <c r="F695" s="2">
        <f>IFERROR(__xludf.DUMMYFUNCTION("""COMPUTED_VALUE"""),7.98E8)</f>
        <v>798000000</v>
      </c>
      <c r="G695" s="1" t="str">
        <f>IFERROR(__xludf.DUMMYFUNCTION("""COMPUTED_VALUE"""),"DEF")</f>
        <v>DEF</v>
      </c>
      <c r="H695" s="1">
        <f>IFERROR(__xludf.DUMMYFUNCTION("""COMPUTED_VALUE"""),50000.0)</f>
        <v>50000</v>
      </c>
      <c r="I695" s="1"/>
      <c r="J695" s="1"/>
      <c r="K695" s="1"/>
      <c r="L695" s="1"/>
      <c r="M695" s="1">
        <f>IFERROR(__xludf.DUMMYFUNCTION("""COMPUTED_VALUE"""),50000.0)</f>
        <v>50000</v>
      </c>
      <c r="N695" s="1"/>
      <c r="O695" s="1"/>
      <c r="P695" s="1"/>
      <c r="Q695" s="1"/>
      <c r="R695" s="1"/>
      <c r="S695" s="1">
        <f>IFERROR(__xludf.DUMMYFUNCTION("""COMPUTED_VALUE"""),50000.0)</f>
        <v>50000</v>
      </c>
      <c r="T695" s="1"/>
      <c r="U695" s="1"/>
      <c r="V695" s="1"/>
      <c r="W695" s="1"/>
      <c r="X695" s="1"/>
      <c r="Y695" s="1"/>
      <c r="Z695" s="1"/>
      <c r="AA695" s="1"/>
      <c r="AB695" s="1"/>
      <c r="AC695" s="1">
        <f>IFERROR(__xludf.DUMMYFUNCTION("""COMPUTED_VALUE"""),50000.0)</f>
        <v>50000</v>
      </c>
      <c r="AD695" s="1"/>
      <c r="AE695" s="1"/>
      <c r="AF695" s="1" t="str">
        <f>IFERROR(__xludf.DUMMYFUNCTION("""COMPUTED_VALUE"""),"++X2 Weapon Damage")</f>
        <v>++X2 Weapon Damage</v>
      </c>
      <c r="AG695" s="1" t="str">
        <f>IFERROR(__xludf.DUMMYFUNCTION("""COMPUTED_VALUE"""),"Land of Spira")</f>
        <v>Land of Spira</v>
      </c>
      <c r="AH695" s="1" t="b">
        <f>IFERROR(__xludf.DUMMYFUNCTION("""COMPUTED_VALUE"""),FALSE)</f>
        <v>0</v>
      </c>
    </row>
    <row r="696">
      <c r="A696" s="1" t="str">
        <f>IFERROR(__xludf.DUMMYFUNCTION("""COMPUTED_VALUE"""),"Frost Stompers")</f>
        <v>Frost Stompers</v>
      </c>
      <c r="B696" s="1" t="str">
        <f>IFERROR(__xludf.DUMMYFUNCTION("""COMPUTED_VALUE"""),"Feet")</f>
        <v>Feet</v>
      </c>
      <c r="C696" s="1" t="str">
        <f>IFERROR(__xludf.DUMMYFUNCTION("""COMPUTED_VALUE"""),"These frozen iron boots are covered in a layer of permafrost, it seems as though they'll never thaw.")</f>
        <v>These frozen iron boots are covered in a layer of permafrost, it seems as though they'll never thaw.</v>
      </c>
      <c r="D696" s="1"/>
      <c r="E696" s="1">
        <f>IFERROR(__xludf.DUMMYFUNCTION("""COMPUTED_VALUE"""),200.0)</f>
        <v>200</v>
      </c>
      <c r="F696" s="2">
        <f>IFERROR(__xludf.DUMMYFUNCTION("""COMPUTED_VALUE"""),7.98E8)</f>
        <v>798000000</v>
      </c>
      <c r="G696" s="1" t="str">
        <f>IFERROR(__xludf.DUMMYFUNCTION("""COMPUTED_VALUE"""),"DEF")</f>
        <v>DEF</v>
      </c>
      <c r="H696" s="1">
        <f>IFERROR(__xludf.DUMMYFUNCTION("""COMPUTED_VALUE"""),50000.0)</f>
        <v>50000</v>
      </c>
      <c r="I696" s="1"/>
      <c r="J696" s="1"/>
      <c r="K696" s="1"/>
      <c r="L696" s="1"/>
      <c r="M696" s="1">
        <f>IFERROR(__xludf.DUMMYFUNCTION("""COMPUTED_VALUE"""),50000.0)</f>
        <v>50000</v>
      </c>
      <c r="N696" s="1"/>
      <c r="O696" s="1"/>
      <c r="P696" s="1"/>
      <c r="Q696" s="1"/>
      <c r="R696" s="1"/>
      <c r="S696" s="1">
        <f>IFERROR(__xludf.DUMMYFUNCTION("""COMPUTED_VALUE"""),50000.0)</f>
        <v>50000</v>
      </c>
      <c r="T696" s="1"/>
      <c r="U696" s="1"/>
      <c r="V696" s="1"/>
      <c r="W696" s="1"/>
      <c r="X696" s="1"/>
      <c r="Y696" s="1"/>
      <c r="Z696" s="1"/>
      <c r="AA696" s="1"/>
      <c r="AB696" s="1"/>
      <c r="AC696" s="1">
        <f>IFERROR(__xludf.DUMMYFUNCTION("""COMPUTED_VALUE"""),50000.0)</f>
        <v>50000</v>
      </c>
      <c r="AD696" s="1"/>
      <c r="AE696" s="1"/>
      <c r="AF696" s="1" t="str">
        <f>IFERROR(__xludf.DUMMYFUNCTION("""COMPUTED_VALUE"""),"++X2 Storm Damage")</f>
        <v>++X2 Storm Damage</v>
      </c>
      <c r="AG696" s="1" t="str">
        <f>IFERROR(__xludf.DUMMYFUNCTION("""COMPUTED_VALUE"""),"Land of Spira")</f>
        <v>Land of Spira</v>
      </c>
      <c r="AH696" s="1" t="b">
        <f>IFERROR(__xludf.DUMMYFUNCTION("""COMPUTED_VALUE"""),FALSE)</f>
        <v>0</v>
      </c>
    </row>
    <row r="697">
      <c r="A697" s="1" t="str">
        <f>IFERROR(__xludf.DUMMYFUNCTION("""COMPUTED_VALUE"""),"Plate of the Frozen Sun")</f>
        <v>Plate of the Frozen Sun</v>
      </c>
      <c r="B697" s="1" t="str">
        <f>IFERROR(__xludf.DUMMYFUNCTION("""COMPUTED_VALUE"""),"Torso")</f>
        <v>Torso</v>
      </c>
      <c r="C697" s="1" t="str">
        <f>IFERROR(__xludf.DUMMYFUNCTION("""COMPUTED_VALUE"""),"""The king was not always as he is now, but the yearly curse of the ice mage has him colder than usual"" ~old man")</f>
        <v>"The king was not always as he is now, but the yearly curse of the ice mage has him colder than usual" ~old man</v>
      </c>
      <c r="D697" s="1"/>
      <c r="E697" s="1">
        <f>IFERROR(__xludf.DUMMYFUNCTION("""COMPUTED_VALUE"""),200.0)</f>
        <v>200</v>
      </c>
      <c r="F697" s="2">
        <f>IFERROR(__xludf.DUMMYFUNCTION("""COMPUTED_VALUE"""),7.98E8)</f>
        <v>798000000</v>
      </c>
      <c r="G697" s="1" t="str">
        <f>IFERROR(__xludf.DUMMYFUNCTION("""COMPUTED_VALUE"""),"DEF")</f>
        <v>DEF</v>
      </c>
      <c r="H697" s="1">
        <f>IFERROR(__xludf.DUMMYFUNCTION("""COMPUTED_VALUE"""),50000.0)</f>
        <v>50000</v>
      </c>
      <c r="I697" s="1"/>
      <c r="J697" s="1"/>
      <c r="K697" s="1"/>
      <c r="L697" s="1"/>
      <c r="M697" s="1">
        <f>IFERROR(__xludf.DUMMYFUNCTION("""COMPUTED_VALUE"""),50000.0)</f>
        <v>50000</v>
      </c>
      <c r="N697" s="1"/>
      <c r="O697" s="1"/>
      <c r="P697" s="1"/>
      <c r="Q697" s="1"/>
      <c r="R697" s="1"/>
      <c r="S697" s="1">
        <f>IFERROR(__xludf.DUMMYFUNCTION("""COMPUTED_VALUE"""),50000.0)</f>
        <v>50000</v>
      </c>
      <c r="T697" s="1"/>
      <c r="U697" s="1"/>
      <c r="V697" s="1"/>
      <c r="W697" s="1"/>
      <c r="X697" s="1"/>
      <c r="Y697" s="1"/>
      <c r="Z697" s="1"/>
      <c r="AA697" s="1"/>
      <c r="AB697" s="1"/>
      <c r="AC697" s="1">
        <f>IFERROR(__xludf.DUMMYFUNCTION("""COMPUTED_VALUE"""),50000.0)</f>
        <v>50000</v>
      </c>
      <c r="AD697" s="1"/>
      <c r="AE697" s="1"/>
      <c r="AF697" s="1" t="str">
        <f>IFERROR(__xludf.DUMMYFUNCTION("""COMPUTED_VALUE"""),"++Freezing Absorption - Can absorb one summoned creature adding their stats on top of your for 3 rounds but giving you a 50% chance of attacking a random ally instead of an enemy - 500 sp")</f>
        <v>++Freezing Absorption - Can absorb one summoned creature adding their stats on top of your for 3 rounds but giving you a 50% chance of attacking a random ally instead of an enemy - 500 sp</v>
      </c>
      <c r="AG697" s="1" t="str">
        <f>IFERROR(__xludf.DUMMYFUNCTION("""COMPUTED_VALUE"""),"Land of Spira")</f>
        <v>Land of Spira</v>
      </c>
      <c r="AH697" s="1" t="b">
        <f>IFERROR(__xludf.DUMMYFUNCTION("""COMPUTED_VALUE"""),FALSE)</f>
        <v>0</v>
      </c>
    </row>
    <row r="698">
      <c r="A698" s="1" t="str">
        <f>IFERROR(__xludf.DUMMYFUNCTION("""COMPUTED_VALUE"""),"Frost Mage's Staff")</f>
        <v>Frost Mage's Staff</v>
      </c>
      <c r="B698" s="1" t="str">
        <f>IFERROR(__xludf.DUMMYFUNCTION("""COMPUTED_VALUE"""),"Hand")</f>
        <v>Hand</v>
      </c>
      <c r="C698" s="1" t="str">
        <f>IFERROR(__xludf.DUMMYFUNCTION("""COMPUTED_VALUE"""),"""FREEZE"" ~Frost mage")</f>
        <v>"FREEZE" ~Frost mage</v>
      </c>
      <c r="D698" s="1" t="str">
        <f>IFERROR(__xludf.DUMMYFUNCTION("""COMPUTED_VALUE"""),"Staff")</f>
        <v>Staff</v>
      </c>
      <c r="E698" s="1">
        <f>IFERROR(__xludf.DUMMYFUNCTION("""COMPUTED_VALUE"""),200.0)</f>
        <v>200</v>
      </c>
      <c r="F698" s="2">
        <f>IFERROR(__xludf.DUMMYFUNCTION("""COMPUTED_VALUE"""),4.485E8)</f>
        <v>448500000</v>
      </c>
      <c r="G698" s="1" t="str">
        <f>IFERROR(__xludf.DUMMYFUNCTION("""COMPUTED_VALUE"""),"DMG")</f>
        <v>DMG</v>
      </c>
      <c r="H698" s="1"/>
      <c r="I698" s="1"/>
      <c r="J698" s="1"/>
      <c r="K698" s="3">
        <f>IFERROR(__xludf.DUMMYFUNCTION("""COMPUTED_VALUE"""),50000.0)</f>
        <v>50000</v>
      </c>
      <c r="L698" s="3">
        <f>IFERROR(__xludf.DUMMYFUNCTION("""COMPUTED_VALUE"""),50000.0)</f>
        <v>50000</v>
      </c>
      <c r="M698" s="1"/>
      <c r="N698" s="1"/>
      <c r="O698" s="1"/>
      <c r="P698" s="1"/>
      <c r="Q698" s="1"/>
      <c r="R698" s="1"/>
      <c r="S698" s="1"/>
      <c r="T698" s="1"/>
      <c r="U698" s="1"/>
      <c r="V698" s="1"/>
      <c r="W698" s="1"/>
      <c r="X698" s="1"/>
      <c r="Y698" s="1"/>
      <c r="Z698" s="1"/>
      <c r="AA698" s="1"/>
      <c r="AB698" s="1"/>
      <c r="AC698" s="3">
        <f>IFERROR(__xludf.DUMMYFUNCTION("""COMPUTED_VALUE"""),50000.0)</f>
        <v>50000</v>
      </c>
      <c r="AD698" s="1"/>
      <c r="AE698" s="1"/>
      <c r="AF698" s="1" t="str">
        <f>IFERROR(__xludf.DUMMYFUNCTION("""COMPUTED_VALUE"""),"++Damages all enemies, ++Cannot Avoid ++ +500SP ++X4 Water and Storm Damage ++25% chance to freeze the enemies +-Cannot be forged +-Cannot be duplicated")</f>
        <v>++Damages all enemies, ++Cannot Avoid ++ +500SP ++X4 Water and Storm Damage ++25% chance to freeze the enemies +-Cannot be forged +-Cannot be duplicated</v>
      </c>
      <c r="AG698" s="1" t="str">
        <f>IFERROR(__xludf.DUMMYFUNCTION("""COMPUTED_VALUE"""),"Land of Spira")</f>
        <v>Land of Spira</v>
      </c>
      <c r="AH698" s="1" t="b">
        <f>IFERROR(__xludf.DUMMYFUNCTION("""COMPUTED_VALUE"""),FALSE)</f>
        <v>0</v>
      </c>
    </row>
    <row r="699">
      <c r="A699" s="1" t="str">
        <f>IFERROR(__xludf.DUMMYFUNCTION("""COMPUTED_VALUE"""),"Snowball")</f>
        <v>Snowball</v>
      </c>
      <c r="B699" s="1" t="str">
        <f>IFERROR(__xludf.DUMMYFUNCTION("""COMPUTED_VALUE"""),"Hand")</f>
        <v>Hand</v>
      </c>
      <c r="C699" s="1" t="str">
        <f>IFERROR(__xludf.DUMMYFUNCTION("""COMPUTED_VALUE"""),"""If you even think about hitting me with that I'll fill one with lead and bash your skull with it"" ~Gwennivir")</f>
        <v>"If you even think about hitting me with that I'll fill one with lead and bash your skull with it" ~Gwennivir</v>
      </c>
      <c r="D699" s="1" t="str">
        <f>IFERROR(__xludf.DUMMYFUNCTION("""COMPUTED_VALUE"""),"Boomerang")</f>
        <v>Boomerang</v>
      </c>
      <c r="E699" s="1">
        <f>IFERROR(__xludf.DUMMYFUNCTION("""COMPUTED_VALUE"""),200.0)</f>
        <v>200</v>
      </c>
      <c r="F699" s="2">
        <f>IFERROR(__xludf.DUMMYFUNCTION("""COMPUTED_VALUE"""),1900000.0)</f>
        <v>1900000</v>
      </c>
      <c r="G699" s="1" t="str">
        <f>IFERROR(__xludf.DUMMYFUNCTION("""COMPUTED_VALUE"""),"DMG")</f>
        <v>DMG</v>
      </c>
      <c r="H699" s="1"/>
      <c r="I699" s="1"/>
      <c r="J699" s="1"/>
      <c r="K699" s="3">
        <f>IFERROR(__xludf.DUMMYFUNCTION("""COMPUTED_VALUE"""),10000.0)</f>
        <v>10000</v>
      </c>
      <c r="L699" s="1"/>
      <c r="M699" s="1"/>
      <c r="N699" s="1"/>
      <c r="O699" s="1"/>
      <c r="P699" s="1"/>
      <c r="Q699" s="1"/>
      <c r="R699" s="1"/>
      <c r="S699" s="1"/>
      <c r="T699" s="1"/>
      <c r="U699" s="1"/>
      <c r="V699" s="1"/>
      <c r="W699" s="1"/>
      <c r="X699" s="1"/>
      <c r="Y699" s="1"/>
      <c r="Z699" s="1"/>
      <c r="AA699" s="1"/>
      <c r="AB699" s="1"/>
      <c r="AC699" s="1"/>
      <c r="AD699" s="1"/>
      <c r="AE699" s="1"/>
      <c r="AF699" s="1" t="str">
        <f>IFERROR(__xludf.DUMMYFUNCTION("""COMPUTED_VALUE"""),"++25% Chance to freeze the target, ++25% chance to turn the target into a Demon Snowman and recruit them to the users side for 2 rounds (this counts as a possession).")</f>
        <v>++25% Chance to freeze the target, ++25% chance to turn the target into a Demon Snowman and recruit them to the users side for 2 rounds (this counts as a possession).</v>
      </c>
      <c r="AG699" s="1" t="str">
        <f>IFERROR(__xludf.DUMMYFUNCTION("""COMPUTED_VALUE"""),"Land of Spira")</f>
        <v>Land of Spira</v>
      </c>
      <c r="AH699" s="1" t="b">
        <f>IFERROR(__xludf.DUMMYFUNCTION("""COMPUTED_VALUE"""),FALSE)</f>
        <v>0</v>
      </c>
    </row>
    <row r="700">
      <c r="A700" s="1" t="str">
        <f>IFERROR(__xludf.DUMMYFUNCTION("""COMPUTED_VALUE"""),"Corvid Cloak")</f>
        <v>Corvid Cloak</v>
      </c>
      <c r="B700" s="1" t="str">
        <f>IFERROR(__xludf.DUMMYFUNCTION("""COMPUTED_VALUE"""),"Shoulders")</f>
        <v>Shoulders</v>
      </c>
      <c r="C700" s="1" t="str">
        <f>IFERROR(__xludf.DUMMYFUNCTION("""COMPUTED_VALUE"""),"Formed from the feathers of many crows and ravens, this cloak has an imposing presence.")</f>
        <v>Formed from the feathers of many crows and ravens, this cloak has an imposing presence.</v>
      </c>
      <c r="D700" s="1"/>
      <c r="E700" s="1">
        <f>IFERROR(__xludf.DUMMYFUNCTION("""COMPUTED_VALUE"""),1.0)</f>
        <v>1</v>
      </c>
      <c r="F700" s="2">
        <f>IFERROR(__xludf.DUMMYFUNCTION("""COMPUTED_VALUE"""),0.0)</f>
        <v>0</v>
      </c>
      <c r="G700" s="1" t="str">
        <f>IFERROR(__xludf.DUMMYFUNCTION("""COMPUTED_VALUE"""),"DEF")</f>
        <v>DEF</v>
      </c>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t="str">
        <f>IFERROR(__xludf.DUMMYFUNCTION("""COMPUTED_VALUE"""),"++On WIngs of Death: When an enemy or ally dies of poison all Base stats are doubled for 3 rounds and +5 to all perks +-Cannot be Duplicated")</f>
        <v>++On WIngs of Death: When an enemy or ally dies of poison all Base stats are doubled for 3 rounds and +5 to all perks +-Cannot be Duplicated</v>
      </c>
      <c r="AG700" s="1" t="str">
        <f>IFERROR(__xludf.DUMMYFUNCTION("""COMPUTED_VALUE"""),"Land of Spira")</f>
        <v>Land of Spira</v>
      </c>
      <c r="AH700" s="1" t="b">
        <f>IFERROR(__xludf.DUMMYFUNCTION("""COMPUTED_VALUE"""),FALSE)</f>
        <v>0</v>
      </c>
    </row>
    <row r="701">
      <c r="A701" s="1" t="str">
        <f>IFERROR(__xludf.DUMMYFUNCTION("""COMPUTED_VALUE"""),"Plague Doctor's Mask")</f>
        <v>Plague Doctor's Mask</v>
      </c>
      <c r="B701" s="1" t="str">
        <f>IFERROR(__xludf.DUMMYFUNCTION("""COMPUTED_VALUE"""),"Head")</f>
        <v>Head</v>
      </c>
      <c r="C701" s="1" t="str">
        <f>IFERROR(__xludf.DUMMYFUNCTION("""COMPUTED_VALUE"""),"""The eyes of the plague doctors can see all the impurities of not just one's body, but one's soul, it is our goal- nay, our purpose, to cure these impurities"" ~Kaillon, The Last WItch Doctor")</f>
        <v>"The eyes of the plague doctors can see all the impurities of not just one's body, but one's soul, it is our goal- nay, our purpose, to cure these impurities" ~Kaillon, The Last WItch Doctor</v>
      </c>
      <c r="D701" s="1"/>
      <c r="E701" s="1">
        <f>IFERROR(__xludf.DUMMYFUNCTION("""COMPUTED_VALUE"""),1.0)</f>
        <v>1</v>
      </c>
      <c r="F701" s="2">
        <f>IFERROR(__xludf.DUMMYFUNCTION("""COMPUTED_VALUE"""),0.0)</f>
        <v>0</v>
      </c>
      <c r="G701" s="1" t="str">
        <f>IFERROR(__xludf.DUMMYFUNCTION("""COMPUTED_VALUE"""),"DEF")</f>
        <v>DEF</v>
      </c>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t="str">
        <f>IFERROR(__xludf.DUMMYFUNCTION("""COMPUTED_VALUE"""),"++Plague Doctor: 25% chance to be unaffected by a disease +-Cannot be Duplicated")</f>
        <v>++Plague Doctor: 25% chance to be unaffected by a disease +-Cannot be Duplicated</v>
      </c>
      <c r="AG701" s="1" t="str">
        <f>IFERROR(__xludf.DUMMYFUNCTION("""COMPUTED_VALUE"""),"Land of Spira")</f>
        <v>Land of Spira</v>
      </c>
      <c r="AH701" s="1" t="b">
        <f>IFERROR(__xludf.DUMMYFUNCTION("""COMPUTED_VALUE"""),FALSE)</f>
        <v>0</v>
      </c>
    </row>
    <row r="702">
      <c r="A702" s="1" t="str">
        <f>IFERROR(__xludf.DUMMYFUNCTION("""COMPUTED_VALUE"""),"""The Only Cure""")</f>
        <v>"The Only Cure"</v>
      </c>
      <c r="B702" s="1" t="str">
        <f>IFERROR(__xludf.DUMMYFUNCTION("""COMPUTED_VALUE"""),"Neck")</f>
        <v>Neck</v>
      </c>
      <c r="C702" s="1" t="str">
        <f>IFERROR(__xludf.DUMMYFUNCTION("""COMPUTED_VALUE"""),"""Sometimes, there is no cure for one's disease,
in those times it is our job to be merciful,
Truly, the only cure is death"" ~Kaillon, The Last Witch Doctor")</f>
        <v>"Sometimes, there is no cure for one's disease,
in those times it is our job to be merciful,
Truly, the only cure is death" ~Kaillon, The Last Witch Doctor</v>
      </c>
      <c r="D702" s="1"/>
      <c r="E702" s="1">
        <f>IFERROR(__xludf.DUMMYFUNCTION("""COMPUTED_VALUE"""),1.0)</f>
        <v>1</v>
      </c>
      <c r="F702" s="2">
        <f>IFERROR(__xludf.DUMMYFUNCTION("""COMPUTED_VALUE"""),0.0)</f>
        <v>0</v>
      </c>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t="str">
        <f>IFERROR(__xludf.DUMMYFUNCTION("""COMPUTED_VALUE"""),"++""Is Death"": The first time a single ally dies in a battle they survive on 1 hp with halved defense, atack, and accuracy for 3 rounds. +-Cannot be Duplicated")</f>
        <v>++"Is Death": The first time a single ally dies in a battle they survive on 1 hp with halved defense, atack, and accuracy for 3 rounds. +-Cannot be Duplicated</v>
      </c>
      <c r="AG702" s="1" t="str">
        <f>IFERROR(__xludf.DUMMYFUNCTION("""COMPUTED_VALUE"""),"Land of Spira")</f>
        <v>Land of Spira</v>
      </c>
      <c r="AH702" s="1" t="b">
        <f>IFERROR(__xludf.DUMMYFUNCTION("""COMPUTED_VALUE"""),FALSE)</f>
        <v>0</v>
      </c>
    </row>
    <row r="703">
      <c r="A703" s="1" t="str">
        <f>IFERROR(__xludf.DUMMYFUNCTION("""COMPUTED_VALUE"""),"Plague Doctor's Gloves")</f>
        <v>Plague Doctor's Gloves</v>
      </c>
      <c r="B703" s="1" t="str">
        <f>IFERROR(__xludf.DUMMYFUNCTION("""COMPUTED_VALUE"""),"Arms")</f>
        <v>Arms</v>
      </c>
      <c r="C703" s="1" t="str">
        <f>IFERROR(__xludf.DUMMYFUNCTION("""COMPUTED_VALUE"""),"These gloves have been stained with blood and potions over the years.")</f>
        <v>These gloves have been stained with blood and potions over the years.</v>
      </c>
      <c r="D703" s="1"/>
      <c r="E703" s="1">
        <f>IFERROR(__xludf.DUMMYFUNCTION("""COMPUTED_VALUE"""),1.0)</f>
        <v>1</v>
      </c>
      <c r="F703" s="2">
        <f>IFERROR(__xludf.DUMMYFUNCTION("""COMPUTED_VALUE"""),0.0)</f>
        <v>0</v>
      </c>
      <c r="G703" s="1" t="str">
        <f>IFERROR(__xludf.DUMMYFUNCTION("""COMPUTED_VALUE"""),"DEF")</f>
        <v>DEF</v>
      </c>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t="str">
        <f>IFERROR(__xludf.DUMMYFUNCTION("""COMPUTED_VALUE"""),"++Poisoner I:X2 damage +-Cannot be Duplicated")</f>
        <v>++Poisoner I:X2 damage +-Cannot be Duplicated</v>
      </c>
      <c r="AG703" s="1" t="str">
        <f>IFERROR(__xludf.DUMMYFUNCTION("""COMPUTED_VALUE"""),"Land of Spira")</f>
        <v>Land of Spira</v>
      </c>
      <c r="AH703" s="1" t="b">
        <f>IFERROR(__xludf.DUMMYFUNCTION("""COMPUTED_VALUE"""),FALSE)</f>
        <v>0</v>
      </c>
    </row>
    <row r="704">
      <c r="A704" s="1" t="str">
        <f>IFERROR(__xludf.DUMMYFUNCTION("""COMPUTED_VALUE"""),"Plague Doctor's Sarouel")</f>
        <v>Plague Doctor's Sarouel</v>
      </c>
      <c r="B704" s="1" t="str">
        <f>IFERROR(__xludf.DUMMYFUNCTION("""COMPUTED_VALUE"""),"Legs")</f>
        <v>Legs</v>
      </c>
      <c r="C704" s="1" t="str">
        <f>IFERROR(__xludf.DUMMYFUNCTION("""COMPUTED_VALUE"""),"These pants serve no real purpose within the foul night swamp, but they are the traditional wear of the plague doctors.")</f>
        <v>These pants serve no real purpose within the foul night swamp, but they are the traditional wear of the plague doctors.</v>
      </c>
      <c r="D704" s="1"/>
      <c r="E704" s="1">
        <f>IFERROR(__xludf.DUMMYFUNCTION("""COMPUTED_VALUE"""),1.0)</f>
        <v>1</v>
      </c>
      <c r="F704" s="2">
        <f>IFERROR(__xludf.DUMMYFUNCTION("""COMPUTED_VALUE"""),0.0)</f>
        <v>0</v>
      </c>
      <c r="G704" s="1" t="str">
        <f>IFERROR(__xludf.DUMMYFUNCTION("""COMPUTED_VALUE"""),"DEF")</f>
        <v>DEF</v>
      </c>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t="str">
        <f>IFERROR(__xludf.DUMMYFUNCTION("""COMPUTED_VALUE"""),"++Poisoner I:X2 damage +-Cannot be Duplicated")</f>
        <v>++Poisoner I:X2 damage +-Cannot be Duplicated</v>
      </c>
      <c r="AG704" s="1" t="str">
        <f>IFERROR(__xludf.DUMMYFUNCTION("""COMPUTED_VALUE"""),"Land of Spira")</f>
        <v>Land of Spira</v>
      </c>
      <c r="AH704" s="1" t="b">
        <f>IFERROR(__xludf.DUMMYFUNCTION("""COMPUTED_VALUE"""),FALSE)</f>
        <v>0</v>
      </c>
    </row>
    <row r="705">
      <c r="A705" s="1" t="str">
        <f>IFERROR(__xludf.DUMMYFUNCTION("""COMPUTED_VALUE"""),"Plague Doctor's Boots")</f>
        <v>Plague Doctor's Boots</v>
      </c>
      <c r="B705" s="1" t="str">
        <f>IFERROR(__xludf.DUMMYFUNCTION("""COMPUTED_VALUE"""),"Feet")</f>
        <v>Feet</v>
      </c>
      <c r="C705" s="1" t="str">
        <f>IFERROR(__xludf.DUMMYFUNCTION("""COMPUTED_VALUE"""),"These boots have been designed for optimal movement through all kinds of hazards.")</f>
        <v>These boots have been designed for optimal movement through all kinds of hazards.</v>
      </c>
      <c r="D705" s="1"/>
      <c r="E705" s="1">
        <f>IFERROR(__xludf.DUMMYFUNCTION("""COMPUTED_VALUE"""),1.0)</f>
        <v>1</v>
      </c>
      <c r="F705" s="2">
        <f>IFERROR(__xludf.DUMMYFUNCTION("""COMPUTED_VALUE"""),0.0)</f>
        <v>0</v>
      </c>
      <c r="G705" s="1" t="str">
        <f>IFERROR(__xludf.DUMMYFUNCTION("""COMPUTED_VALUE"""),"DEF")</f>
        <v>DEF</v>
      </c>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t="str">
        <f>IFERROR(__xludf.DUMMYFUNCTION("""COMPUTED_VALUE"""),"++Swamp Stompers: You take only half the effect of environmental hazards +-Cannot be Duplicated")</f>
        <v>++Swamp Stompers: You take only half the effect of environmental hazards +-Cannot be Duplicated</v>
      </c>
      <c r="AG705" s="1" t="str">
        <f>IFERROR(__xludf.DUMMYFUNCTION("""COMPUTED_VALUE"""),"Land of Spira")</f>
        <v>Land of Spira</v>
      </c>
      <c r="AH705" s="1" t="b">
        <f>IFERROR(__xludf.DUMMYFUNCTION("""COMPUTED_VALUE"""),FALSE)</f>
        <v>0</v>
      </c>
    </row>
    <row r="706">
      <c r="A706" s="1" t="str">
        <f>IFERROR(__xludf.DUMMYFUNCTION("""COMPUTED_VALUE"""),"Plague Doctor's Apron")</f>
        <v>Plague Doctor's Apron</v>
      </c>
      <c r="B706" s="1" t="str">
        <f>IFERROR(__xludf.DUMMYFUNCTION("""COMPUTED_VALUE"""),"Torso")</f>
        <v>Torso</v>
      </c>
      <c r="C706" s="1" t="str">
        <f>IFERROR(__xludf.DUMMYFUNCTION("""COMPUTED_VALUE"""),"The thick leather of this apron ensures that accidents with poison are minimalized.")</f>
        <v>The thick leather of this apron ensures that accidents with poison are minimalized.</v>
      </c>
      <c r="D706" s="1"/>
      <c r="E706" s="1">
        <f>IFERROR(__xludf.DUMMYFUNCTION("""COMPUTED_VALUE"""),1.0)</f>
        <v>1</v>
      </c>
      <c r="F706" s="2">
        <f>IFERROR(__xludf.DUMMYFUNCTION("""COMPUTED_VALUE"""),0.0)</f>
        <v>0</v>
      </c>
      <c r="G706" s="1" t="str">
        <f>IFERROR(__xludf.DUMMYFUNCTION("""COMPUTED_VALUE"""),"DEF")</f>
        <v>DEF</v>
      </c>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t="str">
        <f>IFERROR(__xludf.DUMMYFUNCTION("""COMPUTED_VALUE"""),"++Spllatter Proof: Immune to poison +-Cannot be Duplicated")</f>
        <v>++Spllatter Proof: Immune to poison +-Cannot be Duplicated</v>
      </c>
      <c r="AG706" s="1" t="str">
        <f>IFERROR(__xludf.DUMMYFUNCTION("""COMPUTED_VALUE"""),"Land of Spira")</f>
        <v>Land of Spira</v>
      </c>
      <c r="AH706" s="1" t="b">
        <f>IFERROR(__xludf.DUMMYFUNCTION("""COMPUTED_VALUE"""),FALSE)</f>
        <v>0</v>
      </c>
    </row>
    <row r="707">
      <c r="A707" s="1" t="str">
        <f>IFERROR(__xludf.DUMMYFUNCTION("""COMPUTED_VALUE"""),"Poisonous Hand Crossbow")</f>
        <v>Poisonous Hand Crossbow</v>
      </c>
      <c r="B707" s="1" t="str">
        <f>IFERROR(__xludf.DUMMYFUNCTION("""COMPUTED_VALUE"""),"Hand")</f>
        <v>Hand</v>
      </c>
      <c r="C707" s="1" t="str">
        <f>IFERROR(__xludf.DUMMYFUNCTION("""COMPUTED_VALUE"""),"""Because sometimes the only viable tactic, is a dirty one"" ~Gwennivir")</f>
        <v>"Because sometimes the only viable tactic, is a dirty one" ~Gwennivir</v>
      </c>
      <c r="D707" s="1" t="str">
        <f>IFERROR(__xludf.DUMMYFUNCTION("""COMPUTED_VALUE"""),"Bow")</f>
        <v>Bow</v>
      </c>
      <c r="E707" s="1">
        <f>IFERROR(__xludf.DUMMYFUNCTION("""COMPUTED_VALUE"""),1000.0)</f>
        <v>1000</v>
      </c>
      <c r="F707" s="2">
        <f>IFERROR(__xludf.DUMMYFUNCTION("""COMPUTED_VALUE"""),4.95E7)</f>
        <v>49500000</v>
      </c>
      <c r="G707" s="1" t="str">
        <f>IFERROR(__xludf.DUMMYFUNCTION("""COMPUTED_VALUE"""),"DMG")</f>
        <v>DMG</v>
      </c>
      <c r="H707" s="3">
        <f>IFERROR(__xludf.DUMMYFUNCTION("""COMPUTED_VALUE"""),50000.0)</f>
        <v>50000</v>
      </c>
      <c r="I707" s="1"/>
      <c r="J707" s="1"/>
      <c r="K707" s="1"/>
      <c r="L707" s="1"/>
      <c r="M707" s="1"/>
      <c r="N707" s="1"/>
      <c r="O707" s="1"/>
      <c r="P707" s="1"/>
      <c r="Q707" s="1"/>
      <c r="R707" s="1"/>
      <c r="S707" s="1"/>
      <c r="T707" s="1"/>
      <c r="U707" s="1"/>
      <c r="V707" s="1"/>
      <c r="W707" s="1"/>
      <c r="X707" s="1"/>
      <c r="Y707" s="1"/>
      <c r="Z707" s="1"/>
      <c r="AA707" s="1"/>
      <c r="AB707" s="1"/>
      <c r="AC707" s="1"/>
      <c r="AD707" s="1"/>
      <c r="AE707" s="1"/>
      <c r="AF707" s="1" t="str">
        <f>IFERROR(__xludf.DUMMYFUNCTION("""COMPUTED_VALUE"""),"++Poisoned I: Hitting an enemy with this weapon inflicts 500 poison")</f>
        <v>++Poisoned I: Hitting an enemy with this weapon inflicts 500 poison</v>
      </c>
      <c r="AG707" s="1" t="str">
        <f>IFERROR(__xludf.DUMMYFUNCTION("""COMPUTED_VALUE"""),"Land of Spira")</f>
        <v>Land of Spira</v>
      </c>
      <c r="AH707" s="1" t="b">
        <f>IFERROR(__xludf.DUMMYFUNCTION("""COMPUTED_VALUE"""),FALSE)</f>
        <v>0</v>
      </c>
    </row>
    <row r="708">
      <c r="A708" s="1" t="str">
        <f>IFERROR(__xludf.DUMMYFUNCTION("""COMPUTED_VALUE"""),"Poison Tipped Knife")</f>
        <v>Poison Tipped Knife</v>
      </c>
      <c r="B708" s="1" t="str">
        <f>IFERROR(__xludf.DUMMYFUNCTION("""COMPUTED_VALUE"""),"Hand")</f>
        <v>Hand</v>
      </c>
      <c r="C708" s="1" t="str">
        <f>IFERROR(__xludf.DUMMYFUNCTION("""COMPUTED_VALUE"""),"""It isn't the most graceful end, and it isn't quick by any means... What, you thought I'd defend it?"" ~Gwennivir")</f>
        <v>"It isn't the most graceful end, and it isn't quick by any means... What, you thought I'd defend it?" ~Gwennivir</v>
      </c>
      <c r="D708" s="1" t="str">
        <f>IFERROR(__xludf.DUMMYFUNCTION("""COMPUTED_VALUE"""),"Knife")</f>
        <v>Knife</v>
      </c>
      <c r="E708" s="1">
        <f>IFERROR(__xludf.DUMMYFUNCTION("""COMPUTED_VALUE"""),1000.0)</f>
        <v>1000</v>
      </c>
      <c r="F708" s="2">
        <f>IFERROR(__xludf.DUMMYFUNCTION("""COMPUTED_VALUE"""),4.95E7)</f>
        <v>49500000</v>
      </c>
      <c r="G708" s="1" t="str">
        <f>IFERROR(__xludf.DUMMYFUNCTION("""COMPUTED_VALUE"""),"DMG")</f>
        <v>DMG</v>
      </c>
      <c r="H708" s="3">
        <f>IFERROR(__xludf.DUMMYFUNCTION("""COMPUTED_VALUE"""),50000.0)</f>
        <v>50000</v>
      </c>
      <c r="I708" s="1"/>
      <c r="J708" s="1"/>
      <c r="K708" s="1"/>
      <c r="L708" s="1"/>
      <c r="M708" s="1"/>
      <c r="N708" s="1"/>
      <c r="O708" s="1"/>
      <c r="P708" s="1"/>
      <c r="Q708" s="1"/>
      <c r="R708" s="1"/>
      <c r="S708" s="1"/>
      <c r="T708" s="1"/>
      <c r="U708" s="1"/>
      <c r="V708" s="1"/>
      <c r="W708" s="1"/>
      <c r="X708" s="1"/>
      <c r="Y708" s="1"/>
      <c r="Z708" s="1"/>
      <c r="AA708" s="1"/>
      <c r="AB708" s="1"/>
      <c r="AC708" s="1"/>
      <c r="AD708" s="1"/>
      <c r="AE708" s="1"/>
      <c r="AF708" s="1" t="str">
        <f>IFERROR(__xludf.DUMMYFUNCTION("""COMPUTED_VALUE"""),"++Poisoned I: Hitting an enemy with this weapon inflicts 500 poison")</f>
        <v>++Poisoned I: Hitting an enemy with this weapon inflicts 500 poison</v>
      </c>
      <c r="AG708" s="1" t="str">
        <f>IFERROR(__xludf.DUMMYFUNCTION("""COMPUTED_VALUE"""),"Land of Spira")</f>
        <v>Land of Spira</v>
      </c>
      <c r="AH708" s="1" t="b">
        <f>IFERROR(__xludf.DUMMYFUNCTION("""COMPUTED_VALUE"""),FALSE)</f>
        <v>0</v>
      </c>
    </row>
    <row r="709">
      <c r="A709" s="1" t="str">
        <f>IFERROR(__xludf.DUMMYFUNCTION("""COMPUTED_VALUE"""),"Frozen Head-Splitter")</f>
        <v>Frozen Head-Splitter</v>
      </c>
      <c r="B709" s="1" t="str">
        <f>IFERROR(__xludf.DUMMYFUNCTION("""COMPUTED_VALUE"""),"Hand")</f>
        <v>Hand</v>
      </c>
      <c r="C709" s="1" t="str">
        <f>IFERROR(__xludf.DUMMYFUNCTION("""COMPUTED_VALUE"""),"""Those trolls in the northern territories, who do you think taught them how to use those clubs they always carry around? It's as if they simply learned it overnight one day."" ~Mysterious Merchant")</f>
        <v>"Those trolls in the northern territories, who do you think taught them how to use those clubs they always carry around? It's as if they simply learned it overnight one day." ~Mysterious Merchant</v>
      </c>
      <c r="D709" s="1" t="str">
        <f>IFERROR(__xludf.DUMMYFUNCTION("""COMPUTED_VALUE"""),"Club")</f>
        <v>Club</v>
      </c>
      <c r="E709" s="1">
        <f>IFERROR(__xludf.DUMMYFUNCTION("""COMPUTED_VALUE"""),1200.0)</f>
        <v>1200</v>
      </c>
      <c r="F709" s="2">
        <f>IFERROR(__xludf.DUMMYFUNCTION("""COMPUTED_VALUE"""),7.14E7)</f>
        <v>71400000</v>
      </c>
      <c r="G709" s="1" t="str">
        <f>IFERROR(__xludf.DUMMYFUNCTION("""COMPUTED_VALUE"""),"DMG")</f>
        <v>DMG</v>
      </c>
      <c r="H709" s="3">
        <f>IFERROR(__xludf.DUMMYFUNCTION("""COMPUTED_VALUE"""),50000.0)</f>
        <v>50000</v>
      </c>
      <c r="I709" s="1"/>
      <c r="J709" s="1"/>
      <c r="K709" s="1"/>
      <c r="L709" s="3">
        <f>IFERROR(__xludf.DUMMYFUNCTION("""COMPUTED_VALUE"""),10000.0)</f>
        <v>10000</v>
      </c>
      <c r="M709" s="1"/>
      <c r="N709" s="1"/>
      <c r="O709" s="1"/>
      <c r="P709" s="1"/>
      <c r="Q709" s="1"/>
      <c r="R709" s="1"/>
      <c r="S709" s="1"/>
      <c r="T709" s="1"/>
      <c r="U709" s="1"/>
      <c r="V709" s="1"/>
      <c r="W709" s="1"/>
      <c r="X709" s="1"/>
      <c r="Y709" s="1"/>
      <c r="Z709" s="1"/>
      <c r="AA709" s="1"/>
      <c r="AB709" s="1"/>
      <c r="AC709" s="1"/>
      <c r="AD709" s="1"/>
      <c r="AE709" s="1"/>
      <c r="AF709" s="1" t="str">
        <f>IFERROR(__xludf.DUMMYFUNCTION("""COMPUTED_VALUE"""),"++Big Bashin' Stick - 25% chance to stun an enemy upon hitting them for 2 rounds(percent stacks with weapon ability), ++Big Freezin' Stick - 15% chance to freeze an enemy upon hitting them")</f>
        <v>++Big Bashin' Stick - 25% chance to stun an enemy upon hitting them for 2 rounds(percent stacks with weapon ability), ++Big Freezin' Stick - 15% chance to freeze an enemy upon hitting them</v>
      </c>
      <c r="AG709" s="1" t="str">
        <f>IFERROR(__xludf.DUMMYFUNCTION("""COMPUTED_VALUE"""),"Land of Spira")</f>
        <v>Land of Spira</v>
      </c>
      <c r="AH709" s="1" t="b">
        <f>IFERROR(__xludf.DUMMYFUNCTION("""COMPUTED_VALUE"""),FALSE)</f>
        <v>0</v>
      </c>
    </row>
    <row r="710">
      <c r="A710" s="1" t="str">
        <f>IFERROR(__xludf.DUMMYFUNCTION("""COMPUTED_VALUE"""),"Fireball Cannon")</f>
        <v>Fireball Cannon</v>
      </c>
      <c r="B710" s="1" t="str">
        <f>IFERROR(__xludf.DUMMYFUNCTION("""COMPUTED_VALUE"""),"BoatGun")</f>
        <v>BoatGun</v>
      </c>
      <c r="C710" s="1" t="str">
        <f>IFERROR(__xludf.DUMMYFUNCTION("""COMPUTED_VALUE"""),"""Sometimes fire is the only answer to the question,"" ~Gwennivir")</f>
        <v>"Sometimes fire is the only answer to the question," ~Gwennivir</v>
      </c>
      <c r="D710" s="1" t="str">
        <f>IFERROR(__xludf.DUMMYFUNCTION("""COMPUTED_VALUE"""),"Firearm")</f>
        <v>Firearm</v>
      </c>
      <c r="E710" s="1">
        <f>IFERROR(__xludf.DUMMYFUNCTION("""COMPUTED_VALUE"""),1000.0)</f>
        <v>1000</v>
      </c>
      <c r="F710" s="2">
        <f>IFERROR(__xludf.DUMMYFUNCTION("""COMPUTED_VALUE"""),4.95E7)</f>
        <v>49500000</v>
      </c>
      <c r="G710" s="3" t="str">
        <f>IFERROR(__xludf.DUMMYFUNCTION("""COMPUTED_VALUE"""),"DMG")</f>
        <v>DMG</v>
      </c>
      <c r="H710" s="3">
        <f>IFERROR(__xludf.DUMMYFUNCTION("""COMPUTED_VALUE"""),30000.0)</f>
        <v>30000</v>
      </c>
      <c r="I710" s="3">
        <f>IFERROR(__xludf.DUMMYFUNCTION("""COMPUTED_VALUE"""),20000.0)</f>
        <v>20000</v>
      </c>
      <c r="J710" s="1"/>
      <c r="K710" s="1"/>
      <c r="L710" s="1"/>
      <c r="M710" s="1"/>
      <c r="N710" s="1"/>
      <c r="O710" s="1"/>
      <c r="P710" s="1"/>
      <c r="Q710" s="1"/>
      <c r="R710" s="1"/>
      <c r="S710" s="1"/>
      <c r="T710" s="1"/>
      <c r="U710" s="1"/>
      <c r="V710" s="1"/>
      <c r="W710" s="1"/>
      <c r="X710" s="1"/>
      <c r="Y710" s="1"/>
      <c r="Z710" s="1"/>
      <c r="AA710" s="1"/>
      <c r="AB710" s="1"/>
      <c r="AC710" s="1"/>
      <c r="AD710" s="1"/>
      <c r="AE710" s="1"/>
      <c r="AF710" s="1" t="str">
        <f>IFERROR(__xludf.DUMMYFUNCTION("""COMPUTED_VALUE"""),"++Burn 10,000. ++Requires Fire Cannon Balls")</f>
        <v>++Burn 10,000. ++Requires Fire Cannon Balls</v>
      </c>
      <c r="AG710" s="1" t="str">
        <f>IFERROR(__xludf.DUMMYFUNCTION("""COMPUTED_VALUE"""),"Land of Spira")</f>
        <v>Land of Spira</v>
      </c>
      <c r="AH710" s="1" t="b">
        <f>IFERROR(__xludf.DUMMYFUNCTION("""COMPUTED_VALUE"""),FALSE)</f>
        <v>0</v>
      </c>
    </row>
    <row r="711">
      <c r="A711" s="1" t="str">
        <f>IFERROR(__xludf.DUMMYFUNCTION("""COMPUTED_VALUE"""),"Harpoon Gun")</f>
        <v>Harpoon Gun</v>
      </c>
      <c r="B711" s="1" t="str">
        <f>IFERROR(__xludf.DUMMYFUNCTION("""COMPUTED_VALUE"""),"BoatGun")</f>
        <v>BoatGun</v>
      </c>
      <c r="C711" s="1" t="str">
        <f>IFERROR(__xludf.DUMMYFUNCTION("""COMPUTED_VALUE"""),"""You could use this for whaling and shark hunting, or you could use it to catch a few pirates, I don't judge,"" ~Gwennivir")</f>
        <v>"You could use this for whaling and shark hunting, or you could use it to catch a few pirates, I don't judge," ~Gwennivir</v>
      </c>
      <c r="D711" s="1" t="str">
        <f>IFERROR(__xludf.DUMMYFUNCTION("""COMPUTED_VALUE"""),"Spear")</f>
        <v>Spear</v>
      </c>
      <c r="E711" s="1">
        <f>IFERROR(__xludf.DUMMYFUNCTION("""COMPUTED_VALUE"""),400.0)</f>
        <v>400</v>
      </c>
      <c r="F711" s="2">
        <f>IFERROR(__xludf.DUMMYFUNCTION("""COMPUTED_VALUE"""),7800000.0)</f>
        <v>7800000</v>
      </c>
      <c r="G711" s="1" t="str">
        <f>IFERROR(__xludf.DUMMYFUNCTION("""COMPUTED_VALUE"""),"DMG")</f>
        <v>DMG</v>
      </c>
      <c r="H711" s="3">
        <f>IFERROR(__xludf.DUMMYFUNCTION("""COMPUTED_VALUE"""),10000.0)</f>
        <v>10000</v>
      </c>
      <c r="I711" s="1"/>
      <c r="J711" s="1"/>
      <c r="K711" s="1"/>
      <c r="L711" s="1"/>
      <c r="M711" s="1"/>
      <c r="N711" s="1"/>
      <c r="O711" s="1"/>
      <c r="P711" s="1"/>
      <c r="Q711" s="1"/>
      <c r="R711" s="1"/>
      <c r="S711" s="1"/>
      <c r="T711" s="1"/>
      <c r="U711" s="1"/>
      <c r="V711" s="1"/>
      <c r="W711" s="1"/>
      <c r="X711" s="1"/>
      <c r="Y711" s="3">
        <f>IFERROR(__xludf.DUMMYFUNCTION("""COMPUTED_VALUE"""),10000.0)</f>
        <v>10000</v>
      </c>
      <c r="Z711" s="1"/>
      <c r="AA711" s="1"/>
      <c r="AB711" s="1"/>
      <c r="AC711" s="1"/>
      <c r="AD711" s="1"/>
      <c r="AE711" s="1"/>
      <c r="AF711" s="1" t="str">
        <f>IFERROR(__xludf.DUMMYFUNCTION("""COMPUTED_VALUE"""),"++Bleed 10,000. ")</f>
        <v>++Bleed 10,000. </v>
      </c>
      <c r="AG711" s="1" t="str">
        <f>IFERROR(__xludf.DUMMYFUNCTION("""COMPUTED_VALUE"""),"Land of Spira")</f>
        <v>Land of Spira</v>
      </c>
      <c r="AH711" s="1" t="b">
        <f>IFERROR(__xludf.DUMMYFUNCTION("""COMPUTED_VALUE"""),FALSE)</f>
        <v>0</v>
      </c>
    </row>
    <row r="712">
      <c r="A712" s="1" t="str">
        <f>IFERROR(__xludf.DUMMYFUNCTION("""COMPUTED_VALUE"""),"Torpedo Launcher")</f>
        <v>Torpedo Launcher</v>
      </c>
      <c r="B712" s="1" t="str">
        <f>IFERROR(__xludf.DUMMYFUNCTION("""COMPUTED_VALUE"""),"BoatGun")</f>
        <v>BoatGun</v>
      </c>
      <c r="C712" s="1" t="str">
        <f>IFERROR(__xludf.DUMMYFUNCTION("""COMPUTED_VALUE"""),"""Sometimes you need a little more bang for your buck, in those times you need a torpedo,"" ~Gwennivir")</f>
        <v>"Sometimes you need a little more bang for your buck, in those times you need a torpedo," ~Gwennivir</v>
      </c>
      <c r="D712" s="1" t="str">
        <f>IFERROR(__xludf.DUMMYFUNCTION("""COMPUTED_VALUE"""),"Firearm")</f>
        <v>Firearm</v>
      </c>
      <c r="E712" s="1">
        <f>IFERROR(__xludf.DUMMYFUNCTION("""COMPUTED_VALUE"""),1000.0)</f>
        <v>1000</v>
      </c>
      <c r="F712" s="2">
        <f>IFERROR(__xludf.DUMMYFUNCTION("""COMPUTED_VALUE"""),4.95E7)</f>
        <v>49500000</v>
      </c>
      <c r="G712" s="1" t="str">
        <f>IFERROR(__xludf.DUMMYFUNCTION("""COMPUTED_VALUE"""),"DMG")</f>
        <v>DMG</v>
      </c>
      <c r="H712" s="3">
        <f>IFERROR(__xludf.DUMMYFUNCTION("""COMPUTED_VALUE"""),50000.0)</f>
        <v>50000</v>
      </c>
      <c r="I712" s="1"/>
      <c r="J712" s="1"/>
      <c r="K712" s="1"/>
      <c r="L712" s="1"/>
      <c r="M712" s="1"/>
      <c r="N712" s="1"/>
      <c r="O712" s="1"/>
      <c r="P712" s="1"/>
      <c r="Q712" s="1"/>
      <c r="R712" s="1"/>
      <c r="S712" s="1"/>
      <c r="T712" s="1"/>
      <c r="U712" s="1"/>
      <c r="V712" s="1"/>
      <c r="W712" s="1"/>
      <c r="X712" s="1"/>
      <c r="Y712" s="1"/>
      <c r="Z712" s="1"/>
      <c r="AA712" s="1"/>
      <c r="AB712" s="1"/>
      <c r="AC712" s="1"/>
      <c r="AD712" s="1"/>
      <c r="AE712" s="1"/>
      <c r="AF712" s="1" t="str">
        <f>IFERROR(__xludf.DUMMYFUNCTION("""COMPUTED_VALUE"""),"++ Requires Torpedos")</f>
        <v>++ Requires Torpedos</v>
      </c>
      <c r="AG712" s="1" t="str">
        <f>IFERROR(__xludf.DUMMYFUNCTION("""COMPUTED_VALUE"""),"Land of Spira")</f>
        <v>Land of Spira</v>
      </c>
      <c r="AH712" s="1" t="b">
        <f>IFERROR(__xludf.DUMMYFUNCTION("""COMPUTED_VALUE"""),FALSE)</f>
        <v>0</v>
      </c>
    </row>
    <row r="713">
      <c r="A713" s="1" t="str">
        <f>IFERROR(__xludf.DUMMYFUNCTION("""COMPUTED_VALUE"""),"Double Barrel Shotgun")</f>
        <v>Double Barrel Shotgun</v>
      </c>
      <c r="B713" s="1" t="str">
        <f>IFERROR(__xludf.DUMMYFUNCTION("""COMPUTED_VALUE"""),"Hand")</f>
        <v>Hand</v>
      </c>
      <c r="C713" s="1" t="str">
        <f>IFERROR(__xludf.DUMMYFUNCTION("""COMPUTED_VALUE"""),"""Because what's better than one barrel? Two,"" ~Gwennivir")</f>
        <v>"Because what's better than one barrel? Two," ~Gwennivir</v>
      </c>
      <c r="D713" s="1" t="str">
        <f>IFERROR(__xludf.DUMMYFUNCTION("""COMPUTED_VALUE"""),"Firearm")</f>
        <v>Firearm</v>
      </c>
      <c r="E713" s="1">
        <f>IFERROR(__xludf.DUMMYFUNCTION("""COMPUTED_VALUE"""),800.0)</f>
        <v>800</v>
      </c>
      <c r="F713" s="2">
        <f>IFERROR(__xludf.DUMMYFUNCTION("""COMPUTED_VALUE"""),3.16E7)</f>
        <v>31600000</v>
      </c>
      <c r="G713" s="1" t="str">
        <f>IFERROR(__xludf.DUMMYFUNCTION("""COMPUTED_VALUE"""),"DMG")</f>
        <v>DMG</v>
      </c>
      <c r="H713" s="3">
        <f>IFERROR(__xludf.DUMMYFUNCTION("""COMPUTED_VALUE"""),20000.0)</f>
        <v>20000</v>
      </c>
      <c r="I713" s="1"/>
      <c r="J713" s="1"/>
      <c r="K713" s="1"/>
      <c r="L713" s="1"/>
      <c r="M713" s="1"/>
      <c r="N713" s="1"/>
      <c r="O713" s="1"/>
      <c r="P713" s="1"/>
      <c r="Q713" s="1"/>
      <c r="R713" s="1"/>
      <c r="S713" s="1"/>
      <c r="T713" s="1"/>
      <c r="U713" s="1"/>
      <c r="V713" s="1"/>
      <c r="W713" s="1"/>
      <c r="X713" s="1"/>
      <c r="Y713" s="3">
        <f>IFERROR(__xludf.DUMMYFUNCTION("""COMPUTED_VALUE"""),20000.0)</f>
        <v>20000</v>
      </c>
      <c r="Z713" s="1"/>
      <c r="AA713" s="1"/>
      <c r="AB713" s="1"/>
      <c r="AC713" s="1"/>
      <c r="AD713" s="1"/>
      <c r="AE713" s="1"/>
      <c r="AF713" s="1" t="str">
        <f>IFERROR(__xludf.DUMMYFUNCTION("""COMPUTED_VALUE"""),"++You can use this Firearm twice on your turn during battle if you attack with it +-Cannot be forged +-Cannot be duplicated")</f>
        <v>++You can use this Firearm twice on your turn during battle if you attack with it +-Cannot be forged +-Cannot be duplicated</v>
      </c>
      <c r="AG713" s="1" t="str">
        <f>IFERROR(__xludf.DUMMYFUNCTION("""COMPUTED_VALUE"""),"Land of Spira")</f>
        <v>Land of Spira</v>
      </c>
      <c r="AH713" s="1" t="b">
        <f>IFERROR(__xludf.DUMMYFUNCTION("""COMPUTED_VALUE"""),FALSE)</f>
        <v>0</v>
      </c>
    </row>
    <row r="714">
      <c r="A714" s="1" t="str">
        <f>IFERROR(__xludf.DUMMYFUNCTION("""COMPUTED_VALUE"""),"Single Barrel Shotgun")</f>
        <v>Single Barrel Shotgun</v>
      </c>
      <c r="B714" s="1" t="str">
        <f>IFERROR(__xludf.DUMMYFUNCTION("""COMPUTED_VALUE"""),"Hand")</f>
        <v>Hand</v>
      </c>
      <c r="C714" s="1" t="str">
        <f>IFERROR(__xludf.DUMMYFUNCTION("""COMPUTED_VALUE"""),"""For when you want to put more than one hole in your enemies at a time"" ~Gwennivir")</f>
        <v>"For when you want to put more than one hole in your enemies at a time" ~Gwennivir</v>
      </c>
      <c r="D714" s="1" t="str">
        <f>IFERROR(__xludf.DUMMYFUNCTION("""COMPUTED_VALUE"""),"Firearm")</f>
        <v>Firearm</v>
      </c>
      <c r="E714" s="1">
        <f>IFERROR(__xludf.DUMMYFUNCTION("""COMPUTED_VALUE"""),400.0)</f>
        <v>400</v>
      </c>
      <c r="F714" s="2">
        <f>IFERROR(__xludf.DUMMYFUNCTION("""COMPUTED_VALUE"""),7800000.0)</f>
        <v>7800000</v>
      </c>
      <c r="G714" s="1" t="str">
        <f>IFERROR(__xludf.DUMMYFUNCTION("""COMPUTED_VALUE"""),"DMG")</f>
        <v>DMG</v>
      </c>
      <c r="H714" s="3">
        <f>IFERROR(__xludf.DUMMYFUNCTION("""COMPUTED_VALUE"""),10000.0)</f>
        <v>10000</v>
      </c>
      <c r="I714" s="1"/>
      <c r="J714" s="1"/>
      <c r="K714" s="1"/>
      <c r="L714" s="1"/>
      <c r="M714" s="1"/>
      <c r="N714" s="1"/>
      <c r="O714" s="1"/>
      <c r="P714" s="1"/>
      <c r="Q714" s="1"/>
      <c r="R714" s="1"/>
      <c r="S714" s="1"/>
      <c r="T714" s="1"/>
      <c r="U714" s="1"/>
      <c r="V714" s="1"/>
      <c r="W714" s="1"/>
      <c r="X714" s="1"/>
      <c r="Y714" s="3">
        <f>IFERROR(__xludf.DUMMYFUNCTION("""COMPUTED_VALUE"""),10000.0)</f>
        <v>10000</v>
      </c>
      <c r="Z714" s="1"/>
      <c r="AA714" s="1"/>
      <c r="AB714" s="1"/>
      <c r="AC714" s="1"/>
      <c r="AD714" s="1"/>
      <c r="AE714" s="1"/>
      <c r="AF714" s="1"/>
      <c r="AG714" s="1" t="str">
        <f>IFERROR(__xludf.DUMMYFUNCTION("""COMPUTED_VALUE"""),"Land of Spira")</f>
        <v>Land of Spira</v>
      </c>
      <c r="AH714" s="1" t="b">
        <f>IFERROR(__xludf.DUMMYFUNCTION("""COMPUTED_VALUE"""),FALSE)</f>
        <v>0</v>
      </c>
    </row>
    <row r="715">
      <c r="A715" s="1" t="str">
        <f>IFERROR(__xludf.DUMMYFUNCTION("""COMPUTED_VALUE"""),"Poison Staff")</f>
        <v>Poison Staff</v>
      </c>
      <c r="B715" s="1" t="str">
        <f>IFERROR(__xludf.DUMMYFUNCTION("""COMPUTED_VALUE"""),"Hand")</f>
        <v>Hand</v>
      </c>
      <c r="C715" s="1" t="str">
        <f>IFERROR(__xludf.DUMMYFUNCTION("""COMPUTED_VALUE"""),"""Poison is generally looked down upon as a cowardly tactic by all but the poison master, but you must admit to it's efficieny"" ~Poison Master Hun")</f>
        <v>"Poison is generally looked down upon as a cowardly tactic by all but the poison master, but you must admit to it's efficieny" ~Poison Master Hun</v>
      </c>
      <c r="D715" s="1" t="str">
        <f>IFERROR(__xludf.DUMMYFUNCTION("""COMPUTED_VALUE"""),"Staff")</f>
        <v>Staff</v>
      </c>
      <c r="E715" s="1">
        <f>IFERROR(__xludf.DUMMYFUNCTION("""COMPUTED_VALUE"""),2000.0)</f>
        <v>2000</v>
      </c>
      <c r="F715" s="2">
        <f>IFERROR(__xludf.DUMMYFUNCTION("""COMPUTED_VALUE"""),1.99E8)</f>
        <v>199000000</v>
      </c>
      <c r="G715" s="1" t="str">
        <f>IFERROR(__xludf.DUMMYFUNCTION("""COMPUTED_VALUE"""),"DMG")</f>
        <v>DMG</v>
      </c>
      <c r="H715" s="1"/>
      <c r="I715" s="1"/>
      <c r="J715" s="1"/>
      <c r="K715" s="1"/>
      <c r="L715" s="1"/>
      <c r="M715" s="1"/>
      <c r="N715" s="1"/>
      <c r="O715" s="1"/>
      <c r="P715" s="1"/>
      <c r="Q715" s="1"/>
      <c r="R715" s="1"/>
      <c r="S715" s="3">
        <f>IFERROR(__xludf.DUMMYFUNCTION("""COMPUTED_VALUE"""),100000.0)</f>
        <v>100000</v>
      </c>
      <c r="T715" s="1"/>
      <c r="U715" s="1"/>
      <c r="V715" s="1"/>
      <c r="W715" s="1"/>
      <c r="X715" s="1"/>
      <c r="Y715" s="1"/>
      <c r="Z715" s="1"/>
      <c r="AA715" s="1"/>
      <c r="AB715" s="1"/>
      <c r="AC715" s="1"/>
      <c r="AD715" s="1"/>
      <c r="AE715" s="1"/>
      <c r="AF715" s="1" t="str">
        <f>IFERROR(__xludf.DUMMYFUNCTION("""COMPUTED_VALUE"""),"++ Poison 20,000")</f>
        <v>++ Poison 20,000</v>
      </c>
      <c r="AG715" s="1" t="str">
        <f>IFERROR(__xludf.DUMMYFUNCTION("""COMPUTED_VALUE"""),"Dragonscale Island")</f>
        <v>Dragonscale Island</v>
      </c>
      <c r="AH715" s="1" t="b">
        <f>IFERROR(__xludf.DUMMYFUNCTION("""COMPUTED_VALUE"""),FALSE)</f>
        <v>0</v>
      </c>
    </row>
    <row r="716">
      <c r="A716" s="1" t="str">
        <f>IFERROR(__xludf.DUMMYFUNCTION("""COMPUTED_VALUE"""),"Chameldrians Staff of Thriving Blossoms")</f>
        <v>Chameldrians Staff of Thriving Blossoms</v>
      </c>
      <c r="B716" s="1" t="str">
        <f>IFERROR(__xludf.DUMMYFUNCTION("""COMPUTED_VALUE"""),"Hand")</f>
        <v>Hand</v>
      </c>
      <c r="C716" s="1" t="str">
        <f>IFERROR(__xludf.DUMMYFUNCTION("""COMPUTED_VALUE"""),"""Truly a beatiful show of Chameldrian craftsmanship, too bad it's more often than not going to be pointed at you"" ~Poison Master Hun")</f>
        <v>"Truly a beatiful show of Chameldrian craftsmanship, too bad it's more often than not going to be pointed at you" ~Poison Master Hun</v>
      </c>
      <c r="D716" s="1" t="str">
        <f>IFERROR(__xludf.DUMMYFUNCTION("""COMPUTED_VALUE"""),"Staff")</f>
        <v>Staff</v>
      </c>
      <c r="E716" s="1">
        <f>IFERROR(__xludf.DUMMYFUNCTION("""COMPUTED_VALUE"""),2000.0)</f>
        <v>2000</v>
      </c>
      <c r="F716" s="2">
        <f>IFERROR(__xludf.DUMMYFUNCTION("""COMPUTED_VALUE"""),1.99E8)</f>
        <v>199000000</v>
      </c>
      <c r="G716" s="1"/>
      <c r="H716" s="1"/>
      <c r="I716" s="1"/>
      <c r="J716" s="1"/>
      <c r="K716" s="1"/>
      <c r="L716" s="1"/>
      <c r="M716" s="1"/>
      <c r="N716" s="1"/>
      <c r="O716" s="1"/>
      <c r="P716" s="1"/>
      <c r="Q716" s="1"/>
      <c r="R716" s="1"/>
      <c r="S716" s="3">
        <f>IFERROR(__xludf.DUMMYFUNCTION("""COMPUTED_VALUE"""),100000.0)</f>
        <v>100000</v>
      </c>
      <c r="T716" s="1"/>
      <c r="U716" s="1"/>
      <c r="V716" s="1"/>
      <c r="W716" s="1"/>
      <c r="X716" s="1"/>
      <c r="Y716" s="1"/>
      <c r="Z716" s="1"/>
      <c r="AA716" s="1"/>
      <c r="AB716" s="1"/>
      <c r="AC716" s="1"/>
      <c r="AD716" s="1"/>
      <c r="AE716" s="1"/>
      <c r="AF716" s="1" t="str">
        <f>IFERROR(__xludf.DUMMYFUNCTION("""COMPUTED_VALUE"""),"++Natures Shield - If you take damage that would kill you, you will live at 1hp once per battle. +-Cannot be forged. +-Cannot be duplicated.")</f>
        <v>++Natures Shield - If you take damage that would kill you, you will live at 1hp once per battle. +-Cannot be forged. +-Cannot be duplicated.</v>
      </c>
      <c r="AG716" s="1" t="str">
        <f>IFERROR(__xludf.DUMMYFUNCTION("""COMPUTED_VALUE"""),"Dragonscale Island")</f>
        <v>Dragonscale Island</v>
      </c>
      <c r="AH716" s="1" t="b">
        <f>IFERROR(__xludf.DUMMYFUNCTION("""COMPUTED_VALUE"""),FALSE)</f>
        <v>0</v>
      </c>
    </row>
    <row r="717">
      <c r="A717" s="1" t="str">
        <f>IFERROR(__xludf.DUMMYFUNCTION("""COMPUTED_VALUE"""),"Cooper's Memento")</f>
        <v>Cooper's Memento</v>
      </c>
      <c r="B717" s="1" t="str">
        <f>IFERROR(__xludf.DUMMYFUNCTION("""COMPUTED_VALUE"""),"Arms")</f>
        <v>Arms</v>
      </c>
      <c r="C717" s="1" t="str">
        <f>IFERROR(__xludf.DUMMYFUNCTION("""COMPUTED_VALUE"""),"A small stopwatch, the ticking has stopped.")</f>
        <v>A small stopwatch, the ticking has stopped.</v>
      </c>
      <c r="D717" s="1" t="str">
        <f>IFERROR(__xludf.DUMMYFUNCTION("""COMPUTED_VALUE"""),"Item")</f>
        <v>Item</v>
      </c>
      <c r="E717" s="1">
        <f>IFERROR(__xludf.DUMMYFUNCTION("""COMPUTED_VALUE"""),1.0)</f>
        <v>1</v>
      </c>
      <c r="F717" s="2">
        <f>IFERROR(__xludf.DUMMYFUNCTION("""COMPUTED_VALUE"""),0.0)</f>
        <v>0</v>
      </c>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t="str">
        <f>IFERROR(__xludf.DUMMYFUNCTION("""COMPUTED_VALUE"""),"++15% chance to be unaffected by a curse")</f>
        <v>++15% chance to be unaffected by a curse</v>
      </c>
      <c r="AG717" s="1" t="str">
        <f>IFERROR(__xludf.DUMMYFUNCTION("""COMPUTED_VALUE"""),"Land of Spira")</f>
        <v>Land of Spira</v>
      </c>
      <c r="AH717" s="1" t="b">
        <f>IFERROR(__xludf.DUMMYFUNCTION("""COMPUTED_VALUE"""),FALSE)</f>
        <v>0</v>
      </c>
    </row>
    <row r="718">
      <c r="A718" s="1" t="str">
        <f>IFERROR(__xludf.DUMMYFUNCTION("""COMPUTED_VALUE"""),"Gaian Champion's Shield")</f>
        <v>Gaian Champion's Shield</v>
      </c>
      <c r="B718" s="1" t="str">
        <f>IFERROR(__xludf.DUMMYFUNCTION("""COMPUTED_VALUE"""),"Hand")</f>
        <v>Hand</v>
      </c>
      <c r="C718" s="1" t="str">
        <f>IFERROR(__xludf.DUMMYFUNCTION("""COMPUTED_VALUE"""),"""We are born to be the shield of the people, too many paladins forget this simple fact"" ~Grisaia")</f>
        <v>"We are born to be the shield of the people, too many paladins forget this simple fact" ~Grisaia</v>
      </c>
      <c r="D718" s="1" t="str">
        <f>IFERROR(__xludf.DUMMYFUNCTION("""COMPUTED_VALUE"""),"Towershield")</f>
        <v>Towershield</v>
      </c>
      <c r="E718" s="1">
        <f>IFERROR(__xludf.DUMMYFUNCTION("""COMPUTED_VALUE"""),200.0)</f>
        <v>200</v>
      </c>
      <c r="F718" s="2">
        <f>IFERROR(__xludf.DUMMYFUNCTION("""COMPUTED_VALUE"""),1.2475E9)</f>
        <v>1247500000</v>
      </c>
      <c r="G718" s="1" t="str">
        <f>IFERROR(__xludf.DUMMYFUNCTION("""COMPUTED_VALUE"""),"DEF")</f>
        <v>DEF</v>
      </c>
      <c r="H718" s="3">
        <f>IFERROR(__xludf.DUMMYFUNCTION("""COMPUTED_VALUE"""),50000.0)</f>
        <v>50000</v>
      </c>
      <c r="I718" s="3">
        <f>IFERROR(__xludf.DUMMYFUNCTION("""COMPUTED_VALUE"""),50000.0)</f>
        <v>50000</v>
      </c>
      <c r="J718" s="1"/>
      <c r="K718" s="1"/>
      <c r="L718" s="3">
        <f>IFERROR(__xludf.DUMMYFUNCTION("""COMPUTED_VALUE"""),50000.0)</f>
        <v>50000</v>
      </c>
      <c r="M718" s="3">
        <f>IFERROR(__xludf.DUMMYFUNCTION("""COMPUTED_VALUE"""),50000.0)</f>
        <v>50000</v>
      </c>
      <c r="N718" s="1"/>
      <c r="O718" s="1"/>
      <c r="P718" s="1"/>
      <c r="Q718" s="1"/>
      <c r="R718" s="1"/>
      <c r="S718" s="1"/>
      <c r="T718" s="1"/>
      <c r="U718" s="1"/>
      <c r="V718" s="1"/>
      <c r="W718" s="1"/>
      <c r="X718" s="1"/>
      <c r="Y718" s="1"/>
      <c r="Z718" s="1"/>
      <c r="AA718" s="1"/>
      <c r="AB718" s="1"/>
      <c r="AC718" s="3">
        <f>IFERROR(__xludf.DUMMYFUNCTION("""COMPUTED_VALUE"""),50000.0)</f>
        <v>50000</v>
      </c>
      <c r="AD718" s="1"/>
      <c r="AE718" s="1"/>
      <c r="AF718" s="1" t="str">
        <f>IFERROR(__xludf.DUMMYFUNCTION("""COMPUTED_VALUE"""),"++15% chance to prevent an ally from taking damage when hit by an attack. ++X6 Earth Damage +-Cannot be Duplicated")</f>
        <v>++15% chance to prevent an ally from taking damage when hit by an attack. ++X6 Earth Damage +-Cannot be Duplicated</v>
      </c>
      <c r="AG718" s="1" t="str">
        <f>IFERROR(__xludf.DUMMYFUNCTION("""COMPUTED_VALUE"""),"Land of Spira")</f>
        <v>Land of Spira</v>
      </c>
      <c r="AH718" s="1" t="b">
        <f>IFERROR(__xludf.DUMMYFUNCTION("""COMPUTED_VALUE"""),FALSE)</f>
        <v>0</v>
      </c>
    </row>
    <row r="719">
      <c r="A719" s="1" t="str">
        <f>IFERROR(__xludf.DUMMYFUNCTION("""COMPUTED_VALUE"""),"The Billowing Bludgeon")</f>
        <v>The Billowing Bludgeon</v>
      </c>
      <c r="B719" s="1" t="str">
        <f>IFERROR(__xludf.DUMMYFUNCTION("""COMPUTED_VALUE"""),"Hand")</f>
        <v>Hand</v>
      </c>
      <c r="C719" s="1" t="str">
        <f>IFERROR(__xludf.DUMMYFUNCTION("""COMPUTED_VALUE"""),"""Sure, you could use this as how a staff is supposed to be used, but hitting your enemy on the head with it is more fun"" ~Fire Tiki Mountain Shaman")</f>
        <v>"Sure, you could use this as how a staff is supposed to be used, but hitting your enemy on the head with it is more fun" ~Fire Tiki Mountain Shaman</v>
      </c>
      <c r="D719" s="1" t="str">
        <f>IFERROR(__xludf.DUMMYFUNCTION("""COMPUTED_VALUE"""),"Staff")</f>
        <v>Staff</v>
      </c>
      <c r="E719" s="1">
        <f>IFERROR(__xludf.DUMMYFUNCTION("""COMPUTED_VALUE"""),200.0)</f>
        <v>200</v>
      </c>
      <c r="F719" s="2">
        <f>IFERROR(__xludf.DUMMYFUNCTION("""COMPUTED_VALUE"""),1.797E9)</f>
        <v>1797000000</v>
      </c>
      <c r="G719" s="1" t="str">
        <f>IFERROR(__xludf.DUMMYFUNCTION("""COMPUTED_VALUE"""),"DMG")</f>
        <v>DMG</v>
      </c>
      <c r="H719" s="3">
        <f>IFERROR(__xludf.DUMMYFUNCTION("""COMPUTED_VALUE"""),75000.0)</f>
        <v>75000</v>
      </c>
      <c r="I719" s="3">
        <f>IFERROR(__xludf.DUMMYFUNCTION("""COMPUTED_VALUE"""),75000.0)</f>
        <v>75000</v>
      </c>
      <c r="J719" s="1"/>
      <c r="K719" s="1"/>
      <c r="L719" s="1"/>
      <c r="M719" s="3">
        <f>IFERROR(__xludf.DUMMYFUNCTION("""COMPUTED_VALUE"""),75000.0)</f>
        <v>75000</v>
      </c>
      <c r="N719" s="1"/>
      <c r="O719" s="1"/>
      <c r="P719" s="1"/>
      <c r="Q719" s="1"/>
      <c r="R719" s="1"/>
      <c r="S719" s="1"/>
      <c r="T719" s="1"/>
      <c r="U719" s="1"/>
      <c r="V719" s="1"/>
      <c r="W719" s="1"/>
      <c r="X719" s="1"/>
      <c r="Y719" s="1"/>
      <c r="Z719" s="1"/>
      <c r="AA719" s="1"/>
      <c r="AB719" s="1"/>
      <c r="AC719" s="3">
        <f>IFERROR(__xludf.DUMMYFUNCTION("""COMPUTED_VALUE"""),75000.0)</f>
        <v>75000</v>
      </c>
      <c r="AD719" s="1"/>
      <c r="AE719" s="1"/>
      <c r="AF719" s="1" t="str">
        <f>IFERROR(__xludf.DUMMYFUNCTION("""COMPUTED_VALUE"""),"++X6 Earth and Fire damage. ++Additional X6 Earth and Fire damage if the enemy is Vulerable to either damage type. ++Billowing Smoke - Cover the field in smoke and flames giving enemies Blindness 3 and Burn 5000 for 3 rounds. 1000 sp")</f>
        <v>++X6 Earth and Fire damage. ++Additional X6 Earth and Fire damage if the enemy is Vulerable to either damage type. ++Billowing Smoke - Cover the field in smoke and flames giving enemies Blindness 3 and Burn 5000 for 3 rounds. 1000 sp</v>
      </c>
      <c r="AG719" s="1" t="str">
        <f>IFERROR(__xludf.DUMMYFUNCTION("""COMPUTED_VALUE"""),"Land of Spira")</f>
        <v>Land of Spira</v>
      </c>
      <c r="AH719" s="1" t="b">
        <f>IFERROR(__xludf.DUMMYFUNCTION("""COMPUTED_VALUE"""),FALSE)</f>
        <v>0</v>
      </c>
    </row>
    <row r="720">
      <c r="A720" s="1" t="str">
        <f>IFERROR(__xludf.DUMMYFUNCTION("""COMPUTED_VALUE"""),"Home Run Bat")</f>
        <v>Home Run Bat</v>
      </c>
      <c r="B720" s="1" t="str">
        <f>IFERROR(__xludf.DUMMYFUNCTION("""COMPUTED_VALUE"""),"Hand")</f>
        <v>Hand</v>
      </c>
      <c r="C720" s="1"/>
      <c r="D720" s="1" t="str">
        <f>IFERROR(__xludf.DUMMYFUNCTION("""COMPUTED_VALUE"""),"Club")</f>
        <v>Club</v>
      </c>
      <c r="E720" s="1">
        <f>IFERROR(__xludf.DUMMYFUNCTION("""COMPUTED_VALUE"""),200.0)</f>
        <v>200</v>
      </c>
      <c r="F720" s="2">
        <f>IFERROR(__xludf.DUMMYFUNCTION("""COMPUTED_VALUE"""),7.98E8)</f>
        <v>798000000</v>
      </c>
      <c r="G720" s="1" t="str">
        <f>IFERROR(__xludf.DUMMYFUNCTION("""COMPUTED_VALUE"""),"DMG")</f>
        <v>DMG</v>
      </c>
      <c r="H720" s="3">
        <f>IFERROR(__xludf.DUMMYFUNCTION("""COMPUTED_VALUE"""),100000.0)</f>
        <v>100000</v>
      </c>
      <c r="I720" s="1"/>
      <c r="J720" s="1"/>
      <c r="K720" s="1"/>
      <c r="L720" s="1"/>
      <c r="M720" s="1"/>
      <c r="N720" s="1"/>
      <c r="O720" s="1"/>
      <c r="P720" s="1"/>
      <c r="Q720" s="1"/>
      <c r="R720" s="1"/>
      <c r="S720" s="1"/>
      <c r="T720" s="1"/>
      <c r="U720" s="1"/>
      <c r="V720" s="1"/>
      <c r="W720" s="1"/>
      <c r="X720" s="1"/>
      <c r="Y720" s="1"/>
      <c r="Z720" s="1"/>
      <c r="AA720" s="1"/>
      <c r="AB720" s="1"/>
      <c r="AC720" s="3">
        <f>IFERROR(__xludf.DUMMYFUNCTION("""COMPUTED_VALUE"""),100000.0)</f>
        <v>100000</v>
      </c>
      <c r="AD720" s="1"/>
      <c r="AE720" s="1"/>
      <c r="AF720" s="1" t="str">
        <f>IFERROR(__xludf.DUMMYFUNCTION("""COMPUTED_VALUE"""),"++Batter Up! - Plus 2 to turn order roll. ++Home Run - If you roll a 20 or higher while attacking with this weapon the attack roll becomes double. +-Cannot be forged. +-Cannot be duplicated.")</f>
        <v>++Batter Up! - Plus 2 to turn order roll. ++Home Run - If you roll a 20 or higher while attacking with this weapon the attack roll becomes double. +-Cannot be forged. +-Cannot be duplicated.</v>
      </c>
      <c r="AG720" s="1" t="str">
        <f>IFERROR(__xludf.DUMMYFUNCTION("""COMPUTED_VALUE"""),"Land of Spira")</f>
        <v>Land of Spira</v>
      </c>
      <c r="AH720" s="1" t="b">
        <f>IFERROR(__xludf.DUMMYFUNCTION("""COMPUTED_VALUE"""),FALSE)</f>
        <v>0</v>
      </c>
    </row>
    <row r="721">
      <c r="A721" s="1" t="str">
        <f>IFERROR(__xludf.DUMMYFUNCTION("""COMPUTED_VALUE"""),"Lunar New Year Dragon Head")</f>
        <v>Lunar New Year Dragon Head</v>
      </c>
      <c r="B721" s="1" t="str">
        <f>IFERROR(__xludf.DUMMYFUNCTION("""COMPUTED_VALUE"""),"Head")</f>
        <v>Head</v>
      </c>
      <c r="C721" s="1"/>
      <c r="D721" s="1" t="str">
        <f>IFERROR(__xludf.DUMMYFUNCTION("""COMPUTED_VALUE"""),"Item")</f>
        <v>Item</v>
      </c>
      <c r="E721" s="1">
        <f>IFERROR(__xludf.DUMMYFUNCTION("""COMPUTED_VALUE"""),200.0)</f>
        <v>200</v>
      </c>
      <c r="F721" s="2">
        <f>IFERROR(__xludf.DUMMYFUNCTION("""COMPUTED_VALUE"""),1.1175E8)</f>
        <v>111750000</v>
      </c>
      <c r="G721" s="1" t="str">
        <f>IFERROR(__xludf.DUMMYFUNCTION("""COMPUTED_VALUE"""),"DEF")</f>
        <v>DEF</v>
      </c>
      <c r="H721" s="3">
        <f>IFERROR(__xludf.DUMMYFUNCTION("""COMPUTED_VALUE"""),25000.0)</f>
        <v>25000</v>
      </c>
      <c r="I721" s="3">
        <f>IFERROR(__xludf.DUMMYFUNCTION("""COMPUTED_VALUE"""),25000.0)</f>
        <v>25000</v>
      </c>
      <c r="J721" s="1"/>
      <c r="K721" s="1"/>
      <c r="L721" s="1"/>
      <c r="M721" s="1"/>
      <c r="N721" s="1"/>
      <c r="O721" s="1"/>
      <c r="P721" s="1"/>
      <c r="Q721" s="1"/>
      <c r="R721" s="1"/>
      <c r="S721" s="1"/>
      <c r="T721" s="1"/>
      <c r="U721" s="1"/>
      <c r="V721" s="1"/>
      <c r="W721" s="1"/>
      <c r="X721" s="1"/>
      <c r="Y721" s="1"/>
      <c r="Z721" s="1"/>
      <c r="AA721" s="1"/>
      <c r="AB721" s="1"/>
      <c r="AC721" s="3">
        <f>IFERROR(__xludf.DUMMYFUNCTION("""COMPUTED_VALUE"""),25000.0)</f>
        <v>25000</v>
      </c>
      <c r="AD721" s="1"/>
      <c r="AE721" s="1"/>
      <c r="AF721" s="1" t="str">
        <f>IFERROR(__xludf.DUMMYFUNCTION("""COMPUTED_VALUE"""),"++Gain ""Greater Dragon's Breath"" Power. ++X2 additional Fire Damage.")</f>
        <v>++Gain "Greater Dragon's Breath" Power. ++X2 additional Fire Damage.</v>
      </c>
      <c r="AG721" s="1" t="str">
        <f>IFERROR(__xludf.DUMMYFUNCTION("""COMPUTED_VALUE"""),"Land of Spira")</f>
        <v>Land of Spira</v>
      </c>
      <c r="AH721" s="1" t="b">
        <f>IFERROR(__xludf.DUMMYFUNCTION("""COMPUTED_VALUE"""),FALSE)</f>
        <v>0</v>
      </c>
    </row>
    <row r="722">
      <c r="A722" s="1" t="str">
        <f>IFERROR(__xludf.DUMMYFUNCTION("""COMPUTED_VALUE"""),"Lunar New Year Dragon Shoulders")</f>
        <v>Lunar New Year Dragon Shoulders</v>
      </c>
      <c r="B722" s="1" t="str">
        <f>IFERROR(__xludf.DUMMYFUNCTION("""COMPUTED_VALUE"""),"Shoulders")</f>
        <v>Shoulders</v>
      </c>
      <c r="C722" s="1"/>
      <c r="D722" s="1" t="str">
        <f>IFERROR(__xludf.DUMMYFUNCTION("""COMPUTED_VALUE"""),"Item")</f>
        <v>Item</v>
      </c>
      <c r="E722" s="1">
        <f>IFERROR(__xludf.DUMMYFUNCTION("""COMPUTED_VALUE"""),200.0)</f>
        <v>200</v>
      </c>
      <c r="F722" s="2">
        <f>IFERROR(__xludf.DUMMYFUNCTION("""COMPUTED_VALUE"""),1.1175E8)</f>
        <v>111750000</v>
      </c>
      <c r="G722" s="1" t="str">
        <f>IFERROR(__xludf.DUMMYFUNCTION("""COMPUTED_VALUE"""),"DEF")</f>
        <v>DEF</v>
      </c>
      <c r="H722" s="3">
        <f>IFERROR(__xludf.DUMMYFUNCTION("""COMPUTED_VALUE"""),25000.0)</f>
        <v>25000</v>
      </c>
      <c r="I722" s="3">
        <f>IFERROR(__xludf.DUMMYFUNCTION("""COMPUTED_VALUE"""),25000.0)</f>
        <v>25000</v>
      </c>
      <c r="J722" s="1"/>
      <c r="K722" s="1"/>
      <c r="L722" s="1"/>
      <c r="M722" s="1"/>
      <c r="N722" s="1"/>
      <c r="O722" s="1"/>
      <c r="P722" s="1"/>
      <c r="Q722" s="1"/>
      <c r="R722" s="1"/>
      <c r="S722" s="1"/>
      <c r="T722" s="1"/>
      <c r="U722" s="1"/>
      <c r="V722" s="1"/>
      <c r="W722" s="1"/>
      <c r="X722" s="1"/>
      <c r="Y722" s="1"/>
      <c r="Z722" s="1"/>
      <c r="AA722" s="1"/>
      <c r="AB722" s="1"/>
      <c r="AC722" s="3">
        <f>IFERROR(__xludf.DUMMYFUNCTION("""COMPUTED_VALUE"""),25000.0)</f>
        <v>25000</v>
      </c>
      <c r="AD722" s="1"/>
      <c r="AE722" s="1"/>
      <c r="AF722" s="1" t="str">
        <f>IFERROR(__xludf.DUMMYFUNCTION("""COMPUTED_VALUE"""),"++X2 additional Fire Damage.")</f>
        <v>++X2 additional Fire Damage.</v>
      </c>
      <c r="AG722" s="1" t="str">
        <f>IFERROR(__xludf.DUMMYFUNCTION("""COMPUTED_VALUE"""),"Land of Spira")</f>
        <v>Land of Spira</v>
      </c>
      <c r="AH722" s="1" t="b">
        <f>IFERROR(__xludf.DUMMYFUNCTION("""COMPUTED_VALUE"""),FALSE)</f>
        <v>0</v>
      </c>
    </row>
    <row r="723">
      <c r="A723" s="1" t="str">
        <f>IFERROR(__xludf.DUMMYFUNCTION("""COMPUTED_VALUE"""),"Lunar New Year Dragon Arms")</f>
        <v>Lunar New Year Dragon Arms</v>
      </c>
      <c r="B723" s="1" t="str">
        <f>IFERROR(__xludf.DUMMYFUNCTION("""COMPUTED_VALUE"""),"Arms")</f>
        <v>Arms</v>
      </c>
      <c r="C723" s="1"/>
      <c r="D723" s="1" t="str">
        <f>IFERROR(__xludf.DUMMYFUNCTION("""COMPUTED_VALUE"""),"Item")</f>
        <v>Item</v>
      </c>
      <c r="E723" s="1">
        <f>IFERROR(__xludf.DUMMYFUNCTION("""COMPUTED_VALUE"""),200.0)</f>
        <v>200</v>
      </c>
      <c r="F723" s="2">
        <f>IFERROR(__xludf.DUMMYFUNCTION("""COMPUTED_VALUE"""),1.1175E8)</f>
        <v>111750000</v>
      </c>
      <c r="G723" s="1" t="str">
        <f>IFERROR(__xludf.DUMMYFUNCTION("""COMPUTED_VALUE"""),"DEF")</f>
        <v>DEF</v>
      </c>
      <c r="H723" s="3">
        <f>IFERROR(__xludf.DUMMYFUNCTION("""COMPUTED_VALUE"""),25000.0)</f>
        <v>25000</v>
      </c>
      <c r="I723" s="3">
        <f>IFERROR(__xludf.DUMMYFUNCTION("""COMPUTED_VALUE"""),25000.0)</f>
        <v>25000</v>
      </c>
      <c r="J723" s="1"/>
      <c r="K723" s="1"/>
      <c r="L723" s="1"/>
      <c r="M723" s="1"/>
      <c r="N723" s="1"/>
      <c r="O723" s="1"/>
      <c r="P723" s="1"/>
      <c r="Q723" s="1"/>
      <c r="R723" s="1"/>
      <c r="S723" s="1"/>
      <c r="T723" s="1"/>
      <c r="U723" s="1"/>
      <c r="V723" s="1"/>
      <c r="W723" s="1"/>
      <c r="X723" s="1"/>
      <c r="Y723" s="1"/>
      <c r="Z723" s="1"/>
      <c r="AA723" s="1"/>
      <c r="AB723" s="1"/>
      <c r="AC723" s="3">
        <f>IFERROR(__xludf.DUMMYFUNCTION("""COMPUTED_VALUE"""),25000.0)</f>
        <v>25000</v>
      </c>
      <c r="AD723" s="1"/>
      <c r="AE723" s="1"/>
      <c r="AF723" s="1" t="str">
        <f>IFERROR(__xludf.DUMMYFUNCTION("""COMPUTED_VALUE"""),"++X2 additional Fire Damage.")</f>
        <v>++X2 additional Fire Damage.</v>
      </c>
      <c r="AG723" s="1" t="str">
        <f>IFERROR(__xludf.DUMMYFUNCTION("""COMPUTED_VALUE"""),"Land of Spira")</f>
        <v>Land of Spira</v>
      </c>
      <c r="AH723" s="1" t="b">
        <f>IFERROR(__xludf.DUMMYFUNCTION("""COMPUTED_VALUE"""),FALSE)</f>
        <v>0</v>
      </c>
    </row>
    <row r="724">
      <c r="A724" s="1" t="str">
        <f>IFERROR(__xludf.DUMMYFUNCTION("""COMPUTED_VALUE"""),"Lunar New Year Dragon Torso")</f>
        <v>Lunar New Year Dragon Torso</v>
      </c>
      <c r="B724" s="1" t="str">
        <f>IFERROR(__xludf.DUMMYFUNCTION("""COMPUTED_VALUE"""),"Torso")</f>
        <v>Torso</v>
      </c>
      <c r="C724" s="1"/>
      <c r="D724" s="1" t="str">
        <f>IFERROR(__xludf.DUMMYFUNCTION("""COMPUTED_VALUE"""),"Item")</f>
        <v>Item</v>
      </c>
      <c r="E724" s="1">
        <f>IFERROR(__xludf.DUMMYFUNCTION("""COMPUTED_VALUE"""),200.0)</f>
        <v>200</v>
      </c>
      <c r="F724" s="2">
        <f>IFERROR(__xludf.DUMMYFUNCTION("""COMPUTED_VALUE"""),1.1175E8)</f>
        <v>111750000</v>
      </c>
      <c r="G724" s="1" t="str">
        <f>IFERROR(__xludf.DUMMYFUNCTION("""COMPUTED_VALUE"""),"DEF")</f>
        <v>DEF</v>
      </c>
      <c r="H724" s="3">
        <f>IFERROR(__xludf.DUMMYFUNCTION("""COMPUTED_VALUE"""),25000.0)</f>
        <v>25000</v>
      </c>
      <c r="I724" s="3">
        <f>IFERROR(__xludf.DUMMYFUNCTION("""COMPUTED_VALUE"""),25000.0)</f>
        <v>25000</v>
      </c>
      <c r="J724" s="1"/>
      <c r="K724" s="1"/>
      <c r="L724" s="1"/>
      <c r="M724" s="1"/>
      <c r="N724" s="1"/>
      <c r="O724" s="1"/>
      <c r="P724" s="1"/>
      <c r="Q724" s="1"/>
      <c r="R724" s="1"/>
      <c r="S724" s="1"/>
      <c r="T724" s="1"/>
      <c r="U724" s="1"/>
      <c r="V724" s="1"/>
      <c r="W724" s="1"/>
      <c r="X724" s="1"/>
      <c r="Y724" s="1"/>
      <c r="Z724" s="1"/>
      <c r="AA724" s="1"/>
      <c r="AB724" s="1"/>
      <c r="AC724" s="3">
        <f>IFERROR(__xludf.DUMMYFUNCTION("""COMPUTED_VALUE"""),25000.0)</f>
        <v>25000</v>
      </c>
      <c r="AD724" s="1"/>
      <c r="AE724" s="1"/>
      <c r="AF724" s="1" t="str">
        <f>IFERROR(__xludf.DUMMYFUNCTION("""COMPUTED_VALUE"""),"++X2 additional Fire Damage.")</f>
        <v>++X2 additional Fire Damage.</v>
      </c>
      <c r="AG724" s="1" t="str">
        <f>IFERROR(__xludf.DUMMYFUNCTION("""COMPUTED_VALUE"""),"Land of Spira")</f>
        <v>Land of Spira</v>
      </c>
      <c r="AH724" s="1" t="b">
        <f>IFERROR(__xludf.DUMMYFUNCTION("""COMPUTED_VALUE"""),FALSE)</f>
        <v>0</v>
      </c>
    </row>
    <row r="725">
      <c r="A725" s="1" t="str">
        <f>IFERROR(__xludf.DUMMYFUNCTION("""COMPUTED_VALUE"""),"Lunar New Year Dragon Legs")</f>
        <v>Lunar New Year Dragon Legs</v>
      </c>
      <c r="B725" s="1" t="str">
        <f>IFERROR(__xludf.DUMMYFUNCTION("""COMPUTED_VALUE"""),"Legs")</f>
        <v>Legs</v>
      </c>
      <c r="C725" s="1"/>
      <c r="D725" s="1" t="str">
        <f>IFERROR(__xludf.DUMMYFUNCTION("""COMPUTED_VALUE"""),"Item")</f>
        <v>Item</v>
      </c>
      <c r="E725" s="1">
        <f>IFERROR(__xludf.DUMMYFUNCTION("""COMPUTED_VALUE"""),200.0)</f>
        <v>200</v>
      </c>
      <c r="F725" s="2">
        <f>IFERROR(__xludf.DUMMYFUNCTION("""COMPUTED_VALUE"""),1.1175E8)</f>
        <v>111750000</v>
      </c>
      <c r="G725" s="1" t="str">
        <f>IFERROR(__xludf.DUMMYFUNCTION("""COMPUTED_VALUE"""),"DEF")</f>
        <v>DEF</v>
      </c>
      <c r="H725" s="3">
        <f>IFERROR(__xludf.DUMMYFUNCTION("""COMPUTED_VALUE"""),25000.0)</f>
        <v>25000</v>
      </c>
      <c r="I725" s="3">
        <f>IFERROR(__xludf.DUMMYFUNCTION("""COMPUTED_VALUE"""),25000.0)</f>
        <v>25000</v>
      </c>
      <c r="J725" s="1"/>
      <c r="K725" s="1"/>
      <c r="L725" s="1"/>
      <c r="M725" s="1"/>
      <c r="N725" s="1"/>
      <c r="O725" s="1"/>
      <c r="P725" s="1"/>
      <c r="Q725" s="1"/>
      <c r="R725" s="1"/>
      <c r="S725" s="1"/>
      <c r="T725" s="1"/>
      <c r="U725" s="1"/>
      <c r="V725" s="1"/>
      <c r="W725" s="1"/>
      <c r="X725" s="1"/>
      <c r="Y725" s="1"/>
      <c r="Z725" s="1"/>
      <c r="AA725" s="1"/>
      <c r="AB725" s="1"/>
      <c r="AC725" s="3">
        <f>IFERROR(__xludf.DUMMYFUNCTION("""COMPUTED_VALUE"""),25000.0)</f>
        <v>25000</v>
      </c>
      <c r="AD725" s="1"/>
      <c r="AE725" s="1"/>
      <c r="AF725" s="1" t="str">
        <f>IFERROR(__xludf.DUMMYFUNCTION("""COMPUTED_VALUE"""),"++X2 additional Fire Damage.")</f>
        <v>++X2 additional Fire Damage.</v>
      </c>
      <c r="AG725" s="1" t="str">
        <f>IFERROR(__xludf.DUMMYFUNCTION("""COMPUTED_VALUE"""),"Land of Spira")</f>
        <v>Land of Spira</v>
      </c>
      <c r="AH725" s="1" t="b">
        <f>IFERROR(__xludf.DUMMYFUNCTION("""COMPUTED_VALUE"""),FALSE)</f>
        <v>0</v>
      </c>
    </row>
    <row r="726">
      <c r="A726" s="1" t="str">
        <f>IFERROR(__xludf.DUMMYFUNCTION("""COMPUTED_VALUE"""),"Lunar New Year Dragon Feet")</f>
        <v>Lunar New Year Dragon Feet</v>
      </c>
      <c r="B726" s="1" t="str">
        <f>IFERROR(__xludf.DUMMYFUNCTION("""COMPUTED_VALUE"""),"Feet")</f>
        <v>Feet</v>
      </c>
      <c r="C726" s="1"/>
      <c r="D726" s="1" t="str">
        <f>IFERROR(__xludf.DUMMYFUNCTION("""COMPUTED_VALUE"""),"Item")</f>
        <v>Item</v>
      </c>
      <c r="E726" s="1">
        <f>IFERROR(__xludf.DUMMYFUNCTION("""COMPUTED_VALUE"""),200.0)</f>
        <v>200</v>
      </c>
      <c r="F726" s="2">
        <f>IFERROR(__xludf.DUMMYFUNCTION("""COMPUTED_VALUE"""),1.1175E8)</f>
        <v>111750000</v>
      </c>
      <c r="G726" s="1" t="str">
        <f>IFERROR(__xludf.DUMMYFUNCTION("""COMPUTED_VALUE"""),"DEF")</f>
        <v>DEF</v>
      </c>
      <c r="H726" s="3">
        <f>IFERROR(__xludf.DUMMYFUNCTION("""COMPUTED_VALUE"""),25000.0)</f>
        <v>25000</v>
      </c>
      <c r="I726" s="3">
        <f>IFERROR(__xludf.DUMMYFUNCTION("""COMPUTED_VALUE"""),25000.0)</f>
        <v>25000</v>
      </c>
      <c r="J726" s="1"/>
      <c r="K726" s="1"/>
      <c r="L726" s="1"/>
      <c r="M726" s="1"/>
      <c r="N726" s="1"/>
      <c r="O726" s="1"/>
      <c r="P726" s="1"/>
      <c r="Q726" s="1"/>
      <c r="R726" s="1"/>
      <c r="S726" s="1"/>
      <c r="T726" s="1"/>
      <c r="U726" s="1"/>
      <c r="V726" s="1"/>
      <c r="W726" s="1"/>
      <c r="X726" s="1"/>
      <c r="Y726" s="1"/>
      <c r="Z726" s="1"/>
      <c r="AA726" s="1"/>
      <c r="AB726" s="1"/>
      <c r="AC726" s="3">
        <f>IFERROR(__xludf.DUMMYFUNCTION("""COMPUTED_VALUE"""),25000.0)</f>
        <v>25000</v>
      </c>
      <c r="AD726" s="1"/>
      <c r="AE726" s="1"/>
      <c r="AF726" s="1" t="str">
        <f>IFERROR(__xludf.DUMMYFUNCTION("""COMPUTED_VALUE"""),"++X2 additional Fire Damage.")</f>
        <v>++X2 additional Fire Damage.</v>
      </c>
      <c r="AG726" s="1" t="str">
        <f>IFERROR(__xludf.DUMMYFUNCTION("""COMPUTED_VALUE"""),"Land of Spira")</f>
        <v>Land of Spira</v>
      </c>
      <c r="AH726" s="1" t="b">
        <f>IFERROR(__xludf.DUMMYFUNCTION("""COMPUTED_VALUE"""),FALSE)</f>
        <v>0</v>
      </c>
    </row>
    <row r="727">
      <c r="A727" s="1" t="str">
        <f>IFERROR(__xludf.DUMMYFUNCTION("""COMPUTED_VALUE"""),"Spirit Blade")</f>
        <v>Spirit Blade</v>
      </c>
      <c r="B727" s="1" t="str">
        <f>IFERROR(__xludf.DUMMYFUNCTION("""COMPUTED_VALUE"""),"Hand")</f>
        <v>Hand</v>
      </c>
      <c r="C727" s="1"/>
      <c r="D727" s="1" t="str">
        <f>IFERROR(__xludf.DUMMYFUNCTION("""COMPUTED_VALUE"""),"Sword")</f>
        <v>Sword</v>
      </c>
      <c r="E727" s="1">
        <f>IFERROR(__xludf.DUMMYFUNCTION("""COMPUTED_VALUE"""),600.0)</f>
        <v>600</v>
      </c>
      <c r="F727" s="2">
        <f>IFERROR(__xludf.DUMMYFUNCTION("""COMPUTED_VALUE"""),1.77E7)</f>
        <v>17700000</v>
      </c>
      <c r="G727" s="1" t="str">
        <f>IFERROR(__xludf.DUMMYFUNCTION("""COMPUTED_VALUE"""),"DMG")</f>
        <v>DMG</v>
      </c>
      <c r="H727" s="3">
        <f>IFERROR(__xludf.DUMMYFUNCTION("""COMPUTED_VALUE"""),20000.0)</f>
        <v>20000</v>
      </c>
      <c r="I727" s="1"/>
      <c r="J727" s="1"/>
      <c r="K727" s="1"/>
      <c r="L727" s="1"/>
      <c r="M727" s="1"/>
      <c r="N727" s="3">
        <f>IFERROR(__xludf.DUMMYFUNCTION("""COMPUTED_VALUE"""),10000.0)</f>
        <v>10000</v>
      </c>
      <c r="O727" s="1"/>
      <c r="P727" s="1"/>
      <c r="Q727" s="1"/>
      <c r="R727" s="1"/>
      <c r="S727" s="1"/>
      <c r="T727" s="1"/>
      <c r="U727" s="1"/>
      <c r="V727" s="1"/>
      <c r="W727" s="1"/>
      <c r="X727" s="1"/>
      <c r="Y727" s="1"/>
      <c r="Z727" s="1"/>
      <c r="AA727" s="1"/>
      <c r="AB727" s="1"/>
      <c r="AC727" s="1"/>
      <c r="AD727" s="1"/>
      <c r="AE727" s="1"/>
      <c r="AF727" s="1"/>
      <c r="AG727" s="1" t="str">
        <f>IFERROR(__xludf.DUMMYFUNCTION("""COMPUTED_VALUE"""),"Land of Spira")</f>
        <v>Land of Spira</v>
      </c>
      <c r="AH727" s="1" t="b">
        <f>IFERROR(__xludf.DUMMYFUNCTION("""COMPUTED_VALUE"""),FALSE)</f>
        <v>0</v>
      </c>
    </row>
    <row r="728">
      <c r="A728" s="1" t="str">
        <f>IFERROR(__xludf.DUMMYFUNCTION("""COMPUTED_VALUE"""),"Spirit Shield")</f>
        <v>Spirit Shield</v>
      </c>
      <c r="B728" s="1" t="str">
        <f>IFERROR(__xludf.DUMMYFUNCTION("""COMPUTED_VALUE"""),"Hand")</f>
        <v>Hand</v>
      </c>
      <c r="C728" s="1"/>
      <c r="D728" s="1" t="str">
        <f>IFERROR(__xludf.DUMMYFUNCTION("""COMPUTED_VALUE"""),"Buckler")</f>
        <v>Buckler</v>
      </c>
      <c r="E728" s="1">
        <f>IFERROR(__xludf.DUMMYFUNCTION("""COMPUTED_VALUE"""),600.0)</f>
        <v>600</v>
      </c>
      <c r="F728" s="2">
        <f>IFERROR(__xludf.DUMMYFUNCTION("""COMPUTED_VALUE"""),1.77E7)</f>
        <v>17700000</v>
      </c>
      <c r="G728" s="1" t="str">
        <f>IFERROR(__xludf.DUMMYFUNCTION("""COMPUTED_VALUE"""),"DEF")</f>
        <v>DEF</v>
      </c>
      <c r="H728" s="3">
        <f>IFERROR(__xludf.DUMMYFUNCTION("""COMPUTED_VALUE"""),20000.0)</f>
        <v>20000</v>
      </c>
      <c r="I728" s="1"/>
      <c r="J728" s="1"/>
      <c r="K728" s="1"/>
      <c r="L728" s="1"/>
      <c r="M728" s="1"/>
      <c r="N728" s="3">
        <f>IFERROR(__xludf.DUMMYFUNCTION("""COMPUTED_VALUE"""),10000.0)</f>
        <v>10000</v>
      </c>
      <c r="O728" s="1"/>
      <c r="P728" s="1"/>
      <c r="Q728" s="1"/>
      <c r="R728" s="1"/>
      <c r="S728" s="1"/>
      <c r="T728" s="1"/>
      <c r="U728" s="1"/>
      <c r="V728" s="1"/>
      <c r="W728" s="1"/>
      <c r="X728" s="1"/>
      <c r="Y728" s="1"/>
      <c r="Z728" s="1"/>
      <c r="AA728" s="1"/>
      <c r="AB728" s="1"/>
      <c r="AC728" s="1"/>
      <c r="AD728" s="1"/>
      <c r="AE728" s="1"/>
      <c r="AF728" s="1"/>
      <c r="AG728" s="1" t="str">
        <f>IFERROR(__xludf.DUMMYFUNCTION("""COMPUTED_VALUE"""),"Land of Spira")</f>
        <v>Land of Spira</v>
      </c>
      <c r="AH728" s="1" t="b">
        <f>IFERROR(__xludf.DUMMYFUNCTION("""COMPUTED_VALUE"""),FALSE)</f>
        <v>0</v>
      </c>
    </row>
    <row r="729">
      <c r="A729" s="1" t="str">
        <f>IFERROR(__xludf.DUMMYFUNCTION("""COMPUTED_VALUE"""),"Mage's Hood")</f>
        <v>Mage's Hood</v>
      </c>
      <c r="B729" s="1" t="str">
        <f>IFERROR(__xludf.DUMMYFUNCTION("""COMPUTED_VALUE"""),"Head")</f>
        <v>Head</v>
      </c>
      <c r="C729" s="1"/>
      <c r="D729" s="1" t="str">
        <f>IFERROR(__xludf.DUMMYFUNCTION("""COMPUTED_VALUE"""),"Item")</f>
        <v>Item</v>
      </c>
      <c r="E729" s="1">
        <f>IFERROR(__xludf.DUMMYFUNCTION("""COMPUTED_VALUE"""),1.0)</f>
        <v>1</v>
      </c>
      <c r="F729" s="2">
        <f>IFERROR(__xludf.DUMMYFUNCTION("""COMPUTED_VALUE"""),0.0)</f>
        <v>0</v>
      </c>
      <c r="G729" s="1" t="str">
        <f>IFERROR(__xludf.DUMMYFUNCTION("""COMPUTED_VALUE"""),"DEF")</f>
        <v>DEF</v>
      </c>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t="str">
        <f>IFERROR(__xludf.DUMMYFUNCTION("""COMPUTED_VALUE"""),"++5000 additional HP and SP. ++Plus 2 Wisdom. +-Cannot be forged. +-Cannot be duplicateed.")</f>
        <v>++5000 additional HP and SP. ++Plus 2 Wisdom. +-Cannot be forged. +-Cannot be duplicateed.</v>
      </c>
      <c r="AG729" s="1" t="str">
        <f>IFERROR(__xludf.DUMMYFUNCTION("""COMPUTED_VALUE"""),"Land of Spira")</f>
        <v>Land of Spira</v>
      </c>
      <c r="AH729" s="1" t="b">
        <f>IFERROR(__xludf.DUMMYFUNCTION("""COMPUTED_VALUE"""),FALSE)</f>
        <v>0</v>
      </c>
    </row>
    <row r="730">
      <c r="A730" s="1" t="str">
        <f>IFERROR(__xludf.DUMMYFUNCTION("""COMPUTED_VALUE"""),"Mage's Cloak")</f>
        <v>Mage's Cloak</v>
      </c>
      <c r="B730" s="1" t="str">
        <f>IFERROR(__xludf.DUMMYFUNCTION("""COMPUTED_VALUE"""),"Torso")</f>
        <v>Torso</v>
      </c>
      <c r="C730" s="1"/>
      <c r="D730" s="1" t="str">
        <f>IFERROR(__xludf.DUMMYFUNCTION("""COMPUTED_VALUE"""),"Item")</f>
        <v>Item</v>
      </c>
      <c r="E730" s="1">
        <f>IFERROR(__xludf.DUMMYFUNCTION("""COMPUTED_VALUE"""),1.0)</f>
        <v>1</v>
      </c>
      <c r="F730" s="2">
        <f>IFERROR(__xludf.DUMMYFUNCTION("""COMPUTED_VALUE"""),0.0)</f>
        <v>0</v>
      </c>
      <c r="G730" s="1" t="str">
        <f>IFERROR(__xludf.DUMMYFUNCTION("""COMPUTED_VALUE"""),"DEF")</f>
        <v>DEF</v>
      </c>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t="str">
        <f>IFERROR(__xludf.DUMMYFUNCTION("""COMPUTED_VALUE"""),"++5000 additional HP and SP. ++Plus 2 Wisdom. +-Cannot be forged. +-Cannot be duplicateed.")</f>
        <v>++5000 additional HP and SP. ++Plus 2 Wisdom. +-Cannot be forged. +-Cannot be duplicateed.</v>
      </c>
      <c r="AG730" s="1" t="str">
        <f>IFERROR(__xludf.DUMMYFUNCTION("""COMPUTED_VALUE"""),"Land of Spira")</f>
        <v>Land of Spira</v>
      </c>
      <c r="AH730" s="1" t="b">
        <f>IFERROR(__xludf.DUMMYFUNCTION("""COMPUTED_VALUE"""),FALSE)</f>
        <v>0</v>
      </c>
    </row>
    <row r="731">
      <c r="A731" s="1" t="str">
        <f>IFERROR(__xludf.DUMMYFUNCTION("""COMPUTED_VALUE"""),"Mage's Shoes")</f>
        <v>Mage's Shoes</v>
      </c>
      <c r="B731" s="1" t="str">
        <f>IFERROR(__xludf.DUMMYFUNCTION("""COMPUTED_VALUE"""),"Feet")</f>
        <v>Feet</v>
      </c>
      <c r="C731" s="1"/>
      <c r="D731" s="1" t="str">
        <f>IFERROR(__xludf.DUMMYFUNCTION("""COMPUTED_VALUE"""),"Item")</f>
        <v>Item</v>
      </c>
      <c r="E731" s="1">
        <f>IFERROR(__xludf.DUMMYFUNCTION("""COMPUTED_VALUE"""),1.0)</f>
        <v>1</v>
      </c>
      <c r="F731" s="2">
        <f>IFERROR(__xludf.DUMMYFUNCTION("""COMPUTED_VALUE"""),0.0)</f>
        <v>0</v>
      </c>
      <c r="G731" s="1" t="str">
        <f>IFERROR(__xludf.DUMMYFUNCTION("""COMPUTED_VALUE"""),"DEF")</f>
        <v>DEF</v>
      </c>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t="str">
        <f>IFERROR(__xludf.DUMMYFUNCTION("""COMPUTED_VALUE"""),"++5000 additional HP and SP. ++Plus 1 Wisdom. +-Cannot be forged. +-Cannot be duplicateed.")</f>
        <v>++5000 additional HP and SP. ++Plus 1 Wisdom. +-Cannot be forged. +-Cannot be duplicateed.</v>
      </c>
      <c r="AG731" s="1" t="str">
        <f>IFERROR(__xludf.DUMMYFUNCTION("""COMPUTED_VALUE"""),"Land of Spira")</f>
        <v>Land of Spira</v>
      </c>
      <c r="AH731" s="1" t="b">
        <f>IFERROR(__xludf.DUMMYFUNCTION("""COMPUTED_VALUE"""),FALSE)</f>
        <v>0</v>
      </c>
    </row>
    <row r="732">
      <c r="A732" s="1" t="str">
        <f>IFERROR(__xludf.DUMMYFUNCTION("""COMPUTED_VALUE"""),"Sorcerer's Hood")</f>
        <v>Sorcerer's Hood</v>
      </c>
      <c r="B732" s="1" t="str">
        <f>IFERROR(__xludf.DUMMYFUNCTION("""COMPUTED_VALUE"""),"Head")</f>
        <v>Head</v>
      </c>
      <c r="C732" s="1"/>
      <c r="D732" s="1" t="str">
        <f>IFERROR(__xludf.DUMMYFUNCTION("""COMPUTED_VALUE"""),"Item")</f>
        <v>Item</v>
      </c>
      <c r="E732" s="1">
        <f>IFERROR(__xludf.DUMMYFUNCTION("""COMPUTED_VALUE"""),1.0)</f>
        <v>1</v>
      </c>
      <c r="F732" s="2">
        <f>IFERROR(__xludf.DUMMYFUNCTION("""COMPUTED_VALUE"""),0.0)</f>
        <v>0</v>
      </c>
      <c r="G732" s="1" t="str">
        <f>IFERROR(__xludf.DUMMYFUNCTION("""COMPUTED_VALUE"""),"DEF")</f>
        <v>DEF</v>
      </c>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t="str">
        <f>IFERROR(__xludf.DUMMYFUNCTION("""COMPUTED_VALUE"""),"++2500 additional HP and SP. ++Plus 2 Wisdom. +-Cannot be forged. +-Cannot be duplicateed.")</f>
        <v>++2500 additional HP and SP. ++Plus 2 Wisdom. +-Cannot be forged. +-Cannot be duplicateed.</v>
      </c>
      <c r="AG732" s="1" t="str">
        <f>IFERROR(__xludf.DUMMYFUNCTION("""COMPUTED_VALUE"""),"Land of Spira")</f>
        <v>Land of Spira</v>
      </c>
      <c r="AH732" s="1" t="b">
        <f>IFERROR(__xludf.DUMMYFUNCTION("""COMPUTED_VALUE"""),FALSE)</f>
        <v>0</v>
      </c>
    </row>
    <row r="733">
      <c r="A733" s="1" t="str">
        <f>IFERROR(__xludf.DUMMYFUNCTION("""COMPUTED_VALUE"""),"Sorcerer's Cloak")</f>
        <v>Sorcerer's Cloak</v>
      </c>
      <c r="B733" s="1" t="str">
        <f>IFERROR(__xludf.DUMMYFUNCTION("""COMPUTED_VALUE"""),"Torso")</f>
        <v>Torso</v>
      </c>
      <c r="C733" s="1"/>
      <c r="D733" s="1" t="str">
        <f>IFERROR(__xludf.DUMMYFUNCTION("""COMPUTED_VALUE"""),"Item")</f>
        <v>Item</v>
      </c>
      <c r="E733" s="1">
        <f>IFERROR(__xludf.DUMMYFUNCTION("""COMPUTED_VALUE"""),1.0)</f>
        <v>1</v>
      </c>
      <c r="F733" s="2">
        <f>IFERROR(__xludf.DUMMYFUNCTION("""COMPUTED_VALUE"""),0.0)</f>
        <v>0</v>
      </c>
      <c r="G733" s="1" t="str">
        <f>IFERROR(__xludf.DUMMYFUNCTION("""COMPUTED_VALUE"""),"DEF")</f>
        <v>DEF</v>
      </c>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t="str">
        <f>IFERROR(__xludf.DUMMYFUNCTION("""COMPUTED_VALUE"""),"++2500 additional HP and SP. ++Plus 2 Wisdom. +-Cannot be forged. +-Cannot be duplicateed.")</f>
        <v>++2500 additional HP and SP. ++Plus 2 Wisdom. +-Cannot be forged. +-Cannot be duplicateed.</v>
      </c>
      <c r="AG733" s="1" t="str">
        <f>IFERROR(__xludf.DUMMYFUNCTION("""COMPUTED_VALUE"""),"Land of Spira")</f>
        <v>Land of Spira</v>
      </c>
      <c r="AH733" s="1" t="b">
        <f>IFERROR(__xludf.DUMMYFUNCTION("""COMPUTED_VALUE"""),FALSE)</f>
        <v>0</v>
      </c>
    </row>
    <row r="734">
      <c r="A734" s="1" t="str">
        <f>IFERROR(__xludf.DUMMYFUNCTION("""COMPUTED_VALUE"""),"Sorcerer's Shoes")</f>
        <v>Sorcerer's Shoes</v>
      </c>
      <c r="B734" s="1" t="str">
        <f>IFERROR(__xludf.DUMMYFUNCTION("""COMPUTED_VALUE"""),"Feet")</f>
        <v>Feet</v>
      </c>
      <c r="C734" s="1"/>
      <c r="D734" s="1" t="str">
        <f>IFERROR(__xludf.DUMMYFUNCTION("""COMPUTED_VALUE"""),"Item")</f>
        <v>Item</v>
      </c>
      <c r="E734" s="1">
        <f>IFERROR(__xludf.DUMMYFUNCTION("""COMPUTED_VALUE"""),1.0)</f>
        <v>1</v>
      </c>
      <c r="F734" s="2">
        <f>IFERROR(__xludf.DUMMYFUNCTION("""COMPUTED_VALUE"""),0.0)</f>
        <v>0</v>
      </c>
      <c r="G734" s="1" t="str">
        <f>IFERROR(__xludf.DUMMYFUNCTION("""COMPUTED_VALUE"""),"DEF")</f>
        <v>DEF</v>
      </c>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t="str">
        <f>IFERROR(__xludf.DUMMYFUNCTION("""COMPUTED_VALUE"""),"++2500 additional HP and SP. ++Plus 1 Wisdom. +-Cannot be forged. +-Cannot be duplicateed.")</f>
        <v>++2500 additional HP and SP. ++Plus 1 Wisdom. +-Cannot be forged. +-Cannot be duplicateed.</v>
      </c>
      <c r="AG734" s="1" t="str">
        <f>IFERROR(__xludf.DUMMYFUNCTION("""COMPUTED_VALUE"""),"Land of Spira")</f>
        <v>Land of Spira</v>
      </c>
      <c r="AH734" s="1" t="b">
        <f>IFERROR(__xludf.DUMMYFUNCTION("""COMPUTED_VALUE"""),FALSE)</f>
        <v>0</v>
      </c>
    </row>
    <row r="735">
      <c r="A735" s="1" t="str">
        <f>IFERROR(__xludf.DUMMYFUNCTION("""COMPUTED_VALUE"""),"Wizard's Hood")</f>
        <v>Wizard's Hood</v>
      </c>
      <c r="B735" s="1" t="str">
        <f>IFERROR(__xludf.DUMMYFUNCTION("""COMPUTED_VALUE"""),"Head")</f>
        <v>Head</v>
      </c>
      <c r="C735" s="1"/>
      <c r="D735" s="1" t="str">
        <f>IFERROR(__xludf.DUMMYFUNCTION("""COMPUTED_VALUE"""),"Item")</f>
        <v>Item</v>
      </c>
      <c r="E735" s="1">
        <f>IFERROR(__xludf.DUMMYFUNCTION("""COMPUTED_VALUE"""),1.0)</f>
        <v>1</v>
      </c>
      <c r="F735" s="2">
        <f>IFERROR(__xludf.DUMMYFUNCTION("""COMPUTED_VALUE"""),0.0)</f>
        <v>0</v>
      </c>
      <c r="G735" s="1" t="str">
        <f>IFERROR(__xludf.DUMMYFUNCTION("""COMPUTED_VALUE"""),"DEF")</f>
        <v>DEF</v>
      </c>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t="str">
        <f>IFERROR(__xludf.DUMMYFUNCTION("""COMPUTED_VALUE"""),"++1000 additional HP and SP. ++X2 Spell Damage. +-Cannot be forged. +-Cannot be duplicateed.")</f>
        <v>++1000 additional HP and SP. ++X2 Spell Damage. +-Cannot be forged. +-Cannot be duplicateed.</v>
      </c>
      <c r="AG735" s="1" t="str">
        <f>IFERROR(__xludf.DUMMYFUNCTION("""COMPUTED_VALUE"""),"Land of Spira")</f>
        <v>Land of Spira</v>
      </c>
      <c r="AH735" s="1" t="b">
        <f>IFERROR(__xludf.DUMMYFUNCTION("""COMPUTED_VALUE"""),FALSE)</f>
        <v>0</v>
      </c>
    </row>
    <row r="736">
      <c r="A736" s="1" t="str">
        <f>IFERROR(__xludf.DUMMYFUNCTION("""COMPUTED_VALUE"""),"Wizard's Cloak")</f>
        <v>Wizard's Cloak</v>
      </c>
      <c r="B736" s="1" t="str">
        <f>IFERROR(__xludf.DUMMYFUNCTION("""COMPUTED_VALUE"""),"Torso")</f>
        <v>Torso</v>
      </c>
      <c r="C736" s="1"/>
      <c r="D736" s="1" t="str">
        <f>IFERROR(__xludf.DUMMYFUNCTION("""COMPUTED_VALUE"""),"Item")</f>
        <v>Item</v>
      </c>
      <c r="E736" s="1">
        <f>IFERROR(__xludf.DUMMYFUNCTION("""COMPUTED_VALUE"""),1.0)</f>
        <v>1</v>
      </c>
      <c r="F736" s="2">
        <f>IFERROR(__xludf.DUMMYFUNCTION("""COMPUTED_VALUE"""),0.0)</f>
        <v>0</v>
      </c>
      <c r="G736" s="1" t="str">
        <f>IFERROR(__xludf.DUMMYFUNCTION("""COMPUTED_VALUE"""),"DEF")</f>
        <v>DEF</v>
      </c>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t="str">
        <f>IFERROR(__xludf.DUMMYFUNCTION("""COMPUTED_VALUE"""),"++1000 additional HP and SP. ++X2 Spell Damage. +-Cannot be forged. +-Cannot be duplicateed.")</f>
        <v>++1000 additional HP and SP. ++X2 Spell Damage. +-Cannot be forged. +-Cannot be duplicateed.</v>
      </c>
      <c r="AG736" s="1" t="str">
        <f>IFERROR(__xludf.DUMMYFUNCTION("""COMPUTED_VALUE"""),"Land of Spira")</f>
        <v>Land of Spira</v>
      </c>
      <c r="AH736" s="1" t="b">
        <f>IFERROR(__xludf.DUMMYFUNCTION("""COMPUTED_VALUE"""),FALSE)</f>
        <v>0</v>
      </c>
    </row>
    <row r="737">
      <c r="A737" s="1" t="str">
        <f>IFERROR(__xludf.DUMMYFUNCTION("""COMPUTED_VALUE"""),"Wizard's Shoes")</f>
        <v>Wizard's Shoes</v>
      </c>
      <c r="B737" s="1" t="str">
        <f>IFERROR(__xludf.DUMMYFUNCTION("""COMPUTED_VALUE"""),"Feet")</f>
        <v>Feet</v>
      </c>
      <c r="C737" s="1"/>
      <c r="D737" s="1" t="str">
        <f>IFERROR(__xludf.DUMMYFUNCTION("""COMPUTED_VALUE"""),"Item")</f>
        <v>Item</v>
      </c>
      <c r="E737" s="1">
        <f>IFERROR(__xludf.DUMMYFUNCTION("""COMPUTED_VALUE"""),1.0)</f>
        <v>1</v>
      </c>
      <c r="F737" s="2">
        <f>IFERROR(__xludf.DUMMYFUNCTION("""COMPUTED_VALUE"""),0.0)</f>
        <v>0</v>
      </c>
      <c r="G737" s="1" t="str">
        <f>IFERROR(__xludf.DUMMYFUNCTION("""COMPUTED_VALUE"""),"DEF")</f>
        <v>DEF</v>
      </c>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t="str">
        <f>IFERROR(__xludf.DUMMYFUNCTION("""COMPUTED_VALUE"""),"++1000 additional HP and SP. ++X2 Spell Damage. +-Cannot be forged. +-Cannot be duplicateed.")</f>
        <v>++1000 additional HP and SP. ++X2 Spell Damage. +-Cannot be forged. +-Cannot be duplicateed.</v>
      </c>
      <c r="AG737" s="1" t="str">
        <f>IFERROR(__xludf.DUMMYFUNCTION("""COMPUTED_VALUE"""),"Land of Spira")</f>
        <v>Land of Spira</v>
      </c>
      <c r="AH737" s="1" t="b">
        <f>IFERROR(__xludf.DUMMYFUNCTION("""COMPUTED_VALUE"""),FALSE)</f>
        <v>0</v>
      </c>
    </row>
    <row r="738">
      <c r="A738" s="1" t="str">
        <f>IFERROR(__xludf.DUMMYFUNCTION("""COMPUTED_VALUE"""),"Gunslinger's Cap")</f>
        <v>Gunslinger's Cap</v>
      </c>
      <c r="B738" s="1" t="str">
        <f>IFERROR(__xludf.DUMMYFUNCTION("""COMPUTED_VALUE"""),"Head")</f>
        <v>Head</v>
      </c>
      <c r="C738" s="1"/>
      <c r="D738" s="1" t="str">
        <f>IFERROR(__xludf.DUMMYFUNCTION("""COMPUTED_VALUE"""),"Item")</f>
        <v>Item</v>
      </c>
      <c r="E738" s="1">
        <f>IFERROR(__xludf.DUMMYFUNCTION("""COMPUTED_VALUE"""),1.0)</f>
        <v>1</v>
      </c>
      <c r="F738" s="2">
        <f>IFERROR(__xludf.DUMMYFUNCTION("""COMPUTED_VALUE"""),0.0)</f>
        <v>0</v>
      </c>
      <c r="G738" s="1" t="str">
        <f>IFERROR(__xludf.DUMMYFUNCTION("""COMPUTED_VALUE"""),"DEF")</f>
        <v>DEF</v>
      </c>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t="str">
        <f>IFERROR(__xludf.DUMMYFUNCTION("""COMPUTED_VALUE"""),"++10,000 ACC and ATK. ++2 Mobility +-Cannot be forged or duplicated")</f>
        <v>++10,000 ACC and ATK. ++2 Mobility +-Cannot be forged or duplicated</v>
      </c>
      <c r="AG738" s="1" t="str">
        <f>IFERROR(__xludf.DUMMYFUNCTION("""COMPUTED_VALUE"""),"Land of Spira")</f>
        <v>Land of Spira</v>
      </c>
      <c r="AH738" s="1" t="b">
        <f>IFERROR(__xludf.DUMMYFUNCTION("""COMPUTED_VALUE"""),FALSE)</f>
        <v>0</v>
      </c>
    </row>
    <row r="739">
      <c r="A739" s="1" t="str">
        <f>IFERROR(__xludf.DUMMYFUNCTION("""COMPUTED_VALUE"""),"Gunslinger's Shirt")</f>
        <v>Gunslinger's Shirt</v>
      </c>
      <c r="B739" s="1" t="str">
        <f>IFERROR(__xludf.DUMMYFUNCTION("""COMPUTED_VALUE"""),"Torso")</f>
        <v>Torso</v>
      </c>
      <c r="C739" s="1"/>
      <c r="D739" s="1" t="str">
        <f>IFERROR(__xludf.DUMMYFUNCTION("""COMPUTED_VALUE"""),"Item")</f>
        <v>Item</v>
      </c>
      <c r="E739" s="1">
        <f>IFERROR(__xludf.DUMMYFUNCTION("""COMPUTED_VALUE"""),1.0)</f>
        <v>1</v>
      </c>
      <c r="F739" s="2">
        <f>IFERROR(__xludf.DUMMYFUNCTION("""COMPUTED_VALUE"""),0.0)</f>
        <v>0</v>
      </c>
      <c r="G739" s="1" t="str">
        <f>IFERROR(__xludf.DUMMYFUNCTION("""COMPUTED_VALUE"""),"DEF")</f>
        <v>DEF</v>
      </c>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t="str">
        <f>IFERROR(__xludf.DUMMYFUNCTION("""COMPUTED_VALUE"""),"++10,000 ACC and ATK. ++2 Mobility +-Cannot be forged or duplicated")</f>
        <v>++10,000 ACC and ATK. ++2 Mobility +-Cannot be forged or duplicated</v>
      </c>
      <c r="AG739" s="1" t="str">
        <f>IFERROR(__xludf.DUMMYFUNCTION("""COMPUTED_VALUE"""),"Land of Spira")</f>
        <v>Land of Spira</v>
      </c>
      <c r="AH739" s="1" t="b">
        <f>IFERROR(__xludf.DUMMYFUNCTION("""COMPUTED_VALUE"""),FALSE)</f>
        <v>0</v>
      </c>
    </row>
    <row r="740">
      <c r="A740" s="1" t="str">
        <f>IFERROR(__xludf.DUMMYFUNCTION("""COMPUTED_VALUE"""),"Gunslinger's Boots")</f>
        <v>Gunslinger's Boots</v>
      </c>
      <c r="B740" s="1" t="str">
        <f>IFERROR(__xludf.DUMMYFUNCTION("""COMPUTED_VALUE"""),"Feet")</f>
        <v>Feet</v>
      </c>
      <c r="C740" s="1"/>
      <c r="D740" s="1" t="str">
        <f>IFERROR(__xludf.DUMMYFUNCTION("""COMPUTED_VALUE"""),"Item")</f>
        <v>Item</v>
      </c>
      <c r="E740" s="1">
        <f>IFERROR(__xludf.DUMMYFUNCTION("""COMPUTED_VALUE"""),1.0)</f>
        <v>1</v>
      </c>
      <c r="F740" s="2">
        <f>IFERROR(__xludf.DUMMYFUNCTION("""COMPUTED_VALUE"""),0.0)</f>
        <v>0</v>
      </c>
      <c r="G740" s="1" t="str">
        <f>IFERROR(__xludf.DUMMYFUNCTION("""COMPUTED_VALUE"""),"DEF")</f>
        <v>DEF</v>
      </c>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t="str">
        <f>IFERROR(__xludf.DUMMYFUNCTION("""COMPUTED_VALUE"""),"++10,000 ACC and ATK. ++1 Mobility +-Cannot be forged or duplicated")</f>
        <v>++10,000 ACC and ATK. ++1 Mobility +-Cannot be forged or duplicated</v>
      </c>
      <c r="AG740" s="1" t="str">
        <f>IFERROR(__xludf.DUMMYFUNCTION("""COMPUTED_VALUE"""),"Land of Spira")</f>
        <v>Land of Spira</v>
      </c>
      <c r="AH740" s="1" t="b">
        <f>IFERROR(__xludf.DUMMYFUNCTION("""COMPUTED_VALUE"""),FALSE)</f>
        <v>0</v>
      </c>
    </row>
    <row r="741">
      <c r="A741" s="1" t="str">
        <f>IFERROR(__xludf.DUMMYFUNCTION("""COMPUTED_VALUE"""),"Bard's Coif")</f>
        <v>Bard's Coif</v>
      </c>
      <c r="B741" s="1" t="str">
        <f>IFERROR(__xludf.DUMMYFUNCTION("""COMPUTED_VALUE"""),"Head")</f>
        <v>Head</v>
      </c>
      <c r="C741" s="1"/>
      <c r="D741" s="1" t="str">
        <f>IFERROR(__xludf.DUMMYFUNCTION("""COMPUTED_VALUE"""),"Item")</f>
        <v>Item</v>
      </c>
      <c r="E741" s="1">
        <f>IFERROR(__xludf.DUMMYFUNCTION("""COMPUTED_VALUE"""),1.0)</f>
        <v>1</v>
      </c>
      <c r="F741" s="2">
        <f>IFERROR(__xludf.DUMMYFUNCTION("""COMPUTED_VALUE"""),0.0)</f>
        <v>0</v>
      </c>
      <c r="G741" s="1" t="str">
        <f>IFERROR(__xludf.DUMMYFUNCTION("""COMPUTED_VALUE"""),"DEF")</f>
        <v>DEF</v>
      </c>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t="str">
        <f>IFERROR(__xludf.DUMMYFUNCTION("""COMPUTED_VALUE"""),"++10,000 ACC and ATK. ++2 Charisma +-Cannot be forged or duplicated")</f>
        <v>++10,000 ACC and ATK. ++2 Charisma +-Cannot be forged or duplicated</v>
      </c>
      <c r="AG741" s="1" t="str">
        <f>IFERROR(__xludf.DUMMYFUNCTION("""COMPUTED_VALUE"""),"Land of Spira")</f>
        <v>Land of Spira</v>
      </c>
      <c r="AH741" s="1" t="b">
        <f>IFERROR(__xludf.DUMMYFUNCTION("""COMPUTED_VALUE"""),FALSE)</f>
        <v>0</v>
      </c>
    </row>
    <row r="742">
      <c r="A742" s="1" t="str">
        <f>IFERROR(__xludf.DUMMYFUNCTION("""COMPUTED_VALUE"""),"Bard's Gambeson")</f>
        <v>Bard's Gambeson</v>
      </c>
      <c r="B742" s="1" t="str">
        <f>IFERROR(__xludf.DUMMYFUNCTION("""COMPUTED_VALUE"""),"Torso")</f>
        <v>Torso</v>
      </c>
      <c r="C742" s="1"/>
      <c r="D742" s="1" t="str">
        <f>IFERROR(__xludf.DUMMYFUNCTION("""COMPUTED_VALUE"""),"Item")</f>
        <v>Item</v>
      </c>
      <c r="E742" s="1">
        <f>IFERROR(__xludf.DUMMYFUNCTION("""COMPUTED_VALUE"""),1.0)</f>
        <v>1</v>
      </c>
      <c r="F742" s="2">
        <f>IFERROR(__xludf.DUMMYFUNCTION("""COMPUTED_VALUE"""),0.0)</f>
        <v>0</v>
      </c>
      <c r="G742" s="1" t="str">
        <f>IFERROR(__xludf.DUMMYFUNCTION("""COMPUTED_VALUE"""),"DEF")</f>
        <v>DEF</v>
      </c>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t="str">
        <f>IFERROR(__xludf.DUMMYFUNCTION("""COMPUTED_VALUE"""),"++10,000 ACC and ATK. ++2 Charisma +-Cannot be forged or duplicated")</f>
        <v>++10,000 ACC and ATK. ++2 Charisma +-Cannot be forged or duplicated</v>
      </c>
      <c r="AG742" s="1" t="str">
        <f>IFERROR(__xludf.DUMMYFUNCTION("""COMPUTED_VALUE"""),"Land of Spira")</f>
        <v>Land of Spira</v>
      </c>
      <c r="AH742" s="1" t="b">
        <f>IFERROR(__xludf.DUMMYFUNCTION("""COMPUTED_VALUE"""),FALSE)</f>
        <v>0</v>
      </c>
    </row>
    <row r="743">
      <c r="A743" s="1" t="str">
        <f>IFERROR(__xludf.DUMMYFUNCTION("""COMPUTED_VALUE"""),"Bard's Shoes")</f>
        <v>Bard's Shoes</v>
      </c>
      <c r="B743" s="1" t="str">
        <f>IFERROR(__xludf.DUMMYFUNCTION("""COMPUTED_VALUE"""),"Feet")</f>
        <v>Feet</v>
      </c>
      <c r="C743" s="1"/>
      <c r="D743" s="1" t="str">
        <f>IFERROR(__xludf.DUMMYFUNCTION("""COMPUTED_VALUE"""),"Item")</f>
        <v>Item</v>
      </c>
      <c r="E743" s="1">
        <f>IFERROR(__xludf.DUMMYFUNCTION("""COMPUTED_VALUE"""),1.0)</f>
        <v>1</v>
      </c>
      <c r="F743" s="2">
        <f>IFERROR(__xludf.DUMMYFUNCTION("""COMPUTED_VALUE"""),0.0)</f>
        <v>0</v>
      </c>
      <c r="G743" s="1" t="str">
        <f>IFERROR(__xludf.DUMMYFUNCTION("""COMPUTED_VALUE"""),"DEF")</f>
        <v>DEF</v>
      </c>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t="str">
        <f>IFERROR(__xludf.DUMMYFUNCTION("""COMPUTED_VALUE"""),"++10,000 ACC and ATK. ++1 Charisma +-Cannot be forged or duplicated")</f>
        <v>++10,000 ACC and ATK. ++1 Charisma +-Cannot be forged or duplicated</v>
      </c>
      <c r="AG743" s="1" t="str">
        <f>IFERROR(__xludf.DUMMYFUNCTION("""COMPUTED_VALUE"""),"Land of Spira")</f>
        <v>Land of Spira</v>
      </c>
      <c r="AH743" s="1" t="b">
        <f>IFERROR(__xludf.DUMMYFUNCTION("""COMPUTED_VALUE"""),FALSE)</f>
        <v>0</v>
      </c>
    </row>
    <row r="744">
      <c r="A744" s="1" t="str">
        <f>IFERROR(__xludf.DUMMYFUNCTION("""COMPUTED_VALUE"""),"Dragonscale Skirt")</f>
        <v>Dragonscale Skirt</v>
      </c>
      <c r="B744" s="1" t="str">
        <f>IFERROR(__xludf.DUMMYFUNCTION("""COMPUTED_VALUE"""),"Legs")</f>
        <v>Legs</v>
      </c>
      <c r="C744" s="1"/>
      <c r="D744" s="1" t="str">
        <f>IFERROR(__xludf.DUMMYFUNCTION("""COMPUTED_VALUE"""),"Item")</f>
        <v>Item</v>
      </c>
      <c r="E744" s="1">
        <f>IFERROR(__xludf.DUMMYFUNCTION("""COMPUTED_VALUE"""),1.0)</f>
        <v>1</v>
      </c>
      <c r="F744" s="2">
        <f>IFERROR(__xludf.DUMMYFUNCTION("""COMPUTED_VALUE"""),0.0)</f>
        <v>0</v>
      </c>
      <c r="G744" s="1" t="str">
        <f>IFERROR(__xludf.DUMMYFUNCTION("""COMPUTED_VALUE"""),"DEF")</f>
        <v>DEF</v>
      </c>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t="str">
        <f>IFERROR(__xludf.DUMMYFUNCTION("""COMPUTED_VALUE"""),"++7,000 additional HP and SP, ++2 Mobility +-Cannot be forged or duplicated")</f>
        <v>++7,000 additional HP and SP, ++2 Mobility +-Cannot be forged or duplicated</v>
      </c>
      <c r="AG744" s="1" t="str">
        <f>IFERROR(__xludf.DUMMYFUNCTION("""COMPUTED_VALUE"""),"Dragonscale Island")</f>
        <v>Dragonscale Island</v>
      </c>
      <c r="AH744" s="1" t="b">
        <f>IFERROR(__xludf.DUMMYFUNCTION("""COMPUTED_VALUE"""),FALSE)</f>
        <v>0</v>
      </c>
    </row>
    <row r="745">
      <c r="A745" s="1" t="str">
        <f>IFERROR(__xludf.DUMMYFUNCTION("""COMPUTED_VALUE"""),"Dragonscale Cape")</f>
        <v>Dragonscale Cape</v>
      </c>
      <c r="B745" s="1" t="str">
        <f>IFERROR(__xludf.DUMMYFUNCTION("""COMPUTED_VALUE"""),"Shoulders")</f>
        <v>Shoulders</v>
      </c>
      <c r="C745" s="1"/>
      <c r="D745" s="1" t="str">
        <f>IFERROR(__xludf.DUMMYFUNCTION("""COMPUTED_VALUE"""),"Item")</f>
        <v>Item</v>
      </c>
      <c r="E745" s="1">
        <f>IFERROR(__xludf.DUMMYFUNCTION("""COMPUTED_VALUE"""),1.0)</f>
        <v>1</v>
      </c>
      <c r="F745" s="2">
        <f>IFERROR(__xludf.DUMMYFUNCTION("""COMPUTED_VALUE"""),0.0)</f>
        <v>0</v>
      </c>
      <c r="G745" s="1" t="str">
        <f>IFERROR(__xludf.DUMMYFUNCTION("""COMPUTED_VALUE"""),"DEF")</f>
        <v>DEF</v>
      </c>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t="str">
        <f>IFERROR(__xludf.DUMMYFUNCTION("""COMPUTED_VALUE"""),"++8,300 additional HP and SP, +-Cannot be forged or duplicated")</f>
        <v>++8,300 additional HP and SP, +-Cannot be forged or duplicated</v>
      </c>
      <c r="AG745" s="1" t="str">
        <f>IFERROR(__xludf.DUMMYFUNCTION("""COMPUTED_VALUE"""),"Dragonscale Island")</f>
        <v>Dragonscale Island</v>
      </c>
      <c r="AH745" s="1" t="b">
        <f>IFERROR(__xludf.DUMMYFUNCTION("""COMPUTED_VALUE"""),FALSE)</f>
        <v>0</v>
      </c>
    </row>
    <row r="746">
      <c r="A746" s="1" t="str">
        <f>IFERROR(__xludf.DUMMYFUNCTION("""COMPUTED_VALUE"""),"Broken Dragonscale Mail")</f>
        <v>Broken Dragonscale Mail</v>
      </c>
      <c r="B746" s="1" t="str">
        <f>IFERROR(__xludf.DUMMYFUNCTION("""COMPUTED_VALUE"""),"Torso")</f>
        <v>Torso</v>
      </c>
      <c r="C746" s="1"/>
      <c r="D746" s="1" t="str">
        <f>IFERROR(__xludf.DUMMYFUNCTION("""COMPUTED_VALUE"""),"Item")</f>
        <v>Item</v>
      </c>
      <c r="E746" s="1">
        <f>IFERROR(__xludf.DUMMYFUNCTION("""COMPUTED_VALUE"""),980.0)</f>
        <v>980</v>
      </c>
      <c r="F746" s="2">
        <f>IFERROR(__xludf.DUMMYFUNCTION("""COMPUTED_VALUE"""),4.656E7)</f>
        <v>46560000</v>
      </c>
      <c r="G746" s="1" t="str">
        <f>IFERROR(__xludf.DUMMYFUNCTION("""COMPUTED_VALUE"""),"DEF")</f>
        <v>DEF</v>
      </c>
      <c r="H746" s="3">
        <f>IFERROR(__xludf.DUMMYFUNCTION("""COMPUTED_VALUE"""),48900.0)</f>
        <v>48900</v>
      </c>
      <c r="I746" s="1"/>
      <c r="J746" s="1"/>
      <c r="K746" s="1"/>
      <c r="L746" s="1"/>
      <c r="M746" s="1"/>
      <c r="N746" s="1"/>
      <c r="O746" s="1"/>
      <c r="P746" s="1"/>
      <c r="Q746" s="1"/>
      <c r="R746" s="1"/>
      <c r="S746" s="1"/>
      <c r="T746" s="1"/>
      <c r="U746" s="1"/>
      <c r="V746" s="1"/>
      <c r="W746" s="1"/>
      <c r="X746" s="1"/>
      <c r="Y746" s="1"/>
      <c r="Z746" s="1"/>
      <c r="AA746" s="1"/>
      <c r="AB746" s="1"/>
      <c r="AC746" s="1"/>
      <c r="AD746" s="1"/>
      <c r="AE746" s="1"/>
      <c r="AF746" s="1" t="str">
        <f>IFERROR(__xludf.DUMMYFUNCTION("""COMPUTED_VALUE"""),"+-5% chance of breaking when wearer is attacked")</f>
        <v>+-5% chance of breaking when wearer is attacked</v>
      </c>
      <c r="AG746" s="1" t="str">
        <f>IFERROR(__xludf.DUMMYFUNCTION("""COMPUTED_VALUE"""),"Land of Spira")</f>
        <v>Land of Spira</v>
      </c>
      <c r="AH746" s="1" t="b">
        <f>IFERROR(__xludf.DUMMYFUNCTION("""COMPUTED_VALUE"""),FALSE)</f>
        <v>0</v>
      </c>
    </row>
    <row r="747">
      <c r="A747" s="1" t="str">
        <f>IFERROR(__xludf.DUMMYFUNCTION("""COMPUTED_VALUE"""),"Dragonscale Mail")</f>
        <v>Dragonscale Mail</v>
      </c>
      <c r="B747" s="1" t="str">
        <f>IFERROR(__xludf.DUMMYFUNCTION("""COMPUTED_VALUE"""),"Torso")</f>
        <v>Torso</v>
      </c>
      <c r="C747" s="1"/>
      <c r="D747" s="1" t="str">
        <f>IFERROR(__xludf.DUMMYFUNCTION("""COMPUTED_VALUE"""),"Item")</f>
        <v>Item</v>
      </c>
      <c r="E747" s="1">
        <f>IFERROR(__xludf.DUMMYFUNCTION("""COMPUTED_VALUE"""),3000.0)</f>
        <v>3000</v>
      </c>
      <c r="F747" s="2">
        <f>IFERROR(__xludf.DUMMYFUNCTION("""COMPUTED_VALUE"""),4.485E8)</f>
        <v>448500000</v>
      </c>
      <c r="G747" s="1" t="str">
        <f>IFERROR(__xludf.DUMMYFUNCTION("""COMPUTED_VALUE"""),"DEF")</f>
        <v>DEF</v>
      </c>
      <c r="H747" s="1">
        <f>IFERROR(__xludf.DUMMYFUNCTION("""COMPUTED_VALUE"""),150000.0)</f>
        <v>150000</v>
      </c>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t="str">
        <f>IFERROR(__xludf.DUMMYFUNCTION("""COMPUTED_VALUE"""),"Dragonscale Island")</f>
        <v>Dragonscale Island</v>
      </c>
      <c r="AH747" s="1" t="b">
        <f>IFERROR(__xludf.DUMMYFUNCTION("""COMPUTED_VALUE"""),FALSE)</f>
        <v>0</v>
      </c>
    </row>
    <row r="748">
      <c r="A748" s="1" t="str">
        <f>IFERROR(__xludf.DUMMYFUNCTION("""COMPUTED_VALUE"""),"Dragonscale Charm")</f>
        <v>Dragonscale Charm</v>
      </c>
      <c r="B748" s="1" t="str">
        <f>IFERROR(__xludf.DUMMYFUNCTION("""COMPUTED_VALUE"""),"Neck")</f>
        <v>Neck</v>
      </c>
      <c r="C748" s="1"/>
      <c r="D748" s="1" t="str">
        <f>IFERROR(__xludf.DUMMYFUNCTION("""COMPUTED_VALUE"""),"Item")</f>
        <v>Item</v>
      </c>
      <c r="E748" s="1">
        <f>IFERROR(__xludf.DUMMYFUNCTION("""COMPUTED_VALUE"""),1.0)</f>
        <v>1</v>
      </c>
      <c r="F748" s="2">
        <f>IFERROR(__xludf.DUMMYFUNCTION("""COMPUTED_VALUE"""),0.0)</f>
        <v>0</v>
      </c>
      <c r="G748" s="1" t="str">
        <f>IFERROR(__xludf.DUMMYFUNCTION("""COMPUTED_VALUE"""),"DEF")</f>
        <v>DEF</v>
      </c>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t="str">
        <f>IFERROR(__xludf.DUMMYFUNCTION("""COMPUTED_VALUE"""),"++1000 additional HP and SP for every piece of Dragonscale equipment equipped +-Cannot be forged or duplicated")</f>
        <v>++1000 additional HP and SP for every piece of Dragonscale equipment equipped +-Cannot be forged or duplicated</v>
      </c>
      <c r="AG748" s="1" t="str">
        <f>IFERROR(__xludf.DUMMYFUNCTION("""COMPUTED_VALUE"""),"Dragonscale Island")</f>
        <v>Dragonscale Island</v>
      </c>
      <c r="AH748" s="1" t="b">
        <f>IFERROR(__xludf.DUMMYFUNCTION("""COMPUTED_VALUE"""),FALSE)</f>
        <v>0</v>
      </c>
    </row>
    <row r="749">
      <c r="A749" s="1" t="str">
        <f>IFERROR(__xludf.DUMMYFUNCTION("""COMPUTED_VALUE"""),"Dragonscale Sandals")</f>
        <v>Dragonscale Sandals</v>
      </c>
      <c r="B749" s="1" t="str">
        <f>IFERROR(__xludf.DUMMYFUNCTION("""COMPUTED_VALUE"""),"Feet")</f>
        <v>Feet</v>
      </c>
      <c r="C749" s="1"/>
      <c r="D749" s="1" t="str">
        <f>IFERROR(__xludf.DUMMYFUNCTION("""COMPUTED_VALUE"""),"Item")</f>
        <v>Item</v>
      </c>
      <c r="E749" s="1">
        <f>IFERROR(__xludf.DUMMYFUNCTION("""COMPUTED_VALUE"""),1.0)</f>
        <v>1</v>
      </c>
      <c r="F749" s="2">
        <f>IFERROR(__xludf.DUMMYFUNCTION("""COMPUTED_VALUE"""),0.0)</f>
        <v>0</v>
      </c>
      <c r="G749" s="1" t="str">
        <f>IFERROR(__xludf.DUMMYFUNCTION("""COMPUTED_VALUE"""),"DEF")</f>
        <v>DEF</v>
      </c>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t="str">
        <f>IFERROR(__xludf.DUMMYFUNCTION("""COMPUTED_VALUE"""),"++2 Mobility +-Cannot be forged or duplicated")</f>
        <v>++2 Mobility +-Cannot be forged or duplicated</v>
      </c>
      <c r="AG749" s="1" t="str">
        <f>IFERROR(__xludf.DUMMYFUNCTION("""COMPUTED_VALUE"""),"Dragonscale Island")</f>
        <v>Dragonscale Island</v>
      </c>
      <c r="AH749" s="1" t="b">
        <f>IFERROR(__xludf.DUMMYFUNCTION("""COMPUTED_VALUE"""),FALSE)</f>
        <v>0</v>
      </c>
    </row>
    <row r="750">
      <c r="A750" s="1" t="str">
        <f>IFERROR(__xludf.DUMMYFUNCTION("""COMPUTED_VALUE"""),"Dragonscale Talisman")</f>
        <v>Dragonscale Talisman</v>
      </c>
      <c r="B750" s="1" t="str">
        <f>IFERROR(__xludf.DUMMYFUNCTION("""COMPUTED_VALUE"""),"Neck")</f>
        <v>Neck</v>
      </c>
      <c r="C750" s="1"/>
      <c r="D750" s="1" t="str">
        <f>IFERROR(__xludf.DUMMYFUNCTION("""COMPUTED_VALUE"""),"Item")</f>
        <v>Item</v>
      </c>
      <c r="E750" s="1">
        <f>IFERROR(__xludf.DUMMYFUNCTION("""COMPUTED_VALUE"""),1.0)</f>
        <v>1</v>
      </c>
      <c r="F750" s="2">
        <f>IFERROR(__xludf.DUMMYFUNCTION("""COMPUTED_VALUE"""),0.0)</f>
        <v>0</v>
      </c>
      <c r="G750" s="1" t="str">
        <f>IFERROR(__xludf.DUMMYFUNCTION("""COMPUTED_VALUE"""),"DEF")</f>
        <v>DEF</v>
      </c>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t="str">
        <f>IFERROR(__xludf.DUMMYFUNCTION("""COMPUTED_VALUE"""),"++10000 additional HP and SP, +-Cannot be forged or duplicated")</f>
        <v>++10000 additional HP and SP, +-Cannot be forged or duplicated</v>
      </c>
      <c r="AG750" s="1" t="str">
        <f>IFERROR(__xludf.DUMMYFUNCTION("""COMPUTED_VALUE"""),"Dragonscale Island")</f>
        <v>Dragonscale Island</v>
      </c>
      <c r="AH750" s="1" t="b">
        <f>IFERROR(__xludf.DUMMYFUNCTION("""COMPUTED_VALUE"""),FALSE)</f>
        <v>0</v>
      </c>
    </row>
    <row r="751">
      <c r="A751" s="1" t="str">
        <f>IFERROR(__xludf.DUMMYFUNCTION("""COMPUTED_VALUE"""),"Dragonscale Water Ring")</f>
        <v>Dragonscale Water Ring</v>
      </c>
      <c r="B751" s="1" t="str">
        <f>IFERROR(__xludf.DUMMYFUNCTION("""COMPUTED_VALUE"""),"Finger")</f>
        <v>Finger</v>
      </c>
      <c r="C751" s="1"/>
      <c r="D751" s="1" t="str">
        <f>IFERROR(__xludf.DUMMYFUNCTION("""COMPUTED_VALUE"""),"Item")</f>
        <v>Item</v>
      </c>
      <c r="E751" s="1">
        <f>IFERROR(__xludf.DUMMYFUNCTION("""COMPUTED_VALUE"""),1.0)</f>
        <v>1</v>
      </c>
      <c r="F751" s="2">
        <f>IFERROR(__xludf.DUMMYFUNCTION("""COMPUTED_VALUE"""),0.0)</f>
        <v>0</v>
      </c>
      <c r="G751" s="1" t="str">
        <f>IFERROR(__xludf.DUMMYFUNCTION("""COMPUTED_VALUE"""),"DEF")</f>
        <v>DEF</v>
      </c>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t="str">
        <f>IFERROR(__xludf.DUMMYFUNCTION("""COMPUTED_VALUE"""),"++Converts all Natural damage to Water damage +-Cannot be duplicated")</f>
        <v>++Converts all Natural damage to Water damage +-Cannot be duplicated</v>
      </c>
      <c r="AG751" s="1" t="str">
        <f>IFERROR(__xludf.DUMMYFUNCTION("""COMPUTED_VALUE"""),"Dragonscale Island")</f>
        <v>Dragonscale Island</v>
      </c>
      <c r="AH751" s="1" t="b">
        <f>IFERROR(__xludf.DUMMYFUNCTION("""COMPUTED_VALUE"""),FALSE)</f>
        <v>0</v>
      </c>
    </row>
    <row r="752">
      <c r="A752" s="1" t="str">
        <f>IFERROR(__xludf.DUMMYFUNCTION("""COMPUTED_VALUE"""),"Dragonscale Gauntlets")</f>
        <v>Dragonscale Gauntlets</v>
      </c>
      <c r="B752" s="1" t="str">
        <f>IFERROR(__xludf.DUMMYFUNCTION("""COMPUTED_VALUE"""),"Hand")</f>
        <v>Hand</v>
      </c>
      <c r="C752" s="1"/>
      <c r="D752" s="1" t="str">
        <f>IFERROR(__xludf.DUMMYFUNCTION("""COMPUTED_VALUE"""),"Gauntlet")</f>
        <v>Gauntlet</v>
      </c>
      <c r="E752" s="1">
        <f>IFERROR(__xludf.DUMMYFUNCTION("""COMPUTED_VALUE"""),2000.0)</f>
        <v>2000</v>
      </c>
      <c r="F752" s="2">
        <f>IFERROR(__xludf.DUMMYFUNCTION("""COMPUTED_VALUE"""),1.99E8)</f>
        <v>199000000</v>
      </c>
      <c r="G752" s="1" t="str">
        <f>IFERROR(__xludf.DUMMYFUNCTION("""COMPUTED_VALUE"""),"DEF")</f>
        <v>DEF</v>
      </c>
      <c r="H752" s="1">
        <f>IFERROR(__xludf.DUMMYFUNCTION("""COMPUTED_VALUE"""),100000.0)</f>
        <v>100000</v>
      </c>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t="str">
        <f>IFERROR(__xludf.DUMMYFUNCTION("""COMPUTED_VALUE"""),"Dragonscale Island")</f>
        <v>Dragonscale Island</v>
      </c>
      <c r="AH752" s="1" t="b">
        <f>IFERROR(__xludf.DUMMYFUNCTION("""COMPUTED_VALUE"""),FALSE)</f>
        <v>0</v>
      </c>
    </row>
    <row r="753">
      <c r="A753" s="1" t="str">
        <f>IFERROR(__xludf.DUMMYFUNCTION("""COMPUTED_VALUE"""),"Fire Dragonscale Bow")</f>
        <v>Fire Dragonscale Bow</v>
      </c>
      <c r="B753" s="1" t="str">
        <f>IFERROR(__xludf.DUMMYFUNCTION("""COMPUTED_VALUE"""),"Hand")</f>
        <v>Hand</v>
      </c>
      <c r="C753" s="1"/>
      <c r="D753" s="1" t="str">
        <f>IFERROR(__xludf.DUMMYFUNCTION("""COMPUTED_VALUE"""),"Bow")</f>
        <v>Bow</v>
      </c>
      <c r="E753" s="1">
        <f>IFERROR(__xludf.DUMMYFUNCTION("""COMPUTED_VALUE"""),3000.0)</f>
        <v>3000</v>
      </c>
      <c r="F753" s="2">
        <f>IFERROR(__xludf.DUMMYFUNCTION("""COMPUTED_VALUE"""),4.485E8)</f>
        <v>448500000</v>
      </c>
      <c r="G753" s="1" t="str">
        <f>IFERROR(__xludf.DUMMYFUNCTION("""COMPUTED_VALUE"""),"DMG")</f>
        <v>DMG</v>
      </c>
      <c r="H753" s="1">
        <f>IFERROR(__xludf.DUMMYFUNCTION("""COMPUTED_VALUE"""),20000.0)</f>
        <v>20000</v>
      </c>
      <c r="I753" s="1">
        <f>IFERROR(__xludf.DUMMYFUNCTION("""COMPUTED_VALUE"""),130000.0)</f>
        <v>130000</v>
      </c>
      <c r="J753" s="1"/>
      <c r="K753" s="1"/>
      <c r="L753" s="1"/>
      <c r="M753" s="1"/>
      <c r="N753" s="1"/>
      <c r="O753" s="1"/>
      <c r="P753" s="1"/>
      <c r="Q753" s="1"/>
      <c r="R753" s="1"/>
      <c r="S753" s="1"/>
      <c r="T753" s="1"/>
      <c r="U753" s="1"/>
      <c r="V753" s="1"/>
      <c r="W753" s="1"/>
      <c r="X753" s="1"/>
      <c r="Y753" s="1"/>
      <c r="Z753" s="1"/>
      <c r="AA753" s="1"/>
      <c r="AB753" s="1"/>
      <c r="AC753" s="1"/>
      <c r="AD753" s="1"/>
      <c r="AE753" s="1"/>
      <c r="AF753" s="1"/>
      <c r="AG753" s="1" t="str">
        <f>IFERROR(__xludf.DUMMYFUNCTION("""COMPUTED_VALUE"""),"Dragonscale Island")</f>
        <v>Dragonscale Island</v>
      </c>
      <c r="AH753" s="1" t="b">
        <f>IFERROR(__xludf.DUMMYFUNCTION("""COMPUTED_VALUE"""),FALSE)</f>
        <v>0</v>
      </c>
    </row>
    <row r="754">
      <c r="A754" s="1" t="str">
        <f>IFERROR(__xludf.DUMMYFUNCTION("""COMPUTED_VALUE"""),"Storm Dragonscale Flail")</f>
        <v>Storm Dragonscale Flail</v>
      </c>
      <c r="B754" s="1" t="str">
        <f>IFERROR(__xludf.DUMMYFUNCTION("""COMPUTED_VALUE"""),"Hand")</f>
        <v>Hand</v>
      </c>
      <c r="C754" s="1"/>
      <c r="D754" s="1" t="str">
        <f>IFERROR(__xludf.DUMMYFUNCTION("""COMPUTED_VALUE"""),"Club")</f>
        <v>Club</v>
      </c>
      <c r="E754" s="1">
        <f>IFERROR(__xludf.DUMMYFUNCTION("""COMPUTED_VALUE"""),2400.0)</f>
        <v>2400</v>
      </c>
      <c r="F754" s="2">
        <f>IFERROR(__xludf.DUMMYFUNCTION("""COMPUTED_VALUE"""),2.868E8)</f>
        <v>286800000</v>
      </c>
      <c r="G754" s="1" t="str">
        <f>IFERROR(__xludf.DUMMYFUNCTION("""COMPUTED_VALUE"""),"DMG")</f>
        <v>DMG</v>
      </c>
      <c r="H754" s="1">
        <f>IFERROR(__xludf.DUMMYFUNCTION("""COMPUTED_VALUE"""),20000.0)</f>
        <v>20000</v>
      </c>
      <c r="I754" s="1"/>
      <c r="J754" s="1"/>
      <c r="K754" s="1"/>
      <c r="L754" s="1">
        <f>IFERROR(__xludf.DUMMYFUNCTION("""COMPUTED_VALUE"""),100000.0)</f>
        <v>100000</v>
      </c>
      <c r="M754" s="1"/>
      <c r="N754" s="1"/>
      <c r="O754" s="1"/>
      <c r="P754" s="1"/>
      <c r="Q754" s="1"/>
      <c r="R754" s="1"/>
      <c r="S754" s="1"/>
      <c r="T754" s="1"/>
      <c r="U754" s="1"/>
      <c r="V754" s="1"/>
      <c r="W754" s="1"/>
      <c r="X754" s="1"/>
      <c r="Y754" s="1"/>
      <c r="Z754" s="1"/>
      <c r="AA754" s="1"/>
      <c r="AB754" s="1"/>
      <c r="AC754" s="1"/>
      <c r="AD754" s="1"/>
      <c r="AE754" s="1"/>
      <c r="AF754" s="1" t="str">
        <f>IFERROR(__xludf.DUMMYFUNCTION("""COMPUTED_VALUE"""),"++If multiple enemies of the same type are present, attacks hit all enemies of that type. +-Cannot be forged or duplicated")</f>
        <v>++If multiple enemies of the same type are present, attacks hit all enemies of that type. +-Cannot be forged or duplicated</v>
      </c>
      <c r="AG754" s="1" t="str">
        <f>IFERROR(__xludf.DUMMYFUNCTION("""COMPUTED_VALUE"""),"Dragonscale Island")</f>
        <v>Dragonscale Island</v>
      </c>
      <c r="AH754" s="1" t="b">
        <f>IFERROR(__xludf.DUMMYFUNCTION("""COMPUTED_VALUE"""),FALSE)</f>
        <v>0</v>
      </c>
    </row>
    <row r="755">
      <c r="A755" s="1" t="str">
        <f>IFERROR(__xludf.DUMMYFUNCTION("""COMPUTED_VALUE"""),"Dragonscale Spear")</f>
        <v>Dragonscale Spear</v>
      </c>
      <c r="B755" s="1" t="str">
        <f>IFERROR(__xludf.DUMMYFUNCTION("""COMPUTED_VALUE"""),"Hand")</f>
        <v>Hand</v>
      </c>
      <c r="C755" s="1"/>
      <c r="D755" s="1" t="str">
        <f>IFERROR(__xludf.DUMMYFUNCTION("""COMPUTED_VALUE"""),"Spear")</f>
        <v>Spear</v>
      </c>
      <c r="E755" s="1">
        <f>IFERROR(__xludf.DUMMYFUNCTION("""COMPUTED_VALUE"""),2800.0)</f>
        <v>2800</v>
      </c>
      <c r="F755" s="2">
        <f>IFERROR(__xludf.DUMMYFUNCTION("""COMPUTED_VALUE"""),3.906E8)</f>
        <v>390600000</v>
      </c>
      <c r="G755" s="1" t="str">
        <f>IFERROR(__xludf.DUMMYFUNCTION("""COMPUTED_VALUE"""),"DMG")</f>
        <v>DMG</v>
      </c>
      <c r="H755" s="1">
        <f>IFERROR(__xludf.DUMMYFUNCTION("""COMPUTED_VALUE"""),140000.0)</f>
        <v>140000</v>
      </c>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t="str">
        <f>IFERROR(__xludf.DUMMYFUNCTION("""COMPUTED_VALUE"""),"Dragonscale Island")</f>
        <v>Dragonscale Island</v>
      </c>
      <c r="AH755" s="1" t="b">
        <f>IFERROR(__xludf.DUMMYFUNCTION("""COMPUTED_VALUE"""),FALSE)</f>
        <v>0</v>
      </c>
    </row>
    <row r="756">
      <c r="A756" s="1" t="str">
        <f>IFERROR(__xludf.DUMMYFUNCTION("""COMPUTED_VALUE"""),"Dragonscale Scythe")</f>
        <v>Dragonscale Scythe</v>
      </c>
      <c r="B756" s="1" t="str">
        <f>IFERROR(__xludf.DUMMYFUNCTION("""COMPUTED_VALUE"""),"Hand")</f>
        <v>Hand</v>
      </c>
      <c r="C756" s="1"/>
      <c r="D756" s="1" t="str">
        <f>IFERROR(__xludf.DUMMYFUNCTION("""COMPUTED_VALUE"""),"Scythe")</f>
        <v>Scythe</v>
      </c>
      <c r="E756" s="1">
        <f>IFERROR(__xludf.DUMMYFUNCTION("""COMPUTED_VALUE"""),2500.0)</f>
        <v>2500</v>
      </c>
      <c r="F756" s="2">
        <f>IFERROR(__xludf.DUMMYFUNCTION("""COMPUTED_VALUE"""),3.1125E8)</f>
        <v>311250000</v>
      </c>
      <c r="G756" s="1" t="str">
        <f>IFERROR(__xludf.DUMMYFUNCTION("""COMPUTED_VALUE"""),"DMG")</f>
        <v>DMG</v>
      </c>
      <c r="H756" s="1">
        <f>IFERROR(__xludf.DUMMYFUNCTION("""COMPUTED_VALUE"""),125000.0)</f>
        <v>125000</v>
      </c>
      <c r="I756" s="1"/>
      <c r="J756" s="1"/>
      <c r="K756" s="1"/>
      <c r="L756" s="1"/>
      <c r="M756" s="1"/>
      <c r="N756" s="1"/>
      <c r="O756" s="1"/>
      <c r="P756" s="1"/>
      <c r="Q756" s="1"/>
      <c r="R756" s="1"/>
      <c r="S756" s="1"/>
      <c r="T756" s="1"/>
      <c r="U756" s="1"/>
      <c r="V756" s="1"/>
      <c r="W756" s="1"/>
      <c r="X756" s="1"/>
      <c r="Y756" s="1"/>
      <c r="Z756" s="1"/>
      <c r="AA756" s="1"/>
      <c r="AB756" s="1"/>
      <c r="AC756" s="1"/>
      <c r="AD756" s="1"/>
      <c r="AE756" s="1"/>
      <c r="AF756" s="1" t="str">
        <f>IFERROR(__xludf.DUMMYFUNCTION("""COMPUTED_VALUE"""),"++If used to kill a dragon, 100% chance to get its soul. +-Cannot be forged or duplicated")</f>
        <v>++If used to kill a dragon, 100% chance to get its soul. +-Cannot be forged or duplicated</v>
      </c>
      <c r="AG756" s="1" t="str">
        <f>IFERROR(__xludf.DUMMYFUNCTION("""COMPUTED_VALUE"""),"Dragonscale Island")</f>
        <v>Dragonscale Island</v>
      </c>
      <c r="AH756" s="1" t="b">
        <f>IFERROR(__xludf.DUMMYFUNCTION("""COMPUTED_VALUE"""),FALSE)</f>
        <v>0</v>
      </c>
    </row>
    <row r="757">
      <c r="A757" s="1" t="str">
        <f>IFERROR(__xludf.DUMMYFUNCTION("""COMPUTED_VALUE"""),"Dark Dragonscale Claws")</f>
        <v>Dark Dragonscale Claws</v>
      </c>
      <c r="B757" s="1" t="str">
        <f>IFERROR(__xludf.DUMMYFUNCTION("""COMPUTED_VALUE"""),"Hand")</f>
        <v>Hand</v>
      </c>
      <c r="C757" s="1"/>
      <c r="D757" s="1" t="str">
        <f>IFERROR(__xludf.DUMMYFUNCTION("""COMPUTED_VALUE"""),"Claw")</f>
        <v>Claw</v>
      </c>
      <c r="E757" s="1">
        <f>IFERROR(__xludf.DUMMYFUNCTION("""COMPUTED_VALUE"""),2900.0)</f>
        <v>2900</v>
      </c>
      <c r="F757" s="2">
        <f>IFERROR(__xludf.DUMMYFUNCTION("""COMPUTED_VALUE"""),4.1905E8)</f>
        <v>419050000</v>
      </c>
      <c r="G757" s="1" t="str">
        <f>IFERROR(__xludf.DUMMYFUNCTION("""COMPUTED_VALUE"""),"DMG")</f>
        <v>DMG</v>
      </c>
      <c r="H757" s="1"/>
      <c r="I757" s="1"/>
      <c r="J757" s="1"/>
      <c r="K757" s="1"/>
      <c r="L757" s="1"/>
      <c r="M757" s="1"/>
      <c r="N757" s="1"/>
      <c r="O757" s="1">
        <f>IFERROR(__xludf.DUMMYFUNCTION("""COMPUTED_VALUE"""),145000.0)</f>
        <v>145000</v>
      </c>
      <c r="P757" s="1"/>
      <c r="Q757" s="1"/>
      <c r="R757" s="1"/>
      <c r="S757" s="1"/>
      <c r="T757" s="1"/>
      <c r="U757" s="1"/>
      <c r="V757" s="1"/>
      <c r="W757" s="1"/>
      <c r="X757" s="1"/>
      <c r="Y757" s="1"/>
      <c r="Z757" s="1"/>
      <c r="AA757" s="1"/>
      <c r="AB757" s="1"/>
      <c r="AC757" s="1"/>
      <c r="AD757" s="1"/>
      <c r="AE757" s="1"/>
      <c r="AF757" s="1" t="str">
        <f>IFERROR(__xludf.DUMMYFUNCTION("""COMPUTED_VALUE"""),"++ 30% chance to remove enemy from battle")</f>
        <v>++ 30% chance to remove enemy from battle</v>
      </c>
      <c r="AG757" s="1" t="str">
        <f>IFERROR(__xludf.DUMMYFUNCTION("""COMPUTED_VALUE"""),"Dragonscale Island")</f>
        <v>Dragonscale Island</v>
      </c>
      <c r="AH757" s="1" t="b">
        <f>IFERROR(__xludf.DUMMYFUNCTION("""COMPUTED_VALUE"""),FALSE)</f>
        <v>0</v>
      </c>
    </row>
    <row r="758">
      <c r="A758" s="1" t="str">
        <f>IFERROR(__xludf.DUMMYFUNCTION("""COMPUTED_VALUE"""),"Chaotic Dragonscale Claw")</f>
        <v>Chaotic Dragonscale Claw</v>
      </c>
      <c r="B758" s="1" t="str">
        <f>IFERROR(__xludf.DUMMYFUNCTION("""COMPUTED_VALUE"""),"Hand")</f>
        <v>Hand</v>
      </c>
      <c r="C758" s="1"/>
      <c r="D758" s="1" t="str">
        <f>IFERROR(__xludf.DUMMYFUNCTION("""COMPUTED_VALUE"""),"Claw")</f>
        <v>Claw</v>
      </c>
      <c r="E758" s="1">
        <f>IFERROR(__xludf.DUMMYFUNCTION("""COMPUTED_VALUE"""),2350.0)</f>
        <v>2350</v>
      </c>
      <c r="F758" s="2">
        <f>IFERROR(__xludf.DUMMYFUNCTION("""COMPUTED_VALUE"""),2.7261E8)</f>
        <v>272610000</v>
      </c>
      <c r="G758" s="1" t="str">
        <f>IFERROR(__xludf.DUMMYFUNCTION("""COMPUTED_VALUE"""),"DMG")</f>
        <v>DMG</v>
      </c>
      <c r="H758" s="1">
        <f>IFERROR(__xludf.DUMMYFUNCTION("""COMPUTED_VALUE"""),1.0)</f>
        <v>1</v>
      </c>
      <c r="I758" s="1"/>
      <c r="J758" s="1"/>
      <c r="K758" s="1"/>
      <c r="L758" s="1"/>
      <c r="M758" s="1"/>
      <c r="N758" s="1"/>
      <c r="O758" s="1"/>
      <c r="P758" s="1"/>
      <c r="Q758" s="1"/>
      <c r="R758" s="1">
        <f>IFERROR(__xludf.DUMMYFUNCTION("""COMPUTED_VALUE"""),117000.0)</f>
        <v>117000</v>
      </c>
      <c r="S758" s="1"/>
      <c r="T758" s="1"/>
      <c r="U758" s="1"/>
      <c r="V758" s="1"/>
      <c r="W758" s="1"/>
      <c r="X758" s="1"/>
      <c r="Y758" s="1"/>
      <c r="Z758" s="1"/>
      <c r="AA758" s="1"/>
      <c r="AB758" s="1"/>
      <c r="AC758" s="1"/>
      <c r="AD758" s="1"/>
      <c r="AE758" s="1"/>
      <c r="AF758" s="1" t="str">
        <f>IFERROR(__xludf.DUMMYFUNCTION("""COMPUTED_VALUE"""),"+-5% chance of dealing 1 damage when attacking")</f>
        <v>+-5% chance of dealing 1 damage when attacking</v>
      </c>
      <c r="AG758" s="1" t="str">
        <f>IFERROR(__xludf.DUMMYFUNCTION("""COMPUTED_VALUE"""),"Dragonscale Island")</f>
        <v>Dragonscale Island</v>
      </c>
      <c r="AH758" s="1" t="b">
        <f>IFERROR(__xludf.DUMMYFUNCTION("""COMPUTED_VALUE"""),FALSE)</f>
        <v>0</v>
      </c>
    </row>
    <row r="759">
      <c r="A759" s="1" t="str">
        <f>IFERROR(__xludf.DUMMYFUNCTION("""COMPUTED_VALUE"""),"Earthen Dragonscale Boots")</f>
        <v>Earthen Dragonscale Boots</v>
      </c>
      <c r="B759" s="1" t="str">
        <f>IFERROR(__xludf.DUMMYFUNCTION("""COMPUTED_VALUE"""),"Feet")</f>
        <v>Feet</v>
      </c>
      <c r="C759" s="1"/>
      <c r="D759" s="1" t="str">
        <f>IFERROR(__xludf.DUMMYFUNCTION("""COMPUTED_VALUE"""),"Item")</f>
        <v>Item</v>
      </c>
      <c r="E759" s="1">
        <f>IFERROR(__xludf.DUMMYFUNCTION("""COMPUTED_VALUE"""),3000.0)</f>
        <v>3000</v>
      </c>
      <c r="F759" s="2">
        <f>IFERROR(__xludf.DUMMYFUNCTION("""COMPUTED_VALUE"""),4.485E8)</f>
        <v>448500000</v>
      </c>
      <c r="G759" s="1" t="str">
        <f>IFERROR(__xludf.DUMMYFUNCTION("""COMPUTED_VALUE"""),"DEF")</f>
        <v>DEF</v>
      </c>
      <c r="H759" s="1">
        <f>IFERROR(__xludf.DUMMYFUNCTION("""COMPUTED_VALUE"""),60000.0)</f>
        <v>60000</v>
      </c>
      <c r="I759" s="1"/>
      <c r="J759" s="1"/>
      <c r="K759" s="1"/>
      <c r="L759" s="1"/>
      <c r="M759" s="1">
        <f>IFERROR(__xludf.DUMMYFUNCTION("""COMPUTED_VALUE"""),90000.0)</f>
        <v>90000</v>
      </c>
      <c r="N759" s="1"/>
      <c r="O759" s="1"/>
      <c r="P759" s="1"/>
      <c r="Q759" s="1"/>
      <c r="R759" s="1"/>
      <c r="S759" s="1"/>
      <c r="T759" s="1"/>
      <c r="U759" s="1"/>
      <c r="V759" s="1"/>
      <c r="W759" s="1"/>
      <c r="X759" s="1"/>
      <c r="Y759" s="1"/>
      <c r="Z759" s="1"/>
      <c r="AA759" s="1"/>
      <c r="AB759" s="1"/>
      <c r="AC759" s="1"/>
      <c r="AD759" s="1"/>
      <c r="AE759" s="1"/>
      <c r="AF759" s="1" t="str">
        <f>IFERROR(__xludf.DUMMYFUNCTION("""COMPUTED_VALUE"""),"++Immune to Earth spells")</f>
        <v>++Immune to Earth spells</v>
      </c>
      <c r="AG759" s="1" t="str">
        <f>IFERROR(__xludf.DUMMYFUNCTION("""COMPUTED_VALUE"""),"Dragonscale Island")</f>
        <v>Dragonscale Island</v>
      </c>
      <c r="AH759" s="1" t="b">
        <f>IFERROR(__xludf.DUMMYFUNCTION("""COMPUTED_VALUE"""),FALSE)</f>
        <v>0</v>
      </c>
    </row>
    <row r="760">
      <c r="A760" s="1" t="str">
        <f>IFERROR(__xludf.DUMMYFUNCTION("""COMPUTED_VALUE"""),"Dragonscale Harp")</f>
        <v>Dragonscale Harp</v>
      </c>
      <c r="B760" s="1" t="str">
        <f>IFERROR(__xludf.DUMMYFUNCTION("""COMPUTED_VALUE"""),"Hand")</f>
        <v>Hand</v>
      </c>
      <c r="C760" s="1"/>
      <c r="D760" s="1" t="str">
        <f>IFERROR(__xludf.DUMMYFUNCTION("""COMPUTED_VALUE"""),"Instrument")</f>
        <v>Instrument</v>
      </c>
      <c r="E760" s="1">
        <f>IFERROR(__xludf.DUMMYFUNCTION("""COMPUTED_VALUE"""),2620.0)</f>
        <v>2620</v>
      </c>
      <c r="F760" s="2">
        <f>IFERROR(__xludf.DUMMYFUNCTION("""COMPUTED_VALUE"""),3.4191E8)</f>
        <v>341910000</v>
      </c>
      <c r="G760" s="1" t="str">
        <f>IFERROR(__xludf.DUMMYFUNCTION("""COMPUTED_VALUE"""),"DMG")</f>
        <v>DMG</v>
      </c>
      <c r="H760" s="1">
        <f>IFERROR(__xludf.DUMMYFUNCTION("""COMPUTED_VALUE"""),1000.0)</f>
        <v>1000</v>
      </c>
      <c r="I760" s="1"/>
      <c r="J760" s="1"/>
      <c r="K760" s="1"/>
      <c r="L760" s="1"/>
      <c r="M760" s="1"/>
      <c r="N760" s="1"/>
      <c r="O760" s="1"/>
      <c r="P760" s="1"/>
      <c r="Q760" s="1"/>
      <c r="R760" s="1"/>
      <c r="S760" s="1"/>
      <c r="T760" s="1"/>
      <c r="U760" s="1"/>
      <c r="V760" s="1"/>
      <c r="W760" s="1"/>
      <c r="X760" s="1"/>
      <c r="Y760" s="1"/>
      <c r="Z760" s="1"/>
      <c r="AA760" s="1"/>
      <c r="AB760" s="1"/>
      <c r="AC760" s="1"/>
      <c r="AD760" s="1"/>
      <c r="AE760" s="1">
        <f>IFERROR(__xludf.DUMMYFUNCTION("""COMPUTED_VALUE"""),130000.0)</f>
        <v>130000</v>
      </c>
      <c r="AF760" s="1" t="str">
        <f>IFERROR(__xludf.DUMMYFUNCTION("""COMPUTED_VALUE"""),"++Causes any dragon enemies to skip its next turn when attacked.")</f>
        <v>++Causes any dragon enemies to skip its next turn when attacked.</v>
      </c>
      <c r="AG760" s="1" t="str">
        <f>IFERROR(__xludf.DUMMYFUNCTION("""COMPUTED_VALUE"""),"Dragonscale Island")</f>
        <v>Dragonscale Island</v>
      </c>
      <c r="AH760" s="1" t="b">
        <f>IFERROR(__xludf.DUMMYFUNCTION("""COMPUTED_VALUE"""),FALSE)</f>
        <v>0</v>
      </c>
    </row>
    <row r="761">
      <c r="A761" s="1" t="str">
        <f>IFERROR(__xludf.DUMMYFUNCTION("""COMPUTED_VALUE"""),"Dragonscale Bracers")</f>
        <v>Dragonscale Bracers</v>
      </c>
      <c r="B761" s="1" t="str">
        <f>IFERROR(__xludf.DUMMYFUNCTION("""COMPUTED_VALUE"""),"Arms")</f>
        <v>Arms</v>
      </c>
      <c r="C761" s="1"/>
      <c r="D761" s="1" t="str">
        <f>IFERROR(__xludf.DUMMYFUNCTION("""COMPUTED_VALUE"""),"Item")</f>
        <v>Item</v>
      </c>
      <c r="E761" s="1">
        <f>IFERROR(__xludf.DUMMYFUNCTION("""COMPUTED_VALUE"""),2000.0)</f>
        <v>2000</v>
      </c>
      <c r="F761" s="2">
        <f>IFERROR(__xludf.DUMMYFUNCTION("""COMPUTED_VALUE"""),1.99E8)</f>
        <v>199000000</v>
      </c>
      <c r="G761" s="1" t="str">
        <f>IFERROR(__xludf.DUMMYFUNCTION("""COMPUTED_VALUE"""),"DEF")</f>
        <v>DEF</v>
      </c>
      <c r="H761" s="1">
        <f>IFERROR(__xludf.DUMMYFUNCTION("""COMPUTED_VALUE"""),100000.0)</f>
        <v>100000</v>
      </c>
      <c r="I761" s="1"/>
      <c r="J761" s="1"/>
      <c r="K761" s="1"/>
      <c r="L761" s="1"/>
      <c r="M761" s="1"/>
      <c r="N761" s="1"/>
      <c r="O761" s="1"/>
      <c r="P761" s="1"/>
      <c r="Q761" s="1"/>
      <c r="R761" s="1"/>
      <c r="S761" s="1"/>
      <c r="T761" s="1"/>
      <c r="U761" s="1"/>
      <c r="V761" s="1"/>
      <c r="W761" s="1"/>
      <c r="X761" s="1"/>
      <c r="Y761" s="1"/>
      <c r="Z761" s="1"/>
      <c r="AA761" s="1"/>
      <c r="AB761" s="1"/>
      <c r="AC761" s="1"/>
      <c r="AD761" s="1"/>
      <c r="AE761" s="1"/>
      <c r="AF761" s="1" t="str">
        <f>IFERROR(__xludf.DUMMYFUNCTION("""COMPUTED_VALUE"""),"++X2 DEF when fighting a dragon(s).")</f>
        <v>++X2 DEF when fighting a dragon(s).</v>
      </c>
      <c r="AG761" s="1" t="str">
        <f>IFERROR(__xludf.DUMMYFUNCTION("""COMPUTED_VALUE"""),"Dragonscale Island")</f>
        <v>Dragonscale Island</v>
      </c>
      <c r="AH761" s="1" t="b">
        <f>IFERROR(__xludf.DUMMYFUNCTION("""COMPUTED_VALUE"""),FALSE)</f>
        <v>0</v>
      </c>
    </row>
    <row r="762">
      <c r="A762" s="1" t="str">
        <f>IFERROR(__xludf.DUMMYFUNCTION("""COMPUTED_VALUE"""),"Dragonscale Crown")</f>
        <v>Dragonscale Crown</v>
      </c>
      <c r="B762" s="1" t="str">
        <f>IFERROR(__xludf.DUMMYFUNCTION("""COMPUTED_VALUE"""),"Head")</f>
        <v>Head</v>
      </c>
      <c r="C762" s="1"/>
      <c r="D762" s="1" t="str">
        <f>IFERROR(__xludf.DUMMYFUNCTION("""COMPUTED_VALUE"""),"Item")</f>
        <v>Item</v>
      </c>
      <c r="E762" s="1">
        <f>IFERROR(__xludf.DUMMYFUNCTION("""COMPUTED_VALUE"""),1.0)</f>
        <v>1</v>
      </c>
      <c r="F762" s="2">
        <f>IFERROR(__xludf.DUMMYFUNCTION("""COMPUTED_VALUE"""),0.0)</f>
        <v>0</v>
      </c>
      <c r="G762" s="1" t="str">
        <f>IFERROR(__xludf.DUMMYFUNCTION("""COMPUTED_VALUE"""),"DEF")</f>
        <v>DEF</v>
      </c>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t="str">
        <f>IFERROR(__xludf.DUMMYFUNCTION("""COMPUTED_VALUE"""),"++7,500 additional HP and SP, +-Cannot be forged or duplicated")</f>
        <v>++7,500 additional HP and SP, +-Cannot be forged or duplicated</v>
      </c>
      <c r="AG762" s="1" t="str">
        <f>IFERROR(__xludf.DUMMYFUNCTION("""COMPUTED_VALUE"""),"Dragonscale Island")</f>
        <v>Dragonscale Island</v>
      </c>
      <c r="AH762" s="1" t="b">
        <f>IFERROR(__xludf.DUMMYFUNCTION("""COMPUTED_VALUE"""),FALSE)</f>
        <v>0</v>
      </c>
    </row>
    <row r="763">
      <c r="A763" s="1" t="str">
        <f>IFERROR(__xludf.DUMMYFUNCTION("""COMPUTED_VALUE"""),"Dragonscale Helm")</f>
        <v>Dragonscale Helm</v>
      </c>
      <c r="B763" s="1" t="str">
        <f>IFERROR(__xludf.DUMMYFUNCTION("""COMPUTED_VALUE"""),"Head")</f>
        <v>Head</v>
      </c>
      <c r="C763" s="1"/>
      <c r="D763" s="1" t="str">
        <f>IFERROR(__xludf.DUMMYFUNCTION("""COMPUTED_VALUE"""),"Item")</f>
        <v>Item</v>
      </c>
      <c r="E763" s="1">
        <f>IFERROR(__xludf.DUMMYFUNCTION("""COMPUTED_VALUE"""),2600.0)</f>
        <v>2600</v>
      </c>
      <c r="F763" s="2">
        <f>IFERROR(__xludf.DUMMYFUNCTION("""COMPUTED_VALUE"""),3.367E8)</f>
        <v>336700000</v>
      </c>
      <c r="G763" s="1" t="str">
        <f>IFERROR(__xludf.DUMMYFUNCTION("""COMPUTED_VALUE"""),"DEF")</f>
        <v>DEF</v>
      </c>
      <c r="H763" s="1">
        <f>IFERROR(__xludf.DUMMYFUNCTION("""COMPUTED_VALUE"""),130000.0)</f>
        <v>130000</v>
      </c>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t="str">
        <f>IFERROR(__xludf.DUMMYFUNCTION("""COMPUTED_VALUE"""),"Dragonscale Island")</f>
        <v>Dragonscale Island</v>
      </c>
      <c r="AH763" s="1" t="b">
        <f>IFERROR(__xludf.DUMMYFUNCTION("""COMPUTED_VALUE"""),FALSE)</f>
        <v>0</v>
      </c>
    </row>
    <row r="764">
      <c r="A764" s="1" t="str">
        <f>IFERROR(__xludf.DUMMYFUNCTION("""COMPUTED_VALUE"""),"Dragonscale Rifle")</f>
        <v>Dragonscale Rifle</v>
      </c>
      <c r="B764" s="1" t="str">
        <f>IFERROR(__xludf.DUMMYFUNCTION("""COMPUTED_VALUE"""),"Hand")</f>
        <v>Hand</v>
      </c>
      <c r="C764" s="1"/>
      <c r="D764" s="1" t="str">
        <f>IFERROR(__xludf.DUMMYFUNCTION("""COMPUTED_VALUE"""),"Firearm")</f>
        <v>Firearm</v>
      </c>
      <c r="E764" s="1">
        <f>IFERROR(__xludf.DUMMYFUNCTION("""COMPUTED_VALUE"""),3400.0)</f>
        <v>3400</v>
      </c>
      <c r="F764" s="2">
        <f>IFERROR(__xludf.DUMMYFUNCTION("""COMPUTED_VALUE"""),5.763E8)</f>
        <v>576300000</v>
      </c>
      <c r="G764" s="1" t="str">
        <f>IFERROR(__xludf.DUMMYFUNCTION("""COMPUTED_VALUE"""),"DMG")</f>
        <v>DMG</v>
      </c>
      <c r="H764" s="1">
        <f>IFERROR(__xludf.DUMMYFUNCTION("""COMPUTED_VALUE"""),170000.0)</f>
        <v>170000</v>
      </c>
      <c r="I764" s="1"/>
      <c r="J764" s="1"/>
      <c r="K764" s="1"/>
      <c r="L764" s="1"/>
      <c r="M764" s="1"/>
      <c r="N764" s="1"/>
      <c r="O764" s="1"/>
      <c r="P764" s="1"/>
      <c r="Q764" s="1"/>
      <c r="R764" s="1"/>
      <c r="S764" s="1"/>
      <c r="T764" s="1"/>
      <c r="U764" s="1"/>
      <c r="V764" s="1"/>
      <c r="W764" s="1"/>
      <c r="X764" s="1"/>
      <c r="Y764" s="1"/>
      <c r="Z764" s="1"/>
      <c r="AA764" s="1"/>
      <c r="AB764" s="1"/>
      <c r="AC764" s="1"/>
      <c r="AD764" s="1"/>
      <c r="AE764" s="1"/>
      <c r="AF764" s="1" t="str">
        <f>IFERROR(__xludf.DUMMYFUNCTION("""COMPUTED_VALUE""")," +-Uses bullets")</f>
        <v> +-Uses bullets</v>
      </c>
      <c r="AG764" s="1" t="str">
        <f>IFERROR(__xludf.DUMMYFUNCTION("""COMPUTED_VALUE"""),"Dragonscale Island")</f>
        <v>Dragonscale Island</v>
      </c>
      <c r="AH764" s="1" t="b">
        <f>IFERROR(__xludf.DUMMYFUNCTION("""COMPUTED_VALUE"""),FALSE)</f>
        <v>0</v>
      </c>
    </row>
    <row r="765">
      <c r="A765" s="1" t="str">
        <f>IFERROR(__xludf.DUMMYFUNCTION("""COMPUTED_VALUE"""),"Searing Dragonscale Staff")</f>
        <v>Searing Dragonscale Staff</v>
      </c>
      <c r="B765" s="1" t="str">
        <f>IFERROR(__xludf.DUMMYFUNCTION("""COMPUTED_VALUE"""),"Hand")</f>
        <v>Hand</v>
      </c>
      <c r="C765" s="1"/>
      <c r="D765" s="1" t="str">
        <f>IFERROR(__xludf.DUMMYFUNCTION("""COMPUTED_VALUE"""),"Staff")</f>
        <v>Staff</v>
      </c>
      <c r="E765" s="1">
        <f>IFERROR(__xludf.DUMMYFUNCTION("""COMPUTED_VALUE"""),3000.0)</f>
        <v>3000</v>
      </c>
      <c r="F765" s="2">
        <f>IFERROR(__xludf.DUMMYFUNCTION("""COMPUTED_VALUE"""),4.485E8)</f>
        <v>448500000</v>
      </c>
      <c r="G765" s="1" t="str">
        <f>IFERROR(__xludf.DUMMYFUNCTION("""COMPUTED_VALUE"""),"DMG")</f>
        <v>DMG</v>
      </c>
      <c r="H765" s="1"/>
      <c r="I765" s="1"/>
      <c r="J765" s="1"/>
      <c r="K765" s="1"/>
      <c r="L765" s="1"/>
      <c r="M765" s="1"/>
      <c r="N765" s="1">
        <f>IFERROR(__xludf.DUMMYFUNCTION("""COMPUTED_VALUE"""),150000.0)</f>
        <v>150000</v>
      </c>
      <c r="O765" s="1"/>
      <c r="P765" s="1"/>
      <c r="Q765" s="1"/>
      <c r="R765" s="1"/>
      <c r="S765" s="1"/>
      <c r="T765" s="1"/>
      <c r="U765" s="1"/>
      <c r="V765" s="1"/>
      <c r="W765" s="1"/>
      <c r="X765" s="1"/>
      <c r="Y765" s="1"/>
      <c r="Z765" s="1"/>
      <c r="AA765" s="1"/>
      <c r="AB765" s="1"/>
      <c r="AC765" s="1"/>
      <c r="AD765" s="1"/>
      <c r="AE765" s="1"/>
      <c r="AF765" s="1"/>
      <c r="AG765" s="1" t="str">
        <f>IFERROR(__xludf.DUMMYFUNCTION("""COMPUTED_VALUE"""),"Dragonscale Island")</f>
        <v>Dragonscale Island</v>
      </c>
      <c r="AH765" s="1" t="b">
        <f>IFERROR(__xludf.DUMMYFUNCTION("""COMPUTED_VALUE"""),FALSE)</f>
        <v>0</v>
      </c>
    </row>
    <row r="766">
      <c r="A766" s="1" t="str">
        <f>IFERROR(__xludf.DUMMYFUNCTION("""COMPUTED_VALUE"""),"Forgotten Scythe")</f>
        <v>Forgotten Scythe</v>
      </c>
      <c r="B766" s="1" t="str">
        <f>IFERROR(__xludf.DUMMYFUNCTION("""COMPUTED_VALUE"""),"Hand")</f>
        <v>Hand</v>
      </c>
      <c r="C766" s="1"/>
      <c r="D766" s="1" t="str">
        <f>IFERROR(__xludf.DUMMYFUNCTION("""COMPUTED_VALUE"""),"Scythe")</f>
        <v>Scythe</v>
      </c>
      <c r="E766" s="1">
        <f>IFERROR(__xludf.DUMMYFUNCTION("""COMPUTED_VALUE"""),5800.0)</f>
        <v>5800</v>
      </c>
      <c r="F766" s="2">
        <f>IFERROR(__xludf.DUMMYFUNCTION("""COMPUTED_VALUE"""),1.6791E9)</f>
        <v>1679100000</v>
      </c>
      <c r="G766" s="1" t="str">
        <f>IFERROR(__xludf.DUMMYFUNCTION("""COMPUTED_VALUE"""),"DMG")</f>
        <v>DMG</v>
      </c>
      <c r="H766" s="1"/>
      <c r="I766" s="1"/>
      <c r="J766" s="1"/>
      <c r="K766" s="1"/>
      <c r="L766" s="1"/>
      <c r="M766" s="1"/>
      <c r="N766" s="1"/>
      <c r="O766" s="1"/>
      <c r="P766" s="1"/>
      <c r="Q766" s="1"/>
      <c r="R766" s="1">
        <f>IFERROR(__xludf.DUMMYFUNCTION("""COMPUTED_VALUE"""),290000.0)</f>
        <v>290000</v>
      </c>
      <c r="S766" s="1"/>
      <c r="T766" s="1"/>
      <c r="U766" s="1"/>
      <c r="V766" s="1"/>
      <c r="W766" s="1"/>
      <c r="X766" s="1"/>
      <c r="Y766" s="1"/>
      <c r="Z766" s="1"/>
      <c r="AA766" s="1"/>
      <c r="AB766" s="1"/>
      <c r="AC766" s="1"/>
      <c r="AD766" s="1"/>
      <c r="AE766" s="1"/>
      <c r="AF766" s="1"/>
      <c r="AG766" s="1" t="str">
        <f>IFERROR(__xludf.DUMMYFUNCTION("""COMPUTED_VALUE"""),"Abstara")</f>
        <v>Abstara</v>
      </c>
      <c r="AH766" s="1" t="b">
        <f>IFERROR(__xludf.DUMMYFUNCTION("""COMPUTED_VALUE"""),FALSE)</f>
        <v>0</v>
      </c>
    </row>
    <row r="767">
      <c r="A767" s="1" t="str">
        <f>IFERROR(__xludf.DUMMYFUNCTION("""COMPUTED_VALUE"""),"Forsaken Club")</f>
        <v>Forsaken Club</v>
      </c>
      <c r="B767" s="1" t="str">
        <f>IFERROR(__xludf.DUMMYFUNCTION("""COMPUTED_VALUE"""),"Hand")</f>
        <v>Hand</v>
      </c>
      <c r="C767" s="1"/>
      <c r="D767" s="1" t="str">
        <f>IFERROR(__xludf.DUMMYFUNCTION("""COMPUTED_VALUE"""),"Club")</f>
        <v>Club</v>
      </c>
      <c r="E767" s="1">
        <f>IFERROR(__xludf.DUMMYFUNCTION("""COMPUTED_VALUE"""),5000.0)</f>
        <v>5000</v>
      </c>
      <c r="F767" s="2">
        <f>IFERROR(__xludf.DUMMYFUNCTION("""COMPUTED_VALUE"""),1.2475E9)</f>
        <v>1247500000</v>
      </c>
      <c r="G767" s="1" t="str">
        <f>IFERROR(__xludf.DUMMYFUNCTION("""COMPUTED_VALUE"""),"DMG")</f>
        <v>DMG</v>
      </c>
      <c r="H767" s="1">
        <f>IFERROR(__xludf.DUMMYFUNCTION("""COMPUTED_VALUE"""),250000.0)</f>
        <v>250000</v>
      </c>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t="str">
        <f>IFERROR(__xludf.DUMMYFUNCTION("""COMPUTED_VALUE"""),"Abstara")</f>
        <v>Abstara</v>
      </c>
      <c r="AH767" s="1" t="b">
        <f>IFERROR(__xludf.DUMMYFUNCTION("""COMPUTED_VALUE"""),FALSE)</f>
        <v>0</v>
      </c>
    </row>
    <row r="768">
      <c r="A768" s="1" t="str">
        <f>IFERROR(__xludf.DUMMYFUNCTION("""COMPUTED_VALUE"""),"Demonic Breastplate")</f>
        <v>Demonic Breastplate</v>
      </c>
      <c r="B768" s="1" t="str">
        <f>IFERROR(__xludf.DUMMYFUNCTION("""COMPUTED_VALUE"""),"Torso")</f>
        <v>Torso</v>
      </c>
      <c r="C768" s="1"/>
      <c r="D768" s="1" t="str">
        <f>IFERROR(__xludf.DUMMYFUNCTION("""COMPUTED_VALUE"""),"Item")</f>
        <v>Item</v>
      </c>
      <c r="E768" s="1">
        <f>IFERROR(__xludf.DUMMYFUNCTION("""COMPUTED_VALUE"""),4000.0)</f>
        <v>4000</v>
      </c>
      <c r="F768" s="2">
        <f>IFERROR(__xludf.DUMMYFUNCTION("""COMPUTED_VALUE"""),7.98E8)</f>
        <v>798000000</v>
      </c>
      <c r="G768" s="1" t="str">
        <f>IFERROR(__xludf.DUMMYFUNCTION("""COMPUTED_VALUE"""),"DEF")</f>
        <v>DEF</v>
      </c>
      <c r="H768" s="1">
        <f>IFERROR(__xludf.DUMMYFUNCTION("""COMPUTED_VALUE"""),50000.0)</f>
        <v>50000</v>
      </c>
      <c r="I768" s="1">
        <f>IFERROR(__xludf.DUMMYFUNCTION("""COMPUTED_VALUE"""),50000.0)</f>
        <v>50000</v>
      </c>
      <c r="J768" s="1"/>
      <c r="K768" s="1"/>
      <c r="L768" s="1"/>
      <c r="M768" s="1"/>
      <c r="N768" s="1"/>
      <c r="O768" s="1">
        <f>IFERROR(__xludf.DUMMYFUNCTION("""COMPUTED_VALUE"""),50000.0)</f>
        <v>50000</v>
      </c>
      <c r="P768" s="1"/>
      <c r="Q768" s="1"/>
      <c r="R768" s="1">
        <f>IFERROR(__xludf.DUMMYFUNCTION("""COMPUTED_VALUE"""),50000.0)</f>
        <v>50000</v>
      </c>
      <c r="S768" s="1"/>
      <c r="T768" s="1"/>
      <c r="U768" s="1"/>
      <c r="V768" s="1"/>
      <c r="W768" s="1"/>
      <c r="X768" s="1"/>
      <c r="Y768" s="1"/>
      <c r="Z768" s="1"/>
      <c r="AA768" s="1"/>
      <c r="AB768" s="1"/>
      <c r="AC768" s="1"/>
      <c r="AD768" s="1"/>
      <c r="AE768" s="1"/>
      <c r="AF768" s="1"/>
      <c r="AG768" s="1" t="str">
        <f>IFERROR(__xludf.DUMMYFUNCTION("""COMPUTED_VALUE"""),"Abstara")</f>
        <v>Abstara</v>
      </c>
      <c r="AH768" s="1" t="b">
        <f>IFERROR(__xludf.DUMMYFUNCTION("""COMPUTED_VALUE"""),FALSE)</f>
        <v>0</v>
      </c>
    </row>
    <row r="769">
      <c r="A769" s="1" t="str">
        <f>IFERROR(__xludf.DUMMYFUNCTION("""COMPUTED_VALUE"""),"Fallen Ruler's Crown")</f>
        <v>Fallen Ruler's Crown</v>
      </c>
      <c r="B769" s="1" t="str">
        <f>IFERROR(__xludf.DUMMYFUNCTION("""COMPUTED_VALUE"""),"Head")</f>
        <v>Head</v>
      </c>
      <c r="C769" s="1"/>
      <c r="D769" s="1" t="str">
        <f>IFERROR(__xludf.DUMMYFUNCTION("""COMPUTED_VALUE"""),"Item")</f>
        <v>Item</v>
      </c>
      <c r="E769" s="1">
        <f>IFERROR(__xludf.DUMMYFUNCTION("""COMPUTED_VALUE"""),1.0)</f>
        <v>1</v>
      </c>
      <c r="F769" s="2">
        <f>IFERROR(__xludf.DUMMYFUNCTION("""COMPUTED_VALUE"""),0.0)</f>
        <v>0</v>
      </c>
      <c r="G769" s="1" t="str">
        <f>IFERROR(__xludf.DUMMYFUNCTION("""COMPUTED_VALUE"""),"DEF")</f>
        <v>DEF</v>
      </c>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t="str">
        <f>IFERROR(__xludf.DUMMYFUNCTION("""COMPUTED_VALUE"""),"++5% chance undead enemies will willingly surrender +-Cannot be forged or duplicated")</f>
        <v>++5% chance undead enemies will willingly surrender +-Cannot be forged or duplicated</v>
      </c>
      <c r="AG769" s="1" t="str">
        <f>IFERROR(__xludf.DUMMYFUNCTION("""COMPUTED_VALUE"""),"Abstara")</f>
        <v>Abstara</v>
      </c>
      <c r="AH769" s="1" t="b">
        <f>IFERROR(__xludf.DUMMYFUNCTION("""COMPUTED_VALUE"""),FALSE)</f>
        <v>0</v>
      </c>
    </row>
    <row r="770">
      <c r="A770" s="1" t="str">
        <f>IFERROR(__xludf.DUMMYFUNCTION("""COMPUTED_VALUE"""),"Old Knife")</f>
        <v>Old Knife</v>
      </c>
      <c r="B770" s="1" t="str">
        <f>IFERROR(__xludf.DUMMYFUNCTION("""COMPUTED_VALUE"""),"Hand")</f>
        <v>Hand</v>
      </c>
      <c r="C770" s="1"/>
      <c r="D770" s="1" t="str">
        <f>IFERROR(__xludf.DUMMYFUNCTION("""COMPUTED_VALUE"""),"Knife")</f>
        <v>Knife</v>
      </c>
      <c r="E770" s="1">
        <f>IFERROR(__xludf.DUMMYFUNCTION("""COMPUTED_VALUE"""),3640.0)</f>
        <v>3640</v>
      </c>
      <c r="F770" s="2">
        <f>IFERROR(__xludf.DUMMYFUNCTION("""COMPUTED_VALUE"""),6.6066E8)</f>
        <v>660660000</v>
      </c>
      <c r="G770" s="1" t="str">
        <f>IFERROR(__xludf.DUMMYFUNCTION("""COMPUTED_VALUE"""),"DMG")</f>
        <v>DMG</v>
      </c>
      <c r="H770" s="1">
        <f>IFERROR(__xludf.DUMMYFUNCTION("""COMPUTED_VALUE"""),12000.0)</f>
        <v>12000</v>
      </c>
      <c r="I770" s="1"/>
      <c r="J770" s="1"/>
      <c r="K770" s="1"/>
      <c r="L770" s="1"/>
      <c r="M770" s="1"/>
      <c r="N770" s="1"/>
      <c r="O770" s="1"/>
      <c r="P770" s="1"/>
      <c r="Q770" s="1"/>
      <c r="R770" s="1"/>
      <c r="S770" s="1"/>
      <c r="T770" s="1"/>
      <c r="U770" s="1"/>
      <c r="V770" s="1"/>
      <c r="W770" s="1"/>
      <c r="X770" s="1"/>
      <c r="Y770" s="1">
        <f>IFERROR(__xludf.DUMMYFUNCTION("""COMPUTED_VALUE"""),170000.0)</f>
        <v>170000</v>
      </c>
      <c r="Z770" s="1"/>
      <c r="AA770" s="1"/>
      <c r="AB770" s="1"/>
      <c r="AC770" s="1"/>
      <c r="AD770" s="1"/>
      <c r="AE770" s="1"/>
      <c r="AF770" s="1"/>
      <c r="AG770" s="1" t="str">
        <f>IFERROR(__xludf.DUMMYFUNCTION("""COMPUTED_VALUE"""),"Abstara")</f>
        <v>Abstara</v>
      </c>
      <c r="AH770" s="1" t="b">
        <f>IFERROR(__xludf.DUMMYFUNCTION("""COMPUTED_VALUE"""),FALSE)</f>
        <v>0</v>
      </c>
    </row>
    <row r="771">
      <c r="A771" s="1" t="str">
        <f>IFERROR(__xludf.DUMMYFUNCTION("""COMPUTED_VALUE"""),"Plunderbuss")</f>
        <v>Plunderbuss</v>
      </c>
      <c r="B771" s="1" t="str">
        <f>IFERROR(__xludf.DUMMYFUNCTION("""COMPUTED_VALUE"""),"Hand")</f>
        <v>Hand</v>
      </c>
      <c r="C771" s="1"/>
      <c r="D771" s="1" t="str">
        <f>IFERROR(__xludf.DUMMYFUNCTION("""COMPUTED_VALUE"""),"Firearm")</f>
        <v>Firearm</v>
      </c>
      <c r="E771" s="1">
        <f>IFERROR(__xludf.DUMMYFUNCTION("""COMPUTED_VALUE"""),3800.0)</f>
        <v>3800</v>
      </c>
      <c r="F771" s="2">
        <f>IFERROR(__xludf.DUMMYFUNCTION("""COMPUTED_VALUE"""),7.201E8)</f>
        <v>720100000</v>
      </c>
      <c r="G771" s="1" t="str">
        <f>IFERROR(__xludf.DUMMYFUNCTION("""COMPUTED_VALUE"""),"DMG")</f>
        <v>DMG</v>
      </c>
      <c r="H771" s="1">
        <f>IFERROR(__xludf.DUMMYFUNCTION("""COMPUTED_VALUE"""),190000.0)</f>
        <v>190000</v>
      </c>
      <c r="I771" s="1"/>
      <c r="J771" s="1"/>
      <c r="K771" s="1"/>
      <c r="L771" s="1"/>
      <c r="M771" s="1"/>
      <c r="N771" s="1"/>
      <c r="O771" s="1"/>
      <c r="P771" s="1"/>
      <c r="Q771" s="1"/>
      <c r="R771" s="1"/>
      <c r="S771" s="1"/>
      <c r="T771" s="1"/>
      <c r="U771" s="1"/>
      <c r="V771" s="1"/>
      <c r="W771" s="1"/>
      <c r="X771" s="1"/>
      <c r="Y771" s="1"/>
      <c r="Z771" s="1"/>
      <c r="AA771" s="1"/>
      <c r="AB771" s="1"/>
      <c r="AC771" s="1"/>
      <c r="AD771" s="1"/>
      <c r="AE771" s="1"/>
      <c r="AF771" s="1" t="str">
        <f>IFERROR(__xludf.DUMMYFUNCTION("""COMPUTED_VALUE"""),"+-Uses bullets, ++Get two of every loot drop you roll. +-Cannot be forged or duplicated")</f>
        <v>+-Uses bullets, ++Get two of every loot drop you roll. +-Cannot be forged or duplicated</v>
      </c>
      <c r="AG771" s="1" t="str">
        <f>IFERROR(__xludf.DUMMYFUNCTION("""COMPUTED_VALUE"""),"Abstara")</f>
        <v>Abstara</v>
      </c>
      <c r="AH771" s="1" t="b">
        <f>IFERROR(__xludf.DUMMYFUNCTION("""COMPUTED_VALUE"""),FALSE)</f>
        <v>0</v>
      </c>
    </row>
    <row r="772">
      <c r="A772" s="1" t="str">
        <f>IFERROR(__xludf.DUMMYFUNCTION("""COMPUTED_VALUE"""),"Dragon Destroyer")</f>
        <v>Dragon Destroyer</v>
      </c>
      <c r="B772" s="1" t="str">
        <f>IFERROR(__xludf.DUMMYFUNCTION("""COMPUTED_VALUE"""),"Hand")</f>
        <v>Hand</v>
      </c>
      <c r="C772" s="1"/>
      <c r="D772" s="1" t="str">
        <f>IFERROR(__xludf.DUMMYFUNCTION("""COMPUTED_VALUE"""),"Axe")</f>
        <v>Axe</v>
      </c>
      <c r="E772" s="1">
        <f>IFERROR(__xludf.DUMMYFUNCTION("""COMPUTED_VALUE"""),6000.0)</f>
        <v>6000</v>
      </c>
      <c r="F772" s="2">
        <f>IFERROR(__xludf.DUMMYFUNCTION("""COMPUTED_VALUE"""),1.797E9)</f>
        <v>1797000000</v>
      </c>
      <c r="G772" s="1" t="str">
        <f>IFERROR(__xludf.DUMMYFUNCTION("""COMPUTED_VALUE"""),"DMG")</f>
        <v>DMG</v>
      </c>
      <c r="H772" s="1">
        <f>IFERROR(__xludf.DUMMYFUNCTION("""COMPUTED_VALUE"""),300000.0)</f>
        <v>300000</v>
      </c>
      <c r="I772" s="1"/>
      <c r="J772" s="1"/>
      <c r="K772" s="1"/>
      <c r="L772" s="1"/>
      <c r="M772" s="1"/>
      <c r="N772" s="1"/>
      <c r="O772" s="1"/>
      <c r="P772" s="1"/>
      <c r="Q772" s="1"/>
      <c r="R772" s="1"/>
      <c r="S772" s="1"/>
      <c r="T772" s="1"/>
      <c r="U772" s="1"/>
      <c r="V772" s="1"/>
      <c r="W772" s="1"/>
      <c r="X772" s="1"/>
      <c r="Y772" s="1"/>
      <c r="Z772" s="1"/>
      <c r="AA772" s="1"/>
      <c r="AB772" s="1"/>
      <c r="AC772" s="1"/>
      <c r="AD772" s="1"/>
      <c r="AE772" s="1"/>
      <c r="AF772" s="1" t="str">
        <f>IFERROR(__xludf.DUMMYFUNCTION("""COMPUTED_VALUE"""),"++deals unblockable damage to dragons +-Cannot be forged or duplicated")</f>
        <v>++deals unblockable damage to dragons +-Cannot be forged or duplicated</v>
      </c>
      <c r="AG772" s="1" t="str">
        <f>IFERROR(__xludf.DUMMYFUNCTION("""COMPUTED_VALUE"""),"Abstara")</f>
        <v>Abstara</v>
      </c>
      <c r="AH772" s="1" t="b">
        <f>IFERROR(__xludf.DUMMYFUNCTION("""COMPUTED_VALUE"""),FALSE)</f>
        <v>0</v>
      </c>
    </row>
    <row r="773">
      <c r="A773" s="1" t="str">
        <f>IFERROR(__xludf.DUMMYFUNCTION("""COMPUTED_VALUE"""),"Dragonscale of Returns")</f>
        <v>Dragonscale of Returns</v>
      </c>
      <c r="B773" s="1" t="str">
        <f>IFERROR(__xludf.DUMMYFUNCTION("""COMPUTED_VALUE"""),"Hand")</f>
        <v>Hand</v>
      </c>
      <c r="C773" s="1"/>
      <c r="D773" s="1" t="str">
        <f>IFERROR(__xludf.DUMMYFUNCTION("""COMPUTED_VALUE"""),"Boomerang")</f>
        <v>Boomerang</v>
      </c>
      <c r="E773" s="1">
        <f>IFERROR(__xludf.DUMMYFUNCTION("""COMPUTED_VALUE"""),1500.0)</f>
        <v>1500</v>
      </c>
      <c r="F773" s="2">
        <f>IFERROR(__xludf.DUMMYFUNCTION("""COMPUTED_VALUE"""),1.1175E8)</f>
        <v>111750000</v>
      </c>
      <c r="G773" s="1" t="str">
        <f>IFERROR(__xludf.DUMMYFUNCTION("""COMPUTED_VALUE"""),"DMG")</f>
        <v>DMG</v>
      </c>
      <c r="H773" s="1">
        <f>IFERROR(__xludf.DUMMYFUNCTION("""COMPUTED_VALUE"""),75000.0)</f>
        <v>75000</v>
      </c>
      <c r="I773" s="1"/>
      <c r="J773" s="1"/>
      <c r="K773" s="1"/>
      <c r="L773" s="1"/>
      <c r="M773" s="1"/>
      <c r="N773" s="1"/>
      <c r="O773" s="1"/>
      <c r="P773" s="1"/>
      <c r="Q773" s="1"/>
      <c r="R773" s="1"/>
      <c r="S773" s="1"/>
      <c r="T773" s="1"/>
      <c r="U773" s="1"/>
      <c r="V773" s="1"/>
      <c r="W773" s="1"/>
      <c r="X773" s="1"/>
      <c r="Y773" s="1"/>
      <c r="Z773" s="1"/>
      <c r="AA773" s="1"/>
      <c r="AB773" s="1"/>
      <c r="AC773" s="1"/>
      <c r="AD773" s="1"/>
      <c r="AE773" s="1"/>
      <c r="AF773" s="1" t="str">
        <f>IFERROR(__xludf.DUMMYFUNCTION("""COMPUTED_VALUE"""),"++Receive a dragon scale when thrown at a dragon, +-Cannot be forged or duplicated")</f>
        <v>++Receive a dragon scale when thrown at a dragon, +-Cannot be forged or duplicated</v>
      </c>
      <c r="AG773" s="1" t="str">
        <f>IFERROR(__xludf.DUMMYFUNCTION("""COMPUTED_VALUE"""),"Dragonscale Island")</f>
        <v>Dragonscale Island</v>
      </c>
      <c r="AH773" s="1" t="b">
        <f>IFERROR(__xludf.DUMMYFUNCTION("""COMPUTED_VALUE"""),FALSE)</f>
        <v>0</v>
      </c>
    </row>
    <row r="774">
      <c r="A774" s="1" t="str">
        <f>IFERROR(__xludf.DUMMYFUNCTION("""COMPUTED_VALUE"""),"Brimstone Staff")</f>
        <v>Brimstone Staff</v>
      </c>
      <c r="B774" s="1" t="str">
        <f>IFERROR(__xludf.DUMMYFUNCTION("""COMPUTED_VALUE"""),"Hand")</f>
        <v>Hand</v>
      </c>
      <c r="C774" s="1"/>
      <c r="D774" s="1" t="str">
        <f>IFERROR(__xludf.DUMMYFUNCTION("""COMPUTED_VALUE"""),"Staff")</f>
        <v>Staff</v>
      </c>
      <c r="E774" s="1">
        <f>IFERROR(__xludf.DUMMYFUNCTION("""COMPUTED_VALUE"""),4600.0)</f>
        <v>4600</v>
      </c>
      <c r="F774" s="2">
        <f>IFERROR(__xludf.DUMMYFUNCTION("""COMPUTED_VALUE"""),1.0557E9)</f>
        <v>1055700000</v>
      </c>
      <c r="G774" s="1" t="str">
        <f>IFERROR(__xludf.DUMMYFUNCTION("""COMPUTED_VALUE"""),"DMG")</f>
        <v>DMG</v>
      </c>
      <c r="H774" s="1"/>
      <c r="I774" s="1">
        <f>IFERROR(__xludf.DUMMYFUNCTION("""COMPUTED_VALUE"""),230000.0)</f>
        <v>230000</v>
      </c>
      <c r="J774" s="1"/>
      <c r="K774" s="1"/>
      <c r="L774" s="1"/>
      <c r="M774" s="1"/>
      <c r="N774" s="1"/>
      <c r="O774" s="1"/>
      <c r="P774" s="1"/>
      <c r="Q774" s="1"/>
      <c r="R774" s="1"/>
      <c r="S774" s="1"/>
      <c r="T774" s="1"/>
      <c r="U774" s="1"/>
      <c r="V774" s="1"/>
      <c r="W774" s="1"/>
      <c r="X774" s="1"/>
      <c r="Y774" s="1"/>
      <c r="Z774" s="1"/>
      <c r="AA774" s="1"/>
      <c r="AB774" s="1"/>
      <c r="AC774" s="1"/>
      <c r="AD774" s="1"/>
      <c r="AE774" s="1"/>
      <c r="AF774" s="1" t="str">
        <f>IFERROR(__xludf.DUMMYFUNCTION("""COMPUTED_VALUE"""),"++Fire spells cost half SP, +-Cannot be forged or duplicated")</f>
        <v>++Fire spells cost half SP, +-Cannot be forged or duplicated</v>
      </c>
      <c r="AG774" s="1" t="str">
        <f>IFERROR(__xludf.DUMMYFUNCTION("""COMPUTED_VALUE"""),"Abstara")</f>
        <v>Abstara</v>
      </c>
      <c r="AH774" s="1" t="b">
        <f>IFERROR(__xludf.DUMMYFUNCTION("""COMPUTED_VALUE"""),FALSE)</f>
        <v>0</v>
      </c>
    </row>
    <row r="775">
      <c r="A775" s="1" t="str">
        <f>IFERROR(__xludf.DUMMYFUNCTION("""COMPUTED_VALUE"""),"Eternal Ember")</f>
        <v>Eternal Ember</v>
      </c>
      <c r="B775" s="1" t="str">
        <f>IFERROR(__xludf.DUMMYFUNCTION("""COMPUTED_VALUE"""),"Neck")</f>
        <v>Neck</v>
      </c>
      <c r="C775" s="1"/>
      <c r="D775" s="1" t="str">
        <f>IFERROR(__xludf.DUMMYFUNCTION("""COMPUTED_VALUE"""),"Item")</f>
        <v>Item</v>
      </c>
      <c r="E775" s="1">
        <f>IFERROR(__xludf.DUMMYFUNCTION("""COMPUTED_VALUE"""),3000.0)</f>
        <v>3000</v>
      </c>
      <c r="F775" s="2">
        <f>IFERROR(__xludf.DUMMYFUNCTION("""COMPUTED_VALUE"""),4.485E8)</f>
        <v>448500000</v>
      </c>
      <c r="G775" s="1" t="str">
        <f>IFERROR(__xludf.DUMMYFUNCTION("""COMPUTED_VALUE"""),"DEF")</f>
        <v>DEF</v>
      </c>
      <c r="H775" s="1"/>
      <c r="I775" s="1">
        <f>IFERROR(__xludf.DUMMYFUNCTION("""COMPUTED_VALUE"""),150000.0)</f>
        <v>150000</v>
      </c>
      <c r="J775" s="1"/>
      <c r="K775" s="1"/>
      <c r="L775" s="1"/>
      <c r="M775" s="1"/>
      <c r="N775" s="1"/>
      <c r="O775" s="1"/>
      <c r="P775" s="1"/>
      <c r="Q775" s="1"/>
      <c r="R775" s="1"/>
      <c r="S775" s="1"/>
      <c r="T775" s="1"/>
      <c r="U775" s="1"/>
      <c r="V775" s="1"/>
      <c r="W775" s="1"/>
      <c r="X775" s="1"/>
      <c r="Y775" s="1"/>
      <c r="Z775" s="1"/>
      <c r="AA775" s="1"/>
      <c r="AB775" s="1"/>
      <c r="AC775" s="1"/>
      <c r="AD775" s="1"/>
      <c r="AE775" s="1"/>
      <c r="AF775" s="1" t="str">
        <f>IFERROR(__xludf.DUMMYFUNCTION("""COMPUTED_VALUE"""),"++If you cast a fire spell you can cast it once more in the same turn during battle for no additional SP, +-Cannot be forged or duplicated")</f>
        <v>++If you cast a fire spell you can cast it once more in the same turn during battle for no additional SP, +-Cannot be forged or duplicated</v>
      </c>
      <c r="AG775" s="1" t="str">
        <f>IFERROR(__xludf.DUMMYFUNCTION("""COMPUTED_VALUE"""),"Abstara")</f>
        <v>Abstara</v>
      </c>
      <c r="AH775" s="1" t="b">
        <f>IFERROR(__xludf.DUMMYFUNCTION("""COMPUTED_VALUE"""),FALSE)</f>
        <v>0</v>
      </c>
    </row>
    <row r="776">
      <c r="A776" s="1" t="str">
        <f>IFERROR(__xludf.DUMMYFUNCTION("""COMPUTED_VALUE"""),"Crystal Blood")</f>
        <v>Crystal Blood</v>
      </c>
      <c r="B776" s="1" t="str">
        <f>IFERROR(__xludf.DUMMYFUNCTION("""COMPUTED_VALUE"""),"Neck")</f>
        <v>Neck</v>
      </c>
      <c r="C776" s="1"/>
      <c r="D776" s="1" t="str">
        <f>IFERROR(__xludf.DUMMYFUNCTION("""COMPUTED_VALUE"""),"Item")</f>
        <v>Item</v>
      </c>
      <c r="E776" s="1">
        <f>IFERROR(__xludf.DUMMYFUNCTION("""COMPUTED_VALUE"""),1.0)</f>
        <v>1</v>
      </c>
      <c r="F776" s="2">
        <f>IFERROR(__xludf.DUMMYFUNCTION("""COMPUTED_VALUE"""),0.0)</f>
        <v>0</v>
      </c>
      <c r="G776" s="1" t="str">
        <f>IFERROR(__xludf.DUMMYFUNCTION("""COMPUTED_VALUE"""),"DEF")</f>
        <v>DEF</v>
      </c>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t="str">
        <f>IFERROR(__xludf.DUMMYFUNCTION("""COMPUTED_VALUE"""),"++Wearer's first non-XHP cost blood spell of the battle has no HP cost , +-Cannot be forged or duplicated")</f>
        <v>++Wearer's first non-XHP cost blood spell of the battle has no HP cost , +-Cannot be forged or duplicated</v>
      </c>
      <c r="AG776" s="1" t="str">
        <f>IFERROR(__xludf.DUMMYFUNCTION("""COMPUTED_VALUE"""),"Abstara")</f>
        <v>Abstara</v>
      </c>
      <c r="AH776" s="1" t="b">
        <f>IFERROR(__xludf.DUMMYFUNCTION("""COMPUTED_VALUE"""),FALSE)</f>
        <v>0</v>
      </c>
    </row>
    <row r="777">
      <c r="A777" s="1" t="str">
        <f>IFERROR(__xludf.DUMMYFUNCTION("""COMPUTED_VALUE"""),"Ultimate Gamble")</f>
        <v>Ultimate Gamble</v>
      </c>
      <c r="B777" s="1" t="str">
        <f>IFERROR(__xludf.DUMMYFUNCTION("""COMPUTED_VALUE"""),"Hand")</f>
        <v>Hand</v>
      </c>
      <c r="C777" s="1"/>
      <c r="D777" s="1" t="str">
        <f>IFERROR(__xludf.DUMMYFUNCTION("""COMPUTED_VALUE"""),"Sword")</f>
        <v>Sword</v>
      </c>
      <c r="E777" s="1">
        <f>IFERROR(__xludf.DUMMYFUNCTION("""COMPUTED_VALUE"""),12000.0)</f>
        <v>12000</v>
      </c>
      <c r="F777" s="2">
        <f>IFERROR(__xludf.DUMMYFUNCTION("""COMPUTED_VALUE"""),7.194E9)</f>
        <v>7194000000</v>
      </c>
      <c r="G777" s="1" t="str">
        <f>IFERROR(__xludf.DUMMYFUNCTION("""COMPUTED_VALUE"""),"DMG")</f>
        <v>DMG</v>
      </c>
      <c r="H777" s="1">
        <f>IFERROR(__xludf.DUMMYFUNCTION("""COMPUTED_VALUE"""),600000.0)</f>
        <v>600000</v>
      </c>
      <c r="I777" s="1"/>
      <c r="J777" s="1"/>
      <c r="K777" s="1"/>
      <c r="L777" s="1"/>
      <c r="M777" s="1"/>
      <c r="N777" s="1"/>
      <c r="O777" s="1"/>
      <c r="P777" s="1"/>
      <c r="Q777" s="1"/>
      <c r="R777" s="1"/>
      <c r="S777" s="1"/>
      <c r="T777" s="1"/>
      <c r="U777" s="1"/>
      <c r="V777" s="1"/>
      <c r="W777" s="1"/>
      <c r="X777" s="1"/>
      <c r="Y777" s="1"/>
      <c r="Z777" s="1"/>
      <c r="AA777" s="1"/>
      <c r="AB777" s="1"/>
      <c r="AC777" s="1"/>
      <c r="AD777" s="1"/>
      <c r="AE777" s="1"/>
      <c r="AF777" s="1" t="str">
        <f>IFERROR(__xludf.DUMMYFUNCTION("""COMPUTED_VALUE"""),"++Make a Fail/Succeed roll while attacking with this weapon, Success = this weapon becomes unblockable this turn, +-Fail = attack yourself with this weapon.")</f>
        <v>++Make a Fail/Succeed roll while attacking with this weapon, Success = this weapon becomes unblockable this turn, +-Fail = attack yourself with this weapon.</v>
      </c>
      <c r="AG777" s="1" t="str">
        <f>IFERROR(__xludf.DUMMYFUNCTION("""COMPUTED_VALUE"""),"Abstara")</f>
        <v>Abstara</v>
      </c>
      <c r="AH777" s="1" t="b">
        <f>IFERROR(__xludf.DUMMYFUNCTION("""COMPUTED_VALUE"""),FALSE)</f>
        <v>0</v>
      </c>
    </row>
    <row r="778">
      <c r="A778" s="1" t="str">
        <f>IFERROR(__xludf.DUMMYFUNCTION("""COMPUTED_VALUE"""),"Awakened Evil")</f>
        <v>Awakened Evil</v>
      </c>
      <c r="B778" s="1" t="str">
        <f>IFERROR(__xludf.DUMMYFUNCTION("""COMPUTED_VALUE"""),"Hand")</f>
        <v>Hand</v>
      </c>
      <c r="C778" s="1"/>
      <c r="D778" s="1" t="str">
        <f>IFERROR(__xludf.DUMMYFUNCTION("""COMPUTED_VALUE"""),"Claw")</f>
        <v>Claw</v>
      </c>
      <c r="E778" s="1">
        <f>IFERROR(__xludf.DUMMYFUNCTION("""COMPUTED_VALUE"""),9000.0)</f>
        <v>9000</v>
      </c>
      <c r="F778" s="2">
        <f>IFERROR(__xludf.DUMMYFUNCTION("""COMPUTED_VALUE"""),4.0455E9)</f>
        <v>4045500000</v>
      </c>
      <c r="G778" s="1" t="str">
        <f>IFERROR(__xludf.DUMMYFUNCTION("""COMPUTED_VALUE"""),"DMG")</f>
        <v>DMG</v>
      </c>
      <c r="H778" s="1">
        <f>IFERROR(__xludf.DUMMYFUNCTION("""COMPUTED_VALUE"""),450000.0)</f>
        <v>450000</v>
      </c>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t="str">
        <f>IFERROR(__xludf.DUMMYFUNCTION("""COMPUTED_VALUE"""),"Abstara")</f>
        <v>Abstara</v>
      </c>
      <c r="AH778" s="1" t="b">
        <f>IFERROR(__xludf.DUMMYFUNCTION("""COMPUTED_VALUE"""),FALSE)</f>
        <v>0</v>
      </c>
    </row>
    <row r="779">
      <c r="A779" s="1" t="str">
        <f>IFERROR(__xludf.DUMMYFUNCTION("""COMPUTED_VALUE"""),"Soldier's Charge")</f>
        <v>Soldier's Charge</v>
      </c>
      <c r="B779" s="1" t="str">
        <f>IFERROR(__xludf.DUMMYFUNCTION("""COMPUTED_VALUE"""),"Hand")</f>
        <v>Hand</v>
      </c>
      <c r="C779" s="1"/>
      <c r="D779" s="1" t="str">
        <f>IFERROR(__xludf.DUMMYFUNCTION("""COMPUTED_VALUE"""),"Firearm")</f>
        <v>Firearm</v>
      </c>
      <c r="E779" s="1">
        <f>IFERROR(__xludf.DUMMYFUNCTION("""COMPUTED_VALUE"""),4400.0)</f>
        <v>4400</v>
      </c>
      <c r="F779" s="2">
        <f>IFERROR(__xludf.DUMMYFUNCTION("""COMPUTED_VALUE"""),9.658E8)</f>
        <v>965800000</v>
      </c>
      <c r="G779" s="1" t="str">
        <f>IFERROR(__xludf.DUMMYFUNCTION("""COMPUTED_VALUE"""),"DMG")</f>
        <v>DMG</v>
      </c>
      <c r="H779" s="1">
        <f>IFERROR(__xludf.DUMMYFUNCTION("""COMPUTED_VALUE"""),60000.0)</f>
        <v>60000</v>
      </c>
      <c r="I779" s="1">
        <f>IFERROR(__xludf.DUMMYFUNCTION("""COMPUTED_VALUE"""),60000.0)</f>
        <v>60000</v>
      </c>
      <c r="J779" s="1"/>
      <c r="K779" s="1"/>
      <c r="L779" s="1"/>
      <c r="M779" s="1"/>
      <c r="N779" s="1"/>
      <c r="O779" s="1"/>
      <c r="P779" s="1">
        <f>IFERROR(__xludf.DUMMYFUNCTION("""COMPUTED_VALUE"""),100000.0)</f>
        <v>100000</v>
      </c>
      <c r="Q779" s="1"/>
      <c r="R779" s="1"/>
      <c r="S779" s="1"/>
      <c r="T779" s="1"/>
      <c r="U779" s="1"/>
      <c r="V779" s="1"/>
      <c r="W779" s="1"/>
      <c r="X779" s="1"/>
      <c r="Y779" s="1"/>
      <c r="Z779" s="1"/>
      <c r="AA779" s="1"/>
      <c r="AB779" s="1"/>
      <c r="AC779" s="1"/>
      <c r="AD779" s="1"/>
      <c r="AE779" s="1"/>
      <c r="AF779" s="1"/>
      <c r="AG779" s="1" t="str">
        <f>IFERROR(__xludf.DUMMYFUNCTION("""COMPUTED_VALUE"""),"Abstara")</f>
        <v>Abstara</v>
      </c>
      <c r="AH779" s="1" t="b">
        <f>IFERROR(__xludf.DUMMYFUNCTION("""COMPUTED_VALUE"""),FALSE)</f>
        <v>0</v>
      </c>
    </row>
    <row r="780">
      <c r="A780" s="1"/>
      <c r="B780" s="1"/>
      <c r="C780" s="1"/>
      <c r="D780" s="1"/>
      <c r="E780" s="1">
        <f>IFERROR(__xludf.DUMMYFUNCTION("""COMPUTED_VALUE"""),1.0)</f>
        <v>1</v>
      </c>
      <c r="F780" s="2">
        <f>IFERROR(__xludf.DUMMYFUNCTION("""COMPUTED_VALUE"""),0.0)</f>
        <v>0</v>
      </c>
      <c r="G780" s="1" t="str">
        <f>IFERROR(__xludf.DUMMYFUNCTION("""COMPUTED_VALUE"""),"DMG")</f>
        <v>DMG</v>
      </c>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t="b">
        <f>IFERROR(__xludf.DUMMYFUNCTION("""COMPUTED_VALUE"""),FALSE)</f>
        <v>0</v>
      </c>
    </row>
    <row r="781">
      <c r="A781" s="1" t="str">
        <f>IFERROR(__xludf.DUMMYFUNCTION("""COMPUTED_VALUE"""),"Weight of Sin")</f>
        <v>Weight of Sin</v>
      </c>
      <c r="B781" s="1" t="str">
        <f>IFERROR(__xludf.DUMMYFUNCTION("""COMPUTED_VALUE"""),"Torso")</f>
        <v>Torso</v>
      </c>
      <c r="C781" s="1"/>
      <c r="D781" s="1" t="str">
        <f>IFERROR(__xludf.DUMMYFUNCTION("""COMPUTED_VALUE"""),"Item")</f>
        <v>Item</v>
      </c>
      <c r="E781" s="1">
        <f>IFERROR(__xludf.DUMMYFUNCTION("""COMPUTED_VALUE"""),11200.0)</f>
        <v>11200</v>
      </c>
      <c r="F781" s="2">
        <f>IFERROR(__xludf.DUMMYFUNCTION("""COMPUTED_VALUE"""),6.2664E9)</f>
        <v>6266400000</v>
      </c>
      <c r="G781" s="1" t="str">
        <f>IFERROR(__xludf.DUMMYFUNCTION("""COMPUTED_VALUE"""),"DEF")</f>
        <v>DEF</v>
      </c>
      <c r="H781" s="1">
        <f>IFERROR(__xludf.DUMMYFUNCTION("""COMPUTED_VALUE"""),560000.0)</f>
        <v>560000</v>
      </c>
      <c r="I781" s="1"/>
      <c r="J781" s="1"/>
      <c r="K781" s="1"/>
      <c r="L781" s="1"/>
      <c r="M781" s="1"/>
      <c r="N781" s="1"/>
      <c r="O781" s="1"/>
      <c r="P781" s="1"/>
      <c r="Q781" s="1"/>
      <c r="R781" s="1"/>
      <c r="S781" s="1"/>
      <c r="T781" s="1"/>
      <c r="U781" s="1"/>
      <c r="V781" s="1"/>
      <c r="W781" s="1"/>
      <c r="X781" s="1"/>
      <c r="Y781" s="1"/>
      <c r="Z781" s="1"/>
      <c r="AA781" s="1"/>
      <c r="AB781" s="1"/>
      <c r="AC781" s="1"/>
      <c r="AD781" s="1"/>
      <c r="AE781" s="1"/>
      <c r="AF781" s="1" t="str">
        <f>IFERROR(__xludf.DUMMYFUNCTION("""COMPUTED_VALUE"""),"+-Always go last in turn order, +-Cannot be removed")</f>
        <v>+-Always go last in turn order, +-Cannot be removed</v>
      </c>
      <c r="AG781" s="1" t="str">
        <f>IFERROR(__xludf.DUMMYFUNCTION("""COMPUTED_VALUE"""),"Abstara")</f>
        <v>Abstara</v>
      </c>
      <c r="AH781" s="1" t="b">
        <f>IFERROR(__xludf.DUMMYFUNCTION("""COMPUTED_VALUE"""),FALSE)</f>
        <v>0</v>
      </c>
    </row>
    <row r="782">
      <c r="A782" s="1" t="str">
        <f>IFERROR(__xludf.DUMMYFUNCTION("""COMPUTED_VALUE"""),"Volcano's Summit")</f>
        <v>Volcano's Summit</v>
      </c>
      <c r="B782" s="1" t="str">
        <f>IFERROR(__xludf.DUMMYFUNCTION("""COMPUTED_VALUE"""),"Head")</f>
        <v>Head</v>
      </c>
      <c r="C782" s="1"/>
      <c r="D782" s="1" t="str">
        <f>IFERROR(__xludf.DUMMYFUNCTION("""COMPUTED_VALUE"""),"Item")</f>
        <v>Item</v>
      </c>
      <c r="E782" s="1">
        <f>IFERROR(__xludf.DUMMYFUNCTION("""COMPUTED_VALUE"""),4000.0)</f>
        <v>4000</v>
      </c>
      <c r="F782" s="2">
        <f>IFERROR(__xludf.DUMMYFUNCTION("""COMPUTED_VALUE"""),7.98E8)</f>
        <v>798000000</v>
      </c>
      <c r="G782" s="1" t="str">
        <f>IFERROR(__xludf.DUMMYFUNCTION("""COMPUTED_VALUE"""),"DEF")</f>
        <v>DEF</v>
      </c>
      <c r="H782" s="1"/>
      <c r="I782" s="1">
        <f>IFERROR(__xludf.DUMMYFUNCTION("""COMPUTED_VALUE"""),200000.0)</f>
        <v>200000</v>
      </c>
      <c r="J782" s="1"/>
      <c r="K782" s="1"/>
      <c r="L782" s="1"/>
      <c r="M782" s="1"/>
      <c r="N782" s="1"/>
      <c r="O782" s="1"/>
      <c r="P782" s="1"/>
      <c r="Q782" s="1"/>
      <c r="R782" s="1"/>
      <c r="S782" s="1"/>
      <c r="T782" s="1"/>
      <c r="U782" s="1"/>
      <c r="V782" s="1"/>
      <c r="W782" s="1"/>
      <c r="X782" s="1"/>
      <c r="Y782" s="1"/>
      <c r="Z782" s="1"/>
      <c r="AA782" s="1"/>
      <c r="AB782" s="1"/>
      <c r="AC782" s="1"/>
      <c r="AD782" s="1"/>
      <c r="AE782" s="1"/>
      <c r="AF782" s="1" t="str">
        <f>IFERROR(__xludf.DUMMYFUNCTION("""COMPUTED_VALUE"""),"++X2 Fire damage")</f>
        <v>++X2 Fire damage</v>
      </c>
      <c r="AG782" s="1" t="str">
        <f>IFERROR(__xludf.DUMMYFUNCTION("""COMPUTED_VALUE"""),"Abstara")</f>
        <v>Abstara</v>
      </c>
      <c r="AH782" s="1" t="b">
        <f>IFERROR(__xludf.DUMMYFUNCTION("""COMPUTED_VALUE"""),FALSE)</f>
        <v>0</v>
      </c>
    </row>
    <row r="783">
      <c r="A783" s="1"/>
      <c r="B783" s="1"/>
      <c r="C783" s="1"/>
      <c r="D783" s="1"/>
      <c r="E783" s="1">
        <f>IFERROR(__xludf.DUMMYFUNCTION("""COMPUTED_VALUE"""),1.0)</f>
        <v>1</v>
      </c>
      <c r="F783" s="2">
        <f>IFERROR(__xludf.DUMMYFUNCTION("""COMPUTED_VALUE"""),0.0)</f>
        <v>0</v>
      </c>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t="b">
        <f>IFERROR(__xludf.DUMMYFUNCTION("""COMPUTED_VALUE"""),FALSE)</f>
        <v>0</v>
      </c>
    </row>
    <row r="784">
      <c r="A784" s="1" t="str">
        <f>IFERROR(__xludf.DUMMYFUNCTION("""COMPUTED_VALUE"""),"Long Distance Loveletter")</f>
        <v>Long Distance Loveletter</v>
      </c>
      <c r="B784" s="1" t="str">
        <f>IFERROR(__xludf.DUMMYFUNCTION("""COMPUTED_VALUE"""),"Hand")</f>
        <v>Hand</v>
      </c>
      <c r="C784" s="1"/>
      <c r="D784" s="1" t="str">
        <f>IFERROR(__xludf.DUMMYFUNCTION("""COMPUTED_VALUE"""),"Firearm")</f>
        <v>Firearm</v>
      </c>
      <c r="E784" s="1">
        <f>IFERROR(__xludf.DUMMYFUNCTION("""COMPUTED_VALUE"""),12000.0)</f>
        <v>12000</v>
      </c>
      <c r="F784" s="2">
        <f>IFERROR(__xludf.DUMMYFUNCTION("""COMPUTED_VALUE"""),7.194E9)</f>
        <v>7194000000</v>
      </c>
      <c r="G784" s="1" t="str">
        <f>IFERROR(__xludf.DUMMYFUNCTION("""COMPUTED_VALUE"""),"DMG")</f>
        <v>DMG</v>
      </c>
      <c r="H784" s="1">
        <f>IFERROR(__xludf.DUMMYFUNCTION("""COMPUTED_VALUE"""),600000.0)</f>
        <v>600000</v>
      </c>
      <c r="I784" s="1"/>
      <c r="J784" s="1"/>
      <c r="K784" s="1"/>
      <c r="L784" s="1"/>
      <c r="M784" s="1"/>
      <c r="N784" s="1"/>
      <c r="O784" s="1"/>
      <c r="P784" s="1"/>
      <c r="Q784" s="1"/>
      <c r="R784" s="1"/>
      <c r="S784" s="1"/>
      <c r="T784" s="1"/>
      <c r="U784" s="1"/>
      <c r="V784" s="1"/>
      <c r="W784" s="1"/>
      <c r="X784" s="1"/>
      <c r="Y784" s="1"/>
      <c r="Z784" s="1"/>
      <c r="AA784" s="1"/>
      <c r="AB784" s="1"/>
      <c r="AC784" s="1"/>
      <c r="AD784" s="1"/>
      <c r="AE784" s="1"/>
      <c r="AF784" s="1" t="str">
        <f>IFERROR(__xludf.DUMMYFUNCTION("""COMPUTED_VALUE"""),"++10% chance for 1 enemy to become an ally at the beginning of battle.")</f>
        <v>++10% chance for 1 enemy to become an ally at the beginning of battle.</v>
      </c>
      <c r="AG784" s="1" t="str">
        <f>IFERROR(__xludf.DUMMYFUNCTION("""COMPUTED_VALUE"""),"Abstara")</f>
        <v>Abstara</v>
      </c>
      <c r="AH784" s="1" t="b">
        <f>IFERROR(__xludf.DUMMYFUNCTION("""COMPUTED_VALUE"""),FALSE)</f>
        <v>0</v>
      </c>
    </row>
    <row r="785">
      <c r="A785" s="1" t="str">
        <f>IFERROR(__xludf.DUMMYFUNCTION("""COMPUTED_VALUE"""),"Cursed Child's Hatchet")</f>
        <v>Cursed Child's Hatchet</v>
      </c>
      <c r="B785" s="1" t="str">
        <f>IFERROR(__xludf.DUMMYFUNCTION("""COMPUTED_VALUE"""),"Hand")</f>
        <v>Hand</v>
      </c>
      <c r="C785" s="1"/>
      <c r="D785" s="1" t="str">
        <f>IFERROR(__xludf.DUMMYFUNCTION("""COMPUTED_VALUE"""),"Axe")</f>
        <v>Axe</v>
      </c>
      <c r="E785" s="1">
        <f>IFERROR(__xludf.DUMMYFUNCTION("""COMPUTED_VALUE"""),3000.0)</f>
        <v>3000</v>
      </c>
      <c r="F785" s="2">
        <f>IFERROR(__xludf.DUMMYFUNCTION("""COMPUTED_VALUE"""),4.485E8)</f>
        <v>448500000</v>
      </c>
      <c r="G785" s="1" t="str">
        <f>IFERROR(__xludf.DUMMYFUNCTION("""COMPUTED_VALUE"""),"DMG")</f>
        <v>DMG</v>
      </c>
      <c r="H785" s="1">
        <f>IFERROR(__xludf.DUMMYFUNCTION("""COMPUTED_VALUE"""),150000.0)</f>
        <v>150000</v>
      </c>
      <c r="I785" s="1"/>
      <c r="J785" s="1"/>
      <c r="K785" s="1"/>
      <c r="L785" s="1"/>
      <c r="M785" s="1"/>
      <c r="N785" s="1"/>
      <c r="O785" s="1"/>
      <c r="P785" s="1"/>
      <c r="Q785" s="1"/>
      <c r="R785" s="1"/>
      <c r="S785" s="1"/>
      <c r="T785" s="1"/>
      <c r="U785" s="1"/>
      <c r="V785" s="1"/>
      <c r="W785" s="1"/>
      <c r="X785" s="1"/>
      <c r="Y785" s="1"/>
      <c r="Z785" s="1"/>
      <c r="AA785" s="1"/>
      <c r="AB785" s="1"/>
      <c r="AC785" s="1"/>
      <c r="AD785" s="1"/>
      <c r="AE785" s="1"/>
      <c r="AF785" s="1" t="str">
        <f>IFERROR(__xludf.DUMMYFUNCTION("""COMPUTED_VALUE"""),"+- 15% chance of attacking a random ally")</f>
        <v>+- 15% chance of attacking a random ally</v>
      </c>
      <c r="AG785" s="1" t="str">
        <f>IFERROR(__xludf.DUMMYFUNCTION("""COMPUTED_VALUE"""),"Abstara")</f>
        <v>Abstara</v>
      </c>
      <c r="AH785" s="1" t="b">
        <f>IFERROR(__xludf.DUMMYFUNCTION("""COMPUTED_VALUE"""),FALSE)</f>
        <v>0</v>
      </c>
    </row>
    <row r="786">
      <c r="A786" s="1" t="str">
        <f>IFERROR(__xludf.DUMMYFUNCTION("""COMPUTED_VALUE"""),"Helm of Lost Hope")</f>
        <v>Helm of Lost Hope</v>
      </c>
      <c r="B786" s="1" t="str">
        <f>IFERROR(__xludf.DUMMYFUNCTION("""COMPUTED_VALUE"""),"Head")</f>
        <v>Head</v>
      </c>
      <c r="C786" s="1"/>
      <c r="D786" s="1" t="str">
        <f>IFERROR(__xludf.DUMMYFUNCTION("""COMPUTED_VALUE"""),"Item")</f>
        <v>Item</v>
      </c>
      <c r="E786" s="1">
        <f>IFERROR(__xludf.DUMMYFUNCTION("""COMPUTED_VALUE"""),6800.0)</f>
        <v>6800</v>
      </c>
      <c r="F786" s="2">
        <f>IFERROR(__xludf.DUMMYFUNCTION("""COMPUTED_VALUE"""),2.3086E9)</f>
        <v>2308600000</v>
      </c>
      <c r="G786" s="1" t="str">
        <f>IFERROR(__xludf.DUMMYFUNCTION("""COMPUTED_VALUE"""),"DEF")</f>
        <v>DEF</v>
      </c>
      <c r="H786" s="1">
        <f>IFERROR(__xludf.DUMMYFUNCTION("""COMPUTED_VALUE"""),340000.0)</f>
        <v>340000</v>
      </c>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t="str">
        <f>IFERROR(__xludf.DUMMYFUNCTION("""COMPUTED_VALUE"""),"Abstara")</f>
        <v>Abstara</v>
      </c>
      <c r="AH786" s="1" t="b">
        <f>IFERROR(__xludf.DUMMYFUNCTION("""COMPUTED_VALUE"""),FALSE)</f>
        <v>0</v>
      </c>
    </row>
    <row r="787">
      <c r="A787" s="1" t="str">
        <f>IFERROR(__xludf.DUMMYFUNCTION("""COMPUTED_VALUE"""),"Cursed Shield")</f>
        <v>Cursed Shield</v>
      </c>
      <c r="B787" s="1" t="str">
        <f>IFERROR(__xludf.DUMMYFUNCTION("""COMPUTED_VALUE"""),"Hand")</f>
        <v>Hand</v>
      </c>
      <c r="C787" s="1"/>
      <c r="D787" s="1" t="str">
        <f>IFERROR(__xludf.DUMMYFUNCTION("""COMPUTED_VALUE"""),"Towershield")</f>
        <v>Towershield</v>
      </c>
      <c r="E787" s="1">
        <f>IFERROR(__xludf.DUMMYFUNCTION("""COMPUTED_VALUE"""),3200.0)</f>
        <v>3200</v>
      </c>
      <c r="F787" s="2">
        <f>IFERROR(__xludf.DUMMYFUNCTION("""COMPUTED_VALUE"""),5.104E8)</f>
        <v>510400000</v>
      </c>
      <c r="G787" s="1" t="str">
        <f>IFERROR(__xludf.DUMMYFUNCTION("""COMPUTED_VALUE"""),"DEF")</f>
        <v>DEF</v>
      </c>
      <c r="H787" s="1">
        <f>IFERROR(__xludf.DUMMYFUNCTION("""COMPUTED_VALUE"""),160000.0)</f>
        <v>160000</v>
      </c>
      <c r="I787" s="1"/>
      <c r="J787" s="1"/>
      <c r="K787" s="1"/>
      <c r="L787" s="1"/>
      <c r="M787" s="1"/>
      <c r="N787" s="1"/>
      <c r="O787" s="1"/>
      <c r="P787" s="1"/>
      <c r="Q787" s="1"/>
      <c r="R787" s="1"/>
      <c r="S787" s="1"/>
      <c r="T787" s="1"/>
      <c r="U787" s="1"/>
      <c r="V787" s="1"/>
      <c r="W787" s="1"/>
      <c r="X787" s="1"/>
      <c r="Y787" s="1"/>
      <c r="Z787" s="1"/>
      <c r="AA787" s="1"/>
      <c r="AB787" s="1"/>
      <c r="AC787" s="1"/>
      <c r="AD787" s="1"/>
      <c r="AE787" s="1"/>
      <c r="AF787" s="1" t="str">
        <f>IFERROR(__xludf.DUMMYFUNCTION("""COMPUTED_VALUE"""),"+-Unequipping destroys the item")</f>
        <v>+-Unequipping destroys the item</v>
      </c>
      <c r="AG787" s="1" t="str">
        <f>IFERROR(__xludf.DUMMYFUNCTION("""COMPUTED_VALUE"""),"Abstara")</f>
        <v>Abstara</v>
      </c>
      <c r="AH787" s="1" t="b">
        <f>IFERROR(__xludf.DUMMYFUNCTION("""COMPUTED_VALUE"""),FALSE)</f>
        <v>0</v>
      </c>
    </row>
    <row r="788">
      <c r="A788" s="1" t="str">
        <f>IFERROR(__xludf.DUMMYFUNCTION("""COMPUTED_VALUE"""),"Dragonscale Buckler")</f>
        <v>Dragonscale Buckler</v>
      </c>
      <c r="B788" s="1" t="str">
        <f>IFERROR(__xludf.DUMMYFUNCTION("""COMPUTED_VALUE"""),"Hand")</f>
        <v>Hand</v>
      </c>
      <c r="C788" s="1"/>
      <c r="D788" s="1" t="str">
        <f>IFERROR(__xludf.DUMMYFUNCTION("""COMPUTED_VALUE"""),"Buckler")</f>
        <v>Buckler</v>
      </c>
      <c r="E788" s="1">
        <f>IFERROR(__xludf.DUMMYFUNCTION("""COMPUTED_VALUE"""),2140.0)</f>
        <v>2140</v>
      </c>
      <c r="F788" s="2">
        <f>IFERROR(__xludf.DUMMYFUNCTION("""COMPUTED_VALUE"""),2.2791E8)</f>
        <v>227910000</v>
      </c>
      <c r="G788" s="1" t="str">
        <f>IFERROR(__xludf.DUMMYFUNCTION("""COMPUTED_VALUE"""),"DEF")</f>
        <v>DEF</v>
      </c>
      <c r="H788" s="1">
        <f>IFERROR(__xludf.DUMMYFUNCTION("""COMPUTED_VALUE"""),107000.0)</f>
        <v>107000</v>
      </c>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t="str">
        <f>IFERROR(__xludf.DUMMYFUNCTION("""COMPUTED_VALUE"""),"Dragonscale Island")</f>
        <v>Dragonscale Island</v>
      </c>
      <c r="AH788" s="1" t="b">
        <f>IFERROR(__xludf.DUMMYFUNCTION("""COMPUTED_VALUE"""),FALSE)</f>
        <v>0</v>
      </c>
    </row>
    <row r="789">
      <c r="A789" s="1" t="str">
        <f>IFERROR(__xludf.DUMMYFUNCTION("""COMPUTED_VALUE"""),"Magma Trident")</f>
        <v>Magma Trident</v>
      </c>
      <c r="B789" s="1" t="str">
        <f>IFERROR(__xludf.DUMMYFUNCTION("""COMPUTED_VALUE"""),"Hand")</f>
        <v>Hand</v>
      </c>
      <c r="C789" s="1"/>
      <c r="D789" s="1" t="str">
        <f>IFERROR(__xludf.DUMMYFUNCTION("""COMPUTED_VALUE"""),"Spear")</f>
        <v>Spear</v>
      </c>
      <c r="E789" s="1">
        <f>IFERROR(__xludf.DUMMYFUNCTION("""COMPUTED_VALUE"""),4000.0)</f>
        <v>4000</v>
      </c>
      <c r="F789" s="2">
        <f>IFERROR(__xludf.DUMMYFUNCTION("""COMPUTED_VALUE"""),7.98E8)</f>
        <v>798000000</v>
      </c>
      <c r="G789" s="1" t="str">
        <f>IFERROR(__xludf.DUMMYFUNCTION("""COMPUTED_VALUE"""),"DMG")</f>
        <v>DMG</v>
      </c>
      <c r="H789" s="1">
        <f>IFERROR(__xludf.DUMMYFUNCTION("""COMPUTED_VALUE"""),100000.0)</f>
        <v>100000</v>
      </c>
      <c r="I789" s="1">
        <f>IFERROR(__xludf.DUMMYFUNCTION("""COMPUTED_VALUE"""),100000.0)</f>
        <v>100000</v>
      </c>
      <c r="J789" s="1"/>
      <c r="K789" s="1"/>
      <c r="L789" s="1"/>
      <c r="M789" s="1"/>
      <c r="N789" s="1"/>
      <c r="O789" s="1"/>
      <c r="P789" s="1"/>
      <c r="Q789" s="1"/>
      <c r="R789" s="1"/>
      <c r="S789" s="1"/>
      <c r="T789" s="1"/>
      <c r="U789" s="1"/>
      <c r="V789" s="1"/>
      <c r="W789" s="1"/>
      <c r="X789" s="1"/>
      <c r="Y789" s="1"/>
      <c r="Z789" s="1"/>
      <c r="AA789" s="1"/>
      <c r="AB789" s="1"/>
      <c r="AC789" s="1"/>
      <c r="AD789" s="1"/>
      <c r="AE789" s="1"/>
      <c r="AF789" s="1"/>
      <c r="AG789" s="1" t="str">
        <f>IFERROR(__xludf.DUMMYFUNCTION("""COMPUTED_VALUE"""),"Abstara")</f>
        <v>Abstara</v>
      </c>
      <c r="AH789" s="1" t="b">
        <f>IFERROR(__xludf.DUMMYFUNCTION("""COMPUTED_VALUE"""),FALSE)</f>
        <v>0</v>
      </c>
    </row>
    <row r="790">
      <c r="A790" s="1" t="str">
        <f>IFERROR(__xludf.DUMMYFUNCTION("""COMPUTED_VALUE"""),"Bonemerang")</f>
        <v>Bonemerang</v>
      </c>
      <c r="B790" s="1" t="str">
        <f>IFERROR(__xludf.DUMMYFUNCTION("""COMPUTED_VALUE"""),"Hand")</f>
        <v>Hand</v>
      </c>
      <c r="C790" s="1"/>
      <c r="D790" s="1" t="str">
        <f>IFERROR(__xludf.DUMMYFUNCTION("""COMPUTED_VALUE"""),"Boomerang")</f>
        <v>Boomerang</v>
      </c>
      <c r="E790" s="1">
        <f>IFERROR(__xludf.DUMMYFUNCTION("""COMPUTED_VALUE"""),5200.0)</f>
        <v>5200</v>
      </c>
      <c r="F790" s="2">
        <f>IFERROR(__xludf.DUMMYFUNCTION("""COMPUTED_VALUE"""),1.3494E9)</f>
        <v>1349400000</v>
      </c>
      <c r="G790" s="1" t="str">
        <f>IFERROR(__xludf.DUMMYFUNCTION("""COMPUTED_VALUE"""),"DMG")</f>
        <v>DMG</v>
      </c>
      <c r="H790" s="1">
        <f>IFERROR(__xludf.DUMMYFUNCTION("""COMPUTED_VALUE"""),250000.0)</f>
        <v>250000</v>
      </c>
      <c r="I790" s="1"/>
      <c r="J790" s="1"/>
      <c r="K790" s="1"/>
      <c r="L790" s="1"/>
      <c r="M790" s="1"/>
      <c r="N790" s="1"/>
      <c r="O790" s="1"/>
      <c r="P790" s="1"/>
      <c r="Q790" s="1"/>
      <c r="R790" s="1">
        <f>IFERROR(__xludf.DUMMYFUNCTION("""COMPUTED_VALUE"""),10000.0)</f>
        <v>10000</v>
      </c>
      <c r="S790" s="1"/>
      <c r="T790" s="1"/>
      <c r="U790" s="1"/>
      <c r="V790" s="1"/>
      <c r="W790" s="1"/>
      <c r="X790" s="1"/>
      <c r="Y790" s="1"/>
      <c r="Z790" s="1"/>
      <c r="AA790" s="1"/>
      <c r="AB790" s="1"/>
      <c r="AC790" s="1"/>
      <c r="AD790" s="1"/>
      <c r="AE790" s="1"/>
      <c r="AF790" s="1"/>
      <c r="AG790" s="1" t="str">
        <f>IFERROR(__xludf.DUMMYFUNCTION("""COMPUTED_VALUE"""),"Abstara")</f>
        <v>Abstara</v>
      </c>
      <c r="AH790" s="1" t="b">
        <f>IFERROR(__xludf.DUMMYFUNCTION("""COMPUTED_VALUE"""),FALSE)</f>
        <v>0</v>
      </c>
    </row>
    <row r="791">
      <c r="A791" s="1" t="str">
        <f>IFERROR(__xludf.DUMMYFUNCTION("""COMPUTED_VALUE"""),"Blamerang")</f>
        <v>Blamerang</v>
      </c>
      <c r="B791" s="1" t="str">
        <f>IFERROR(__xludf.DUMMYFUNCTION("""COMPUTED_VALUE"""),"Hand")</f>
        <v>Hand</v>
      </c>
      <c r="C791" s="1"/>
      <c r="D791" s="1" t="str">
        <f>IFERROR(__xludf.DUMMYFUNCTION("""COMPUTED_VALUE"""),"Boomerang")</f>
        <v>Boomerang</v>
      </c>
      <c r="E791" s="1">
        <f>IFERROR(__xludf.DUMMYFUNCTION("""COMPUTED_VALUE"""),4400.0)</f>
        <v>4400</v>
      </c>
      <c r="F791" s="2">
        <f>IFERROR(__xludf.DUMMYFUNCTION("""COMPUTED_VALUE"""),9.658E8)</f>
        <v>965800000</v>
      </c>
      <c r="G791" s="1" t="str">
        <f>IFERROR(__xludf.DUMMYFUNCTION("""COMPUTED_VALUE"""),"DMG")</f>
        <v>DMG</v>
      </c>
      <c r="H791" s="1">
        <f>IFERROR(__xludf.DUMMYFUNCTION("""COMPUTED_VALUE"""),20000.0)</f>
        <v>20000</v>
      </c>
      <c r="I791" s="1">
        <f>IFERROR(__xludf.DUMMYFUNCTION("""COMPUTED_VALUE"""),200000.0)</f>
        <v>200000</v>
      </c>
      <c r="J791" s="1"/>
      <c r="K791" s="1"/>
      <c r="L791" s="1"/>
      <c r="M791" s="1"/>
      <c r="N791" s="1"/>
      <c r="O791" s="1"/>
      <c r="P791" s="1"/>
      <c r="Q791" s="1"/>
      <c r="R791" s="1"/>
      <c r="S791" s="1"/>
      <c r="T791" s="1"/>
      <c r="U791" s="1"/>
      <c r="V791" s="1"/>
      <c r="W791" s="1"/>
      <c r="X791" s="1"/>
      <c r="Y791" s="1"/>
      <c r="Z791" s="1"/>
      <c r="AA791" s="1"/>
      <c r="AB791" s="1"/>
      <c r="AC791" s="1"/>
      <c r="AD791" s="1"/>
      <c r="AE791" s="1"/>
      <c r="AF791" s="1" t="str">
        <f>IFERROR(__xludf.DUMMYFUNCTION("""COMPUTED_VALUE"""),"++Explodes when thrown at an enemy, hitting other enemies")</f>
        <v>++Explodes when thrown at an enemy, hitting other enemies</v>
      </c>
      <c r="AG791" s="1" t="str">
        <f>IFERROR(__xludf.DUMMYFUNCTION("""COMPUTED_VALUE"""),"Abstara")</f>
        <v>Abstara</v>
      </c>
      <c r="AH791" s="1" t="b">
        <f>IFERROR(__xludf.DUMMYFUNCTION("""COMPUTED_VALUE"""),FALSE)</f>
        <v>0</v>
      </c>
    </row>
    <row r="792">
      <c r="A792" s="1" t="str">
        <f>IFERROR(__xludf.DUMMYFUNCTION("""COMPUTED_VALUE"""),"Condemned Bow")</f>
        <v>Condemned Bow</v>
      </c>
      <c r="B792" s="1" t="str">
        <f>IFERROR(__xludf.DUMMYFUNCTION("""COMPUTED_VALUE"""),"Hand")</f>
        <v>Hand</v>
      </c>
      <c r="C792" s="1"/>
      <c r="D792" s="1" t="str">
        <f>IFERROR(__xludf.DUMMYFUNCTION("""COMPUTED_VALUE"""),"Bow")</f>
        <v>Bow</v>
      </c>
      <c r="E792" s="1">
        <f>IFERROR(__xludf.DUMMYFUNCTION("""COMPUTED_VALUE"""),6000.0)</f>
        <v>6000</v>
      </c>
      <c r="F792" s="2">
        <f>IFERROR(__xludf.DUMMYFUNCTION("""COMPUTED_VALUE"""),1.797E9)</f>
        <v>1797000000</v>
      </c>
      <c r="G792" s="1" t="str">
        <f>IFERROR(__xludf.DUMMYFUNCTION("""COMPUTED_VALUE"""),"DMG")</f>
        <v>DMG</v>
      </c>
      <c r="H792" s="1">
        <f>IFERROR(__xludf.DUMMYFUNCTION("""COMPUTED_VALUE"""),300000.0)</f>
        <v>300000</v>
      </c>
      <c r="I792" s="1"/>
      <c r="J792" s="1"/>
      <c r="K792" s="1"/>
      <c r="L792" s="1"/>
      <c r="M792" s="1"/>
      <c r="N792" s="1"/>
      <c r="O792" s="1"/>
      <c r="P792" s="1"/>
      <c r="Q792" s="1"/>
      <c r="R792" s="1"/>
      <c r="S792" s="1"/>
      <c r="T792" s="1"/>
      <c r="U792" s="1"/>
      <c r="V792" s="1"/>
      <c r="W792" s="1"/>
      <c r="X792" s="1"/>
      <c r="Y792" s="1"/>
      <c r="Z792" s="1"/>
      <c r="AA792" s="1"/>
      <c r="AB792" s="1"/>
      <c r="AC792" s="1"/>
      <c r="AD792" s="1"/>
      <c r="AE792" s="1"/>
      <c r="AF792" s="1" t="str">
        <f>IFERROR(__xludf.DUMMYFUNCTION("""COMPUTED_VALUE"""),"+-5% chance for the DM to take control of your turn")</f>
        <v>+-5% chance for the DM to take control of your turn</v>
      </c>
      <c r="AG792" s="1" t="str">
        <f>IFERROR(__xludf.DUMMYFUNCTION("""COMPUTED_VALUE"""),"Abstara")</f>
        <v>Abstara</v>
      </c>
      <c r="AH792" s="1" t="b">
        <f>IFERROR(__xludf.DUMMYFUNCTION("""COMPUTED_VALUE"""),FALSE)</f>
        <v>0</v>
      </c>
    </row>
    <row r="793">
      <c r="A793" s="1" t="str">
        <f>IFERROR(__xludf.DUMMYFUNCTION("""COMPUTED_VALUE"""),"Ancient Blacksmith's Soul In A Bottle")</f>
        <v>Ancient Blacksmith's Soul In A Bottle</v>
      </c>
      <c r="B793" s="1" t="str">
        <f>IFERROR(__xludf.DUMMYFUNCTION("""COMPUTED_VALUE"""),"Neck")</f>
        <v>Neck</v>
      </c>
      <c r="C793" s="1"/>
      <c r="D793" s="1" t="str">
        <f>IFERROR(__xludf.DUMMYFUNCTION("""COMPUTED_VALUE"""),"Item")</f>
        <v>Item</v>
      </c>
      <c r="E793" s="1">
        <f>IFERROR(__xludf.DUMMYFUNCTION("""COMPUTED_VALUE"""),1.0)</f>
        <v>1</v>
      </c>
      <c r="F793" s="2">
        <f>IFERROR(__xludf.DUMMYFUNCTION("""COMPUTED_VALUE"""),0.0)</f>
        <v>0</v>
      </c>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t="str">
        <f>IFERROR(__xludf.DUMMYFUNCTION("""COMPUTED_VALUE"""),"++Forged Weapons deal *X damage, where X is equal to a quarter of the forge amount, if the multiplier is not a whole number, round down to the nearest whole number. X20 Max ")</f>
        <v>++Forged Weapons deal *X damage, where X is equal to a quarter of the forge amount, if the multiplier is not a whole number, round down to the nearest whole number. X20 Max </v>
      </c>
      <c r="AG793" s="1" t="str">
        <f>IFERROR(__xludf.DUMMYFUNCTION("""COMPUTED_VALUE"""),"Dragonscale Island")</f>
        <v>Dragonscale Island</v>
      </c>
      <c r="AH793" s="1" t="b">
        <f>IFERROR(__xludf.DUMMYFUNCTION("""COMPUTED_VALUE"""),FALSE)</f>
        <v>0</v>
      </c>
    </row>
    <row r="794">
      <c r="A794" s="1" t="str">
        <f>IFERROR(__xludf.DUMMYFUNCTION("""COMPUTED_VALUE"""),"Ancient Breeder's Soul In A Bottle")</f>
        <v>Ancient Breeder's Soul In A Bottle</v>
      </c>
      <c r="B794" s="1" t="str">
        <f>IFERROR(__xludf.DUMMYFUNCTION("""COMPUTED_VALUE"""),"Neck")</f>
        <v>Neck</v>
      </c>
      <c r="C794" s="1"/>
      <c r="D794" s="1" t="str">
        <f>IFERROR(__xludf.DUMMYFUNCTION("""COMPUTED_VALUE"""),"Item")</f>
        <v>Item</v>
      </c>
      <c r="E794" s="1">
        <f>IFERROR(__xludf.DUMMYFUNCTION("""COMPUTED_VALUE"""),1.0)</f>
        <v>1</v>
      </c>
      <c r="F794" s="2">
        <f>IFERROR(__xludf.DUMMYFUNCTION("""COMPUTED_VALUE"""),0.0)</f>
        <v>0</v>
      </c>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t="str">
        <f>IFERROR(__xludf.DUMMYFUNCTION("""COMPUTED_VALUE"""),"++All creatures hatched from an egg deal X5 damage of all types.")</f>
        <v>++All creatures hatched from an egg deal X5 damage of all types.</v>
      </c>
      <c r="AG794" s="1" t="str">
        <f>IFERROR(__xludf.DUMMYFUNCTION("""COMPUTED_VALUE"""),"Dragonscale Island")</f>
        <v>Dragonscale Island</v>
      </c>
      <c r="AH794" s="1" t="b">
        <f>IFERROR(__xludf.DUMMYFUNCTION("""COMPUTED_VALUE"""),FALSE)</f>
        <v>0</v>
      </c>
    </row>
    <row r="795">
      <c r="A795" s="1" t="str">
        <f>IFERROR(__xludf.DUMMYFUNCTION("""COMPUTED_VALUE"""),"Ancient Crafter's Soul In A Bottle")</f>
        <v>Ancient Crafter's Soul In A Bottle</v>
      </c>
      <c r="B795" s="1" t="str">
        <f>IFERROR(__xludf.DUMMYFUNCTION("""COMPUTED_VALUE"""),"Neck")</f>
        <v>Neck</v>
      </c>
      <c r="C795" s="1"/>
      <c r="D795" s="1" t="str">
        <f>IFERROR(__xludf.DUMMYFUNCTION("""COMPUTED_VALUE"""),"Item")</f>
        <v>Item</v>
      </c>
      <c r="E795" s="1">
        <f>IFERROR(__xludf.DUMMYFUNCTION("""COMPUTED_VALUE"""),1.0)</f>
        <v>1</v>
      </c>
      <c r="F795" s="2">
        <f>IFERROR(__xludf.DUMMYFUNCTION("""COMPUTED_VALUE"""),0.0)</f>
        <v>0</v>
      </c>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t="str">
        <f>IFERROR(__xludf.DUMMYFUNCTION("""COMPUTED_VALUE"""),"++Triples all crafting materials gathered")</f>
        <v>++Triples all crafting materials gathered</v>
      </c>
      <c r="AG795" s="1" t="str">
        <f>IFERROR(__xludf.DUMMYFUNCTION("""COMPUTED_VALUE"""),"Dragonscale Island")</f>
        <v>Dragonscale Island</v>
      </c>
      <c r="AH795" s="1" t="b">
        <f>IFERROR(__xludf.DUMMYFUNCTION("""COMPUTED_VALUE"""),FALSE)</f>
        <v>0</v>
      </c>
    </row>
    <row r="796">
      <c r="A796" s="1" t="str">
        <f>IFERROR(__xludf.DUMMYFUNCTION("""COMPUTED_VALUE"""),"Ancient Alchemist's Soul In A Bottle")</f>
        <v>Ancient Alchemist's Soul In A Bottle</v>
      </c>
      <c r="B796" s="1" t="str">
        <f>IFERROR(__xludf.DUMMYFUNCTION("""COMPUTED_VALUE"""),"Neck")</f>
        <v>Neck</v>
      </c>
      <c r="C796" s="1"/>
      <c r="D796" s="1" t="str">
        <f>IFERROR(__xludf.DUMMYFUNCTION("""COMPUTED_VALUE"""),"Item")</f>
        <v>Item</v>
      </c>
      <c r="E796" s="1">
        <f>IFERROR(__xludf.DUMMYFUNCTION("""COMPUTED_VALUE"""),1.0)</f>
        <v>1</v>
      </c>
      <c r="F796" s="2">
        <f>IFERROR(__xludf.DUMMYFUNCTION("""COMPUTED_VALUE"""),0.0)</f>
        <v>0</v>
      </c>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t="str">
        <f>IFERROR(__xludf.DUMMYFUNCTION("""COMPUTED_VALUE"""),"++Doubles the effect of all herbs and potions")</f>
        <v>++Doubles the effect of all herbs and potions</v>
      </c>
      <c r="AG796" s="1" t="str">
        <f>IFERROR(__xludf.DUMMYFUNCTION("""COMPUTED_VALUE"""),"Dragonscale Island")</f>
        <v>Dragonscale Island</v>
      </c>
      <c r="AH796" s="1" t="b">
        <f>IFERROR(__xludf.DUMMYFUNCTION("""COMPUTED_VALUE"""),FALSE)</f>
        <v>0</v>
      </c>
    </row>
    <row r="797">
      <c r="A797" s="1" t="str">
        <f>IFERROR(__xludf.DUMMYFUNCTION("""COMPUTED_VALUE"""),"Ancient Farmer's Soul In A Bottle")</f>
        <v>Ancient Farmer's Soul In A Bottle</v>
      </c>
      <c r="B797" s="1" t="str">
        <f>IFERROR(__xludf.DUMMYFUNCTION("""COMPUTED_VALUE"""),"Neck")</f>
        <v>Neck</v>
      </c>
      <c r="C797" s="1"/>
      <c r="D797" s="1" t="str">
        <f>IFERROR(__xludf.DUMMYFUNCTION("""COMPUTED_VALUE"""),"Item")</f>
        <v>Item</v>
      </c>
      <c r="E797" s="1">
        <f>IFERROR(__xludf.DUMMYFUNCTION("""COMPUTED_VALUE"""),1.0)</f>
        <v>1</v>
      </c>
      <c r="F797" s="2">
        <f>IFERROR(__xludf.DUMMYFUNCTION("""COMPUTED_VALUE"""),0.0)</f>
        <v>0</v>
      </c>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t="str">
        <f>IFERROR(__xludf.DUMMYFUNCTION("""COMPUTED_VALUE"""),"++Doubles all items harvested from your farms")</f>
        <v>++Doubles all items harvested from your farms</v>
      </c>
      <c r="AG797" s="1" t="str">
        <f>IFERROR(__xludf.DUMMYFUNCTION("""COMPUTED_VALUE"""),"Dragonscale Island")</f>
        <v>Dragonscale Island</v>
      </c>
      <c r="AH797" s="1" t="b">
        <f>IFERROR(__xludf.DUMMYFUNCTION("""COMPUTED_VALUE"""),FALSE)</f>
        <v>0</v>
      </c>
    </row>
    <row r="798">
      <c r="A798" s="1" t="str">
        <f>IFERROR(__xludf.DUMMYFUNCTION("""COMPUTED_VALUE"""),"Ancient Chef's Soul In A Bottle")</f>
        <v>Ancient Chef's Soul In A Bottle</v>
      </c>
      <c r="B798" s="1" t="str">
        <f>IFERROR(__xludf.DUMMYFUNCTION("""COMPUTED_VALUE"""),"Neck")</f>
        <v>Neck</v>
      </c>
      <c r="C798" s="1"/>
      <c r="D798" s="1" t="str">
        <f>IFERROR(__xludf.DUMMYFUNCTION("""COMPUTED_VALUE"""),"Item")</f>
        <v>Item</v>
      </c>
      <c r="E798" s="1">
        <f>IFERROR(__xludf.DUMMYFUNCTION("""COMPUTED_VALUE"""),1.0)</f>
        <v>1</v>
      </c>
      <c r="F798" s="2">
        <f>IFERROR(__xludf.DUMMYFUNCTION("""COMPUTED_VALUE"""),0.0)</f>
        <v>0</v>
      </c>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t="str">
        <f>IFERROR(__xludf.DUMMYFUNCTION("""COMPUTED_VALUE"""),"++Doubles the effect of all food items cooked")</f>
        <v>++Doubles the effect of all food items cooked</v>
      </c>
      <c r="AG798" s="1" t="str">
        <f>IFERROR(__xludf.DUMMYFUNCTION("""COMPUTED_VALUE"""),"Dragonscale Island")</f>
        <v>Dragonscale Island</v>
      </c>
      <c r="AH798" s="1" t="b">
        <f>IFERROR(__xludf.DUMMYFUNCTION("""COMPUTED_VALUE"""),FALSE)</f>
        <v>0</v>
      </c>
    </row>
    <row r="799">
      <c r="A799" s="1" t="str">
        <f>IFERROR(__xludf.DUMMYFUNCTION("""COMPUTED_VALUE"""),"Ancient Miner's Soul In A Bottle")</f>
        <v>Ancient Miner's Soul In A Bottle</v>
      </c>
      <c r="B799" s="1" t="str">
        <f>IFERROR(__xludf.DUMMYFUNCTION("""COMPUTED_VALUE"""),"Neck")</f>
        <v>Neck</v>
      </c>
      <c r="C799" s="1"/>
      <c r="D799" s="1" t="str">
        <f>IFERROR(__xludf.DUMMYFUNCTION("""COMPUTED_VALUE"""),"Item")</f>
        <v>Item</v>
      </c>
      <c r="E799" s="1">
        <f>IFERROR(__xludf.DUMMYFUNCTION("""COMPUTED_VALUE"""),1.0)</f>
        <v>1</v>
      </c>
      <c r="F799" s="2">
        <f>IFERROR(__xludf.DUMMYFUNCTION("""COMPUTED_VALUE"""),0.0)</f>
        <v>0</v>
      </c>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t="str">
        <f>IFERROR(__xludf.DUMMYFUNCTION("""COMPUTED_VALUE"""),"++Doubles all minerals obtained while mining")</f>
        <v>++Doubles all minerals obtained while mining</v>
      </c>
      <c r="AG799" s="1" t="str">
        <f>IFERROR(__xludf.DUMMYFUNCTION("""COMPUTED_VALUE"""),"Dragonscale Island")</f>
        <v>Dragonscale Island</v>
      </c>
      <c r="AH799" s="1" t="b">
        <f>IFERROR(__xludf.DUMMYFUNCTION("""COMPUTED_VALUE"""),FALSE)</f>
        <v>0</v>
      </c>
    </row>
    <row r="800">
      <c r="A800" s="1" t="str">
        <f>IFERROR(__xludf.DUMMYFUNCTION("""COMPUTED_VALUE"""),"Ancient Spira Guard's Soul In A Bottle")</f>
        <v>Ancient Spira Guard's Soul In A Bottle</v>
      </c>
      <c r="B800" s="1" t="str">
        <f>IFERROR(__xludf.DUMMYFUNCTION("""COMPUTED_VALUE"""),"Neck")</f>
        <v>Neck</v>
      </c>
      <c r="C800" s="1"/>
      <c r="D800" s="1" t="str">
        <f>IFERROR(__xludf.DUMMYFUNCTION("""COMPUTED_VALUE"""),"Item")</f>
        <v>Item</v>
      </c>
      <c r="E800" s="1">
        <f>IFERROR(__xludf.DUMMYFUNCTION("""COMPUTED_VALUE"""),1.0)</f>
        <v>1</v>
      </c>
      <c r="F800" s="2">
        <f>IFERROR(__xludf.DUMMYFUNCTION("""COMPUTED_VALUE"""),0.0)</f>
        <v>0</v>
      </c>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t="str">
        <f>IFERROR(__xludf.DUMMYFUNCTION("""COMPUTED_VALUE"""),"++Add +5 to all rolls to arrest")</f>
        <v>++Add +5 to all rolls to arrest</v>
      </c>
      <c r="AG800" s="1" t="str">
        <f>IFERROR(__xludf.DUMMYFUNCTION("""COMPUTED_VALUE"""),"Dragonscale Island")</f>
        <v>Dragonscale Island</v>
      </c>
      <c r="AH800" s="1" t="b">
        <f>IFERROR(__xludf.DUMMYFUNCTION("""COMPUTED_VALUE"""),FALSE)</f>
        <v>0</v>
      </c>
    </row>
    <row r="801">
      <c r="A801" s="1" t="str">
        <f>IFERROR(__xludf.DUMMYFUNCTION("""COMPUTED_VALUE"""),"Ancient Fisherman's Soul In A Bottle")</f>
        <v>Ancient Fisherman's Soul In A Bottle</v>
      </c>
      <c r="B801" s="1" t="str">
        <f>IFERROR(__xludf.DUMMYFUNCTION("""COMPUTED_VALUE"""),"Neck")</f>
        <v>Neck</v>
      </c>
      <c r="C801" s="1"/>
      <c r="D801" s="1" t="str">
        <f>IFERROR(__xludf.DUMMYFUNCTION("""COMPUTED_VALUE"""),"Item")</f>
        <v>Item</v>
      </c>
      <c r="E801" s="1">
        <f>IFERROR(__xludf.DUMMYFUNCTION("""COMPUTED_VALUE"""),1.0)</f>
        <v>1</v>
      </c>
      <c r="F801" s="2">
        <f>IFERROR(__xludf.DUMMYFUNCTION("""COMPUTED_VALUE"""),0.0)</f>
        <v>0</v>
      </c>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t="str">
        <f>IFERROR(__xludf.DUMMYFUNCTION("""COMPUTED_VALUE"""),"++Doubles all fish obtained while fishing")</f>
        <v>++Doubles all fish obtained while fishing</v>
      </c>
      <c r="AG801" s="1" t="str">
        <f>IFERROR(__xludf.DUMMYFUNCTION("""COMPUTED_VALUE"""),"Dragonscale Island")</f>
        <v>Dragonscale Island</v>
      </c>
      <c r="AH801" s="1" t="b">
        <f>IFERROR(__xludf.DUMMYFUNCTION("""COMPUTED_VALUE"""),FALSE)</f>
        <v>0</v>
      </c>
    </row>
    <row r="802">
      <c r="A802" s="1" t="str">
        <f>IFERROR(__xludf.DUMMYFUNCTION("""COMPUTED_VALUE"""),"The Thumper")</f>
        <v>The Thumper</v>
      </c>
      <c r="B802" s="1" t="str">
        <f>IFERROR(__xludf.DUMMYFUNCTION("""COMPUTED_VALUE"""),"Hand")</f>
        <v>Hand</v>
      </c>
      <c r="C802" s="1"/>
      <c r="D802" s="1" t="str">
        <f>IFERROR(__xludf.DUMMYFUNCTION("""COMPUTED_VALUE"""),"Firearm")</f>
        <v>Firearm</v>
      </c>
      <c r="E802" s="1">
        <f>IFERROR(__xludf.DUMMYFUNCTION("""COMPUTED_VALUE"""),200.0)</f>
        <v>200</v>
      </c>
      <c r="F802" s="2">
        <f>IFERROR(__xludf.DUMMYFUNCTION("""COMPUTED_VALUE"""),1900000.0)</f>
        <v>1900000</v>
      </c>
      <c r="G802" s="1" t="str">
        <f>IFERROR(__xludf.DUMMYFUNCTION("""COMPUTED_VALUE"""),"Dmg")</f>
        <v>Dmg</v>
      </c>
      <c r="H802" s="1">
        <f>IFERROR(__xludf.DUMMYFUNCTION("""COMPUTED_VALUE"""),5000.0)</f>
        <v>5000</v>
      </c>
      <c r="I802" s="1"/>
      <c r="J802" s="1">
        <f>IFERROR(__xludf.DUMMYFUNCTION("""COMPUTED_VALUE"""),5000.0)</f>
        <v>5000</v>
      </c>
      <c r="K802" s="1"/>
      <c r="L802" s="1"/>
      <c r="M802" s="1"/>
      <c r="N802" s="1"/>
      <c r="O802" s="1"/>
      <c r="P802" s="1"/>
      <c r="Q802" s="1"/>
      <c r="R802" s="1"/>
      <c r="S802" s="1"/>
      <c r="T802" s="1"/>
      <c r="U802" s="1"/>
      <c r="V802" s="1"/>
      <c r="W802" s="1"/>
      <c r="X802" s="1"/>
      <c r="Y802" s="1"/>
      <c r="Z802" s="1"/>
      <c r="AA802" s="1"/>
      <c r="AB802" s="1"/>
      <c r="AC802" s="1"/>
      <c r="AD802" s="1"/>
      <c r="AE802" s="1"/>
      <c r="AF802" s="1" t="str">
        <f>IFERROR(__xludf.DUMMYFUNCTION("""COMPUTED_VALUE"""),"++Fires 3 Grenades, +-Uses Grenades as Ammo +-Cannot Be Forged or Duplicated")</f>
        <v>++Fires 3 Grenades, +-Uses Grenades as Ammo +-Cannot Be Forged or Duplicated</v>
      </c>
      <c r="AG802" s="1" t="str">
        <f>IFERROR(__xludf.DUMMYFUNCTION("""COMPUTED_VALUE"""),"Land of Spira")</f>
        <v>Land of Spira</v>
      </c>
      <c r="AH802" s="1" t="b">
        <f>IFERROR(__xludf.DUMMYFUNCTION("""COMPUTED_VALUE"""),FALSE)</f>
        <v>0</v>
      </c>
    </row>
    <row r="803">
      <c r="A803" s="1" t="str">
        <f>IFERROR(__xludf.DUMMYFUNCTION("""COMPUTED_VALUE"""),"Undead King's Sword")</f>
        <v>Undead King's Sword</v>
      </c>
      <c r="B803" s="1" t="str">
        <f>IFERROR(__xludf.DUMMYFUNCTION("""COMPUTED_VALUE"""),"Hand")</f>
        <v>Hand</v>
      </c>
      <c r="C803" s="1"/>
      <c r="D803" s="1" t="str">
        <f>IFERROR(__xludf.DUMMYFUNCTION("""COMPUTED_VALUE"""),"Sword")</f>
        <v>Sword</v>
      </c>
      <c r="E803" s="1">
        <f>IFERROR(__xludf.DUMMYFUNCTION("""COMPUTED_VALUE"""),1.0)</f>
        <v>1</v>
      </c>
      <c r="F803" s="2">
        <f>IFERROR(__xludf.DUMMYFUNCTION("""COMPUTED_VALUE"""),0.0)</f>
        <v>0</v>
      </c>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t="str">
        <f>IFERROR(__xludf.DUMMYFUNCTION("""COMPUTED_VALUE"""),"Land of Spira")</f>
        <v>Land of Spira</v>
      </c>
      <c r="AH803" s="1" t="b">
        <f>IFERROR(__xludf.DUMMYFUNCTION("""COMPUTED_VALUE"""),TRUE)</f>
        <v>1</v>
      </c>
    </row>
    <row r="804">
      <c r="A804" s="1" t="str">
        <f>IFERROR(__xludf.DUMMYFUNCTION("""COMPUTED_VALUE"""),"Trapper's Monocle")</f>
        <v>Trapper's Monocle</v>
      </c>
      <c r="B804" s="1" t="str">
        <f>IFERROR(__xludf.DUMMYFUNCTION("""COMPUTED_VALUE"""),"Head")</f>
        <v>Head</v>
      </c>
      <c r="C804" s="1"/>
      <c r="D804" s="1" t="str">
        <f>IFERROR(__xludf.DUMMYFUNCTION("""COMPUTED_VALUE"""),"Item")</f>
        <v>Item</v>
      </c>
      <c r="E804" s="1">
        <f>IFERROR(__xludf.DUMMYFUNCTION("""COMPUTED_VALUE"""),1.0)</f>
        <v>1</v>
      </c>
      <c r="F804" s="2">
        <f>IFERROR(__xludf.DUMMYFUNCTION("""COMPUTED_VALUE"""),0.0)</f>
        <v>0</v>
      </c>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t="str">
        <f>IFERROR(__xludf.DUMMYFUNCTION("""COMPUTED_VALUE"""),"++5 to any roll to disarm or avoid a trap.")</f>
        <v>++5 to any roll to disarm or avoid a trap.</v>
      </c>
      <c r="AG804" s="1" t="str">
        <f>IFERROR(__xludf.DUMMYFUNCTION("""COMPUTED_VALUE"""),"Dragonscale Island")</f>
        <v>Dragonscale Island</v>
      </c>
      <c r="AH804" s="1" t="b">
        <f>IFERROR(__xludf.DUMMYFUNCTION("""COMPUTED_VALUE"""),FALSE)</f>
        <v>0</v>
      </c>
    </row>
    <row r="805">
      <c r="A805" s="1" t="str">
        <f>IFERROR(__xludf.DUMMYFUNCTION("""COMPUTED_VALUE"""),"Dragon's Dogma")</f>
        <v>Dragon's Dogma</v>
      </c>
      <c r="B805" s="1" t="str">
        <f>IFERROR(__xludf.DUMMYFUNCTION("""COMPUTED_VALUE"""),"Hand")</f>
        <v>Hand</v>
      </c>
      <c r="C805" s="1"/>
      <c r="D805" s="1" t="str">
        <f>IFERROR(__xludf.DUMMYFUNCTION("""COMPUTED_VALUE"""),"Sword")</f>
        <v>Sword</v>
      </c>
      <c r="E805" s="1">
        <f>IFERROR(__xludf.DUMMYFUNCTION("""COMPUTED_VALUE"""),200.0)</f>
        <v>200</v>
      </c>
      <c r="F805" s="2">
        <f>IFERROR(__xludf.DUMMYFUNCTION("""COMPUTED_VALUE"""),1.797E9)</f>
        <v>1797000000</v>
      </c>
      <c r="G805" s="1" t="str">
        <f>IFERROR(__xludf.DUMMYFUNCTION("""COMPUTED_VALUE"""),"DMG")</f>
        <v>DMG</v>
      </c>
      <c r="H805" s="1">
        <f>IFERROR(__xludf.DUMMYFUNCTION("""COMPUTED_VALUE"""),250000.0)</f>
        <v>250000</v>
      </c>
      <c r="I805" s="1"/>
      <c r="J805" s="1"/>
      <c r="K805" s="1"/>
      <c r="L805" s="1"/>
      <c r="M805" s="1"/>
      <c r="N805" s="1"/>
      <c r="O805" s="1"/>
      <c r="P805" s="1"/>
      <c r="Q805" s="1"/>
      <c r="R805" s="1"/>
      <c r="S805" s="1"/>
      <c r="T805" s="1"/>
      <c r="U805" s="1"/>
      <c r="V805" s="1"/>
      <c r="W805" s="1"/>
      <c r="X805" s="1"/>
      <c r="Y805" s="1"/>
      <c r="Z805" s="1"/>
      <c r="AA805" s="1"/>
      <c r="AB805" s="1"/>
      <c r="AC805" s="1">
        <f>IFERROR(__xludf.DUMMYFUNCTION("""COMPUTED_VALUE"""),50000.0)</f>
        <v>50000</v>
      </c>
      <c r="AD805" s="1"/>
      <c r="AE805" s="1"/>
      <c r="AF805" s="1" t="str">
        <f>IFERROR(__xludf.DUMMYFUNCTION("""COMPUTED_VALUE"""),"TBD")</f>
        <v>TBD</v>
      </c>
      <c r="AG805" s="1" t="str">
        <f>IFERROR(__xludf.DUMMYFUNCTION("""COMPUTED_VALUE"""),"Dragonscale Island")</f>
        <v>Dragonscale Island</v>
      </c>
      <c r="AH805" s="1" t="b">
        <f>IFERROR(__xludf.DUMMYFUNCTION("""COMPUTED_VALUE"""),TRUE)</f>
        <v>1</v>
      </c>
    </row>
    <row r="806">
      <c r="A806" s="1" t="str">
        <f>IFERROR(__xludf.DUMMYFUNCTION("""COMPUTED_VALUE"""),"Dragon's Dread")</f>
        <v>Dragon's Dread</v>
      </c>
      <c r="B806" s="1" t="str">
        <f>IFERROR(__xludf.DUMMYFUNCTION("""COMPUTED_VALUE"""),"Hand")</f>
        <v>Hand</v>
      </c>
      <c r="C806" s="1"/>
      <c r="D806" s="1" t="str">
        <f>IFERROR(__xludf.DUMMYFUNCTION("""COMPUTED_VALUE"""),"Bow")</f>
        <v>Bow</v>
      </c>
      <c r="E806" s="1">
        <f>IFERROR(__xludf.DUMMYFUNCTION("""COMPUTED_VALUE"""),200.0)</f>
        <v>200</v>
      </c>
      <c r="F806" s="2">
        <f>IFERROR(__xludf.DUMMYFUNCTION("""COMPUTED_VALUE"""),7.194E9)</f>
        <v>7194000000</v>
      </c>
      <c r="G806" s="1" t="str">
        <f>IFERROR(__xludf.DUMMYFUNCTION("""COMPUTED_VALUE"""),"DMG")</f>
        <v>DMG</v>
      </c>
      <c r="H806" s="1">
        <f>IFERROR(__xludf.DUMMYFUNCTION("""COMPUTED_VALUE"""),50000.0)</f>
        <v>50000</v>
      </c>
      <c r="I806" s="1">
        <f>IFERROR(__xludf.DUMMYFUNCTION("""COMPUTED_VALUE"""),50000.0)</f>
        <v>50000</v>
      </c>
      <c r="J806" s="1"/>
      <c r="K806" s="1">
        <f>IFERROR(__xludf.DUMMYFUNCTION("""COMPUTED_VALUE"""),50000.0)</f>
        <v>50000</v>
      </c>
      <c r="L806" s="1">
        <f>IFERROR(__xludf.DUMMYFUNCTION("""COMPUTED_VALUE"""),50000.0)</f>
        <v>50000</v>
      </c>
      <c r="M806" s="1">
        <f>IFERROR(__xludf.DUMMYFUNCTION("""COMPUTED_VALUE"""),50000.0)</f>
        <v>50000</v>
      </c>
      <c r="N806" s="1">
        <f>IFERROR(__xludf.DUMMYFUNCTION("""COMPUTED_VALUE"""),50000.0)</f>
        <v>50000</v>
      </c>
      <c r="O806" s="1">
        <f>IFERROR(__xludf.DUMMYFUNCTION("""COMPUTED_VALUE"""),50000.0)</f>
        <v>50000</v>
      </c>
      <c r="P806" s="1"/>
      <c r="Q806" s="1">
        <f>IFERROR(__xludf.DUMMYFUNCTION("""COMPUTED_VALUE"""),50000.0)</f>
        <v>50000</v>
      </c>
      <c r="R806" s="1">
        <f>IFERROR(__xludf.DUMMYFUNCTION("""COMPUTED_VALUE"""),50000.0)</f>
        <v>50000</v>
      </c>
      <c r="S806" s="1">
        <f>IFERROR(__xludf.DUMMYFUNCTION("""COMPUTED_VALUE"""),50000.0)</f>
        <v>50000</v>
      </c>
      <c r="T806" s="1"/>
      <c r="U806" s="1"/>
      <c r="V806" s="1"/>
      <c r="W806" s="1"/>
      <c r="X806" s="1"/>
      <c r="Y806" s="1"/>
      <c r="Z806" s="1">
        <f>IFERROR(__xludf.DUMMYFUNCTION("""COMPUTED_VALUE"""),50000.0)</f>
        <v>50000</v>
      </c>
      <c r="AA806" s="1"/>
      <c r="AB806" s="1"/>
      <c r="AC806" s="1">
        <f>IFERROR(__xludf.DUMMYFUNCTION("""COMPUTED_VALUE"""),50000.0)</f>
        <v>50000</v>
      </c>
      <c r="AD806" s="1"/>
      <c r="AE806" s="1"/>
      <c r="AF806" s="1" t="str">
        <f>IFERROR(__xludf.DUMMYFUNCTION("""COMPUTED_VALUE"""),"TBD")</f>
        <v>TBD</v>
      </c>
      <c r="AG806" s="1" t="str">
        <f>IFERROR(__xludf.DUMMYFUNCTION("""COMPUTED_VALUE"""),"Dragonscale Island")</f>
        <v>Dragonscale Island</v>
      </c>
      <c r="AH806" s="1" t="b">
        <f>IFERROR(__xludf.DUMMYFUNCTION("""COMPUTED_VALUE"""),TRUE)</f>
        <v>1</v>
      </c>
    </row>
    <row r="807">
      <c r="A807" s="1" t="str">
        <f>IFERROR(__xludf.DUMMYFUNCTION("""COMPUTED_VALUE"""),"Dragon's Dream Breaker")</f>
        <v>Dragon's Dream Breaker</v>
      </c>
      <c r="B807" s="1" t="str">
        <f>IFERROR(__xludf.DUMMYFUNCTION("""COMPUTED_VALUE"""),"Hand")</f>
        <v>Hand</v>
      </c>
      <c r="C807" s="1"/>
      <c r="D807" s="1" t="str">
        <f>IFERROR(__xludf.DUMMYFUNCTION("""COMPUTED_VALUE"""),"Claw")</f>
        <v>Claw</v>
      </c>
      <c r="E807" s="1">
        <f>IFERROR(__xludf.DUMMYFUNCTION("""COMPUTED_VALUE"""),200.0)</f>
        <v>200</v>
      </c>
      <c r="F807" s="2">
        <f>IFERROR(__xludf.DUMMYFUNCTION("""COMPUTED_VALUE"""),2.8788E10)</f>
        <v>28788000000</v>
      </c>
      <c r="G807" s="1" t="str">
        <f>IFERROR(__xludf.DUMMYFUNCTION("""COMPUTED_VALUE"""),"DMG")</f>
        <v>DMG</v>
      </c>
      <c r="H807" s="1">
        <f>IFERROR(__xludf.DUMMYFUNCTION("""COMPUTED_VALUE"""),600000.0)</f>
        <v>600000</v>
      </c>
      <c r="I807" s="1"/>
      <c r="J807" s="1"/>
      <c r="K807" s="1"/>
      <c r="L807" s="1"/>
      <c r="M807" s="1"/>
      <c r="N807" s="1"/>
      <c r="O807" s="1"/>
      <c r="P807" s="1"/>
      <c r="Q807" s="1"/>
      <c r="R807" s="1"/>
      <c r="S807" s="1"/>
      <c r="T807" s="1"/>
      <c r="U807" s="1"/>
      <c r="V807" s="1"/>
      <c r="W807" s="1"/>
      <c r="X807" s="1"/>
      <c r="Y807" s="1"/>
      <c r="Z807" s="1"/>
      <c r="AA807" s="1"/>
      <c r="AB807" s="1"/>
      <c r="AC807" s="1">
        <f>IFERROR(__xludf.DUMMYFUNCTION("""COMPUTED_VALUE"""),600000.0)</f>
        <v>600000</v>
      </c>
      <c r="AD807" s="1"/>
      <c r="AE807" s="1"/>
      <c r="AF807" s="1" t="str">
        <f>IFERROR(__xludf.DUMMYFUNCTION("""COMPUTED_VALUE"""),"TBD")</f>
        <v>TBD</v>
      </c>
      <c r="AG807" s="1" t="str">
        <f>IFERROR(__xludf.DUMMYFUNCTION("""COMPUTED_VALUE"""),"Dragonscale Island")</f>
        <v>Dragonscale Island</v>
      </c>
      <c r="AH807" s="1" t="b">
        <f>IFERROR(__xludf.DUMMYFUNCTION("""COMPUTED_VALUE"""),TRUE)</f>
        <v>1</v>
      </c>
    </row>
    <row r="808">
      <c r="A808" s="1" t="str">
        <f>IFERROR(__xludf.DUMMYFUNCTION("""COMPUTED_VALUE"""),"Dragon's Draught")</f>
        <v>Dragon's Draught</v>
      </c>
      <c r="B808" s="1" t="str">
        <f>IFERROR(__xludf.DUMMYFUNCTION("""COMPUTED_VALUE"""),"Hand")</f>
        <v>Hand</v>
      </c>
      <c r="C808" s="1"/>
      <c r="D808" s="1" t="str">
        <f>IFERROR(__xludf.DUMMYFUNCTION("""COMPUTED_VALUE"""),"Staff")</f>
        <v>Staff</v>
      </c>
      <c r="E808" s="1">
        <f>IFERROR(__xludf.DUMMYFUNCTION("""COMPUTED_VALUE"""),1.0)</f>
        <v>1</v>
      </c>
      <c r="F808" s="2">
        <f>IFERROR(__xludf.DUMMYFUNCTION("""COMPUTED_VALUE"""),0.0)</f>
        <v>0</v>
      </c>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t="str">
        <f>IFERROR(__xludf.DUMMYFUNCTION("""COMPUTED_VALUE"""),"TBD")</f>
        <v>TBD</v>
      </c>
      <c r="AG808" s="1" t="str">
        <f>IFERROR(__xludf.DUMMYFUNCTION("""COMPUTED_VALUE"""),"Dragonscale Island")</f>
        <v>Dragonscale Island</v>
      </c>
      <c r="AH808" s="1" t="b">
        <f>IFERROR(__xludf.DUMMYFUNCTION("""COMPUTED_VALUE"""),TRUE)</f>
        <v>1</v>
      </c>
    </row>
    <row r="809">
      <c r="A809" s="1" t="str">
        <f>IFERROR(__xludf.DUMMYFUNCTION("""COMPUTED_VALUE"""),"Dragon's Damnation")</f>
        <v>Dragon's Damnation</v>
      </c>
      <c r="B809" s="1" t="str">
        <f>IFERROR(__xludf.DUMMYFUNCTION("""COMPUTED_VALUE"""),"Hand")</f>
        <v>Hand</v>
      </c>
      <c r="C809" s="1"/>
      <c r="D809" s="1" t="str">
        <f>IFERROR(__xludf.DUMMYFUNCTION("""COMPUTED_VALUE"""),"Gauntlet")</f>
        <v>Gauntlet</v>
      </c>
      <c r="E809" s="1">
        <f>IFERROR(__xludf.DUMMYFUNCTION("""COMPUTED_VALUE"""),200.0)</f>
        <v>200</v>
      </c>
      <c r="F809" s="2">
        <f>IFERROR(__xludf.DUMMYFUNCTION("""COMPUTED_VALUE"""),2.8788E10)</f>
        <v>28788000000</v>
      </c>
      <c r="G809" s="1" t="str">
        <f>IFERROR(__xludf.DUMMYFUNCTION("""COMPUTED_VALUE"""),"DEF")</f>
        <v>DEF</v>
      </c>
      <c r="H809" s="1">
        <f>IFERROR(__xludf.DUMMYFUNCTION("""COMPUTED_VALUE"""),100000.0)</f>
        <v>100000</v>
      </c>
      <c r="I809" s="1">
        <f>IFERROR(__xludf.DUMMYFUNCTION("""COMPUTED_VALUE"""),100000.0)</f>
        <v>100000</v>
      </c>
      <c r="J809" s="1"/>
      <c r="K809" s="1">
        <f>IFERROR(__xludf.DUMMYFUNCTION("""COMPUTED_VALUE"""),100000.0)</f>
        <v>100000</v>
      </c>
      <c r="L809" s="1">
        <f>IFERROR(__xludf.DUMMYFUNCTION("""COMPUTED_VALUE"""),100000.0)</f>
        <v>100000</v>
      </c>
      <c r="M809" s="1">
        <f>IFERROR(__xludf.DUMMYFUNCTION("""COMPUTED_VALUE"""),100000.0)</f>
        <v>100000</v>
      </c>
      <c r="N809" s="1">
        <f>IFERROR(__xludf.DUMMYFUNCTION("""COMPUTED_VALUE"""),100000.0)</f>
        <v>100000</v>
      </c>
      <c r="O809" s="1">
        <f>IFERROR(__xludf.DUMMYFUNCTION("""COMPUTED_VALUE"""),100000.0)</f>
        <v>100000</v>
      </c>
      <c r="P809" s="1"/>
      <c r="Q809" s="1">
        <f>IFERROR(__xludf.DUMMYFUNCTION("""COMPUTED_VALUE"""),100000.0)</f>
        <v>100000</v>
      </c>
      <c r="R809" s="1">
        <f>IFERROR(__xludf.DUMMYFUNCTION("""COMPUTED_VALUE"""),100000.0)</f>
        <v>100000</v>
      </c>
      <c r="S809" s="1">
        <f>IFERROR(__xludf.DUMMYFUNCTION("""COMPUTED_VALUE"""),100000.0)</f>
        <v>100000</v>
      </c>
      <c r="T809" s="1"/>
      <c r="U809" s="1"/>
      <c r="V809" s="1"/>
      <c r="W809" s="1"/>
      <c r="X809" s="1"/>
      <c r="Y809" s="1"/>
      <c r="Z809" s="1">
        <f>IFERROR(__xludf.DUMMYFUNCTION("""COMPUTED_VALUE"""),100000.0)</f>
        <v>100000</v>
      </c>
      <c r="AA809" s="1"/>
      <c r="AB809" s="1"/>
      <c r="AC809" s="1">
        <f>IFERROR(__xludf.DUMMYFUNCTION("""COMPUTED_VALUE"""),100000.0)</f>
        <v>100000</v>
      </c>
      <c r="AD809" s="1"/>
      <c r="AE809" s="1"/>
      <c r="AF809" s="1" t="str">
        <f>IFERROR(__xludf.DUMMYFUNCTION("""COMPUTED_VALUE"""),"TBD")</f>
        <v>TBD</v>
      </c>
      <c r="AG809" s="1" t="str">
        <f>IFERROR(__xludf.DUMMYFUNCTION("""COMPUTED_VALUE"""),"Dragonscale Island")</f>
        <v>Dragonscale Island</v>
      </c>
      <c r="AH809" s="1" t="b">
        <f>IFERROR(__xludf.DUMMYFUNCTION("""COMPUTED_VALUE"""),TRUE)</f>
        <v>1</v>
      </c>
    </row>
    <row r="810">
      <c r="A810" s="1" t="str">
        <f>IFERROR(__xludf.DUMMYFUNCTION("""COMPUTED_VALUE"""),"Dragon's Destruction")</f>
        <v>Dragon's Destruction</v>
      </c>
      <c r="B810" s="1" t="str">
        <f>IFERROR(__xludf.DUMMYFUNCTION("""COMPUTED_VALUE"""),"Hand")</f>
        <v>Hand</v>
      </c>
      <c r="C810" s="1"/>
      <c r="D810" s="1" t="str">
        <f>IFERROR(__xludf.DUMMYFUNCTION("""COMPUTED_VALUE"""),"Spear")</f>
        <v>Spear</v>
      </c>
      <c r="E810" s="1">
        <f>IFERROR(__xludf.DUMMYFUNCTION("""COMPUTED_VALUE"""),200.0)</f>
        <v>200</v>
      </c>
      <c r="F810" s="2">
        <f>IFERROR(__xludf.DUMMYFUNCTION("""COMPUTED_VALUE"""),2.8788E10)</f>
        <v>28788000000</v>
      </c>
      <c r="G810" s="1" t="str">
        <f>IFERROR(__xludf.DUMMYFUNCTION("""COMPUTED_VALUE"""),"DMG")</f>
        <v>DMG</v>
      </c>
      <c r="H810" s="1">
        <f>IFERROR(__xludf.DUMMYFUNCTION("""COMPUTED_VALUE"""),400000.0)</f>
        <v>400000</v>
      </c>
      <c r="I810" s="1">
        <f>IFERROR(__xludf.DUMMYFUNCTION("""COMPUTED_VALUE"""),100000.0)</f>
        <v>100000</v>
      </c>
      <c r="J810" s="1"/>
      <c r="K810" s="1">
        <f>IFERROR(__xludf.DUMMYFUNCTION("""COMPUTED_VALUE"""),100000.0)</f>
        <v>100000</v>
      </c>
      <c r="L810" s="1">
        <f>IFERROR(__xludf.DUMMYFUNCTION("""COMPUTED_VALUE"""),100000.0)</f>
        <v>100000</v>
      </c>
      <c r="M810" s="1">
        <f>IFERROR(__xludf.DUMMYFUNCTION("""COMPUTED_VALUE"""),100000.0)</f>
        <v>100000</v>
      </c>
      <c r="N810" s="1">
        <f>IFERROR(__xludf.DUMMYFUNCTION("""COMPUTED_VALUE"""),150000.0)</f>
        <v>150000</v>
      </c>
      <c r="O810" s="1">
        <f>IFERROR(__xludf.DUMMYFUNCTION("""COMPUTED_VALUE"""),150000.0)</f>
        <v>150000</v>
      </c>
      <c r="P810" s="1">
        <f>IFERROR(__xludf.DUMMYFUNCTION("""COMPUTED_VALUE"""),100000.0)</f>
        <v>100000</v>
      </c>
      <c r="Q810" s="1">
        <f>IFERROR(__xludf.DUMMYFUNCTION("""COMPUTED_VALUE"""),150000.0)</f>
        <v>150000</v>
      </c>
      <c r="R810" s="1">
        <f>IFERROR(__xludf.DUMMYFUNCTION("""COMPUTED_VALUE"""),150000.0)</f>
        <v>150000</v>
      </c>
      <c r="S810" s="1">
        <f>IFERROR(__xludf.DUMMYFUNCTION("""COMPUTED_VALUE"""),100000.0)</f>
        <v>100000</v>
      </c>
      <c r="T810" s="1"/>
      <c r="U810" s="1"/>
      <c r="V810" s="1"/>
      <c r="W810" s="1"/>
      <c r="X810" s="1">
        <f>IFERROR(__xludf.DUMMYFUNCTION("""COMPUTED_VALUE"""),100000.0)</f>
        <v>100000</v>
      </c>
      <c r="Y810" s="1">
        <f>IFERROR(__xludf.DUMMYFUNCTION("""COMPUTED_VALUE"""),100000.0)</f>
        <v>100000</v>
      </c>
      <c r="Z810" s="1">
        <f>IFERROR(__xludf.DUMMYFUNCTION("""COMPUTED_VALUE"""),100000.0)</f>
        <v>100000</v>
      </c>
      <c r="AA810" s="1">
        <f>IFERROR(__xludf.DUMMYFUNCTION("""COMPUTED_VALUE"""),100000.0)</f>
        <v>100000</v>
      </c>
      <c r="AB810" s="1">
        <f>IFERROR(__xludf.DUMMYFUNCTION("""COMPUTED_VALUE"""),100000.0)</f>
        <v>100000</v>
      </c>
      <c r="AC810" s="1">
        <f>IFERROR(__xludf.DUMMYFUNCTION("""COMPUTED_VALUE"""),100000.0)</f>
        <v>100000</v>
      </c>
      <c r="AD810" s="1">
        <f>IFERROR(__xludf.DUMMYFUNCTION("""COMPUTED_VALUE"""),100000.0)</f>
        <v>100000</v>
      </c>
      <c r="AE810" s="1">
        <f>IFERROR(__xludf.DUMMYFUNCTION("""COMPUTED_VALUE"""),100000.0)</f>
        <v>100000</v>
      </c>
      <c r="AF810" s="1" t="str">
        <f>IFERROR(__xludf.DUMMYFUNCTION("""COMPUTED_VALUE"""),"TBD")</f>
        <v>TBD</v>
      </c>
      <c r="AG810" s="1" t="str">
        <f>IFERROR(__xludf.DUMMYFUNCTION("""COMPUTED_VALUE"""),"Dragonscale Island")</f>
        <v>Dragonscale Island</v>
      </c>
      <c r="AH810" s="1" t="b">
        <f>IFERROR(__xludf.DUMMYFUNCTION("""COMPUTED_VALUE"""),TRUE)</f>
        <v>1</v>
      </c>
    </row>
    <row r="811">
      <c r="A811" s="1" t="str">
        <f>IFERROR(__xludf.DUMMYFUNCTION("""COMPUTED_VALUE"""),"Confining Collar")</f>
        <v>Confining Collar</v>
      </c>
      <c r="B811" s="1" t="str">
        <f>IFERROR(__xludf.DUMMYFUNCTION("""COMPUTED_VALUE"""),"Neck")</f>
        <v>Neck</v>
      </c>
      <c r="C811" s="1" t="str">
        <f>IFERROR(__xludf.DUMMYFUNCTION("""COMPUTED_VALUE"""),"A cursed collar found around the neck of the Dragonscale dungeon inmates, it slowly stangulates the wearer until they die.")</f>
        <v>A cursed collar found around the neck of the Dragonscale dungeon inmates, it slowly stangulates the wearer until they die.</v>
      </c>
      <c r="D811" s="1" t="str">
        <f>IFERROR(__xludf.DUMMYFUNCTION("""COMPUTED_VALUE"""),"Item")</f>
        <v>Item</v>
      </c>
      <c r="E811" s="1">
        <f>IFERROR(__xludf.DUMMYFUNCTION("""COMPUTED_VALUE"""),100.0)</f>
        <v>100</v>
      </c>
      <c r="F811" s="2">
        <f>IFERROR(__xludf.DUMMYFUNCTION("""COMPUTED_VALUE"""),450000.0)</f>
        <v>450000</v>
      </c>
      <c r="G811" s="1" t="str">
        <f>IFERROR(__xludf.DUMMYFUNCTION("""COMPUTED_VALUE"""),"DEF")</f>
        <v>DEF</v>
      </c>
      <c r="H811" s="1">
        <f>IFERROR(__xludf.DUMMYFUNCTION("""COMPUTED_VALUE"""),5000.0)</f>
        <v>5000</v>
      </c>
      <c r="I811" s="1"/>
      <c r="J811" s="1"/>
      <c r="K811" s="1"/>
      <c r="L811" s="1"/>
      <c r="M811" s="1"/>
      <c r="N811" s="1"/>
      <c r="O811" s="1"/>
      <c r="P811" s="1"/>
      <c r="Q811" s="1"/>
      <c r="R811" s="1"/>
      <c r="S811" s="1"/>
      <c r="T811" s="1"/>
      <c r="U811" s="1"/>
      <c r="V811" s="1"/>
      <c r="W811" s="1"/>
      <c r="X811" s="1"/>
      <c r="Y811" s="1"/>
      <c r="Z811" s="1"/>
      <c r="AA811" s="1"/>
      <c r="AB811" s="1"/>
      <c r="AC811" s="1"/>
      <c r="AD811" s="1"/>
      <c r="AE811" s="1"/>
      <c r="AF811" s="1" t="str">
        <f>IFERROR(__xludf.DUMMYFUNCTION("""COMPUTED_VALUE"""),"+-5 to all rolls, +-Upon being worn can only be removed after 15 days of travel")</f>
        <v>+-5 to all rolls, +-Upon being worn can only be removed after 15 days of travel</v>
      </c>
      <c r="AG811" s="1" t="str">
        <f>IFERROR(__xludf.DUMMYFUNCTION("""COMPUTED_VALUE"""),"Dragonscale Island")</f>
        <v>Dragonscale Island</v>
      </c>
      <c r="AH811" s="1" t="b">
        <f>IFERROR(__xludf.DUMMYFUNCTION("""COMPUTED_VALUE"""),FALSE)</f>
        <v>0</v>
      </c>
    </row>
    <row r="812">
      <c r="A812" s="1" t="str">
        <f>IFERROR(__xludf.DUMMYFUNCTION("""COMPUTED_VALUE"""),"Shiv")</f>
        <v>Shiv</v>
      </c>
      <c r="B812" s="1" t="str">
        <f>IFERROR(__xludf.DUMMYFUNCTION("""COMPUTED_VALUE"""),"Hand")</f>
        <v>Hand</v>
      </c>
      <c r="C812" s="1"/>
      <c r="D812" s="1" t="str">
        <f>IFERROR(__xludf.DUMMYFUNCTION("""COMPUTED_VALUE"""),"Knife")</f>
        <v>Knife</v>
      </c>
      <c r="E812" s="1">
        <f>IFERROR(__xludf.DUMMYFUNCTION("""COMPUTED_VALUE"""),4000.0)</f>
        <v>4000</v>
      </c>
      <c r="F812" s="2">
        <f>IFERROR(__xludf.DUMMYFUNCTION("""COMPUTED_VALUE"""),7.98E8)</f>
        <v>798000000</v>
      </c>
      <c r="G812" s="1" t="str">
        <f>IFERROR(__xludf.DUMMYFUNCTION("""COMPUTED_VALUE"""),"DMG")</f>
        <v>DMG</v>
      </c>
      <c r="H812" s="1">
        <f>IFERROR(__xludf.DUMMYFUNCTION("""COMPUTED_VALUE"""),200000.0)</f>
        <v>200000</v>
      </c>
      <c r="I812" s="1"/>
      <c r="J812" s="1"/>
      <c r="K812" s="1"/>
      <c r="L812" s="1"/>
      <c r="M812" s="1"/>
      <c r="N812" s="1"/>
      <c r="O812" s="1"/>
      <c r="P812" s="1"/>
      <c r="Q812" s="1"/>
      <c r="R812" s="1"/>
      <c r="S812" s="1"/>
      <c r="T812" s="1"/>
      <c r="U812" s="1"/>
      <c r="V812" s="1"/>
      <c r="W812" s="1"/>
      <c r="X812" s="1"/>
      <c r="Y812" s="1"/>
      <c r="Z812" s="1"/>
      <c r="AA812" s="1"/>
      <c r="AB812" s="1"/>
      <c r="AC812" s="1"/>
      <c r="AD812" s="1"/>
      <c r="AE812" s="1"/>
      <c r="AF812" s="1" t="str">
        <f>IFERROR(__xludf.DUMMYFUNCTION("""COMPUTED_VALUE"""),"++has a 5% chance to give a random disease to any creature hit with this weapon.")</f>
        <v>++has a 5% chance to give a random disease to any creature hit with this weapon.</v>
      </c>
      <c r="AG812" s="1" t="str">
        <f>IFERROR(__xludf.DUMMYFUNCTION("""COMPUTED_VALUE"""),"Dragonscale Island")</f>
        <v>Dragonscale Island</v>
      </c>
      <c r="AH812" s="1" t="b">
        <f>IFERROR(__xludf.DUMMYFUNCTION("""COMPUTED_VALUE"""),FALSE)</f>
        <v>0</v>
      </c>
    </row>
    <row r="813">
      <c r="A813" s="1" t="str">
        <f>IFERROR(__xludf.DUMMYFUNCTION("""COMPUTED_VALUE"""),"Inmate's Cap")</f>
        <v>Inmate's Cap</v>
      </c>
      <c r="B813" s="1" t="str">
        <f>IFERROR(__xludf.DUMMYFUNCTION("""COMPUTED_VALUE"""),"Head")</f>
        <v>Head</v>
      </c>
      <c r="C813" s="1"/>
      <c r="D813" s="1" t="str">
        <f>IFERROR(__xludf.DUMMYFUNCTION("""COMPUTED_VALUE"""),"Item")</f>
        <v>Item</v>
      </c>
      <c r="E813" s="1">
        <f>IFERROR(__xludf.DUMMYFUNCTION("""COMPUTED_VALUE"""),2000.0)</f>
        <v>2000</v>
      </c>
      <c r="F813" s="2">
        <f>IFERROR(__xludf.DUMMYFUNCTION("""COMPUTED_VALUE"""),1.99E8)</f>
        <v>199000000</v>
      </c>
      <c r="G813" s="1" t="str">
        <f>IFERROR(__xludf.DUMMYFUNCTION("""COMPUTED_VALUE"""),"DEF")</f>
        <v>DEF</v>
      </c>
      <c r="H813" s="1">
        <f>IFERROR(__xludf.DUMMYFUNCTION("""COMPUTED_VALUE"""),100000.0)</f>
        <v>100000</v>
      </c>
      <c r="I813" s="1"/>
      <c r="J813" s="1"/>
      <c r="K813" s="1"/>
      <c r="L813" s="1"/>
      <c r="M813" s="1"/>
      <c r="N813" s="1"/>
      <c r="O813" s="1"/>
      <c r="P813" s="1"/>
      <c r="Q813" s="1"/>
      <c r="R813" s="1"/>
      <c r="S813" s="1"/>
      <c r="T813" s="1"/>
      <c r="U813" s="1"/>
      <c r="V813" s="1"/>
      <c r="W813" s="1"/>
      <c r="X813" s="1"/>
      <c r="Y813" s="1"/>
      <c r="Z813" s="1"/>
      <c r="AA813" s="1"/>
      <c r="AB813" s="1"/>
      <c r="AC813" s="1"/>
      <c r="AD813" s="1"/>
      <c r="AE813" s="1"/>
      <c r="AF813" s="1" t="str">
        <f>IFERROR(__xludf.DUMMYFUNCTION("""COMPUTED_VALUE"""),"++has a 5% chance to avoid beng arrested without fail.")</f>
        <v>++has a 5% chance to avoid beng arrested without fail.</v>
      </c>
      <c r="AG813" s="1" t="str">
        <f>IFERROR(__xludf.DUMMYFUNCTION("""COMPUTED_VALUE"""),"Dragonscale Island")</f>
        <v>Dragonscale Island</v>
      </c>
      <c r="AH813" s="1" t="b">
        <f>IFERROR(__xludf.DUMMYFUNCTION("""COMPUTED_VALUE"""),FALSE)</f>
        <v>0</v>
      </c>
    </row>
    <row r="814">
      <c r="A814" s="1" t="str">
        <f>IFERROR(__xludf.DUMMYFUNCTION("""COMPUTED_VALUE"""),"Inmate's Shirt")</f>
        <v>Inmate's Shirt</v>
      </c>
      <c r="B814" s="1" t="str">
        <f>IFERROR(__xludf.DUMMYFUNCTION("""COMPUTED_VALUE"""),"Torso")</f>
        <v>Torso</v>
      </c>
      <c r="C814" s="1"/>
      <c r="D814" s="1" t="str">
        <f>IFERROR(__xludf.DUMMYFUNCTION("""COMPUTED_VALUE"""),"Item")</f>
        <v>Item</v>
      </c>
      <c r="E814" s="1">
        <f>IFERROR(__xludf.DUMMYFUNCTION("""COMPUTED_VALUE"""),2000.0)</f>
        <v>2000</v>
      </c>
      <c r="F814" s="2">
        <f>IFERROR(__xludf.DUMMYFUNCTION("""COMPUTED_VALUE"""),1.99E8)</f>
        <v>199000000</v>
      </c>
      <c r="G814" s="1" t="str">
        <f>IFERROR(__xludf.DUMMYFUNCTION("""COMPUTED_VALUE"""),"DEF")</f>
        <v>DEF</v>
      </c>
      <c r="H814" s="1">
        <f>IFERROR(__xludf.DUMMYFUNCTION("""COMPUTED_VALUE"""),100000.0)</f>
        <v>100000</v>
      </c>
      <c r="I814" s="1"/>
      <c r="J814" s="1"/>
      <c r="K814" s="1"/>
      <c r="L814" s="1"/>
      <c r="M814" s="1"/>
      <c r="N814" s="1"/>
      <c r="O814" s="1"/>
      <c r="P814" s="1"/>
      <c r="Q814" s="1"/>
      <c r="R814" s="1"/>
      <c r="S814" s="1"/>
      <c r="T814" s="1"/>
      <c r="U814" s="1"/>
      <c r="V814" s="1"/>
      <c r="W814" s="1"/>
      <c r="X814" s="1"/>
      <c r="Y814" s="1"/>
      <c r="Z814" s="1"/>
      <c r="AA814" s="1"/>
      <c r="AB814" s="1"/>
      <c r="AC814" s="1"/>
      <c r="AD814" s="1"/>
      <c r="AE814" s="1"/>
      <c r="AF814" s="1" t="str">
        <f>IFERROR(__xludf.DUMMYFUNCTION("""COMPUTED_VALUE"""),"++has a 5% chance to avoid beng arrested without fail.")</f>
        <v>++has a 5% chance to avoid beng arrested without fail.</v>
      </c>
      <c r="AG814" s="1" t="str">
        <f>IFERROR(__xludf.DUMMYFUNCTION("""COMPUTED_VALUE"""),"Dragonscale Island")</f>
        <v>Dragonscale Island</v>
      </c>
      <c r="AH814" s="1" t="b">
        <f>IFERROR(__xludf.DUMMYFUNCTION("""COMPUTED_VALUE"""),FALSE)</f>
        <v>0</v>
      </c>
    </row>
    <row r="815">
      <c r="A815" s="1" t="str">
        <f>IFERROR(__xludf.DUMMYFUNCTION("""COMPUTED_VALUE"""),"Inmate's Pants")</f>
        <v>Inmate's Pants</v>
      </c>
      <c r="B815" s="1" t="str">
        <f>IFERROR(__xludf.DUMMYFUNCTION("""COMPUTED_VALUE"""),"Legs")</f>
        <v>Legs</v>
      </c>
      <c r="C815" s="1"/>
      <c r="D815" s="1" t="str">
        <f>IFERROR(__xludf.DUMMYFUNCTION("""COMPUTED_VALUE"""),"Item")</f>
        <v>Item</v>
      </c>
      <c r="E815" s="1">
        <f>IFERROR(__xludf.DUMMYFUNCTION("""COMPUTED_VALUE"""),2000.0)</f>
        <v>2000</v>
      </c>
      <c r="F815" s="2">
        <f>IFERROR(__xludf.DUMMYFUNCTION("""COMPUTED_VALUE"""),1.99E8)</f>
        <v>199000000</v>
      </c>
      <c r="G815" s="1" t="str">
        <f>IFERROR(__xludf.DUMMYFUNCTION("""COMPUTED_VALUE"""),"DEF")</f>
        <v>DEF</v>
      </c>
      <c r="H815" s="1">
        <f>IFERROR(__xludf.DUMMYFUNCTION("""COMPUTED_VALUE"""),100000.0)</f>
        <v>100000</v>
      </c>
      <c r="I815" s="1"/>
      <c r="J815" s="1"/>
      <c r="K815" s="1"/>
      <c r="L815" s="1"/>
      <c r="M815" s="1"/>
      <c r="N815" s="1"/>
      <c r="O815" s="1"/>
      <c r="P815" s="1"/>
      <c r="Q815" s="1"/>
      <c r="R815" s="1"/>
      <c r="S815" s="1"/>
      <c r="T815" s="1"/>
      <c r="U815" s="1"/>
      <c r="V815" s="1"/>
      <c r="W815" s="1"/>
      <c r="X815" s="1"/>
      <c r="Y815" s="1"/>
      <c r="Z815" s="1"/>
      <c r="AA815" s="1"/>
      <c r="AB815" s="1"/>
      <c r="AC815" s="1"/>
      <c r="AD815" s="1"/>
      <c r="AE815" s="1"/>
      <c r="AF815" s="1" t="str">
        <f>IFERROR(__xludf.DUMMYFUNCTION("""COMPUTED_VALUE"""),"++has a 5% chance to avoid beng arrested without fail.")</f>
        <v>++has a 5% chance to avoid beng arrested without fail.</v>
      </c>
      <c r="AG815" s="1" t="str">
        <f>IFERROR(__xludf.DUMMYFUNCTION("""COMPUTED_VALUE"""),"Dragonscale Island")</f>
        <v>Dragonscale Island</v>
      </c>
      <c r="AH815" s="1" t="b">
        <f>IFERROR(__xludf.DUMMYFUNCTION("""COMPUTED_VALUE"""),FALSE)</f>
        <v>0</v>
      </c>
    </row>
    <row r="816">
      <c r="A816" s="1" t="str">
        <f>IFERROR(__xludf.DUMMYFUNCTION("""COMPUTED_VALUE"""),"Warden's Cap")</f>
        <v>Warden's Cap</v>
      </c>
      <c r="B816" s="1" t="str">
        <f>IFERROR(__xludf.DUMMYFUNCTION("""COMPUTED_VALUE"""),"Head")</f>
        <v>Head</v>
      </c>
      <c r="C816" s="1"/>
      <c r="D816" s="1" t="str">
        <f>IFERROR(__xludf.DUMMYFUNCTION("""COMPUTED_VALUE"""),"Item")</f>
        <v>Item</v>
      </c>
      <c r="E816" s="1">
        <f>IFERROR(__xludf.DUMMYFUNCTION("""COMPUTED_VALUE"""),2000.0)</f>
        <v>2000</v>
      </c>
      <c r="F816" s="2">
        <f>IFERROR(__xludf.DUMMYFUNCTION("""COMPUTED_VALUE"""),1.99E8)</f>
        <v>199000000</v>
      </c>
      <c r="G816" s="1" t="str">
        <f>IFERROR(__xludf.DUMMYFUNCTION("""COMPUTED_VALUE"""),"DEF")</f>
        <v>DEF</v>
      </c>
      <c r="H816" s="1">
        <f>IFERROR(__xludf.DUMMYFUNCTION("""COMPUTED_VALUE"""),100000.0)</f>
        <v>100000</v>
      </c>
      <c r="I816" s="1"/>
      <c r="J816" s="1"/>
      <c r="K816" s="1"/>
      <c r="L816" s="1"/>
      <c r="M816" s="1"/>
      <c r="N816" s="1"/>
      <c r="O816" s="1"/>
      <c r="P816" s="1"/>
      <c r="Q816" s="1"/>
      <c r="R816" s="1"/>
      <c r="S816" s="1"/>
      <c r="T816" s="1"/>
      <c r="U816" s="1"/>
      <c r="V816" s="1"/>
      <c r="W816" s="1"/>
      <c r="X816" s="1"/>
      <c r="Y816" s="1"/>
      <c r="Z816" s="1"/>
      <c r="AA816" s="1"/>
      <c r="AB816" s="1"/>
      <c r="AC816" s="1"/>
      <c r="AD816" s="1"/>
      <c r="AE816" s="1"/>
      <c r="AF816" s="1" t="str">
        <f>IFERROR(__xludf.DUMMYFUNCTION("""COMPUTED_VALUE"""),"++X2 Damage with Clubs")</f>
        <v>++X2 Damage with Clubs</v>
      </c>
      <c r="AG816" s="1" t="str">
        <f>IFERROR(__xludf.DUMMYFUNCTION("""COMPUTED_VALUE"""),"Dragonscale Island")</f>
        <v>Dragonscale Island</v>
      </c>
      <c r="AH816" s="1" t="b">
        <f>IFERROR(__xludf.DUMMYFUNCTION("""COMPUTED_VALUE"""),FALSE)</f>
        <v>0</v>
      </c>
    </row>
    <row r="817">
      <c r="A817" s="1" t="str">
        <f>IFERROR(__xludf.DUMMYFUNCTION("""COMPUTED_VALUE"""),"Warden's Shirt")</f>
        <v>Warden's Shirt</v>
      </c>
      <c r="B817" s="1" t="str">
        <f>IFERROR(__xludf.DUMMYFUNCTION("""COMPUTED_VALUE"""),"Torso")</f>
        <v>Torso</v>
      </c>
      <c r="C817" s="1"/>
      <c r="D817" s="1" t="str">
        <f>IFERROR(__xludf.DUMMYFUNCTION("""COMPUTED_VALUE"""),"Item")</f>
        <v>Item</v>
      </c>
      <c r="E817" s="1">
        <f>IFERROR(__xludf.DUMMYFUNCTION("""COMPUTED_VALUE"""),2000.0)</f>
        <v>2000</v>
      </c>
      <c r="F817" s="2">
        <f>IFERROR(__xludf.DUMMYFUNCTION("""COMPUTED_VALUE"""),1.99E8)</f>
        <v>199000000</v>
      </c>
      <c r="G817" s="1" t="str">
        <f>IFERROR(__xludf.DUMMYFUNCTION("""COMPUTED_VALUE"""),"DEF")</f>
        <v>DEF</v>
      </c>
      <c r="H817" s="1">
        <f>IFERROR(__xludf.DUMMYFUNCTION("""COMPUTED_VALUE"""),100000.0)</f>
        <v>100000</v>
      </c>
      <c r="I817" s="1"/>
      <c r="J817" s="1"/>
      <c r="K817" s="1"/>
      <c r="L817" s="1"/>
      <c r="M817" s="1"/>
      <c r="N817" s="1"/>
      <c r="O817" s="1"/>
      <c r="P817" s="1"/>
      <c r="Q817" s="1"/>
      <c r="R817" s="1"/>
      <c r="S817" s="1"/>
      <c r="T817" s="1"/>
      <c r="U817" s="1"/>
      <c r="V817" s="1"/>
      <c r="W817" s="1"/>
      <c r="X817" s="1"/>
      <c r="Y817" s="1"/>
      <c r="Z817" s="1"/>
      <c r="AA817" s="1"/>
      <c r="AB817" s="1"/>
      <c r="AC817" s="1"/>
      <c r="AD817" s="1"/>
      <c r="AE817" s="1"/>
      <c r="AF817" s="1" t="str">
        <f>IFERROR(__xludf.DUMMYFUNCTION("""COMPUTED_VALUE"""),"++X2 Damage with Clubs")</f>
        <v>++X2 Damage with Clubs</v>
      </c>
      <c r="AG817" s="1" t="str">
        <f>IFERROR(__xludf.DUMMYFUNCTION("""COMPUTED_VALUE"""),"Dragonscale Island")</f>
        <v>Dragonscale Island</v>
      </c>
      <c r="AH817" s="1" t="b">
        <f>IFERROR(__xludf.DUMMYFUNCTION("""COMPUTED_VALUE"""),FALSE)</f>
        <v>0</v>
      </c>
    </row>
    <row r="818">
      <c r="A818" s="1" t="str">
        <f>IFERROR(__xludf.DUMMYFUNCTION("""COMPUTED_VALUE"""),"Warden's Pants")</f>
        <v>Warden's Pants</v>
      </c>
      <c r="B818" s="1" t="str">
        <f>IFERROR(__xludf.DUMMYFUNCTION("""COMPUTED_VALUE"""),"Legs")</f>
        <v>Legs</v>
      </c>
      <c r="C818" s="1"/>
      <c r="D818" s="1" t="str">
        <f>IFERROR(__xludf.DUMMYFUNCTION("""COMPUTED_VALUE"""),"Item")</f>
        <v>Item</v>
      </c>
      <c r="E818" s="1">
        <f>IFERROR(__xludf.DUMMYFUNCTION("""COMPUTED_VALUE"""),2000.0)</f>
        <v>2000</v>
      </c>
      <c r="F818" s="2">
        <f>IFERROR(__xludf.DUMMYFUNCTION("""COMPUTED_VALUE"""),1.99E8)</f>
        <v>199000000</v>
      </c>
      <c r="G818" s="1" t="str">
        <f>IFERROR(__xludf.DUMMYFUNCTION("""COMPUTED_VALUE"""),"DEF")</f>
        <v>DEF</v>
      </c>
      <c r="H818" s="1">
        <f>IFERROR(__xludf.DUMMYFUNCTION("""COMPUTED_VALUE"""),100000.0)</f>
        <v>100000</v>
      </c>
      <c r="I818" s="1"/>
      <c r="J818" s="1"/>
      <c r="K818" s="1"/>
      <c r="L818" s="1"/>
      <c r="M818" s="1"/>
      <c r="N818" s="1"/>
      <c r="O818" s="1"/>
      <c r="P818" s="1"/>
      <c r="Q818" s="1"/>
      <c r="R818" s="1"/>
      <c r="S818" s="1"/>
      <c r="T818" s="1"/>
      <c r="U818" s="1"/>
      <c r="V818" s="1"/>
      <c r="W818" s="1"/>
      <c r="X818" s="1"/>
      <c r="Y818" s="1"/>
      <c r="Z818" s="1"/>
      <c r="AA818" s="1"/>
      <c r="AB818" s="1"/>
      <c r="AC818" s="1"/>
      <c r="AD818" s="1"/>
      <c r="AE818" s="1"/>
      <c r="AF818" s="1" t="str">
        <f>IFERROR(__xludf.DUMMYFUNCTION("""COMPUTED_VALUE"""),"++X2 Damage with Clubs")</f>
        <v>++X2 Damage with Clubs</v>
      </c>
      <c r="AG818" s="1" t="str">
        <f>IFERROR(__xludf.DUMMYFUNCTION("""COMPUTED_VALUE"""),"Dragonscale Island")</f>
        <v>Dragonscale Island</v>
      </c>
      <c r="AH818" s="1" t="b">
        <f>IFERROR(__xludf.DUMMYFUNCTION("""COMPUTED_VALUE"""),FALSE)</f>
        <v>0</v>
      </c>
    </row>
    <row r="819">
      <c r="A819" s="1" t="str">
        <f>IFERROR(__xludf.DUMMYFUNCTION("""COMPUTED_VALUE"""),"Warden's Boots")</f>
        <v>Warden's Boots</v>
      </c>
      <c r="B819" s="1" t="str">
        <f>IFERROR(__xludf.DUMMYFUNCTION("""COMPUTED_VALUE"""),"Feet")</f>
        <v>Feet</v>
      </c>
      <c r="C819" s="1"/>
      <c r="D819" s="1" t="str">
        <f>IFERROR(__xludf.DUMMYFUNCTION("""COMPUTED_VALUE"""),"Item")</f>
        <v>Item</v>
      </c>
      <c r="E819" s="1">
        <f>IFERROR(__xludf.DUMMYFUNCTION("""COMPUTED_VALUE"""),2000.0)</f>
        <v>2000</v>
      </c>
      <c r="F819" s="2">
        <f>IFERROR(__xludf.DUMMYFUNCTION("""COMPUTED_VALUE"""),1.99E8)</f>
        <v>199000000</v>
      </c>
      <c r="G819" s="1" t="str">
        <f>IFERROR(__xludf.DUMMYFUNCTION("""COMPUTED_VALUE"""),"DEF")</f>
        <v>DEF</v>
      </c>
      <c r="H819" s="1">
        <f>IFERROR(__xludf.DUMMYFUNCTION("""COMPUTED_VALUE"""),100000.0)</f>
        <v>100000</v>
      </c>
      <c r="I819" s="1"/>
      <c r="J819" s="1"/>
      <c r="K819" s="1"/>
      <c r="L819" s="1"/>
      <c r="M819" s="1"/>
      <c r="N819" s="1"/>
      <c r="O819" s="1"/>
      <c r="P819" s="1"/>
      <c r="Q819" s="1"/>
      <c r="R819" s="1"/>
      <c r="S819" s="1"/>
      <c r="T819" s="1"/>
      <c r="U819" s="1"/>
      <c r="V819" s="1"/>
      <c r="W819" s="1"/>
      <c r="X819" s="1"/>
      <c r="Y819" s="1"/>
      <c r="Z819" s="1"/>
      <c r="AA819" s="1"/>
      <c r="AB819" s="1"/>
      <c r="AC819" s="1"/>
      <c r="AD819" s="1"/>
      <c r="AE819" s="1"/>
      <c r="AF819" s="1" t="str">
        <f>IFERROR(__xludf.DUMMYFUNCTION("""COMPUTED_VALUE"""),"++X2 Damage with Clubs")</f>
        <v>++X2 Damage with Clubs</v>
      </c>
      <c r="AG819" s="1" t="str">
        <f>IFERROR(__xludf.DUMMYFUNCTION("""COMPUTED_VALUE"""),"Dragonscale Island")</f>
        <v>Dragonscale Island</v>
      </c>
      <c r="AH819" s="1" t="b">
        <f>IFERROR(__xludf.DUMMYFUNCTION("""COMPUTED_VALUE"""),FALSE)</f>
        <v>0</v>
      </c>
    </row>
    <row r="820">
      <c r="A820" s="1" t="str">
        <f>IFERROR(__xludf.DUMMYFUNCTION("""COMPUTED_VALUE"""),"Warden's Baton")</f>
        <v>Warden's Baton</v>
      </c>
      <c r="B820" s="1" t="str">
        <f>IFERROR(__xludf.DUMMYFUNCTION("""COMPUTED_VALUE"""),"Hand")</f>
        <v>Hand</v>
      </c>
      <c r="C820" s="1"/>
      <c r="D820" s="1" t="str">
        <f>IFERROR(__xludf.DUMMYFUNCTION("""COMPUTED_VALUE"""),"Club")</f>
        <v>Club</v>
      </c>
      <c r="E820" s="1">
        <f>IFERROR(__xludf.DUMMYFUNCTION("""COMPUTED_VALUE"""),4000.0)</f>
        <v>4000</v>
      </c>
      <c r="F820" s="2">
        <f>IFERROR(__xludf.DUMMYFUNCTION("""COMPUTED_VALUE"""),7.98E8)</f>
        <v>798000000</v>
      </c>
      <c r="G820" s="1" t="str">
        <f>IFERROR(__xludf.DUMMYFUNCTION("""COMPUTED_VALUE"""),"DMG")</f>
        <v>DMG</v>
      </c>
      <c r="H820" s="1">
        <f>IFERROR(__xludf.DUMMYFUNCTION("""COMPUTED_VALUE"""),200000.0)</f>
        <v>200000</v>
      </c>
      <c r="I820" s="1"/>
      <c r="J820" s="1"/>
      <c r="K820" s="1"/>
      <c r="L820" s="1"/>
      <c r="M820" s="1"/>
      <c r="N820" s="1"/>
      <c r="O820" s="1"/>
      <c r="P820" s="1"/>
      <c r="Q820" s="1"/>
      <c r="R820" s="1"/>
      <c r="S820" s="1"/>
      <c r="T820" s="1"/>
      <c r="U820" s="1"/>
      <c r="V820" s="1"/>
      <c r="W820" s="1"/>
      <c r="X820" s="1"/>
      <c r="Y820" s="1"/>
      <c r="Z820" s="1"/>
      <c r="AA820" s="1"/>
      <c r="AB820" s="1"/>
      <c r="AC820" s="1"/>
      <c r="AD820" s="1"/>
      <c r="AE820" s="1"/>
      <c r="AF820" s="1" t="str">
        <f>IFERROR(__xludf.DUMMYFUNCTION("""COMPUTED_VALUE"""),"++X20 damage to any enemy wearing a confining collar.")</f>
        <v>++X20 damage to any enemy wearing a confining collar.</v>
      </c>
      <c r="AG820" s="1" t="str">
        <f>IFERROR(__xludf.DUMMYFUNCTION("""COMPUTED_VALUE"""),"Dragonscale Island")</f>
        <v>Dragonscale Island</v>
      </c>
      <c r="AH820" s="1" t="b">
        <f>IFERROR(__xludf.DUMMYFUNCTION("""COMPUTED_VALUE"""),FALSE)</f>
        <v>0</v>
      </c>
    </row>
    <row r="821">
      <c r="A821" s="1" t="str">
        <f>IFERROR(__xludf.DUMMYFUNCTION("""COMPUTED_VALUE"""),"Gentleman's Club")</f>
        <v>Gentleman's Club</v>
      </c>
      <c r="B821" s="1" t="str">
        <f>IFERROR(__xludf.DUMMYFUNCTION("""COMPUTED_VALUE"""),"Hand")</f>
        <v>Hand</v>
      </c>
      <c r="C821" s="1"/>
      <c r="D821" s="1" t="str">
        <f>IFERROR(__xludf.DUMMYFUNCTION("""COMPUTED_VALUE"""),"Club")</f>
        <v>Club</v>
      </c>
      <c r="E821" s="1">
        <f>IFERROR(__xludf.DUMMYFUNCTION("""COMPUTED_VALUE"""),3000.0)</f>
        <v>3000</v>
      </c>
      <c r="F821" s="2">
        <f>IFERROR(__xludf.DUMMYFUNCTION("""COMPUTED_VALUE"""),4.485E8)</f>
        <v>448500000</v>
      </c>
      <c r="G821" s="1" t="str">
        <f>IFERROR(__xludf.DUMMYFUNCTION("""COMPUTED_VALUE"""),"DMG")</f>
        <v>DMG</v>
      </c>
      <c r="H821" s="1">
        <f>IFERROR(__xludf.DUMMYFUNCTION("""COMPUTED_VALUE"""),150000.0)</f>
        <v>150000</v>
      </c>
      <c r="I821" s="1"/>
      <c r="J821" s="1"/>
      <c r="K821" s="1"/>
      <c r="L821" s="1"/>
      <c r="M821" s="1"/>
      <c r="N821" s="1"/>
      <c r="O821" s="1"/>
      <c r="P821" s="1"/>
      <c r="Q821" s="1"/>
      <c r="R821" s="1"/>
      <c r="S821" s="1"/>
      <c r="T821" s="1"/>
      <c r="U821" s="1"/>
      <c r="V821" s="1"/>
      <c r="W821" s="1"/>
      <c r="X821" s="1"/>
      <c r="Y821" s="1"/>
      <c r="Z821" s="1"/>
      <c r="AA821" s="1"/>
      <c r="AB821" s="1"/>
      <c r="AC821" s="1"/>
      <c r="AD821" s="1"/>
      <c r="AE821" s="1"/>
      <c r="AF821" s="1" t="str">
        <f>IFERROR(__xludf.DUMMYFUNCTION("""COMPUTED_VALUE"""),"++Enemies hit with this weapon cannot cast spells for 2 rounds. +-Cannot be duplicated.")</f>
        <v>++Enemies hit with this weapon cannot cast spells for 2 rounds. +-Cannot be duplicated.</v>
      </c>
      <c r="AG821" s="1" t="str">
        <f>IFERROR(__xludf.DUMMYFUNCTION("""COMPUTED_VALUE"""),"Abstara")</f>
        <v>Abstara</v>
      </c>
      <c r="AH821" s="1" t="b">
        <f>IFERROR(__xludf.DUMMYFUNCTION("""COMPUTED_VALUE"""),FALSE)</f>
        <v>0</v>
      </c>
    </row>
    <row r="822">
      <c r="A822" s="1" t="str">
        <f>IFERROR(__xludf.DUMMYFUNCTION("""COMPUTED_VALUE"""),"Honest Shirt")</f>
        <v>Honest Shirt</v>
      </c>
      <c r="B822" s="1" t="str">
        <f>IFERROR(__xludf.DUMMYFUNCTION("""COMPUTED_VALUE"""),"Torso")</f>
        <v>Torso</v>
      </c>
      <c r="C822" s="1"/>
      <c r="D822" s="1" t="str">
        <f>IFERROR(__xludf.DUMMYFUNCTION("""COMPUTED_VALUE"""),"Item")</f>
        <v>Item</v>
      </c>
      <c r="E822" s="1">
        <f>IFERROR(__xludf.DUMMYFUNCTION("""COMPUTED_VALUE"""),2000.0)</f>
        <v>2000</v>
      </c>
      <c r="F822" s="2">
        <f>IFERROR(__xludf.DUMMYFUNCTION("""COMPUTED_VALUE"""),1.99E8)</f>
        <v>199000000</v>
      </c>
      <c r="G822" s="1" t="str">
        <f>IFERROR(__xludf.DUMMYFUNCTION("""COMPUTED_VALUE"""),"DEF")</f>
        <v>DEF</v>
      </c>
      <c r="H822" s="1">
        <f>IFERROR(__xludf.DUMMYFUNCTION("""COMPUTED_VALUE"""),100000.0)</f>
        <v>100000</v>
      </c>
      <c r="I822" s="1"/>
      <c r="J822" s="1"/>
      <c r="K822" s="1"/>
      <c r="L822" s="1"/>
      <c r="M822" s="1"/>
      <c r="N822" s="1"/>
      <c r="O822" s="1"/>
      <c r="P822" s="1"/>
      <c r="Q822" s="1"/>
      <c r="R822" s="1"/>
      <c r="S822" s="1"/>
      <c r="T822" s="1"/>
      <c r="U822" s="1"/>
      <c r="V822" s="1"/>
      <c r="W822" s="1"/>
      <c r="X822" s="1"/>
      <c r="Y822" s="1"/>
      <c r="Z822" s="1"/>
      <c r="AA822" s="1"/>
      <c r="AB822" s="1"/>
      <c r="AC822" s="1"/>
      <c r="AD822" s="1"/>
      <c r="AE822" s="1"/>
      <c r="AF822" s="1" t="str">
        <f>IFERROR(__xludf.DUMMYFUNCTION("""COMPUTED_VALUE"""),"++25% chance any spell targeting the wearer fails.")</f>
        <v>++25% chance any spell targeting the wearer fails.</v>
      </c>
      <c r="AG822" s="1" t="str">
        <f>IFERROR(__xludf.DUMMYFUNCTION("""COMPUTED_VALUE"""),"Dragonscale Island")</f>
        <v>Dragonscale Island</v>
      </c>
      <c r="AH822" s="1" t="b">
        <f>IFERROR(__xludf.DUMMYFUNCTION("""COMPUTED_VALUE"""),FALSE)</f>
        <v>0</v>
      </c>
    </row>
    <row r="823">
      <c r="A823" s="1" t="str">
        <f>IFERROR(__xludf.DUMMYFUNCTION("""COMPUTED_VALUE"""),"Tinfoil Hat")</f>
        <v>Tinfoil Hat</v>
      </c>
      <c r="B823" s="1" t="str">
        <f>IFERROR(__xludf.DUMMYFUNCTION("""COMPUTED_VALUE"""),"Head")</f>
        <v>Head</v>
      </c>
      <c r="C823" s="1"/>
      <c r="D823" s="1" t="str">
        <f>IFERROR(__xludf.DUMMYFUNCTION("""COMPUTED_VALUE"""),"Item")</f>
        <v>Item</v>
      </c>
      <c r="E823" s="1">
        <f>IFERROR(__xludf.DUMMYFUNCTION("""COMPUTED_VALUE"""),1.0)</f>
        <v>1</v>
      </c>
      <c r="F823" s="2">
        <f>IFERROR(__xludf.DUMMYFUNCTION("""COMPUTED_VALUE"""),0.0)</f>
        <v>0</v>
      </c>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t="str">
        <f>IFERROR(__xludf.DUMMYFUNCTION("""COMPUTED_VALUE"""),"++Immunity to Possession. +-Cannot be duplicated.")</f>
        <v>++Immunity to Possession. +-Cannot be duplicated.</v>
      </c>
      <c r="AG823" s="1" t="str">
        <f>IFERROR(__xludf.DUMMYFUNCTION("""COMPUTED_VALUE"""),"Abstara")</f>
        <v>Abstara</v>
      </c>
      <c r="AH823" s="1" t="b">
        <f>IFERROR(__xludf.DUMMYFUNCTION("""COMPUTED_VALUE"""),FALSE)</f>
        <v>0</v>
      </c>
    </row>
    <row r="824">
      <c r="A824" s="1" t="str">
        <f>IFERROR(__xludf.DUMMYFUNCTION("""COMPUTED_VALUE"""),"Anti-Magic Glasses")</f>
        <v>Anti-Magic Glasses</v>
      </c>
      <c r="B824" s="1" t="str">
        <f>IFERROR(__xludf.DUMMYFUNCTION("""COMPUTED_VALUE"""),"Head")</f>
        <v>Head</v>
      </c>
      <c r="C824" s="1"/>
      <c r="D824" s="1" t="str">
        <f>IFERROR(__xludf.DUMMYFUNCTION("""COMPUTED_VALUE"""),"Item")</f>
        <v>Item</v>
      </c>
      <c r="E824" s="1">
        <f>IFERROR(__xludf.DUMMYFUNCTION("""COMPUTED_VALUE"""),1.0)</f>
        <v>1</v>
      </c>
      <c r="F824" s="2">
        <f>IFERROR(__xludf.DUMMYFUNCTION("""COMPUTED_VALUE"""),0.0)</f>
        <v>0</v>
      </c>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t="str">
        <f>IFERROR(__xludf.DUMMYFUNCTION("""COMPUTED_VALUE"""),"++Immunity to Blindness, Disorient, and Twilight. +-Cannot be duplicated")</f>
        <v>++Immunity to Blindness, Disorient, and Twilight. +-Cannot be duplicated</v>
      </c>
      <c r="AG824" s="1" t="str">
        <f>IFERROR(__xludf.DUMMYFUNCTION("""COMPUTED_VALUE"""),"Abstara")</f>
        <v>Abstara</v>
      </c>
      <c r="AH824" s="1" t="b">
        <f>IFERROR(__xludf.DUMMYFUNCTION("""COMPUTED_VALUE"""),FALSE)</f>
        <v>0</v>
      </c>
    </row>
    <row r="825">
      <c r="A825" s="1" t="str">
        <f>IFERROR(__xludf.DUMMYFUNCTION("""COMPUTED_VALUE"""),"Null Ring")</f>
        <v>Null Ring</v>
      </c>
      <c r="B825" s="1" t="str">
        <f>IFERROR(__xludf.DUMMYFUNCTION("""COMPUTED_VALUE"""),"Finger")</f>
        <v>Finger</v>
      </c>
      <c r="C825" s="1"/>
      <c r="D825" s="1" t="str">
        <f>IFERROR(__xludf.DUMMYFUNCTION("""COMPUTED_VALUE"""),"Item")</f>
        <v>Item</v>
      </c>
      <c r="E825" s="1">
        <f>IFERROR(__xludf.DUMMYFUNCTION("""COMPUTED_VALUE"""),1.0)</f>
        <v>1</v>
      </c>
      <c r="F825" s="2">
        <f>IFERROR(__xludf.DUMMYFUNCTION("""COMPUTED_VALUE"""),0.0)</f>
        <v>0</v>
      </c>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t="str">
        <f>IFERROR(__xludf.DUMMYFUNCTION("""COMPUTED_VALUE"""),"++15% chance at start of battle to become immune to all magic casted by enemies and allies +-Wearer is incapable of casting magic +-Not able to be forged or duplicated")</f>
        <v>++15% chance at start of battle to become immune to all magic casted by enemies and allies +-Wearer is incapable of casting magic +-Not able to be forged or duplicated</v>
      </c>
      <c r="AG825" s="1" t="str">
        <f>IFERROR(__xludf.DUMMYFUNCTION("""COMPUTED_VALUE"""),"Abstara")</f>
        <v>Abstara</v>
      </c>
      <c r="AH825" s="1" t="b">
        <f>IFERROR(__xludf.DUMMYFUNCTION("""COMPUTED_VALUE"""),FALSE)</f>
        <v>0</v>
      </c>
    </row>
    <row r="826">
      <c r="A826" s="1" t="str">
        <f>IFERROR(__xludf.DUMMYFUNCTION("""COMPUTED_VALUE"""),"Quickdraw Bow")</f>
        <v>Quickdraw Bow</v>
      </c>
      <c r="B826" s="1" t="str">
        <f>IFERROR(__xludf.DUMMYFUNCTION("""COMPUTED_VALUE"""),"Hand")</f>
        <v>Hand</v>
      </c>
      <c r="C826" s="1"/>
      <c r="D826" s="1" t="str">
        <f>IFERROR(__xludf.DUMMYFUNCTION("""COMPUTED_VALUE"""),"Bow")</f>
        <v>Bow</v>
      </c>
      <c r="E826" s="1">
        <f>IFERROR(__xludf.DUMMYFUNCTION("""COMPUTED_VALUE"""),2000.0)</f>
        <v>2000</v>
      </c>
      <c r="F826" s="2">
        <f>IFERROR(__xludf.DUMMYFUNCTION("""COMPUTED_VALUE"""),1.99E8)</f>
        <v>199000000</v>
      </c>
      <c r="G826" s="1" t="str">
        <f>IFERROR(__xludf.DUMMYFUNCTION("""COMPUTED_VALUE"""),"DMG")</f>
        <v>DMG</v>
      </c>
      <c r="H826" s="1">
        <f>IFERROR(__xludf.DUMMYFUNCTION("""COMPUTED_VALUE"""),99500.0)</f>
        <v>99500</v>
      </c>
      <c r="I826" s="1"/>
      <c r="J826" s="1"/>
      <c r="K826" s="1"/>
      <c r="L826" s="1"/>
      <c r="M826" s="1"/>
      <c r="N826" s="1"/>
      <c r="O826" s="1"/>
      <c r="P826" s="1">
        <f>IFERROR(__xludf.DUMMYFUNCTION("""COMPUTED_VALUE"""),500.0)</f>
        <v>500</v>
      </c>
      <c r="Q826" s="1"/>
      <c r="R826" s="1"/>
      <c r="S826" s="1"/>
      <c r="T826" s="1"/>
      <c r="U826" s="1"/>
      <c r="V826" s="1"/>
      <c r="W826" s="1"/>
      <c r="X826" s="1"/>
      <c r="Y826" s="1"/>
      <c r="Z826" s="1"/>
      <c r="AA826" s="1"/>
      <c r="AB826" s="1"/>
      <c r="AC826" s="1"/>
      <c r="AD826" s="1"/>
      <c r="AE826" s="1"/>
      <c r="AF826" s="1" t="str">
        <f>IFERROR(__xludf.DUMMYFUNCTION("""COMPUTED_VALUE"""),"++Plus 2 to turn order roll +-Cannot be forged or duplicated")</f>
        <v>++Plus 2 to turn order roll +-Cannot be forged or duplicated</v>
      </c>
      <c r="AG826" s="1" t="str">
        <f>IFERROR(__xludf.DUMMYFUNCTION("""COMPUTED_VALUE"""),"Dragonscale Island")</f>
        <v>Dragonscale Island</v>
      </c>
      <c r="AH826" s="1" t="b">
        <f>IFERROR(__xludf.DUMMYFUNCTION("""COMPUTED_VALUE"""),FALSE)</f>
        <v>0</v>
      </c>
    </row>
    <row r="827">
      <c r="A827" s="1" t="str">
        <f>IFERROR(__xludf.DUMMYFUNCTION("""COMPUTED_VALUE"""),"Chaos Bow")</f>
        <v>Chaos Bow</v>
      </c>
      <c r="B827" s="1" t="str">
        <f>IFERROR(__xludf.DUMMYFUNCTION("""COMPUTED_VALUE"""),"Hand")</f>
        <v>Hand</v>
      </c>
      <c r="C827" s="1"/>
      <c r="D827" s="1" t="str">
        <f>IFERROR(__xludf.DUMMYFUNCTION("""COMPUTED_VALUE"""),"Bow")</f>
        <v>Bow</v>
      </c>
      <c r="E827" s="1">
        <f>IFERROR(__xludf.DUMMYFUNCTION("""COMPUTED_VALUE"""),2600.0)</f>
        <v>2600</v>
      </c>
      <c r="F827" s="2">
        <f>IFERROR(__xludf.DUMMYFUNCTION("""COMPUTED_VALUE"""),3.367E8)</f>
        <v>336700000</v>
      </c>
      <c r="G827" s="1" t="str">
        <f>IFERROR(__xludf.DUMMYFUNCTION("""COMPUTED_VALUE"""),"DMG")</f>
        <v>DMG</v>
      </c>
      <c r="H827" s="1">
        <f>IFERROR(__xludf.DUMMYFUNCTION("""COMPUTED_VALUE"""),50000.0)</f>
        <v>50000</v>
      </c>
      <c r="I827" s="1"/>
      <c r="J827" s="1"/>
      <c r="K827" s="1"/>
      <c r="L827" s="1"/>
      <c r="M827" s="1"/>
      <c r="N827" s="1"/>
      <c r="O827" s="1"/>
      <c r="P827" s="1"/>
      <c r="Q827" s="1"/>
      <c r="R827" s="1">
        <f>IFERROR(__xludf.DUMMYFUNCTION("""COMPUTED_VALUE"""),80000.0)</f>
        <v>80000</v>
      </c>
      <c r="S827" s="1"/>
      <c r="T827" s="1"/>
      <c r="U827" s="1"/>
      <c r="V827" s="1"/>
      <c r="W827" s="1"/>
      <c r="X827" s="1"/>
      <c r="Y827" s="1"/>
      <c r="Z827" s="1"/>
      <c r="AA827" s="1"/>
      <c r="AB827" s="1"/>
      <c r="AC827" s="1"/>
      <c r="AD827" s="1"/>
      <c r="AE827" s="1"/>
      <c r="AF827" s="1" t="str">
        <f>IFERROR(__xludf.DUMMYFUNCTION("""COMPUTED_VALUE"""),"++This bow targets a random enemy.")</f>
        <v>++This bow targets a random enemy.</v>
      </c>
      <c r="AG827" s="1" t="str">
        <f>IFERROR(__xludf.DUMMYFUNCTION("""COMPUTED_VALUE"""),"Dragonscale Island")</f>
        <v>Dragonscale Island</v>
      </c>
      <c r="AH827" s="1" t="b">
        <f>IFERROR(__xludf.DUMMYFUNCTION("""COMPUTED_VALUE"""),FALSE)</f>
        <v>0</v>
      </c>
    </row>
    <row r="828">
      <c r="A828" s="1" t="str">
        <f>IFERROR(__xludf.DUMMYFUNCTION("""COMPUTED_VALUE"""),"Crit Shot Bow")</f>
        <v>Crit Shot Bow</v>
      </c>
      <c r="B828" s="1" t="str">
        <f>IFERROR(__xludf.DUMMYFUNCTION("""COMPUTED_VALUE"""),"Hand")</f>
        <v>Hand</v>
      </c>
      <c r="C828" s="1"/>
      <c r="D828" s="1" t="str">
        <f>IFERROR(__xludf.DUMMYFUNCTION("""COMPUTED_VALUE"""),"Bow")</f>
        <v>Bow</v>
      </c>
      <c r="E828" s="1">
        <f>IFERROR(__xludf.DUMMYFUNCTION("""COMPUTED_VALUE"""),4000.0)</f>
        <v>4000</v>
      </c>
      <c r="F828" s="2">
        <f>IFERROR(__xludf.DUMMYFUNCTION("""COMPUTED_VALUE"""),7.98E8)</f>
        <v>798000000</v>
      </c>
      <c r="G828" s="1" t="str">
        <f>IFERROR(__xludf.DUMMYFUNCTION("""COMPUTED_VALUE"""),"DMG")</f>
        <v>DMG</v>
      </c>
      <c r="H828" s="1">
        <f>IFERROR(__xludf.DUMMYFUNCTION("""COMPUTED_VALUE"""),200000.0)</f>
        <v>200000</v>
      </c>
      <c r="I828" s="1"/>
      <c r="J828" s="1"/>
      <c r="K828" s="1"/>
      <c r="L828" s="1"/>
      <c r="M828" s="1"/>
      <c r="N828" s="1"/>
      <c r="O828" s="1"/>
      <c r="P828" s="1"/>
      <c r="Q828" s="1"/>
      <c r="R828" s="1"/>
      <c r="S828" s="1"/>
      <c r="T828" s="1"/>
      <c r="U828" s="1"/>
      <c r="V828" s="1"/>
      <c r="W828" s="1"/>
      <c r="X828" s="1"/>
      <c r="Y828" s="1"/>
      <c r="Z828" s="1"/>
      <c r="AA828" s="1"/>
      <c r="AB828" s="1"/>
      <c r="AC828" s="1"/>
      <c r="AD828" s="1"/>
      <c r="AE828" s="1"/>
      <c r="AF828" s="1" t="str">
        <f>IFERROR(__xludf.DUMMYFUNCTION("""COMPUTED_VALUE"""),"++Deals 3x damage +-Accuracy halved")</f>
        <v>++Deals 3x damage +-Accuracy halved</v>
      </c>
      <c r="AG828" s="1" t="str">
        <f>IFERROR(__xludf.DUMMYFUNCTION("""COMPUTED_VALUE"""),"Abstara")</f>
        <v>Abstara</v>
      </c>
      <c r="AH828" s="1" t="b">
        <f>IFERROR(__xludf.DUMMYFUNCTION("""COMPUTED_VALUE"""),FALSE)</f>
        <v>0</v>
      </c>
    </row>
    <row r="829">
      <c r="A829" s="1" t="str">
        <f>IFERROR(__xludf.DUMMYFUNCTION("""COMPUTED_VALUE"""),"Incinerating Bow")</f>
        <v>Incinerating Bow</v>
      </c>
      <c r="B829" s="1" t="str">
        <f>IFERROR(__xludf.DUMMYFUNCTION("""COMPUTED_VALUE"""),"Hand")</f>
        <v>Hand</v>
      </c>
      <c r="C829" s="1"/>
      <c r="D829" s="1" t="str">
        <f>IFERROR(__xludf.DUMMYFUNCTION("""COMPUTED_VALUE"""),"Bow")</f>
        <v>Bow</v>
      </c>
      <c r="E829" s="1">
        <f>IFERROR(__xludf.DUMMYFUNCTION("""COMPUTED_VALUE"""),3800.0)</f>
        <v>3800</v>
      </c>
      <c r="F829" s="2">
        <f>IFERROR(__xludf.DUMMYFUNCTION("""COMPUTED_VALUE"""),7.201E8)</f>
        <v>720100000</v>
      </c>
      <c r="G829" s="1" t="str">
        <f>IFERROR(__xludf.DUMMYFUNCTION("""COMPUTED_VALUE"""),"DMG")</f>
        <v>DMG</v>
      </c>
      <c r="H829" s="1">
        <f>IFERROR(__xludf.DUMMYFUNCTION("""COMPUTED_VALUE"""),90000.0)</f>
        <v>90000</v>
      </c>
      <c r="I829" s="1">
        <f>IFERROR(__xludf.DUMMYFUNCTION("""COMPUTED_VALUE"""),100000.0)</f>
        <v>100000</v>
      </c>
      <c r="J829" s="1"/>
      <c r="K829" s="1"/>
      <c r="L829" s="1"/>
      <c r="M829" s="1"/>
      <c r="N829" s="1"/>
      <c r="O829" s="1"/>
      <c r="P829" s="1"/>
      <c r="Q829" s="1"/>
      <c r="R829" s="1"/>
      <c r="S829" s="1"/>
      <c r="T829" s="1"/>
      <c r="U829" s="1"/>
      <c r="V829" s="1"/>
      <c r="W829" s="1"/>
      <c r="X829" s="1"/>
      <c r="Y829" s="1"/>
      <c r="Z829" s="1"/>
      <c r="AA829" s="1"/>
      <c r="AB829" s="1"/>
      <c r="AC829" s="1"/>
      <c r="AD829" s="1"/>
      <c r="AE829" s="1"/>
      <c r="AF829" s="1" t="str">
        <f>IFERROR(__xludf.DUMMYFUNCTION("""COMPUTED_VALUE"""),"++Gain 1 Fire Arrow when any other arrow type is used. ++When using Fire Arrows deal 2x damage with this weapon. +-Cannot be forged or duplicated")</f>
        <v>++Gain 1 Fire Arrow when any other arrow type is used. ++When using Fire Arrows deal 2x damage with this weapon. +-Cannot be forged or duplicated</v>
      </c>
      <c r="AG829" s="1" t="str">
        <f>IFERROR(__xludf.DUMMYFUNCTION("""COMPUTED_VALUE"""),"Abstara")</f>
        <v>Abstara</v>
      </c>
      <c r="AH829" s="1" t="b">
        <f>IFERROR(__xludf.DUMMYFUNCTION("""COMPUTED_VALUE"""),FALSE)</f>
        <v>0</v>
      </c>
    </row>
    <row r="830">
      <c r="A830" s="1" t="str">
        <f>IFERROR(__xludf.DUMMYFUNCTION("""COMPUTED_VALUE"""),"Bone Bow")</f>
        <v>Bone Bow</v>
      </c>
      <c r="B830" s="1" t="str">
        <f>IFERROR(__xludf.DUMMYFUNCTION("""COMPUTED_VALUE"""),"Hand")</f>
        <v>Hand</v>
      </c>
      <c r="C830" s="1"/>
      <c r="D830" s="1" t="str">
        <f>IFERROR(__xludf.DUMMYFUNCTION("""COMPUTED_VALUE"""),"Bow")</f>
        <v>Bow</v>
      </c>
      <c r="E830" s="1">
        <f>IFERROR(__xludf.DUMMYFUNCTION("""COMPUTED_VALUE"""),3400.0)</f>
        <v>3400</v>
      </c>
      <c r="F830" s="2">
        <f>IFERROR(__xludf.DUMMYFUNCTION("""COMPUTED_VALUE"""),5.763E8)</f>
        <v>576300000</v>
      </c>
      <c r="G830" s="1" t="str">
        <f>IFERROR(__xludf.DUMMYFUNCTION("""COMPUTED_VALUE"""),"DMG")</f>
        <v>DMG</v>
      </c>
      <c r="H830" s="1">
        <f>IFERROR(__xludf.DUMMYFUNCTION("""COMPUTED_VALUE"""),10000.0)</f>
        <v>10000</v>
      </c>
      <c r="I830" s="1"/>
      <c r="J830" s="1"/>
      <c r="K830" s="1"/>
      <c r="L830" s="1"/>
      <c r="M830" s="1"/>
      <c r="N830" s="1"/>
      <c r="O830" s="1"/>
      <c r="P830" s="1"/>
      <c r="Q830" s="1"/>
      <c r="R830" s="1"/>
      <c r="S830" s="1"/>
      <c r="T830" s="1"/>
      <c r="U830" s="1"/>
      <c r="V830" s="1"/>
      <c r="W830" s="1"/>
      <c r="X830" s="1"/>
      <c r="Y830" s="1">
        <f>IFERROR(__xludf.DUMMYFUNCTION("""COMPUTED_VALUE"""),160000.0)</f>
        <v>160000</v>
      </c>
      <c r="Z830" s="1"/>
      <c r="AA830" s="1"/>
      <c r="AB830" s="1"/>
      <c r="AC830" s="1"/>
      <c r="AD830" s="1"/>
      <c r="AE830" s="1"/>
      <c r="AF830" s="1" t="str">
        <f>IFERROR(__xludf.DUMMYFUNCTION("""COMPUTED_VALUE"""),"++ 2x damage when user isundead")</f>
        <v>++ 2x damage when user isundead</v>
      </c>
      <c r="AG830" s="1" t="str">
        <f>IFERROR(__xludf.DUMMYFUNCTION("""COMPUTED_VALUE"""),"Abstara")</f>
        <v>Abstara</v>
      </c>
      <c r="AH830" s="1" t="b">
        <f>IFERROR(__xludf.DUMMYFUNCTION("""COMPUTED_VALUE"""),FALSE)</f>
        <v>0</v>
      </c>
    </row>
    <row r="831">
      <c r="A831" s="1" t="str">
        <f>IFERROR(__xludf.DUMMYFUNCTION("""COMPUTED_VALUE"""),"Assassin's Fake Harp")</f>
        <v>Assassin's Fake Harp</v>
      </c>
      <c r="B831" s="1" t="str">
        <f>IFERROR(__xludf.DUMMYFUNCTION("""COMPUTED_VALUE"""),"Hand")</f>
        <v>Hand</v>
      </c>
      <c r="C831" s="1"/>
      <c r="D831" s="1" t="str">
        <f>IFERROR(__xludf.DUMMYFUNCTION("""COMPUTED_VALUE"""),"Bow")</f>
        <v>Bow</v>
      </c>
      <c r="E831" s="1">
        <f>IFERROR(__xludf.DUMMYFUNCTION("""COMPUTED_VALUE"""),3000.0)</f>
        <v>3000</v>
      </c>
      <c r="F831" s="2">
        <f>IFERROR(__xludf.DUMMYFUNCTION("""COMPUTED_VALUE"""),4.485E8)</f>
        <v>448500000</v>
      </c>
      <c r="G831" s="1" t="str">
        <f>IFERROR(__xludf.DUMMYFUNCTION("""COMPUTED_VALUE"""),"DMG")</f>
        <v>DMG</v>
      </c>
      <c r="H831" s="1">
        <f>IFERROR(__xludf.DUMMYFUNCTION("""COMPUTED_VALUE"""),50000.0)</f>
        <v>50000</v>
      </c>
      <c r="I831" s="1"/>
      <c r="J831" s="1"/>
      <c r="K831" s="1"/>
      <c r="L831" s="1"/>
      <c r="M831" s="1"/>
      <c r="N831" s="1"/>
      <c r="O831" s="1"/>
      <c r="P831" s="1"/>
      <c r="Q831" s="1"/>
      <c r="R831" s="1"/>
      <c r="S831" s="1"/>
      <c r="T831" s="1"/>
      <c r="U831" s="1"/>
      <c r="V831" s="1"/>
      <c r="W831" s="1"/>
      <c r="X831" s="1"/>
      <c r="Y831" s="1"/>
      <c r="Z831" s="1"/>
      <c r="AA831" s="1"/>
      <c r="AB831" s="1"/>
      <c r="AC831" s="1"/>
      <c r="AD831" s="1"/>
      <c r="AE831" s="1">
        <f>IFERROR(__xludf.DUMMYFUNCTION("""COMPUTED_VALUE"""),100000.0)</f>
        <v>100000</v>
      </c>
      <c r="AF831" s="1" t="str">
        <f>IFERROR(__xludf.DUMMYFUNCTION("""COMPUTED_VALUE"""),"++Deals X2 additional damage for the first round of battle.")</f>
        <v>++Deals X2 additional damage for the first round of battle.</v>
      </c>
      <c r="AG831" s="1" t="str">
        <f>IFERROR(__xludf.DUMMYFUNCTION("""COMPUTED_VALUE"""),"Dragonscale Island")</f>
        <v>Dragonscale Island</v>
      </c>
      <c r="AH831" s="1" t="b">
        <f>IFERROR(__xludf.DUMMYFUNCTION("""COMPUTED_VALUE"""),FALSE)</f>
        <v>0</v>
      </c>
    </row>
    <row r="832">
      <c r="A832" s="1" t="str">
        <f>IFERROR(__xludf.DUMMYFUNCTION("""COMPUTED_VALUE"""),"Broken Bow")</f>
        <v>Broken Bow</v>
      </c>
      <c r="B832" s="1" t="str">
        <f>IFERROR(__xludf.DUMMYFUNCTION("""COMPUTED_VALUE"""),"Hand")</f>
        <v>Hand</v>
      </c>
      <c r="C832" s="1"/>
      <c r="D832" s="1" t="str">
        <f>IFERROR(__xludf.DUMMYFUNCTION("""COMPUTED_VALUE"""),"Club")</f>
        <v>Club</v>
      </c>
      <c r="E832" s="1">
        <f>IFERROR(__xludf.DUMMYFUNCTION("""COMPUTED_VALUE"""),20.0)</f>
        <v>20</v>
      </c>
      <c r="F832" s="2">
        <f>IFERROR(__xludf.DUMMYFUNCTION("""COMPUTED_VALUE"""),10000.0)</f>
        <v>10000</v>
      </c>
      <c r="G832" s="1" t="str">
        <f>IFERROR(__xludf.DUMMYFUNCTION("""COMPUTED_VALUE"""),"DMG")</f>
        <v>DMG</v>
      </c>
      <c r="H832" s="1">
        <f>IFERROR(__xludf.DUMMYFUNCTION("""COMPUTED_VALUE"""),1000.0)</f>
        <v>1000</v>
      </c>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t="str">
        <f>IFERROR(__xludf.DUMMYFUNCTION("""COMPUTED_VALUE"""),"Land of Spira")</f>
        <v>Land of Spira</v>
      </c>
      <c r="AH832" s="1" t="b">
        <f>IFERROR(__xludf.DUMMYFUNCTION("""COMPUTED_VALUE"""),FALSE)</f>
        <v>0</v>
      </c>
    </row>
    <row r="833">
      <c r="A833" s="1" t="str">
        <f>IFERROR(__xludf.DUMMYFUNCTION("""COMPUTED_VALUE"""),"Lizard Wizard Hat")</f>
        <v>Lizard Wizard Hat</v>
      </c>
      <c r="B833" s="1" t="str">
        <f>IFERROR(__xludf.DUMMYFUNCTION("""COMPUTED_VALUE"""),"Head")</f>
        <v>Head</v>
      </c>
      <c r="C833" s="1"/>
      <c r="D833" s="1" t="str">
        <f>IFERROR(__xludf.DUMMYFUNCTION("""COMPUTED_VALUE"""),"Item")</f>
        <v>Item</v>
      </c>
      <c r="E833" s="1">
        <f>IFERROR(__xludf.DUMMYFUNCTION("""COMPUTED_VALUE"""),200.0)</f>
        <v>200</v>
      </c>
      <c r="F833" s="2">
        <f>IFERROR(__xludf.DUMMYFUNCTION("""COMPUTED_VALUE"""),1900000.0)</f>
        <v>1900000</v>
      </c>
      <c r="G833" s="1" t="str">
        <f>IFERROR(__xludf.DUMMYFUNCTION("""COMPUTED_VALUE"""),"DEF")</f>
        <v>DEF</v>
      </c>
      <c r="H833" s="1">
        <f>IFERROR(__xludf.DUMMYFUNCTION("""COMPUTED_VALUE"""),10000.0)</f>
        <v>10000</v>
      </c>
      <c r="I833" s="1"/>
      <c r="J833" s="1"/>
      <c r="K833" s="1"/>
      <c r="L833" s="1"/>
      <c r="M833" s="1"/>
      <c r="N833" s="1"/>
      <c r="O833" s="1"/>
      <c r="P833" s="1"/>
      <c r="Q833" s="1"/>
      <c r="R833" s="1"/>
      <c r="S833" s="1"/>
      <c r="T833" s="1"/>
      <c r="U833" s="1"/>
      <c r="V833" s="1"/>
      <c r="W833" s="1"/>
      <c r="X833" s="1"/>
      <c r="Y833" s="1"/>
      <c r="Z833" s="1"/>
      <c r="AA833" s="1"/>
      <c r="AB833" s="1"/>
      <c r="AC833" s="1"/>
      <c r="AD833" s="1"/>
      <c r="AE833" s="1"/>
      <c r="AF833" s="1" t="str">
        <f>IFERROR(__xludf.DUMMYFUNCTION("""COMPUTED_VALUE"""),"++7500 hp and sp, X2 poison damage")</f>
        <v>++7500 hp and sp, X2 poison damage</v>
      </c>
      <c r="AG833" s="1" t="str">
        <f>IFERROR(__xludf.DUMMYFUNCTION("""COMPUTED_VALUE"""),"Dragonscale Island")</f>
        <v>Dragonscale Island</v>
      </c>
      <c r="AH833" s="1" t="b">
        <f>IFERROR(__xludf.DUMMYFUNCTION("""COMPUTED_VALUE"""),FALSE)</f>
        <v>0</v>
      </c>
    </row>
    <row r="834">
      <c r="A834" s="1" t="str">
        <f>IFERROR(__xludf.DUMMYFUNCTION("""COMPUTED_VALUE"""),"Lizard Wizard Robes")</f>
        <v>Lizard Wizard Robes</v>
      </c>
      <c r="B834" s="1" t="str">
        <f>IFERROR(__xludf.DUMMYFUNCTION("""COMPUTED_VALUE"""),"Torso")</f>
        <v>Torso</v>
      </c>
      <c r="C834" s="1"/>
      <c r="D834" s="1" t="str">
        <f>IFERROR(__xludf.DUMMYFUNCTION("""COMPUTED_VALUE"""),"Item")</f>
        <v>Item</v>
      </c>
      <c r="E834" s="1">
        <f>IFERROR(__xludf.DUMMYFUNCTION("""COMPUTED_VALUE"""),200.0)</f>
        <v>200</v>
      </c>
      <c r="F834" s="2">
        <f>IFERROR(__xludf.DUMMYFUNCTION("""COMPUTED_VALUE"""),1900000.0)</f>
        <v>1900000</v>
      </c>
      <c r="G834" s="1" t="str">
        <f>IFERROR(__xludf.DUMMYFUNCTION("""COMPUTED_VALUE"""),"DEF")</f>
        <v>DEF</v>
      </c>
      <c r="H834" s="1">
        <f>IFERROR(__xludf.DUMMYFUNCTION("""COMPUTED_VALUE"""),10000.0)</f>
        <v>10000</v>
      </c>
      <c r="I834" s="1"/>
      <c r="J834" s="1"/>
      <c r="K834" s="1"/>
      <c r="L834" s="1"/>
      <c r="M834" s="1"/>
      <c r="N834" s="1"/>
      <c r="O834" s="1"/>
      <c r="P834" s="1"/>
      <c r="Q834" s="1"/>
      <c r="R834" s="1"/>
      <c r="S834" s="1"/>
      <c r="T834" s="1"/>
      <c r="U834" s="1"/>
      <c r="V834" s="1"/>
      <c r="W834" s="1"/>
      <c r="X834" s="1"/>
      <c r="Y834" s="1"/>
      <c r="Z834" s="1"/>
      <c r="AA834" s="1"/>
      <c r="AB834" s="1"/>
      <c r="AC834" s="1"/>
      <c r="AD834" s="1"/>
      <c r="AE834" s="1"/>
      <c r="AF834" s="1" t="str">
        <f>IFERROR(__xludf.DUMMYFUNCTION("""COMPUTED_VALUE"""),"++7500 hp and sp, X2 poison damage")</f>
        <v>++7500 hp and sp, X2 poison damage</v>
      </c>
      <c r="AG834" s="1" t="str">
        <f>IFERROR(__xludf.DUMMYFUNCTION("""COMPUTED_VALUE"""),"Dragonscale Island")</f>
        <v>Dragonscale Island</v>
      </c>
      <c r="AH834" s="1" t="b">
        <f>IFERROR(__xludf.DUMMYFUNCTION("""COMPUTED_VALUE"""),FALSE)</f>
        <v>0</v>
      </c>
    </row>
    <row r="835">
      <c r="A835" s="1" t="str">
        <f>IFERROR(__xludf.DUMMYFUNCTION("""COMPUTED_VALUE"""),"Lizard Wizard Leggings")</f>
        <v>Lizard Wizard Leggings</v>
      </c>
      <c r="B835" s="1" t="str">
        <f>IFERROR(__xludf.DUMMYFUNCTION("""COMPUTED_VALUE"""),"Legs")</f>
        <v>Legs</v>
      </c>
      <c r="C835" s="1"/>
      <c r="D835" s="1" t="str">
        <f>IFERROR(__xludf.DUMMYFUNCTION("""COMPUTED_VALUE"""),"Item")</f>
        <v>Item</v>
      </c>
      <c r="E835" s="1">
        <f>IFERROR(__xludf.DUMMYFUNCTION("""COMPUTED_VALUE"""),200.0)</f>
        <v>200</v>
      </c>
      <c r="F835" s="2">
        <f>IFERROR(__xludf.DUMMYFUNCTION("""COMPUTED_VALUE"""),1900000.0)</f>
        <v>1900000</v>
      </c>
      <c r="G835" s="1" t="str">
        <f>IFERROR(__xludf.DUMMYFUNCTION("""COMPUTED_VALUE"""),"DEF")</f>
        <v>DEF</v>
      </c>
      <c r="H835" s="1">
        <f>IFERROR(__xludf.DUMMYFUNCTION("""COMPUTED_VALUE"""),10000.0)</f>
        <v>10000</v>
      </c>
      <c r="I835" s="1"/>
      <c r="J835" s="1"/>
      <c r="K835" s="1"/>
      <c r="L835" s="1"/>
      <c r="M835" s="1"/>
      <c r="N835" s="1"/>
      <c r="O835" s="1"/>
      <c r="P835" s="1"/>
      <c r="Q835" s="1"/>
      <c r="R835" s="1"/>
      <c r="S835" s="1"/>
      <c r="T835" s="1"/>
      <c r="U835" s="1"/>
      <c r="V835" s="1"/>
      <c r="W835" s="1"/>
      <c r="X835" s="1"/>
      <c r="Y835" s="1"/>
      <c r="Z835" s="1"/>
      <c r="AA835" s="1"/>
      <c r="AB835" s="1"/>
      <c r="AC835" s="1"/>
      <c r="AD835" s="1"/>
      <c r="AE835" s="1"/>
      <c r="AF835" s="1" t="str">
        <f>IFERROR(__xludf.DUMMYFUNCTION("""COMPUTED_VALUE"""),"++7500 hp and sp, X2 poison damage")</f>
        <v>++7500 hp and sp, X2 poison damage</v>
      </c>
      <c r="AG835" s="1" t="str">
        <f>IFERROR(__xludf.DUMMYFUNCTION("""COMPUTED_VALUE"""),"Dragonscale Island")</f>
        <v>Dragonscale Island</v>
      </c>
      <c r="AH835" s="1" t="b">
        <f>IFERROR(__xludf.DUMMYFUNCTION("""COMPUTED_VALUE"""),FALSE)</f>
        <v>0</v>
      </c>
    </row>
    <row r="836">
      <c r="A836" s="1" t="str">
        <f>IFERROR(__xludf.DUMMYFUNCTION("""COMPUTED_VALUE"""),"Lizard Wizard Pointed Shoes")</f>
        <v>Lizard Wizard Pointed Shoes</v>
      </c>
      <c r="B836" s="1" t="str">
        <f>IFERROR(__xludf.DUMMYFUNCTION("""COMPUTED_VALUE"""),"Feet")</f>
        <v>Feet</v>
      </c>
      <c r="C836" s="1"/>
      <c r="D836" s="1" t="str">
        <f>IFERROR(__xludf.DUMMYFUNCTION("""COMPUTED_VALUE"""),"Item")</f>
        <v>Item</v>
      </c>
      <c r="E836" s="1">
        <f>IFERROR(__xludf.DUMMYFUNCTION("""COMPUTED_VALUE"""),200.0)</f>
        <v>200</v>
      </c>
      <c r="F836" s="2">
        <f>IFERROR(__xludf.DUMMYFUNCTION("""COMPUTED_VALUE"""),1900000.0)</f>
        <v>1900000</v>
      </c>
      <c r="G836" s="1" t="str">
        <f>IFERROR(__xludf.DUMMYFUNCTION("""COMPUTED_VALUE"""),"DEF")</f>
        <v>DEF</v>
      </c>
      <c r="H836" s="1">
        <f>IFERROR(__xludf.DUMMYFUNCTION("""COMPUTED_VALUE"""),10000.0)</f>
        <v>10000</v>
      </c>
      <c r="I836" s="1"/>
      <c r="J836" s="1"/>
      <c r="K836" s="1"/>
      <c r="L836" s="1"/>
      <c r="M836" s="1"/>
      <c r="N836" s="1"/>
      <c r="O836" s="1"/>
      <c r="P836" s="1"/>
      <c r="Q836" s="1"/>
      <c r="R836" s="1"/>
      <c r="S836" s="1"/>
      <c r="T836" s="1"/>
      <c r="U836" s="1"/>
      <c r="V836" s="1"/>
      <c r="W836" s="1"/>
      <c r="X836" s="1"/>
      <c r="Y836" s="1"/>
      <c r="Z836" s="1"/>
      <c r="AA836" s="1"/>
      <c r="AB836" s="1"/>
      <c r="AC836" s="1"/>
      <c r="AD836" s="1"/>
      <c r="AE836" s="1"/>
      <c r="AF836" s="1" t="str">
        <f>IFERROR(__xludf.DUMMYFUNCTION("""COMPUTED_VALUE"""),"++7500 hp and sp, X2 poison damage")</f>
        <v>++7500 hp and sp, X2 poison damage</v>
      </c>
      <c r="AG836" s="1" t="str">
        <f>IFERROR(__xludf.DUMMYFUNCTION("""COMPUTED_VALUE"""),"Dragonscale Island")</f>
        <v>Dragonscale Island</v>
      </c>
      <c r="AH836" s="1" t="b">
        <f>IFERROR(__xludf.DUMMYFUNCTION("""COMPUTED_VALUE"""),FALSE)</f>
        <v>0</v>
      </c>
    </row>
    <row r="837">
      <c r="A837" s="1" t="str">
        <f>IFERROR(__xludf.DUMMYFUNCTION("""COMPUTED_VALUE"""),"Lizard Wizard Staff of Corroding Blizzard")</f>
        <v>Lizard Wizard Staff of Corroding Blizzard</v>
      </c>
      <c r="B837" s="1" t="str">
        <f>IFERROR(__xludf.DUMMYFUNCTION("""COMPUTED_VALUE"""),"Hand")</f>
        <v>Hand</v>
      </c>
      <c r="C837" s="1"/>
      <c r="D837" s="1" t="str">
        <f>IFERROR(__xludf.DUMMYFUNCTION("""COMPUTED_VALUE"""),"Staff")</f>
        <v>Staff</v>
      </c>
      <c r="E837" s="1">
        <f>IFERROR(__xludf.DUMMYFUNCTION("""COMPUTED_VALUE"""),3000.0)</f>
        <v>3000</v>
      </c>
      <c r="F837" s="2">
        <f>IFERROR(__xludf.DUMMYFUNCTION("""COMPUTED_VALUE"""),4.485E8)</f>
        <v>448500000</v>
      </c>
      <c r="G837" s="1" t="str">
        <f>IFERROR(__xludf.DUMMYFUNCTION("""COMPUTED_VALUE"""),"DMG")</f>
        <v>DMG</v>
      </c>
      <c r="H837" s="1"/>
      <c r="I837" s="1"/>
      <c r="J837" s="1"/>
      <c r="K837" s="1"/>
      <c r="L837" s="1"/>
      <c r="M837" s="1"/>
      <c r="N837" s="1">
        <f>IFERROR(__xludf.DUMMYFUNCTION("""COMPUTED_VALUE"""),50000.0)</f>
        <v>50000</v>
      </c>
      <c r="O837" s="1"/>
      <c r="P837" s="1"/>
      <c r="Q837" s="1"/>
      <c r="R837" s="1"/>
      <c r="S837" s="1">
        <f>IFERROR(__xludf.DUMMYFUNCTION("""COMPUTED_VALUE"""),100000.0)</f>
        <v>100000</v>
      </c>
      <c r="T837" s="1"/>
      <c r="U837" s="1"/>
      <c r="V837" s="1"/>
      <c r="W837" s="1"/>
      <c r="X837" s="1"/>
      <c r="Y837" s="1"/>
      <c r="Z837" s="1"/>
      <c r="AA837" s="1"/>
      <c r="AB837" s="1"/>
      <c r="AC837" s="1"/>
      <c r="AD837" s="1"/>
      <c r="AE837" s="1"/>
      <c r="AF837" s="1" t="str">
        <f>IFERROR(__xludf.DUMMYFUNCTION("""COMPUTED_VALUE"""),"++Lizard Wizard's Corrosion Explosion!: Inflicts 5000XWisdom Poison on all enemies sp cost: 1000XWisdom sp. ++Lizard Wizard's Shiny: X5 to all Poison and Nature Damage ")</f>
        <v>++Lizard Wizard's Corrosion Explosion!: Inflicts 5000XWisdom Poison on all enemies sp cost: 1000XWisdom sp. ++Lizard Wizard's Shiny: X5 to all Poison and Nature Damage </v>
      </c>
      <c r="AG837" s="1" t="str">
        <f>IFERROR(__xludf.DUMMYFUNCTION("""COMPUTED_VALUE"""),"Dragonscale Island")</f>
        <v>Dragonscale Island</v>
      </c>
      <c r="AH837" s="1" t="b">
        <f>IFERROR(__xludf.DUMMYFUNCTION("""COMPUTED_VALUE"""),FALSE)</f>
        <v>0</v>
      </c>
    </row>
    <row r="838">
      <c r="A838" s="1" t="str">
        <f>IFERROR(__xludf.DUMMYFUNCTION("""COMPUTED_VALUE"""),"Lizard Wizard's Prized Ring")</f>
        <v>Lizard Wizard's Prized Ring</v>
      </c>
      <c r="B838" s="1" t="str">
        <f>IFERROR(__xludf.DUMMYFUNCTION("""COMPUTED_VALUE"""),"Finger")</f>
        <v>Finger</v>
      </c>
      <c r="C838" s="1" t="str">
        <f>IFERROR(__xludf.DUMMYFUNCTION("""COMPUTED_VALUE"""),"""The Most Prized shiny of all lizard wizard kind!"" ~Lizard Wizzard Gizzard")</f>
        <v>"The Most Prized shiny of all lizard wizard kind!" ~Lizard Wizzard Gizzard</v>
      </c>
      <c r="D838" s="1" t="str">
        <f>IFERROR(__xludf.DUMMYFUNCTION("""COMPUTED_VALUE"""),"Item")</f>
        <v>Item</v>
      </c>
      <c r="E838" s="1">
        <f>IFERROR(__xludf.DUMMYFUNCTION("""COMPUTED_VALUE"""),2000.0)</f>
        <v>2000</v>
      </c>
      <c r="F838" s="2">
        <f>IFERROR(__xludf.DUMMYFUNCTION("""COMPUTED_VALUE"""),1.99E8)</f>
        <v>199000000</v>
      </c>
      <c r="G838" s="1" t="str">
        <f>IFERROR(__xludf.DUMMYFUNCTION("""COMPUTED_VALUE"""),"DEF")</f>
        <v>DEF</v>
      </c>
      <c r="H838" s="1">
        <f>IFERROR(__xludf.DUMMYFUNCTION("""COMPUTED_VALUE"""),100000.0)</f>
        <v>100000</v>
      </c>
      <c r="I838" s="1"/>
      <c r="J838" s="1"/>
      <c r="K838" s="1"/>
      <c r="L838" s="1"/>
      <c r="M838" s="1"/>
      <c r="N838" s="1"/>
      <c r="O838" s="1"/>
      <c r="P838" s="1"/>
      <c r="Q838" s="1"/>
      <c r="R838" s="1"/>
      <c r="S838" s="1"/>
      <c r="T838" s="1"/>
      <c r="U838" s="1"/>
      <c r="V838" s="1"/>
      <c r="W838" s="1"/>
      <c r="X838" s="1"/>
      <c r="Y838" s="1"/>
      <c r="Z838" s="1"/>
      <c r="AA838" s="1"/>
      <c r="AB838" s="1"/>
      <c r="AC838" s="1"/>
      <c r="AD838" s="1"/>
      <c r="AE838" s="1"/>
      <c r="AF838" s="1" t="str">
        <f>IFERROR(__xludf.DUMMYFUNCTION("""COMPUTED_VALUE"""),"++X5 Poison and Nature damage, +5 Wisdom for every enemy poisoned.")</f>
        <v>++X5 Poison and Nature damage, +5 Wisdom for every enemy poisoned.</v>
      </c>
      <c r="AG838" s="1" t="str">
        <f>IFERROR(__xludf.DUMMYFUNCTION("""COMPUTED_VALUE"""),"Dragonscale Island")</f>
        <v>Dragonscale Island</v>
      </c>
      <c r="AH838" s="1" t="b">
        <f>IFERROR(__xludf.DUMMYFUNCTION("""COMPUTED_VALUE"""),FALSE)</f>
        <v>0</v>
      </c>
    </row>
    <row r="839">
      <c r="A839" s="1" t="str">
        <f>IFERROR(__xludf.DUMMYFUNCTION("""COMPUTED_VALUE"""),"Lizard Thief's Bandana")</f>
        <v>Lizard Thief's Bandana</v>
      </c>
      <c r="B839" s="1" t="str">
        <f>IFERROR(__xludf.DUMMYFUNCTION("""COMPUTED_VALUE"""),"Head")</f>
        <v>Head</v>
      </c>
      <c r="C839" s="1"/>
      <c r="D839" s="1" t="str">
        <f>IFERROR(__xludf.DUMMYFUNCTION("""COMPUTED_VALUE"""),"Item")</f>
        <v>Item</v>
      </c>
      <c r="E839" s="1">
        <f>IFERROR(__xludf.DUMMYFUNCTION("""COMPUTED_VALUE"""),2000.0)</f>
        <v>2000</v>
      </c>
      <c r="F839" s="2">
        <f>IFERROR(__xludf.DUMMYFUNCTION("""COMPUTED_VALUE"""),1.99E8)</f>
        <v>199000000</v>
      </c>
      <c r="G839" s="1" t="str">
        <f>IFERROR(__xludf.DUMMYFUNCTION("""COMPUTED_VALUE"""),"DEF")</f>
        <v>DEF</v>
      </c>
      <c r="H839" s="1">
        <f>IFERROR(__xludf.DUMMYFUNCTION("""COMPUTED_VALUE"""),100000.0)</f>
        <v>100000</v>
      </c>
      <c r="I839" s="1"/>
      <c r="J839" s="1"/>
      <c r="K839" s="1"/>
      <c r="L839" s="1"/>
      <c r="M839" s="1"/>
      <c r="N839" s="1"/>
      <c r="O839" s="1"/>
      <c r="P839" s="1"/>
      <c r="Q839" s="1"/>
      <c r="R839" s="1"/>
      <c r="S839" s="1"/>
      <c r="T839" s="1"/>
      <c r="U839" s="1"/>
      <c r="V839" s="1"/>
      <c r="W839" s="1"/>
      <c r="X839" s="1"/>
      <c r="Y839" s="1"/>
      <c r="Z839" s="1"/>
      <c r="AA839" s="1"/>
      <c r="AB839" s="1"/>
      <c r="AC839" s="1"/>
      <c r="AD839" s="1"/>
      <c r="AE839" s="1"/>
      <c r="AF839" s="1" t="str">
        <f>IFERROR(__xludf.DUMMYFUNCTION("""COMPUTED_VALUE"""),"++15000 ATK and ACC  ++X4 Knife Damage")</f>
        <v>++15000 ATK and ACC  ++X4 Knife Damage</v>
      </c>
      <c r="AG839" s="1" t="str">
        <f>IFERROR(__xludf.DUMMYFUNCTION("""COMPUTED_VALUE"""),"Dragonscale Island")</f>
        <v>Dragonscale Island</v>
      </c>
      <c r="AH839" s="1" t="b">
        <f>IFERROR(__xludf.DUMMYFUNCTION("""COMPUTED_VALUE"""),FALSE)</f>
        <v>0</v>
      </c>
    </row>
    <row r="840">
      <c r="A840" s="1" t="str">
        <f>IFERROR(__xludf.DUMMYFUNCTION("""COMPUTED_VALUE"""),"Lizard Thief's Leathers")</f>
        <v>Lizard Thief's Leathers</v>
      </c>
      <c r="B840" s="1" t="str">
        <f>IFERROR(__xludf.DUMMYFUNCTION("""COMPUTED_VALUE"""),"Torso")</f>
        <v>Torso</v>
      </c>
      <c r="C840" s="1"/>
      <c r="D840" s="1" t="str">
        <f>IFERROR(__xludf.DUMMYFUNCTION("""COMPUTED_VALUE"""),"Item")</f>
        <v>Item</v>
      </c>
      <c r="E840" s="1">
        <f>IFERROR(__xludf.DUMMYFUNCTION("""COMPUTED_VALUE"""),2000.0)</f>
        <v>2000</v>
      </c>
      <c r="F840" s="2">
        <f>IFERROR(__xludf.DUMMYFUNCTION("""COMPUTED_VALUE"""),1.99E8)</f>
        <v>199000000</v>
      </c>
      <c r="G840" s="1" t="str">
        <f>IFERROR(__xludf.DUMMYFUNCTION("""COMPUTED_VALUE"""),"DEF")</f>
        <v>DEF</v>
      </c>
      <c r="H840" s="1">
        <f>IFERROR(__xludf.DUMMYFUNCTION("""COMPUTED_VALUE"""),100000.0)</f>
        <v>100000</v>
      </c>
      <c r="I840" s="1"/>
      <c r="J840" s="1"/>
      <c r="K840" s="1"/>
      <c r="L840" s="1"/>
      <c r="M840" s="1"/>
      <c r="N840" s="1"/>
      <c r="O840" s="1"/>
      <c r="P840" s="1"/>
      <c r="Q840" s="1"/>
      <c r="R840" s="1"/>
      <c r="S840" s="1"/>
      <c r="T840" s="1"/>
      <c r="U840" s="1"/>
      <c r="V840" s="1"/>
      <c r="W840" s="1"/>
      <c r="X840" s="1"/>
      <c r="Y840" s="1"/>
      <c r="Z840" s="1"/>
      <c r="AA840" s="1"/>
      <c r="AB840" s="1"/>
      <c r="AC840" s="1"/>
      <c r="AD840" s="1"/>
      <c r="AE840" s="1"/>
      <c r="AF840" s="1" t="str">
        <f>IFERROR(__xludf.DUMMYFUNCTION("""COMPUTED_VALUE"""),"++15000 ATK and ACC ++X4 Knife Damage")</f>
        <v>++15000 ATK and ACC ++X4 Knife Damage</v>
      </c>
      <c r="AG840" s="1" t="str">
        <f>IFERROR(__xludf.DUMMYFUNCTION("""COMPUTED_VALUE"""),"Dragonscale Island")</f>
        <v>Dragonscale Island</v>
      </c>
      <c r="AH840" s="1" t="b">
        <f>IFERROR(__xludf.DUMMYFUNCTION("""COMPUTED_VALUE"""),FALSE)</f>
        <v>0</v>
      </c>
    </row>
    <row r="841">
      <c r="A841" s="1" t="str">
        <f>IFERROR(__xludf.DUMMYFUNCTION("""COMPUTED_VALUE"""),"Lizard Thief's Pants")</f>
        <v>Lizard Thief's Pants</v>
      </c>
      <c r="B841" s="1" t="str">
        <f>IFERROR(__xludf.DUMMYFUNCTION("""COMPUTED_VALUE"""),"Legs")</f>
        <v>Legs</v>
      </c>
      <c r="C841" s="1"/>
      <c r="D841" s="1" t="str">
        <f>IFERROR(__xludf.DUMMYFUNCTION("""COMPUTED_VALUE"""),"Item")</f>
        <v>Item</v>
      </c>
      <c r="E841" s="1">
        <f>IFERROR(__xludf.DUMMYFUNCTION("""COMPUTED_VALUE"""),2000.0)</f>
        <v>2000</v>
      </c>
      <c r="F841" s="2">
        <f>IFERROR(__xludf.DUMMYFUNCTION("""COMPUTED_VALUE"""),1.99E8)</f>
        <v>199000000</v>
      </c>
      <c r="G841" s="1" t="str">
        <f>IFERROR(__xludf.DUMMYFUNCTION("""COMPUTED_VALUE"""),"DEF")</f>
        <v>DEF</v>
      </c>
      <c r="H841" s="1">
        <f>IFERROR(__xludf.DUMMYFUNCTION("""COMPUTED_VALUE"""),100000.0)</f>
        <v>100000</v>
      </c>
      <c r="I841" s="1"/>
      <c r="J841" s="1"/>
      <c r="K841" s="1"/>
      <c r="L841" s="1"/>
      <c r="M841" s="1"/>
      <c r="N841" s="1"/>
      <c r="O841" s="1"/>
      <c r="P841" s="1"/>
      <c r="Q841" s="1"/>
      <c r="R841" s="1"/>
      <c r="S841" s="1"/>
      <c r="T841" s="1"/>
      <c r="U841" s="1"/>
      <c r="V841" s="1"/>
      <c r="W841" s="1"/>
      <c r="X841" s="1"/>
      <c r="Y841" s="1"/>
      <c r="Z841" s="1"/>
      <c r="AA841" s="1"/>
      <c r="AB841" s="1"/>
      <c r="AC841" s="1"/>
      <c r="AD841" s="1"/>
      <c r="AE841" s="1"/>
      <c r="AF841" s="1" t="str">
        <f>IFERROR(__xludf.DUMMYFUNCTION("""COMPUTED_VALUE"""),"++15000 ATK and ACC ++X4 Knife Damage")</f>
        <v>++15000 ATK and ACC ++X4 Knife Damage</v>
      </c>
      <c r="AG841" s="1" t="str">
        <f>IFERROR(__xludf.DUMMYFUNCTION("""COMPUTED_VALUE"""),"Dragonscale Island")</f>
        <v>Dragonscale Island</v>
      </c>
      <c r="AH841" s="1" t="b">
        <f>IFERROR(__xludf.DUMMYFUNCTION("""COMPUTED_VALUE"""),FALSE)</f>
        <v>0</v>
      </c>
    </row>
    <row r="842">
      <c r="A842" s="1" t="str">
        <f>IFERROR(__xludf.DUMMYFUNCTION("""COMPUTED_VALUE"""),"Lizard Thief's Boots")</f>
        <v>Lizard Thief's Boots</v>
      </c>
      <c r="B842" s="1" t="str">
        <f>IFERROR(__xludf.DUMMYFUNCTION("""COMPUTED_VALUE"""),"Feet")</f>
        <v>Feet</v>
      </c>
      <c r="C842" s="1"/>
      <c r="D842" s="1" t="str">
        <f>IFERROR(__xludf.DUMMYFUNCTION("""COMPUTED_VALUE"""),"Item")</f>
        <v>Item</v>
      </c>
      <c r="E842" s="1">
        <f>IFERROR(__xludf.DUMMYFUNCTION("""COMPUTED_VALUE"""),2000.0)</f>
        <v>2000</v>
      </c>
      <c r="F842" s="2">
        <f>IFERROR(__xludf.DUMMYFUNCTION("""COMPUTED_VALUE"""),1.99E8)</f>
        <v>199000000</v>
      </c>
      <c r="G842" s="1" t="str">
        <f>IFERROR(__xludf.DUMMYFUNCTION("""COMPUTED_VALUE"""),"DEF")</f>
        <v>DEF</v>
      </c>
      <c r="H842" s="1">
        <f>IFERROR(__xludf.DUMMYFUNCTION("""COMPUTED_VALUE"""),100000.0)</f>
        <v>100000</v>
      </c>
      <c r="I842" s="1"/>
      <c r="J842" s="1"/>
      <c r="K842" s="1"/>
      <c r="L842" s="1"/>
      <c r="M842" s="1"/>
      <c r="N842" s="1"/>
      <c r="O842" s="1"/>
      <c r="P842" s="1"/>
      <c r="Q842" s="1"/>
      <c r="R842" s="1"/>
      <c r="S842" s="1"/>
      <c r="T842" s="1"/>
      <c r="U842" s="1"/>
      <c r="V842" s="1"/>
      <c r="W842" s="1"/>
      <c r="X842" s="1"/>
      <c r="Y842" s="1"/>
      <c r="Z842" s="1"/>
      <c r="AA842" s="1"/>
      <c r="AB842" s="1"/>
      <c r="AC842" s="1"/>
      <c r="AD842" s="1"/>
      <c r="AE842" s="1"/>
      <c r="AF842" s="1" t="str">
        <f>IFERROR(__xludf.DUMMYFUNCTION("""COMPUTED_VALUE"""),"++15000 ATK and ACC ++X4 Knife Damage")</f>
        <v>++15000 ATK and ACC ++X4 Knife Damage</v>
      </c>
      <c r="AG842" s="1" t="str">
        <f>IFERROR(__xludf.DUMMYFUNCTION("""COMPUTED_VALUE"""),"Dragonscale Island")</f>
        <v>Dragonscale Island</v>
      </c>
      <c r="AH842" s="1" t="b">
        <f>IFERROR(__xludf.DUMMYFUNCTION("""COMPUTED_VALUE"""),FALSE)</f>
        <v>0</v>
      </c>
    </row>
    <row r="843">
      <c r="A843" s="1" t="str">
        <f>IFERROR(__xludf.DUMMYFUNCTION("""COMPUTED_VALUE"""),"Lizard Thief's Shiny Swiper")</f>
        <v>Lizard Thief's Shiny Swiper</v>
      </c>
      <c r="B843" s="1" t="str">
        <f>IFERROR(__xludf.DUMMYFUNCTION("""COMPUTED_VALUE"""),"Hand")</f>
        <v>Hand</v>
      </c>
      <c r="C843" s="1"/>
      <c r="D843" s="1" t="str">
        <f>IFERROR(__xludf.DUMMYFUNCTION("""COMPUTED_VALUE"""),"Knife")</f>
        <v>Knife</v>
      </c>
      <c r="E843" s="1">
        <f>IFERROR(__xludf.DUMMYFUNCTION("""COMPUTED_VALUE"""),3000.0)</f>
        <v>3000</v>
      </c>
      <c r="F843" s="2">
        <f>IFERROR(__xludf.DUMMYFUNCTION("""COMPUTED_VALUE"""),4.485E8)</f>
        <v>448500000</v>
      </c>
      <c r="G843" s="1" t="str">
        <f>IFERROR(__xludf.DUMMYFUNCTION("""COMPUTED_VALUE"""),"DMG")</f>
        <v>DMG</v>
      </c>
      <c r="H843" s="1">
        <f>IFERROR(__xludf.DUMMYFUNCTION("""COMPUTED_VALUE"""),150000.0)</f>
        <v>150000</v>
      </c>
      <c r="I843" s="1"/>
      <c r="J843" s="1"/>
      <c r="K843" s="1"/>
      <c r="L843" s="1"/>
      <c r="M843" s="1"/>
      <c r="N843" s="1"/>
      <c r="O843" s="1"/>
      <c r="P843" s="1"/>
      <c r="Q843" s="1"/>
      <c r="R843" s="1"/>
      <c r="S843" s="1"/>
      <c r="T843" s="1"/>
      <c r="U843" s="1"/>
      <c r="V843" s="1"/>
      <c r="W843" s="1"/>
      <c r="X843" s="1"/>
      <c r="Y843" s="1"/>
      <c r="Z843" s="1"/>
      <c r="AA843" s="1"/>
      <c r="AB843" s="1"/>
      <c r="AC843" s="1"/>
      <c r="AD843" s="1"/>
      <c r="AE843" s="1"/>
      <c r="AF843" s="1" t="str">
        <f>IFERROR(__xludf.DUMMYFUNCTION("""COMPUTED_VALUE"""),"++Shiny Snatchery - +5 to all rolls when stealing an item. ++If the wearer successfully steals an item from an enemy +5 mobility for the next 3 rounds. +-effects do not stack")</f>
        <v>++Shiny Snatchery - +5 to all rolls when stealing an item. ++If the wearer successfully steals an item from an enemy +5 mobility for the next 3 rounds. +-effects do not stack</v>
      </c>
      <c r="AG843" s="1" t="str">
        <f>IFERROR(__xludf.DUMMYFUNCTION("""COMPUTED_VALUE"""),"Dragonscale Island")</f>
        <v>Dragonscale Island</v>
      </c>
      <c r="AH843" s="1" t="b">
        <f>IFERROR(__xludf.DUMMYFUNCTION("""COMPUTED_VALUE"""),FALSE)</f>
        <v>0</v>
      </c>
    </row>
    <row r="844">
      <c r="A844" s="1" t="str">
        <f>IFERROR(__xludf.DUMMYFUNCTION("""COMPUTED_VALUE"""),"Wyrmstone Club")</f>
        <v>Wyrmstone Club</v>
      </c>
      <c r="B844" s="1" t="str">
        <f>IFERROR(__xludf.DUMMYFUNCTION("""COMPUTED_VALUE"""),"Hand")</f>
        <v>Hand</v>
      </c>
      <c r="C844" s="1"/>
      <c r="D844" s="1" t="str">
        <f>IFERROR(__xludf.DUMMYFUNCTION("""COMPUTED_VALUE"""),"Club")</f>
        <v>Club</v>
      </c>
      <c r="E844" s="1">
        <f>IFERROR(__xludf.DUMMYFUNCTION("""COMPUTED_VALUE"""),2000.0)</f>
        <v>2000</v>
      </c>
      <c r="F844" s="2">
        <f>IFERROR(__xludf.DUMMYFUNCTION("""COMPUTED_VALUE"""),1.99E8)</f>
        <v>199000000</v>
      </c>
      <c r="G844" s="1" t="str">
        <f>IFERROR(__xludf.DUMMYFUNCTION("""COMPUTED_VALUE"""),"DMG")</f>
        <v>DMG</v>
      </c>
      <c r="H844" s="1">
        <f>IFERROR(__xludf.DUMMYFUNCTION("""COMPUTED_VALUE"""),100000.0)</f>
        <v>100000</v>
      </c>
      <c r="I844" s="1"/>
      <c r="J844" s="1"/>
      <c r="K844" s="1"/>
      <c r="L844" s="1"/>
      <c r="M844" s="1"/>
      <c r="N844" s="1"/>
      <c r="O844" s="1"/>
      <c r="P844" s="1"/>
      <c r="Q844" s="1"/>
      <c r="R844" s="1"/>
      <c r="S844" s="1"/>
      <c r="T844" s="1"/>
      <c r="U844" s="1"/>
      <c r="V844" s="1"/>
      <c r="W844" s="1"/>
      <c r="X844" s="1"/>
      <c r="Y844" s="1"/>
      <c r="Z844" s="1"/>
      <c r="AA844" s="1"/>
      <c r="AB844" s="1"/>
      <c r="AC844" s="1"/>
      <c r="AD844" s="1"/>
      <c r="AE844" s="1"/>
      <c r="AF844" s="1" t="str">
        <f>IFERROR(__xludf.DUMMYFUNCTION("""COMPUTED_VALUE"""),"+- Half damage against dragons")</f>
        <v>+- Half damage against dragons</v>
      </c>
      <c r="AG844" s="1" t="str">
        <f>IFERROR(__xludf.DUMMYFUNCTION("""COMPUTED_VALUE"""),"Dragonscale Island")</f>
        <v>Dragonscale Island</v>
      </c>
      <c r="AH844" s="1" t="b">
        <f>IFERROR(__xludf.DUMMYFUNCTION("""COMPUTED_VALUE"""),FALSE)</f>
        <v>0</v>
      </c>
    </row>
    <row r="845">
      <c r="A845" s="1" t="str">
        <f>IFERROR(__xludf.DUMMYFUNCTION("""COMPUTED_VALUE"""),"Wyrmstone Mail")</f>
        <v>Wyrmstone Mail</v>
      </c>
      <c r="B845" s="1" t="str">
        <f>IFERROR(__xludf.DUMMYFUNCTION("""COMPUTED_VALUE"""),"Torso")</f>
        <v>Torso</v>
      </c>
      <c r="C845" s="1"/>
      <c r="D845" s="1" t="str">
        <f>IFERROR(__xludf.DUMMYFUNCTION("""COMPUTED_VALUE"""),"Item")</f>
        <v>Item</v>
      </c>
      <c r="E845" s="1">
        <f>IFERROR(__xludf.DUMMYFUNCTION("""COMPUTED_VALUE"""),2800.0)</f>
        <v>2800</v>
      </c>
      <c r="F845" s="2">
        <f>IFERROR(__xludf.DUMMYFUNCTION("""COMPUTED_VALUE"""),3.906E8)</f>
        <v>390600000</v>
      </c>
      <c r="G845" s="1" t="str">
        <f>IFERROR(__xludf.DUMMYFUNCTION("""COMPUTED_VALUE"""),"DEF")</f>
        <v>DEF</v>
      </c>
      <c r="H845" s="1">
        <f>IFERROR(__xludf.DUMMYFUNCTION("""COMPUTED_VALUE"""),140000.0)</f>
        <v>140000</v>
      </c>
      <c r="I845" s="1"/>
      <c r="J845" s="1"/>
      <c r="K845" s="1"/>
      <c r="L845" s="1"/>
      <c r="M845" s="1"/>
      <c r="N845" s="1"/>
      <c r="O845" s="1"/>
      <c r="P845" s="1"/>
      <c r="Q845" s="1"/>
      <c r="R845" s="1"/>
      <c r="S845" s="1"/>
      <c r="T845" s="1"/>
      <c r="U845" s="1"/>
      <c r="V845" s="1"/>
      <c r="W845" s="1"/>
      <c r="X845" s="1"/>
      <c r="Y845" s="1"/>
      <c r="Z845" s="1"/>
      <c r="AA845" s="1"/>
      <c r="AB845" s="1"/>
      <c r="AC845" s="1"/>
      <c r="AD845" s="1"/>
      <c r="AE845" s="1"/>
      <c r="AF845" s="1" t="str">
        <f>IFERROR(__xludf.DUMMYFUNCTION("""COMPUTED_VALUE"""),"++Half damage received from dragons +-Cannot be forged or duplicated")</f>
        <v>++Half damage received from dragons +-Cannot be forged or duplicated</v>
      </c>
      <c r="AG845" s="1" t="str">
        <f>IFERROR(__xludf.DUMMYFUNCTION("""COMPUTED_VALUE"""),"Dragonscale Island")</f>
        <v>Dragonscale Island</v>
      </c>
      <c r="AH845" s="1" t="b">
        <f>IFERROR(__xludf.DUMMYFUNCTION("""COMPUTED_VALUE"""),FALSE)</f>
        <v>0</v>
      </c>
    </row>
    <row r="846">
      <c r="A846" s="1" t="str">
        <f>IFERROR(__xludf.DUMMYFUNCTION("""COMPUTED_VALUE"""),"Wyrmstone Helm")</f>
        <v>Wyrmstone Helm</v>
      </c>
      <c r="B846" s="1" t="str">
        <f>IFERROR(__xludf.DUMMYFUNCTION("""COMPUTED_VALUE"""),"Head")</f>
        <v>Head</v>
      </c>
      <c r="C846" s="1"/>
      <c r="D846" s="1" t="str">
        <f>IFERROR(__xludf.DUMMYFUNCTION("""COMPUTED_VALUE"""),"Item")</f>
        <v>Item</v>
      </c>
      <c r="E846" s="1">
        <f>IFERROR(__xludf.DUMMYFUNCTION("""COMPUTED_VALUE"""),2400.0)</f>
        <v>2400</v>
      </c>
      <c r="F846" s="2">
        <f>IFERROR(__xludf.DUMMYFUNCTION("""COMPUTED_VALUE"""),2.868E8)</f>
        <v>286800000</v>
      </c>
      <c r="G846" s="1" t="str">
        <f>IFERROR(__xludf.DUMMYFUNCTION("""COMPUTED_VALUE"""),"DEF")</f>
        <v>DEF</v>
      </c>
      <c r="H846" s="1">
        <f>IFERROR(__xludf.DUMMYFUNCTION("""COMPUTED_VALUE"""),120000.0)</f>
        <v>120000</v>
      </c>
      <c r="I846" s="1"/>
      <c r="J846" s="1"/>
      <c r="K846" s="1"/>
      <c r="L846" s="1"/>
      <c r="M846" s="1"/>
      <c r="N846" s="1"/>
      <c r="O846" s="1"/>
      <c r="P846" s="1"/>
      <c r="Q846" s="1"/>
      <c r="R846" s="1"/>
      <c r="S846" s="1"/>
      <c r="T846" s="1"/>
      <c r="U846" s="1"/>
      <c r="V846" s="1"/>
      <c r="W846" s="1"/>
      <c r="X846" s="1"/>
      <c r="Y846" s="1"/>
      <c r="Z846" s="1"/>
      <c r="AA846" s="1"/>
      <c r="AB846" s="1"/>
      <c r="AC846" s="1"/>
      <c r="AD846" s="1"/>
      <c r="AE846" s="1"/>
      <c r="AF846" s="1" t="str">
        <f>IFERROR(__xludf.DUMMYFUNCTION("""COMPUTED_VALUE"""),"+-Cannot be forged or duplicated")</f>
        <v>+-Cannot be forged or duplicated</v>
      </c>
      <c r="AG846" s="1" t="str">
        <f>IFERROR(__xludf.DUMMYFUNCTION("""COMPUTED_VALUE"""),"Dragonscale Island")</f>
        <v>Dragonscale Island</v>
      </c>
      <c r="AH846" s="1" t="b">
        <f>IFERROR(__xludf.DUMMYFUNCTION("""COMPUTED_VALUE"""),FALSE)</f>
        <v>0</v>
      </c>
    </row>
    <row r="847">
      <c r="A847" s="1" t="str">
        <f>IFERROR(__xludf.DUMMYFUNCTION("""COMPUTED_VALUE"""),"Wyrmstone Buckler")</f>
        <v>Wyrmstone Buckler</v>
      </c>
      <c r="B847" s="1" t="str">
        <f>IFERROR(__xludf.DUMMYFUNCTION("""COMPUTED_VALUE"""),"Hand")</f>
        <v>Hand</v>
      </c>
      <c r="C847" s="1"/>
      <c r="D847" s="1" t="str">
        <f>IFERROR(__xludf.DUMMYFUNCTION("""COMPUTED_VALUE"""),"Buckler")</f>
        <v>Buckler</v>
      </c>
      <c r="E847" s="1">
        <f>IFERROR(__xludf.DUMMYFUNCTION("""COMPUTED_VALUE"""),3000.0)</f>
        <v>3000</v>
      </c>
      <c r="F847" s="2">
        <f>IFERROR(__xludf.DUMMYFUNCTION("""COMPUTED_VALUE"""),4.485E8)</f>
        <v>448500000</v>
      </c>
      <c r="G847" s="1" t="str">
        <f>IFERROR(__xludf.DUMMYFUNCTION("""COMPUTED_VALUE"""),"DEF")</f>
        <v>DEF</v>
      </c>
      <c r="H847" s="1">
        <f>IFERROR(__xludf.DUMMYFUNCTION("""COMPUTED_VALUE"""),150000.0)</f>
        <v>150000</v>
      </c>
      <c r="I847" s="1"/>
      <c r="J847" s="1"/>
      <c r="K847" s="1"/>
      <c r="L847" s="1"/>
      <c r="M847" s="1"/>
      <c r="N847" s="1"/>
      <c r="O847" s="1"/>
      <c r="P847" s="1"/>
      <c r="Q847" s="1"/>
      <c r="R847" s="1"/>
      <c r="S847" s="1"/>
      <c r="T847" s="1"/>
      <c r="U847" s="1"/>
      <c r="V847" s="1"/>
      <c r="W847" s="1"/>
      <c r="X847" s="1"/>
      <c r="Y847" s="1"/>
      <c r="Z847" s="1"/>
      <c r="AA847" s="1"/>
      <c r="AB847" s="1"/>
      <c r="AC847" s="1"/>
      <c r="AD847" s="1"/>
      <c r="AE847" s="1"/>
      <c r="AF847" s="1" t="str">
        <f>IFERROR(__xludf.DUMMYFUNCTION("""COMPUTED_VALUE"""),"++25% chance to parry dragons' attacks +-Cannot be forged or duplicated")</f>
        <v>++25% chance to parry dragons' attacks +-Cannot be forged or duplicated</v>
      </c>
      <c r="AG847" s="1" t="str">
        <f>IFERROR(__xludf.DUMMYFUNCTION("""COMPUTED_VALUE"""),"Dragonscale Island")</f>
        <v>Dragonscale Island</v>
      </c>
      <c r="AH847" s="1" t="b">
        <f>IFERROR(__xludf.DUMMYFUNCTION("""COMPUTED_VALUE"""),FALSE)</f>
        <v>0</v>
      </c>
    </row>
    <row r="848">
      <c r="A848" s="1" t="str">
        <f>IFERROR(__xludf.DUMMYFUNCTION("""COMPUTED_VALUE"""),"Wyrmstone Gauntlet")</f>
        <v>Wyrmstone Gauntlet</v>
      </c>
      <c r="B848" s="1" t="str">
        <f>IFERROR(__xludf.DUMMYFUNCTION("""COMPUTED_VALUE"""),"Hand")</f>
        <v>Hand</v>
      </c>
      <c r="C848" s="1"/>
      <c r="D848" s="1" t="str">
        <f>IFERROR(__xludf.DUMMYFUNCTION("""COMPUTED_VALUE"""),"Gauntlet")</f>
        <v>Gauntlet</v>
      </c>
      <c r="E848" s="1">
        <f>IFERROR(__xludf.DUMMYFUNCTION("""COMPUTED_VALUE"""),3000.0)</f>
        <v>3000</v>
      </c>
      <c r="F848" s="2">
        <f>IFERROR(__xludf.DUMMYFUNCTION("""COMPUTED_VALUE"""),4.485E8)</f>
        <v>448500000</v>
      </c>
      <c r="G848" s="1" t="str">
        <f>IFERROR(__xludf.DUMMYFUNCTION("""COMPUTED_VALUE"""),"DEF")</f>
        <v>DEF</v>
      </c>
      <c r="H848" s="1">
        <f>IFERROR(__xludf.DUMMYFUNCTION("""COMPUTED_VALUE"""),125000.0)</f>
        <v>125000</v>
      </c>
      <c r="I848" s="1"/>
      <c r="J848" s="1"/>
      <c r="K848" s="1"/>
      <c r="L848" s="1"/>
      <c r="M848" s="1"/>
      <c r="N848" s="1">
        <f>IFERROR(__xludf.DUMMYFUNCTION("""COMPUTED_VALUE"""),25000.0)</f>
        <v>25000</v>
      </c>
      <c r="O848" s="1"/>
      <c r="P848" s="1"/>
      <c r="Q848" s="1"/>
      <c r="R848" s="1"/>
      <c r="S848" s="1"/>
      <c r="T848" s="1"/>
      <c r="U848" s="1"/>
      <c r="V848" s="1"/>
      <c r="W848" s="1"/>
      <c r="X848" s="1"/>
      <c r="Y848" s="1"/>
      <c r="Z848" s="1"/>
      <c r="AA848" s="1"/>
      <c r="AB848" s="1"/>
      <c r="AC848" s="1"/>
      <c r="AD848" s="1"/>
      <c r="AE848" s="1"/>
      <c r="AF848" s="1"/>
      <c r="AG848" s="1" t="str">
        <f>IFERROR(__xludf.DUMMYFUNCTION("""COMPUTED_VALUE"""),"Dragonscale Island")</f>
        <v>Dragonscale Island</v>
      </c>
      <c r="AH848" s="1" t="b">
        <f>IFERROR(__xludf.DUMMYFUNCTION("""COMPUTED_VALUE"""),FALSE)</f>
        <v>0</v>
      </c>
    </row>
    <row r="849">
      <c r="A849" s="1" t="str">
        <f>IFERROR(__xludf.DUMMYFUNCTION("""COMPUTED_VALUE"""),"Wyrmstone Leggings")</f>
        <v>Wyrmstone Leggings</v>
      </c>
      <c r="B849" s="1" t="str">
        <f>IFERROR(__xludf.DUMMYFUNCTION("""COMPUTED_VALUE"""),"Legs")</f>
        <v>Legs</v>
      </c>
      <c r="C849" s="1"/>
      <c r="D849" s="1" t="str">
        <f>IFERROR(__xludf.DUMMYFUNCTION("""COMPUTED_VALUE"""),"Item")</f>
        <v>Item</v>
      </c>
      <c r="E849" s="1">
        <f>IFERROR(__xludf.DUMMYFUNCTION("""COMPUTED_VALUE"""),2000.0)</f>
        <v>2000</v>
      </c>
      <c r="F849" s="2">
        <f>IFERROR(__xludf.DUMMYFUNCTION("""COMPUTED_VALUE"""),1.99E8)</f>
        <v>199000000</v>
      </c>
      <c r="G849" s="1" t="str">
        <f>IFERROR(__xludf.DUMMYFUNCTION("""COMPUTED_VALUE"""),"DEF")</f>
        <v>DEF</v>
      </c>
      <c r="H849" s="1">
        <f>IFERROR(__xludf.DUMMYFUNCTION("""COMPUTED_VALUE"""),100000.0)</f>
        <v>100000</v>
      </c>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t="str">
        <f>IFERROR(__xludf.DUMMYFUNCTION("""COMPUTED_VALUE"""),"Dragonscale Island")</f>
        <v>Dragonscale Island</v>
      </c>
      <c r="AH849" s="1" t="b">
        <f>IFERROR(__xludf.DUMMYFUNCTION("""COMPUTED_VALUE"""),FALSE)</f>
        <v>0</v>
      </c>
    </row>
    <row r="850">
      <c r="A850" s="1" t="str">
        <f>IFERROR(__xludf.DUMMYFUNCTION("""COMPUTED_VALUE"""),"Wyrmstone Lance")</f>
        <v>Wyrmstone Lance</v>
      </c>
      <c r="B850" s="1" t="str">
        <f>IFERROR(__xludf.DUMMYFUNCTION("""COMPUTED_VALUE"""),"Hand")</f>
        <v>Hand</v>
      </c>
      <c r="C850" s="1"/>
      <c r="D850" s="1" t="str">
        <f>IFERROR(__xludf.DUMMYFUNCTION("""COMPUTED_VALUE"""),"Spear")</f>
        <v>Spear</v>
      </c>
      <c r="E850" s="1">
        <f>IFERROR(__xludf.DUMMYFUNCTION("""COMPUTED_VALUE"""),2000.0)</f>
        <v>2000</v>
      </c>
      <c r="F850" s="2">
        <f>IFERROR(__xludf.DUMMYFUNCTION("""COMPUTED_VALUE"""),1.99E8)</f>
        <v>199000000</v>
      </c>
      <c r="G850" s="1" t="str">
        <f>IFERROR(__xludf.DUMMYFUNCTION("""COMPUTED_VALUE"""),"DMG")</f>
        <v>DMG</v>
      </c>
      <c r="H850" s="1">
        <f>IFERROR(__xludf.DUMMYFUNCTION("""COMPUTED_VALUE"""),100000.0)</f>
        <v>100000</v>
      </c>
      <c r="I850" s="1"/>
      <c r="J850" s="1"/>
      <c r="K850" s="1"/>
      <c r="L850" s="1"/>
      <c r="M850" s="1"/>
      <c r="N850" s="1"/>
      <c r="O850" s="1"/>
      <c r="P850" s="1"/>
      <c r="Q850" s="1"/>
      <c r="R850" s="1"/>
      <c r="S850" s="1"/>
      <c r="T850" s="1"/>
      <c r="U850" s="1"/>
      <c r="V850" s="1"/>
      <c r="W850" s="1"/>
      <c r="X850" s="1"/>
      <c r="Y850" s="1"/>
      <c r="Z850" s="1"/>
      <c r="AA850" s="1"/>
      <c r="AB850" s="1"/>
      <c r="AC850" s="1"/>
      <c r="AD850" s="1"/>
      <c r="AE850" s="1"/>
      <c r="AF850" s="1" t="str">
        <f>IFERROR(__xludf.DUMMYFUNCTION("""COMPUTED_VALUE"""),"++Damage doubles if used two turns in a row +-Cannot be forged or duplicated")</f>
        <v>++Damage doubles if used two turns in a row +-Cannot be forged or duplicated</v>
      </c>
      <c r="AG850" s="1" t="str">
        <f>IFERROR(__xludf.DUMMYFUNCTION("""COMPUTED_VALUE"""),"Dragonscale Island")</f>
        <v>Dragonscale Island</v>
      </c>
      <c r="AH850" s="1" t="b">
        <f>IFERROR(__xludf.DUMMYFUNCTION("""COMPUTED_VALUE"""),FALSE)</f>
        <v>0</v>
      </c>
    </row>
    <row r="851">
      <c r="A851" s="1" t="str">
        <f>IFERROR(__xludf.DUMMYFUNCTION("""COMPUTED_VALUE"""),"Wyrmstone Nails")</f>
        <v>Wyrmstone Nails</v>
      </c>
      <c r="B851" s="1" t="str">
        <f>IFERROR(__xludf.DUMMYFUNCTION("""COMPUTED_VALUE"""),"Hand")</f>
        <v>Hand</v>
      </c>
      <c r="C851" s="1"/>
      <c r="D851" s="1" t="str">
        <f>IFERROR(__xludf.DUMMYFUNCTION("""COMPUTED_VALUE"""),"Claw")</f>
        <v>Claw</v>
      </c>
      <c r="E851" s="1">
        <f>IFERROR(__xludf.DUMMYFUNCTION("""COMPUTED_VALUE"""),2600.0)</f>
        <v>2600</v>
      </c>
      <c r="F851" s="2">
        <f>IFERROR(__xludf.DUMMYFUNCTION("""COMPUTED_VALUE"""),3.367E8)</f>
        <v>336700000</v>
      </c>
      <c r="G851" s="1" t="str">
        <f>IFERROR(__xludf.DUMMYFUNCTION("""COMPUTED_VALUE"""),"DMG")</f>
        <v>DMG</v>
      </c>
      <c r="H851" s="1">
        <f>IFERROR(__xludf.DUMMYFUNCTION("""COMPUTED_VALUE"""),130000.0)</f>
        <v>130000</v>
      </c>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t="str">
        <f>IFERROR(__xludf.DUMMYFUNCTION("""COMPUTED_VALUE"""),"Dragonscale Island")</f>
        <v>Dragonscale Island</v>
      </c>
      <c r="AH851" s="1" t="b">
        <f>IFERROR(__xludf.DUMMYFUNCTION("""COMPUTED_VALUE"""),FALSE)</f>
        <v>0</v>
      </c>
    </row>
    <row r="852">
      <c r="A852" s="1" t="str">
        <f>IFERROR(__xludf.DUMMYFUNCTION("""COMPUTED_VALUE"""),"Lizard Warrior's Scale Helm")</f>
        <v>Lizard Warrior's Scale Helm</v>
      </c>
      <c r="B852" s="1" t="str">
        <f>IFERROR(__xludf.DUMMYFUNCTION("""COMPUTED_VALUE"""),"Head")</f>
        <v>Head</v>
      </c>
      <c r="C852" s="1"/>
      <c r="D852" s="1" t="str">
        <f>IFERROR(__xludf.DUMMYFUNCTION("""COMPUTED_VALUE"""),"Item")</f>
        <v>Item</v>
      </c>
      <c r="E852" s="1">
        <f>IFERROR(__xludf.DUMMYFUNCTION("""COMPUTED_VALUE"""),3000.0)</f>
        <v>3000</v>
      </c>
      <c r="F852" s="2">
        <f>IFERROR(__xludf.DUMMYFUNCTION("""COMPUTED_VALUE"""),4.485E8)</f>
        <v>448500000</v>
      </c>
      <c r="G852" s="1" t="str">
        <f>IFERROR(__xludf.DUMMYFUNCTION("""COMPUTED_VALUE"""),"DEF")</f>
        <v>DEF</v>
      </c>
      <c r="H852" s="1">
        <f>IFERROR(__xludf.DUMMYFUNCTION("""COMPUTED_VALUE"""),100000.0)</f>
        <v>100000</v>
      </c>
      <c r="I852" s="1"/>
      <c r="J852" s="1"/>
      <c r="K852" s="1"/>
      <c r="L852" s="1"/>
      <c r="M852" s="1"/>
      <c r="N852" s="1"/>
      <c r="O852" s="1"/>
      <c r="P852" s="1"/>
      <c r="Q852" s="1"/>
      <c r="R852" s="1"/>
      <c r="S852" s="1">
        <f>IFERROR(__xludf.DUMMYFUNCTION("""COMPUTED_VALUE"""),50000.0)</f>
        <v>50000</v>
      </c>
      <c r="T852" s="1"/>
      <c r="U852" s="1"/>
      <c r="V852" s="1"/>
      <c r="W852" s="1"/>
      <c r="X852" s="1"/>
      <c r="Y852" s="1"/>
      <c r="Z852" s="1"/>
      <c r="AA852" s="1"/>
      <c r="AB852" s="1"/>
      <c r="AC852" s="1"/>
      <c r="AD852" s="1"/>
      <c r="AE852" s="1"/>
      <c r="AF852" s="1"/>
      <c r="AG852" s="1" t="str">
        <f>IFERROR(__xludf.DUMMYFUNCTION("""COMPUTED_VALUE"""),"Dragonscale Island")</f>
        <v>Dragonscale Island</v>
      </c>
      <c r="AH852" s="1" t="b">
        <f>IFERROR(__xludf.DUMMYFUNCTION("""COMPUTED_VALUE"""),FALSE)</f>
        <v>0</v>
      </c>
    </row>
    <row r="853">
      <c r="A853" s="1" t="str">
        <f>IFERROR(__xludf.DUMMYFUNCTION("""COMPUTED_VALUE"""),"Lizard Warrior's Scaled Pauldrons")</f>
        <v>Lizard Warrior's Scaled Pauldrons</v>
      </c>
      <c r="B853" s="1" t="str">
        <f>IFERROR(__xludf.DUMMYFUNCTION("""COMPUTED_VALUE"""),"Shoulders")</f>
        <v>Shoulders</v>
      </c>
      <c r="C853" s="1"/>
      <c r="D853" s="1" t="str">
        <f>IFERROR(__xludf.DUMMYFUNCTION("""COMPUTED_VALUE"""),"Item")</f>
        <v>Item</v>
      </c>
      <c r="E853" s="1">
        <f>IFERROR(__xludf.DUMMYFUNCTION("""COMPUTED_VALUE"""),3000.0)</f>
        <v>3000</v>
      </c>
      <c r="F853" s="2">
        <f>IFERROR(__xludf.DUMMYFUNCTION("""COMPUTED_VALUE"""),4.485E8)</f>
        <v>448500000</v>
      </c>
      <c r="G853" s="1" t="str">
        <f>IFERROR(__xludf.DUMMYFUNCTION("""COMPUTED_VALUE"""),"DEF")</f>
        <v>DEF</v>
      </c>
      <c r="H853" s="1">
        <f>IFERROR(__xludf.DUMMYFUNCTION("""COMPUTED_VALUE"""),100000.0)</f>
        <v>100000</v>
      </c>
      <c r="I853" s="1"/>
      <c r="J853" s="1"/>
      <c r="K853" s="1"/>
      <c r="L853" s="1"/>
      <c r="M853" s="1"/>
      <c r="N853" s="1"/>
      <c r="O853" s="1"/>
      <c r="P853" s="1"/>
      <c r="Q853" s="1"/>
      <c r="R853" s="1"/>
      <c r="S853" s="1">
        <f>IFERROR(__xludf.DUMMYFUNCTION("""COMPUTED_VALUE"""),50000.0)</f>
        <v>50000</v>
      </c>
      <c r="T853" s="1"/>
      <c r="U853" s="1"/>
      <c r="V853" s="1"/>
      <c r="W853" s="1"/>
      <c r="X853" s="1"/>
      <c r="Y853" s="1"/>
      <c r="Z853" s="1"/>
      <c r="AA853" s="1"/>
      <c r="AB853" s="1"/>
      <c r="AC853" s="1"/>
      <c r="AD853" s="1"/>
      <c r="AE853" s="1"/>
      <c r="AF853" s="1"/>
      <c r="AG853" s="1" t="str">
        <f>IFERROR(__xludf.DUMMYFUNCTION("""COMPUTED_VALUE"""),"Dragonscale Island")</f>
        <v>Dragonscale Island</v>
      </c>
      <c r="AH853" s="1" t="b">
        <f>IFERROR(__xludf.DUMMYFUNCTION("""COMPUTED_VALUE"""),FALSE)</f>
        <v>0</v>
      </c>
    </row>
    <row r="854">
      <c r="A854" s="1" t="str">
        <f>IFERROR(__xludf.DUMMYFUNCTION("""COMPUTED_VALUE"""),"Lizard Warrior's Scaled Chest")</f>
        <v>Lizard Warrior's Scaled Chest</v>
      </c>
      <c r="B854" s="1" t="str">
        <f>IFERROR(__xludf.DUMMYFUNCTION("""COMPUTED_VALUE"""),"Torso")</f>
        <v>Torso</v>
      </c>
      <c r="C854" s="1"/>
      <c r="D854" s="1" t="str">
        <f>IFERROR(__xludf.DUMMYFUNCTION("""COMPUTED_VALUE"""),"Item")</f>
        <v>Item</v>
      </c>
      <c r="E854" s="1">
        <f>IFERROR(__xludf.DUMMYFUNCTION("""COMPUTED_VALUE"""),3000.0)</f>
        <v>3000</v>
      </c>
      <c r="F854" s="2">
        <f>IFERROR(__xludf.DUMMYFUNCTION("""COMPUTED_VALUE"""),4.485E8)</f>
        <v>448500000</v>
      </c>
      <c r="G854" s="1" t="str">
        <f>IFERROR(__xludf.DUMMYFUNCTION("""COMPUTED_VALUE"""),"DEF")</f>
        <v>DEF</v>
      </c>
      <c r="H854" s="1">
        <f>IFERROR(__xludf.DUMMYFUNCTION("""COMPUTED_VALUE"""),100000.0)</f>
        <v>100000</v>
      </c>
      <c r="I854" s="1"/>
      <c r="J854" s="1"/>
      <c r="K854" s="1"/>
      <c r="L854" s="1"/>
      <c r="M854" s="1"/>
      <c r="N854" s="1"/>
      <c r="O854" s="1"/>
      <c r="P854" s="1"/>
      <c r="Q854" s="1"/>
      <c r="R854" s="1"/>
      <c r="S854" s="1">
        <f>IFERROR(__xludf.DUMMYFUNCTION("""COMPUTED_VALUE"""),50000.0)</f>
        <v>50000</v>
      </c>
      <c r="T854" s="1"/>
      <c r="U854" s="1"/>
      <c r="V854" s="1"/>
      <c r="W854" s="1"/>
      <c r="X854" s="1"/>
      <c r="Y854" s="1"/>
      <c r="Z854" s="1"/>
      <c r="AA854" s="1"/>
      <c r="AB854" s="1"/>
      <c r="AC854" s="1"/>
      <c r="AD854" s="1"/>
      <c r="AE854" s="1"/>
      <c r="AF854" s="1" t="str">
        <f>IFERROR(__xludf.DUMMYFUNCTION("""COMPUTED_VALUE"""),"++When the wearer is attacked, the one that attacked them takes 15000 poison for 3 rounds")</f>
        <v>++When the wearer is attacked, the one that attacked them takes 15000 poison for 3 rounds</v>
      </c>
      <c r="AG854" s="1" t="str">
        <f>IFERROR(__xludf.DUMMYFUNCTION("""COMPUTED_VALUE"""),"Dragonscale Island")</f>
        <v>Dragonscale Island</v>
      </c>
      <c r="AH854" s="1" t="b">
        <f>IFERROR(__xludf.DUMMYFUNCTION("""COMPUTED_VALUE"""),FALSE)</f>
        <v>0</v>
      </c>
    </row>
    <row r="855">
      <c r="A855" s="1" t="str">
        <f>IFERROR(__xludf.DUMMYFUNCTION("""COMPUTED_VALUE"""),"Lizard Warrior's Scaled Arms")</f>
        <v>Lizard Warrior's Scaled Arms</v>
      </c>
      <c r="B855" s="1" t="str">
        <f>IFERROR(__xludf.DUMMYFUNCTION("""COMPUTED_VALUE"""),"Arms")</f>
        <v>Arms</v>
      </c>
      <c r="C855" s="1"/>
      <c r="D855" s="1" t="str">
        <f>IFERROR(__xludf.DUMMYFUNCTION("""COMPUTED_VALUE"""),"Item")</f>
        <v>Item</v>
      </c>
      <c r="E855" s="1">
        <f>IFERROR(__xludf.DUMMYFUNCTION("""COMPUTED_VALUE"""),3000.0)</f>
        <v>3000</v>
      </c>
      <c r="F855" s="2">
        <f>IFERROR(__xludf.DUMMYFUNCTION("""COMPUTED_VALUE"""),4.485E8)</f>
        <v>448500000</v>
      </c>
      <c r="G855" s="1" t="str">
        <f>IFERROR(__xludf.DUMMYFUNCTION("""COMPUTED_VALUE"""),"DEF")</f>
        <v>DEF</v>
      </c>
      <c r="H855" s="1">
        <f>IFERROR(__xludf.DUMMYFUNCTION("""COMPUTED_VALUE"""),100000.0)</f>
        <v>100000</v>
      </c>
      <c r="I855" s="1"/>
      <c r="J855" s="1"/>
      <c r="K855" s="1"/>
      <c r="L855" s="1"/>
      <c r="M855" s="1"/>
      <c r="N855" s="1"/>
      <c r="O855" s="1"/>
      <c r="P855" s="1"/>
      <c r="Q855" s="1"/>
      <c r="R855" s="1"/>
      <c r="S855" s="1">
        <f>IFERROR(__xludf.DUMMYFUNCTION("""COMPUTED_VALUE"""),50000.0)</f>
        <v>50000</v>
      </c>
      <c r="T855" s="1"/>
      <c r="U855" s="1"/>
      <c r="V855" s="1"/>
      <c r="W855" s="1"/>
      <c r="X855" s="1"/>
      <c r="Y855" s="1"/>
      <c r="Z855" s="1"/>
      <c r="AA855" s="1"/>
      <c r="AB855" s="1"/>
      <c r="AC855" s="1"/>
      <c r="AD855" s="1"/>
      <c r="AE855" s="1"/>
      <c r="AF855" s="1" t="str">
        <f>IFERROR(__xludf.DUMMYFUNCTION("""COMPUTED_VALUE"""),"++7500 DEF for every enemy currently poisoned (Max 37500)")</f>
        <v>++7500 DEF for every enemy currently poisoned (Max 37500)</v>
      </c>
      <c r="AG855" s="1" t="str">
        <f>IFERROR(__xludf.DUMMYFUNCTION("""COMPUTED_VALUE"""),"Dragonscale Island")</f>
        <v>Dragonscale Island</v>
      </c>
      <c r="AH855" s="1" t="b">
        <f>IFERROR(__xludf.DUMMYFUNCTION("""COMPUTED_VALUE"""),FALSE)</f>
        <v>0</v>
      </c>
    </row>
    <row r="856">
      <c r="A856" s="1" t="str">
        <f>IFERROR(__xludf.DUMMYFUNCTION("""COMPUTED_VALUE"""),"Lizard Warrior's Bracelets")</f>
        <v>Lizard Warrior's Bracelets</v>
      </c>
      <c r="B856" s="1" t="str">
        <f>IFERROR(__xludf.DUMMYFUNCTION("""COMPUTED_VALUE"""),"Arms")</f>
        <v>Arms</v>
      </c>
      <c r="C856" s="1"/>
      <c r="D856" s="1" t="str">
        <f>IFERROR(__xludf.DUMMYFUNCTION("""COMPUTED_VALUE"""),"Item")</f>
        <v>Item</v>
      </c>
      <c r="E856" s="1">
        <f>IFERROR(__xludf.DUMMYFUNCTION("""COMPUTED_VALUE"""),3000.0)</f>
        <v>3000</v>
      </c>
      <c r="F856" s="2">
        <f>IFERROR(__xludf.DUMMYFUNCTION("""COMPUTED_VALUE"""),4.485E8)</f>
        <v>448500000</v>
      </c>
      <c r="G856" s="1" t="str">
        <f>IFERROR(__xludf.DUMMYFUNCTION("""COMPUTED_VALUE"""),"DEF")</f>
        <v>DEF</v>
      </c>
      <c r="H856" s="1">
        <f>IFERROR(__xludf.DUMMYFUNCTION("""COMPUTED_VALUE"""),100000.0)</f>
        <v>100000</v>
      </c>
      <c r="I856" s="1"/>
      <c r="J856" s="1"/>
      <c r="K856" s="1"/>
      <c r="L856" s="1"/>
      <c r="M856" s="1"/>
      <c r="N856" s="1"/>
      <c r="O856" s="1"/>
      <c r="P856" s="1"/>
      <c r="Q856" s="1"/>
      <c r="R856" s="1"/>
      <c r="S856" s="1">
        <f>IFERROR(__xludf.DUMMYFUNCTION("""COMPUTED_VALUE"""),50000.0)</f>
        <v>50000</v>
      </c>
      <c r="T856" s="1"/>
      <c r="U856" s="1"/>
      <c r="V856" s="1"/>
      <c r="W856" s="1"/>
      <c r="X856" s="1"/>
      <c r="Y856" s="1"/>
      <c r="Z856" s="1"/>
      <c r="AA856" s="1"/>
      <c r="AB856" s="1"/>
      <c r="AC856" s="1"/>
      <c r="AD856" s="1"/>
      <c r="AE856" s="1"/>
      <c r="AF856" s="1" t="str">
        <f>IFERROR(__xludf.DUMMYFUNCTION("""COMPUTED_VALUE"""),"++5000 ACC for every enemy currently poisoned (Max 25000)")</f>
        <v>++5000 ACC for every enemy currently poisoned (Max 25000)</v>
      </c>
      <c r="AG856" s="1" t="str">
        <f>IFERROR(__xludf.DUMMYFUNCTION("""COMPUTED_VALUE"""),"Dragonscale Island")</f>
        <v>Dragonscale Island</v>
      </c>
      <c r="AH856" s="1" t="b">
        <f>IFERROR(__xludf.DUMMYFUNCTION("""COMPUTED_VALUE"""),FALSE)</f>
        <v>0</v>
      </c>
    </row>
    <row r="857">
      <c r="A857" s="1" t="str">
        <f>IFERROR(__xludf.DUMMYFUNCTION("""COMPUTED_VALUE"""),"Lizard Warrior's Scaled Legs")</f>
        <v>Lizard Warrior's Scaled Legs</v>
      </c>
      <c r="B857" s="1" t="str">
        <f>IFERROR(__xludf.DUMMYFUNCTION("""COMPUTED_VALUE"""),"Legs")</f>
        <v>Legs</v>
      </c>
      <c r="C857" s="1"/>
      <c r="D857" s="1" t="str">
        <f>IFERROR(__xludf.DUMMYFUNCTION("""COMPUTED_VALUE"""),"Item")</f>
        <v>Item</v>
      </c>
      <c r="E857" s="1">
        <f>IFERROR(__xludf.DUMMYFUNCTION("""COMPUTED_VALUE"""),3000.0)</f>
        <v>3000</v>
      </c>
      <c r="F857" s="2">
        <f>IFERROR(__xludf.DUMMYFUNCTION("""COMPUTED_VALUE"""),4.485E8)</f>
        <v>448500000</v>
      </c>
      <c r="G857" s="1" t="str">
        <f>IFERROR(__xludf.DUMMYFUNCTION("""COMPUTED_VALUE"""),"DEF")</f>
        <v>DEF</v>
      </c>
      <c r="H857" s="1">
        <f>IFERROR(__xludf.DUMMYFUNCTION("""COMPUTED_VALUE"""),100000.0)</f>
        <v>100000</v>
      </c>
      <c r="I857" s="1"/>
      <c r="J857" s="1"/>
      <c r="K857" s="1"/>
      <c r="L857" s="1"/>
      <c r="M857" s="1"/>
      <c r="N857" s="1"/>
      <c r="O857" s="1"/>
      <c r="P857" s="1"/>
      <c r="Q857" s="1"/>
      <c r="R857" s="1"/>
      <c r="S857" s="1">
        <f>IFERROR(__xludf.DUMMYFUNCTION("""COMPUTED_VALUE"""),50000.0)</f>
        <v>50000</v>
      </c>
      <c r="T857" s="1"/>
      <c r="U857" s="1"/>
      <c r="V857" s="1"/>
      <c r="W857" s="1"/>
      <c r="X857" s="1"/>
      <c r="Y857" s="1"/>
      <c r="Z857" s="1"/>
      <c r="AA857" s="1"/>
      <c r="AB857" s="1"/>
      <c r="AC857" s="1"/>
      <c r="AD857" s="1"/>
      <c r="AE857" s="1"/>
      <c r="AF857" s="1" t="str">
        <f>IFERROR(__xludf.DUMMYFUNCTION("""COMPUTED_VALUE"""),"++5000 ATK for every enemy currently poisoned (Max 25000)")</f>
        <v>++5000 ATK for every enemy currently poisoned (Max 25000)</v>
      </c>
      <c r="AG857" s="1" t="str">
        <f>IFERROR(__xludf.DUMMYFUNCTION("""COMPUTED_VALUE"""),"Dragonscale Island")</f>
        <v>Dragonscale Island</v>
      </c>
      <c r="AH857" s="1" t="b">
        <f>IFERROR(__xludf.DUMMYFUNCTION("""COMPUTED_VALUE"""),FALSE)</f>
        <v>0</v>
      </c>
    </row>
    <row r="858">
      <c r="A858" s="1" t="str">
        <f>IFERROR(__xludf.DUMMYFUNCTION("""COMPUTED_VALUE"""),"Lizard Warrior's Scaled Boots")</f>
        <v>Lizard Warrior's Scaled Boots</v>
      </c>
      <c r="B858" s="1" t="str">
        <f>IFERROR(__xludf.DUMMYFUNCTION("""COMPUTED_VALUE"""),"Feet")</f>
        <v>Feet</v>
      </c>
      <c r="C858" s="1"/>
      <c r="D858" s="1" t="str">
        <f>IFERROR(__xludf.DUMMYFUNCTION("""COMPUTED_VALUE"""),"Item")</f>
        <v>Item</v>
      </c>
      <c r="E858" s="1">
        <f>IFERROR(__xludf.DUMMYFUNCTION("""COMPUTED_VALUE"""),3000.0)</f>
        <v>3000</v>
      </c>
      <c r="F858" s="2">
        <f>IFERROR(__xludf.DUMMYFUNCTION("""COMPUTED_VALUE"""),4.485E8)</f>
        <v>448500000</v>
      </c>
      <c r="G858" s="1" t="str">
        <f>IFERROR(__xludf.DUMMYFUNCTION("""COMPUTED_VALUE"""),"DEF")</f>
        <v>DEF</v>
      </c>
      <c r="H858" s="1">
        <f>IFERROR(__xludf.DUMMYFUNCTION("""COMPUTED_VALUE"""),100000.0)</f>
        <v>100000</v>
      </c>
      <c r="I858" s="1"/>
      <c r="J858" s="1"/>
      <c r="K858" s="1"/>
      <c r="L858" s="1"/>
      <c r="M858" s="1"/>
      <c r="N858" s="1"/>
      <c r="O858" s="1"/>
      <c r="P858" s="1"/>
      <c r="Q858" s="1"/>
      <c r="R858" s="1"/>
      <c r="S858" s="1">
        <f>IFERROR(__xludf.DUMMYFUNCTION("""COMPUTED_VALUE"""),50000.0)</f>
        <v>50000</v>
      </c>
      <c r="T858" s="1"/>
      <c r="U858" s="1"/>
      <c r="V858" s="1"/>
      <c r="W858" s="1"/>
      <c r="X858" s="1"/>
      <c r="Y858" s="1"/>
      <c r="Z858" s="1"/>
      <c r="AA858" s="1"/>
      <c r="AB858" s="1"/>
      <c r="AC858" s="1"/>
      <c r="AD858" s="1"/>
      <c r="AE858" s="1"/>
      <c r="AF858" s="1" t="str">
        <f>IFERROR(__xludf.DUMMYFUNCTION("""COMPUTED_VALUE"""),"++1 Mobility for every enemy currently poisoned (Max 5)")</f>
        <v>++1 Mobility for every enemy currently poisoned (Max 5)</v>
      </c>
      <c r="AG858" s="1" t="str">
        <f>IFERROR(__xludf.DUMMYFUNCTION("""COMPUTED_VALUE"""),"Dragonscale Island")</f>
        <v>Dragonscale Island</v>
      </c>
      <c r="AH858" s="1" t="b">
        <f>IFERROR(__xludf.DUMMYFUNCTION("""COMPUTED_VALUE"""),FALSE)</f>
        <v>0</v>
      </c>
    </row>
    <row r="859">
      <c r="A859" s="1" t="str">
        <f>IFERROR(__xludf.DUMMYFUNCTION("""COMPUTED_VALUE"""),"Lizard Warrior's Claw")</f>
        <v>Lizard Warrior's Claw</v>
      </c>
      <c r="B859" s="1" t="str">
        <f>IFERROR(__xludf.DUMMYFUNCTION("""COMPUTED_VALUE"""),"Hand")</f>
        <v>Hand</v>
      </c>
      <c r="C859" s="1"/>
      <c r="D859" s="1" t="str">
        <f>IFERROR(__xludf.DUMMYFUNCTION("""COMPUTED_VALUE"""),"Claw")</f>
        <v>Claw</v>
      </c>
      <c r="E859" s="1">
        <f>IFERROR(__xludf.DUMMYFUNCTION("""COMPUTED_VALUE"""),3000.0)</f>
        <v>3000</v>
      </c>
      <c r="F859" s="2">
        <f>IFERROR(__xludf.DUMMYFUNCTION("""COMPUTED_VALUE"""),4.485E8)</f>
        <v>448500000</v>
      </c>
      <c r="G859" s="1" t="str">
        <f>IFERROR(__xludf.DUMMYFUNCTION("""COMPUTED_VALUE"""),"DMG")</f>
        <v>DMG</v>
      </c>
      <c r="H859" s="1">
        <f>IFERROR(__xludf.DUMMYFUNCTION("""COMPUTED_VALUE"""),100000.0)</f>
        <v>100000</v>
      </c>
      <c r="I859" s="1"/>
      <c r="J859" s="1"/>
      <c r="K859" s="1"/>
      <c r="L859" s="1"/>
      <c r="M859" s="1"/>
      <c r="N859" s="1"/>
      <c r="O859" s="1"/>
      <c r="P859" s="1"/>
      <c r="Q859" s="1"/>
      <c r="R859" s="1"/>
      <c r="S859" s="1">
        <f>IFERROR(__xludf.DUMMYFUNCTION("""COMPUTED_VALUE"""),50000.0)</f>
        <v>50000</v>
      </c>
      <c r="T859" s="1"/>
      <c r="U859" s="1"/>
      <c r="V859" s="1"/>
      <c r="W859" s="1"/>
      <c r="X859" s="1"/>
      <c r="Y859" s="1"/>
      <c r="Z859" s="1"/>
      <c r="AA859" s="1"/>
      <c r="AB859" s="1"/>
      <c r="AC859" s="1"/>
      <c r="AD859" s="1"/>
      <c r="AE859" s="1"/>
      <c r="AF859" s="1" t="str">
        <f>IFERROR(__xludf.DUMMYFUNCTION("""COMPUTED_VALUE"""),"++X20 damage against poisoned enemies, All damage dealt against poisoned enemies with this item is poison damage.")</f>
        <v>++X20 damage against poisoned enemies, All damage dealt against poisoned enemies with this item is poison damage.</v>
      </c>
      <c r="AG859" s="1" t="str">
        <f>IFERROR(__xludf.DUMMYFUNCTION("""COMPUTED_VALUE"""),"Dragonscale Island")</f>
        <v>Dragonscale Island</v>
      </c>
      <c r="AH859" s="1" t="b">
        <f>IFERROR(__xludf.DUMMYFUNCTION("""COMPUTED_VALUE"""),FALSE)</f>
        <v>0</v>
      </c>
    </row>
    <row r="860">
      <c r="A860" s="1" t="str">
        <f>IFERROR(__xludf.DUMMYFUNCTION("""COMPUTED_VALUE"""),"Lizard Warrior Guantlet")</f>
        <v>Lizard Warrior Guantlet</v>
      </c>
      <c r="B860" s="1" t="str">
        <f>IFERROR(__xludf.DUMMYFUNCTION("""COMPUTED_VALUE"""),"Hand")</f>
        <v>Hand</v>
      </c>
      <c r="C860" s="1"/>
      <c r="D860" s="1" t="str">
        <f>IFERROR(__xludf.DUMMYFUNCTION("""COMPUTED_VALUE"""),"Gauntlet")</f>
        <v>Gauntlet</v>
      </c>
      <c r="E860" s="1">
        <f>IFERROR(__xludf.DUMMYFUNCTION("""COMPUTED_VALUE"""),3000.0)</f>
        <v>3000</v>
      </c>
      <c r="F860" s="2">
        <f>IFERROR(__xludf.DUMMYFUNCTION("""COMPUTED_VALUE"""),4.485E8)</f>
        <v>448500000</v>
      </c>
      <c r="G860" s="1" t="str">
        <f>IFERROR(__xludf.DUMMYFUNCTION("""COMPUTED_VALUE"""),"DEF")</f>
        <v>DEF</v>
      </c>
      <c r="H860" s="1">
        <f>IFERROR(__xludf.DUMMYFUNCTION("""COMPUTED_VALUE"""),100000.0)</f>
        <v>100000</v>
      </c>
      <c r="I860" s="1"/>
      <c r="J860" s="1"/>
      <c r="K860" s="1"/>
      <c r="L860" s="1"/>
      <c r="M860" s="1"/>
      <c r="N860" s="1"/>
      <c r="O860" s="1"/>
      <c r="P860" s="1"/>
      <c r="Q860" s="1"/>
      <c r="R860" s="1"/>
      <c r="S860" s="1">
        <f>IFERROR(__xludf.DUMMYFUNCTION("""COMPUTED_VALUE"""),50000.0)</f>
        <v>50000</v>
      </c>
      <c r="T860" s="1"/>
      <c r="U860" s="1"/>
      <c r="V860" s="1"/>
      <c r="W860" s="1"/>
      <c r="X860" s="1"/>
      <c r="Y860" s="1"/>
      <c r="Z860" s="1"/>
      <c r="AA860" s="1"/>
      <c r="AB860" s="1"/>
      <c r="AC860" s="1"/>
      <c r="AD860" s="1"/>
      <c r="AE860" s="1"/>
      <c r="AF860" s="1" t="str">
        <f>IFERROR(__xludf.DUMMYFUNCTION("""COMPUTED_VALUE"""),"++50% chance to be unaffected by a weapon attack from a poisoned enemy")</f>
        <v>++50% chance to be unaffected by a weapon attack from a poisoned enemy</v>
      </c>
      <c r="AG860" s="1" t="str">
        <f>IFERROR(__xludf.DUMMYFUNCTION("""COMPUTED_VALUE"""),"Dragonscale Island")</f>
        <v>Dragonscale Island</v>
      </c>
      <c r="AH860" s="1" t="b">
        <f>IFERROR(__xludf.DUMMYFUNCTION("""COMPUTED_VALUE"""),FALSE)</f>
        <v>0</v>
      </c>
    </row>
    <row r="861">
      <c r="A861" s="1" t="str">
        <f>IFERROR(__xludf.DUMMYFUNCTION("""COMPUTED_VALUE"""),"Igaunian Assassin's Cowl")</f>
        <v>Igaunian Assassin's Cowl</v>
      </c>
      <c r="B861" s="1" t="str">
        <f>IFERROR(__xludf.DUMMYFUNCTION("""COMPUTED_VALUE"""),"Head")</f>
        <v>Head</v>
      </c>
      <c r="C861" s="1"/>
      <c r="D861" s="1" t="str">
        <f>IFERROR(__xludf.DUMMYFUNCTION("""COMPUTED_VALUE"""),"Item")</f>
        <v>Item</v>
      </c>
      <c r="E861" s="1">
        <f>IFERROR(__xludf.DUMMYFUNCTION("""COMPUTED_VALUE"""),2000.0)</f>
        <v>2000</v>
      </c>
      <c r="F861" s="2">
        <f>IFERROR(__xludf.DUMMYFUNCTION("""COMPUTED_VALUE"""),1.99E8)</f>
        <v>199000000</v>
      </c>
      <c r="G861" s="1" t="str">
        <f>IFERROR(__xludf.DUMMYFUNCTION("""COMPUTED_VALUE"""),"DEF")</f>
        <v>DEF</v>
      </c>
      <c r="H861" s="1">
        <f>IFERROR(__xludf.DUMMYFUNCTION("""COMPUTED_VALUE"""),75000.0)</f>
        <v>75000</v>
      </c>
      <c r="I861" s="1"/>
      <c r="J861" s="1"/>
      <c r="K861" s="1"/>
      <c r="L861" s="1"/>
      <c r="M861" s="1"/>
      <c r="N861" s="1"/>
      <c r="O861" s="1"/>
      <c r="P861" s="1"/>
      <c r="Q861" s="1"/>
      <c r="R861" s="1"/>
      <c r="S861" s="1">
        <f>IFERROR(__xludf.DUMMYFUNCTION("""COMPUTED_VALUE"""),25000.0)</f>
        <v>25000</v>
      </c>
      <c r="T861" s="1"/>
      <c r="U861" s="1"/>
      <c r="V861" s="1"/>
      <c r="W861" s="1"/>
      <c r="X861" s="1"/>
      <c r="Y861" s="1"/>
      <c r="Z861" s="1"/>
      <c r="AA861" s="1"/>
      <c r="AB861" s="1"/>
      <c r="AC861" s="1"/>
      <c r="AD861" s="1"/>
      <c r="AE861" s="1"/>
      <c r="AF861" s="1" t="str">
        <f>IFERROR(__xludf.DUMMYFUNCTION("""COMPUTED_VALUE"""),"++15000 ATK and ACC ++X4 Knife and Boomerang damage ++5 to all weapon attacks if concealed")</f>
        <v>++15000 ATK and ACC ++X4 Knife and Boomerang damage ++5 to all weapon attacks if concealed</v>
      </c>
      <c r="AG861" s="1" t="str">
        <f>IFERROR(__xludf.DUMMYFUNCTION("""COMPUTED_VALUE"""),"Dragonscale Island")</f>
        <v>Dragonscale Island</v>
      </c>
      <c r="AH861" s="1" t="b">
        <f>IFERROR(__xludf.DUMMYFUNCTION("""COMPUTED_VALUE"""),FALSE)</f>
        <v>0</v>
      </c>
    </row>
    <row r="862">
      <c r="A862" s="1" t="str">
        <f>IFERROR(__xludf.DUMMYFUNCTION("""COMPUTED_VALUE"""),"Igaunian Assassin's Cloths")</f>
        <v>Igaunian Assassin's Cloths</v>
      </c>
      <c r="B862" s="1" t="str">
        <f>IFERROR(__xludf.DUMMYFUNCTION("""COMPUTED_VALUE"""),"Torso")</f>
        <v>Torso</v>
      </c>
      <c r="C862" s="1"/>
      <c r="D862" s="1" t="str">
        <f>IFERROR(__xludf.DUMMYFUNCTION("""COMPUTED_VALUE"""),"Item")</f>
        <v>Item</v>
      </c>
      <c r="E862" s="1">
        <f>IFERROR(__xludf.DUMMYFUNCTION("""COMPUTED_VALUE"""),2000.0)</f>
        <v>2000</v>
      </c>
      <c r="F862" s="2">
        <f>IFERROR(__xludf.DUMMYFUNCTION("""COMPUTED_VALUE"""),1.99E8)</f>
        <v>199000000</v>
      </c>
      <c r="G862" s="1" t="str">
        <f>IFERROR(__xludf.DUMMYFUNCTION("""COMPUTED_VALUE"""),"DEF")</f>
        <v>DEF</v>
      </c>
      <c r="H862" s="1">
        <f>IFERROR(__xludf.DUMMYFUNCTION("""COMPUTED_VALUE"""),75000.0)</f>
        <v>75000</v>
      </c>
      <c r="I862" s="1"/>
      <c r="J862" s="1"/>
      <c r="K862" s="1"/>
      <c r="L862" s="1"/>
      <c r="M862" s="1"/>
      <c r="N862" s="1"/>
      <c r="O862" s="1"/>
      <c r="P862" s="1"/>
      <c r="Q862" s="1"/>
      <c r="R862" s="1"/>
      <c r="S862" s="1">
        <f>IFERROR(__xludf.DUMMYFUNCTION("""COMPUTED_VALUE"""),25000.0)</f>
        <v>25000</v>
      </c>
      <c r="T862" s="1"/>
      <c r="U862" s="1"/>
      <c r="V862" s="1"/>
      <c r="W862" s="1"/>
      <c r="X862" s="1"/>
      <c r="Y862" s="1"/>
      <c r="Z862" s="1"/>
      <c r="AA862" s="1"/>
      <c r="AB862" s="1"/>
      <c r="AC862" s="1"/>
      <c r="AD862" s="1"/>
      <c r="AE862" s="1"/>
      <c r="AF862" s="1" t="str">
        <f>IFERROR(__xludf.DUMMYFUNCTION("""COMPUTED_VALUE"""),"++15000 ATK and ACC ++X4 Knife and Boomerang damage")</f>
        <v>++15000 ATK and ACC ++X4 Knife and Boomerang damage</v>
      </c>
      <c r="AG862" s="1" t="str">
        <f>IFERROR(__xludf.DUMMYFUNCTION("""COMPUTED_VALUE"""),"Dragonscale Island")</f>
        <v>Dragonscale Island</v>
      </c>
      <c r="AH862" s="1" t="b">
        <f>IFERROR(__xludf.DUMMYFUNCTION("""COMPUTED_VALUE"""),FALSE)</f>
        <v>0</v>
      </c>
    </row>
    <row r="863">
      <c r="A863" s="1" t="str">
        <f>IFERROR(__xludf.DUMMYFUNCTION("""COMPUTED_VALUE"""),"Iguanian Assassin's Pants")</f>
        <v>Iguanian Assassin's Pants</v>
      </c>
      <c r="B863" s="1" t="str">
        <f>IFERROR(__xludf.DUMMYFUNCTION("""COMPUTED_VALUE"""),"Legs")</f>
        <v>Legs</v>
      </c>
      <c r="C863" s="1"/>
      <c r="D863" s="1" t="str">
        <f>IFERROR(__xludf.DUMMYFUNCTION("""COMPUTED_VALUE"""),"Item")</f>
        <v>Item</v>
      </c>
      <c r="E863" s="1">
        <f>IFERROR(__xludf.DUMMYFUNCTION("""COMPUTED_VALUE"""),2000.0)</f>
        <v>2000</v>
      </c>
      <c r="F863" s="2">
        <f>IFERROR(__xludf.DUMMYFUNCTION("""COMPUTED_VALUE"""),1.99E8)</f>
        <v>199000000</v>
      </c>
      <c r="G863" s="1" t="str">
        <f>IFERROR(__xludf.DUMMYFUNCTION("""COMPUTED_VALUE"""),"DEF")</f>
        <v>DEF</v>
      </c>
      <c r="H863" s="1">
        <f>IFERROR(__xludf.DUMMYFUNCTION("""COMPUTED_VALUE"""),75000.0)</f>
        <v>75000</v>
      </c>
      <c r="I863" s="1"/>
      <c r="J863" s="1"/>
      <c r="K863" s="1"/>
      <c r="L863" s="1"/>
      <c r="M863" s="1"/>
      <c r="N863" s="1"/>
      <c r="O863" s="1"/>
      <c r="P863" s="1"/>
      <c r="Q863" s="1"/>
      <c r="R863" s="1"/>
      <c r="S863" s="1">
        <f>IFERROR(__xludf.DUMMYFUNCTION("""COMPUTED_VALUE"""),25000.0)</f>
        <v>25000</v>
      </c>
      <c r="T863" s="1"/>
      <c r="U863" s="1"/>
      <c r="V863" s="1"/>
      <c r="W863" s="1"/>
      <c r="X863" s="1"/>
      <c r="Y863" s="1"/>
      <c r="Z863" s="1"/>
      <c r="AA863" s="1"/>
      <c r="AB863" s="1"/>
      <c r="AC863" s="1"/>
      <c r="AD863" s="1"/>
      <c r="AE863" s="1"/>
      <c r="AF863" s="1" t="str">
        <f>IFERROR(__xludf.DUMMYFUNCTION("""COMPUTED_VALUE"""),"++15000 ATK and ACC ++X4 Knife and Boomerang damage")</f>
        <v>++15000 ATK and ACC ++X4 Knife and Boomerang damage</v>
      </c>
      <c r="AG863" s="1" t="str">
        <f>IFERROR(__xludf.DUMMYFUNCTION("""COMPUTED_VALUE"""),"Dragonscale Island")</f>
        <v>Dragonscale Island</v>
      </c>
      <c r="AH863" s="1" t="b">
        <f>IFERROR(__xludf.DUMMYFUNCTION("""COMPUTED_VALUE"""),FALSE)</f>
        <v>0</v>
      </c>
    </row>
    <row r="864">
      <c r="A864" s="1" t="str">
        <f>IFERROR(__xludf.DUMMYFUNCTION("""COMPUTED_VALUE"""),"Iguanian Assassin's Boots")</f>
        <v>Iguanian Assassin's Boots</v>
      </c>
      <c r="B864" s="1" t="str">
        <f>IFERROR(__xludf.DUMMYFUNCTION("""COMPUTED_VALUE"""),"Feet")</f>
        <v>Feet</v>
      </c>
      <c r="C864" s="1"/>
      <c r="D864" s="1" t="str">
        <f>IFERROR(__xludf.DUMMYFUNCTION("""COMPUTED_VALUE"""),"Item")</f>
        <v>Item</v>
      </c>
      <c r="E864" s="1">
        <f>IFERROR(__xludf.DUMMYFUNCTION("""COMPUTED_VALUE"""),2000.0)</f>
        <v>2000</v>
      </c>
      <c r="F864" s="2">
        <f>IFERROR(__xludf.DUMMYFUNCTION("""COMPUTED_VALUE"""),1.99E8)</f>
        <v>199000000</v>
      </c>
      <c r="G864" s="1" t="str">
        <f>IFERROR(__xludf.DUMMYFUNCTION("""COMPUTED_VALUE"""),"DEF")</f>
        <v>DEF</v>
      </c>
      <c r="H864" s="1">
        <f>IFERROR(__xludf.DUMMYFUNCTION("""COMPUTED_VALUE"""),75000.0)</f>
        <v>75000</v>
      </c>
      <c r="I864" s="1"/>
      <c r="J864" s="1"/>
      <c r="K864" s="1"/>
      <c r="L864" s="1"/>
      <c r="M864" s="1"/>
      <c r="N864" s="1"/>
      <c r="O864" s="1"/>
      <c r="P864" s="1"/>
      <c r="Q864" s="1"/>
      <c r="R864" s="1"/>
      <c r="S864" s="1">
        <f>IFERROR(__xludf.DUMMYFUNCTION("""COMPUTED_VALUE"""),25000.0)</f>
        <v>25000</v>
      </c>
      <c r="T864" s="1"/>
      <c r="U864" s="1"/>
      <c r="V864" s="1"/>
      <c r="W864" s="1"/>
      <c r="X864" s="1"/>
      <c r="Y864" s="1"/>
      <c r="Z864" s="1"/>
      <c r="AA864" s="1"/>
      <c r="AB864" s="1"/>
      <c r="AC864" s="1"/>
      <c r="AD864" s="1"/>
      <c r="AE864" s="1"/>
      <c r="AF864" s="1" t="str">
        <f>IFERROR(__xludf.DUMMYFUNCTION("""COMPUTED_VALUE"""),"++15000 ATK and ACC ++X4 Knife and Boomerang damage")</f>
        <v>++15000 ATK and ACC ++X4 Knife and Boomerang damage</v>
      </c>
      <c r="AG864" s="1" t="str">
        <f>IFERROR(__xludf.DUMMYFUNCTION("""COMPUTED_VALUE"""),"Dragonscale Island")</f>
        <v>Dragonscale Island</v>
      </c>
      <c r="AH864" s="1" t="b">
        <f>IFERROR(__xludf.DUMMYFUNCTION("""COMPUTED_VALUE"""),FALSE)</f>
        <v>0</v>
      </c>
    </row>
    <row r="865">
      <c r="A865" s="1" t="str">
        <f>IFERROR(__xludf.DUMMYFUNCTION("""COMPUTED_VALUE"""),"Iguanian Assassin's Chakram")</f>
        <v>Iguanian Assassin's Chakram</v>
      </c>
      <c r="B865" s="1" t="str">
        <f>IFERROR(__xludf.DUMMYFUNCTION("""COMPUTED_VALUE"""),"Hand")</f>
        <v>Hand</v>
      </c>
      <c r="C865" s="1"/>
      <c r="D865" s="1" t="str">
        <f>IFERROR(__xludf.DUMMYFUNCTION("""COMPUTED_VALUE"""),"Boomerang")</f>
        <v>Boomerang</v>
      </c>
      <c r="E865" s="1">
        <f>IFERROR(__xludf.DUMMYFUNCTION("""COMPUTED_VALUE"""),3000.0)</f>
        <v>3000</v>
      </c>
      <c r="F865" s="2">
        <f>IFERROR(__xludf.DUMMYFUNCTION("""COMPUTED_VALUE"""),4.485E8)</f>
        <v>448500000</v>
      </c>
      <c r="G865" s="1" t="str">
        <f>IFERROR(__xludf.DUMMYFUNCTION("""COMPUTED_VALUE"""),"DMG")</f>
        <v>DMG</v>
      </c>
      <c r="H865" s="1">
        <f>IFERROR(__xludf.DUMMYFUNCTION("""COMPUTED_VALUE"""),100000.0)</f>
        <v>100000</v>
      </c>
      <c r="I865" s="1"/>
      <c r="J865" s="1"/>
      <c r="K865" s="1"/>
      <c r="L865" s="1"/>
      <c r="M865" s="1"/>
      <c r="N865" s="1"/>
      <c r="O865" s="1"/>
      <c r="P865" s="1"/>
      <c r="Q865" s="1"/>
      <c r="R865" s="1"/>
      <c r="S865" s="1">
        <f>IFERROR(__xludf.DUMMYFUNCTION("""COMPUTED_VALUE"""),50000.0)</f>
        <v>50000</v>
      </c>
      <c r="T865" s="1"/>
      <c r="U865" s="1"/>
      <c r="V865" s="1"/>
      <c r="W865" s="1"/>
      <c r="X865" s="1"/>
      <c r="Y865" s="1"/>
      <c r="Z865" s="1"/>
      <c r="AA865" s="1"/>
      <c r="AB865" s="1"/>
      <c r="AC865" s="1"/>
      <c r="AD865" s="1"/>
      <c r="AE865" s="1"/>
      <c r="AF865" s="1" t="str">
        <f>IFERROR(__xludf.DUMMYFUNCTION("""COMPUTED_VALUE"""),"++Increases the weapon effect chance by 10%")</f>
        <v>++Increases the weapon effect chance by 10%</v>
      </c>
      <c r="AG865" s="1" t="str">
        <f>IFERROR(__xludf.DUMMYFUNCTION("""COMPUTED_VALUE"""),"Dragonscale Island")</f>
        <v>Dragonscale Island</v>
      </c>
      <c r="AH865" s="1" t="b">
        <f>IFERROR(__xludf.DUMMYFUNCTION("""COMPUTED_VALUE"""),FALSE)</f>
        <v>0</v>
      </c>
    </row>
    <row r="866">
      <c r="A866" s="1" t="str">
        <f>IFERROR(__xludf.DUMMYFUNCTION("""COMPUTED_VALUE"""),"Iguanian Assassin's Slicer")</f>
        <v>Iguanian Assassin's Slicer</v>
      </c>
      <c r="B866" s="1" t="str">
        <f>IFERROR(__xludf.DUMMYFUNCTION("""COMPUTED_VALUE"""),"Hand")</f>
        <v>Hand</v>
      </c>
      <c r="C866" s="1"/>
      <c r="D866" s="1" t="str">
        <f>IFERROR(__xludf.DUMMYFUNCTION("""COMPUTED_VALUE"""),"Knife")</f>
        <v>Knife</v>
      </c>
      <c r="E866" s="1">
        <f>IFERROR(__xludf.DUMMYFUNCTION("""COMPUTED_VALUE"""),3000.0)</f>
        <v>3000</v>
      </c>
      <c r="F866" s="2">
        <f>IFERROR(__xludf.DUMMYFUNCTION("""COMPUTED_VALUE"""),4.485E8)</f>
        <v>448500000</v>
      </c>
      <c r="G866" s="1" t="str">
        <f>IFERROR(__xludf.DUMMYFUNCTION("""COMPUTED_VALUE"""),"DMG")</f>
        <v>DMG</v>
      </c>
      <c r="H866" s="1">
        <f>IFERROR(__xludf.DUMMYFUNCTION("""COMPUTED_VALUE"""),100000.0)</f>
        <v>100000</v>
      </c>
      <c r="I866" s="1"/>
      <c r="J866" s="1"/>
      <c r="K866" s="1"/>
      <c r="L866" s="1"/>
      <c r="M866" s="1"/>
      <c r="N866" s="1"/>
      <c r="O866" s="1"/>
      <c r="P866" s="1"/>
      <c r="Q866" s="1"/>
      <c r="R866" s="1"/>
      <c r="S866" s="1">
        <f>IFERROR(__xludf.DUMMYFUNCTION("""COMPUTED_VALUE"""),50000.0)</f>
        <v>50000</v>
      </c>
      <c r="T866" s="1"/>
      <c r="U866" s="1"/>
      <c r="V866" s="1"/>
      <c r="W866" s="1"/>
      <c r="X866" s="1"/>
      <c r="Y866" s="1"/>
      <c r="Z866" s="1"/>
      <c r="AA866" s="1"/>
      <c r="AB866" s="1"/>
      <c r="AC866" s="1"/>
      <c r="AD866" s="1"/>
      <c r="AE866" s="1"/>
      <c r="AF866" s="1" t="str">
        <f>IFERROR(__xludf.DUMMYFUNCTION("""COMPUTED_VALUE"""),"++Guarantees the Bleed effect of the knife weapon type and doubles the bleed caused +-Cannot be Forged")</f>
        <v>++Guarantees the Bleed effect of the knife weapon type and doubles the bleed caused +-Cannot be Forged</v>
      </c>
      <c r="AG866" s="1" t="str">
        <f>IFERROR(__xludf.DUMMYFUNCTION("""COMPUTED_VALUE"""),"Dragonscale Island")</f>
        <v>Dragonscale Island</v>
      </c>
      <c r="AH866" s="1" t="b">
        <f>IFERROR(__xludf.DUMMYFUNCTION("""COMPUTED_VALUE"""),FALSE)</f>
        <v>0</v>
      </c>
    </row>
    <row r="867">
      <c r="A867" s="1" t="str">
        <f>IFERROR(__xludf.DUMMYFUNCTION("""COMPUTED_VALUE"""),"Wyverntooth Smasher")</f>
        <v>Wyverntooth Smasher</v>
      </c>
      <c r="B867" s="1" t="str">
        <f>IFERROR(__xludf.DUMMYFUNCTION("""COMPUTED_VALUE"""),"Hand")</f>
        <v>Hand</v>
      </c>
      <c r="C867" s="1"/>
      <c r="D867" s="1" t="str">
        <f>IFERROR(__xludf.DUMMYFUNCTION("""COMPUTED_VALUE"""),"Axe")</f>
        <v>Axe</v>
      </c>
      <c r="E867" s="1">
        <f>IFERROR(__xludf.DUMMYFUNCTION("""COMPUTED_VALUE"""),2400.0)</f>
        <v>2400</v>
      </c>
      <c r="F867" s="2">
        <f>IFERROR(__xludf.DUMMYFUNCTION("""COMPUTED_VALUE"""),2.868E8)</f>
        <v>286800000</v>
      </c>
      <c r="G867" s="1" t="str">
        <f>IFERROR(__xludf.DUMMYFUNCTION("""COMPUTED_VALUE"""),"DMG")</f>
        <v>DMG</v>
      </c>
      <c r="H867" s="1">
        <f>IFERROR(__xludf.DUMMYFUNCTION("""COMPUTED_VALUE"""),30000.0)</f>
        <v>30000</v>
      </c>
      <c r="I867" s="1"/>
      <c r="J867" s="1"/>
      <c r="K867" s="1"/>
      <c r="L867" s="1"/>
      <c r="M867" s="1"/>
      <c r="N867" s="1"/>
      <c r="O867" s="1"/>
      <c r="P867" s="1"/>
      <c r="Q867" s="1"/>
      <c r="R867" s="1">
        <f>IFERROR(__xludf.DUMMYFUNCTION("""COMPUTED_VALUE"""),90000.0)</f>
        <v>90000</v>
      </c>
      <c r="S867" s="1"/>
      <c r="T867" s="1"/>
      <c r="U867" s="1"/>
      <c r="V867" s="1"/>
      <c r="W867" s="1"/>
      <c r="X867" s="1"/>
      <c r="Y867" s="1"/>
      <c r="Z867" s="1"/>
      <c r="AA867" s="1"/>
      <c r="AB867" s="1"/>
      <c r="AC867" s="1"/>
      <c r="AD867" s="1"/>
      <c r="AE867" s="1"/>
      <c r="AF867" s="1"/>
      <c r="AG867" s="1" t="str">
        <f>IFERROR(__xludf.DUMMYFUNCTION("""COMPUTED_VALUE"""),"Dragonscale Island")</f>
        <v>Dragonscale Island</v>
      </c>
      <c r="AH867" s="1" t="b">
        <f>IFERROR(__xludf.DUMMYFUNCTION("""COMPUTED_VALUE"""),FALSE)</f>
        <v>0</v>
      </c>
    </row>
    <row r="868">
      <c r="A868" s="1" t="str">
        <f>IFERROR(__xludf.DUMMYFUNCTION("""COMPUTED_VALUE"""),"Wyvernblade")</f>
        <v>Wyvernblade</v>
      </c>
      <c r="B868" s="1" t="str">
        <f>IFERROR(__xludf.DUMMYFUNCTION("""COMPUTED_VALUE"""),"Hand")</f>
        <v>Hand</v>
      </c>
      <c r="C868" s="1"/>
      <c r="D868" s="1" t="str">
        <f>IFERROR(__xludf.DUMMYFUNCTION("""COMPUTED_VALUE"""),"Knife")</f>
        <v>Knife</v>
      </c>
      <c r="E868" s="1">
        <f>IFERROR(__xludf.DUMMYFUNCTION("""COMPUTED_VALUE"""),2600.0)</f>
        <v>2600</v>
      </c>
      <c r="F868" s="2">
        <f>IFERROR(__xludf.DUMMYFUNCTION("""COMPUTED_VALUE"""),3.367E8)</f>
        <v>336700000</v>
      </c>
      <c r="G868" s="1" t="str">
        <f>IFERROR(__xludf.DUMMYFUNCTION("""COMPUTED_VALUE"""),"DMG")</f>
        <v>DMG</v>
      </c>
      <c r="H868" s="1"/>
      <c r="I868" s="1"/>
      <c r="J868" s="1"/>
      <c r="K868" s="1"/>
      <c r="L868" s="1"/>
      <c r="M868" s="1"/>
      <c r="N868" s="1"/>
      <c r="O868" s="1"/>
      <c r="P868" s="1"/>
      <c r="Q868" s="1"/>
      <c r="R868" s="1"/>
      <c r="S868" s="1"/>
      <c r="T868" s="1">
        <f>IFERROR(__xludf.DUMMYFUNCTION("""COMPUTED_VALUE"""),130000.0)</f>
        <v>130000</v>
      </c>
      <c r="U868" s="1"/>
      <c r="V868" s="1"/>
      <c r="W868" s="1"/>
      <c r="X868" s="1"/>
      <c r="Y868" s="1"/>
      <c r="Z868" s="1"/>
      <c r="AA868" s="1"/>
      <c r="AB868" s="1"/>
      <c r="AC868" s="1"/>
      <c r="AD868" s="1"/>
      <c r="AE868" s="1"/>
      <c r="AF868" s="1"/>
      <c r="AG868" s="1" t="str">
        <f>IFERROR(__xludf.DUMMYFUNCTION("""COMPUTED_VALUE"""),"Dragonscale Island")</f>
        <v>Dragonscale Island</v>
      </c>
      <c r="AH868" s="1" t="b">
        <f>IFERROR(__xludf.DUMMYFUNCTION("""COMPUTED_VALUE"""),FALSE)</f>
        <v>0</v>
      </c>
    </row>
    <row r="869">
      <c r="A869" s="1" t="str">
        <f>IFERROR(__xludf.DUMMYFUNCTION("""COMPUTED_VALUE"""),"Wyvernscale Ring")</f>
        <v>Wyvernscale Ring</v>
      </c>
      <c r="B869" s="1" t="str">
        <f>IFERROR(__xludf.DUMMYFUNCTION("""COMPUTED_VALUE"""),"Finger")</f>
        <v>Finger</v>
      </c>
      <c r="C869" s="1"/>
      <c r="D869" s="1" t="str">
        <f>IFERROR(__xludf.DUMMYFUNCTION("""COMPUTED_VALUE"""),"Item")</f>
        <v>Item</v>
      </c>
      <c r="E869" s="1">
        <f>IFERROR(__xludf.DUMMYFUNCTION("""COMPUTED_VALUE"""),2000.0)</f>
        <v>2000</v>
      </c>
      <c r="F869" s="2">
        <f>IFERROR(__xludf.DUMMYFUNCTION("""COMPUTED_VALUE"""),1.99E8)</f>
        <v>199000000</v>
      </c>
      <c r="G869" s="1" t="str">
        <f>IFERROR(__xludf.DUMMYFUNCTION("""COMPUTED_VALUE"""),"DEF")</f>
        <v>DEF</v>
      </c>
      <c r="H869" s="1"/>
      <c r="I869" s="1"/>
      <c r="J869" s="1"/>
      <c r="K869" s="1"/>
      <c r="L869" s="1"/>
      <c r="M869" s="1"/>
      <c r="N869" s="1"/>
      <c r="O869" s="1"/>
      <c r="P869" s="1"/>
      <c r="Q869" s="1"/>
      <c r="R869" s="1"/>
      <c r="S869" s="1"/>
      <c r="T869" s="1">
        <f>IFERROR(__xludf.DUMMYFUNCTION("""COMPUTED_VALUE"""),100000.0)</f>
        <v>100000</v>
      </c>
      <c r="U869" s="1"/>
      <c r="V869" s="1"/>
      <c r="W869" s="1"/>
      <c r="X869" s="1"/>
      <c r="Y869" s="1"/>
      <c r="Z869" s="1"/>
      <c r="AA869" s="1"/>
      <c r="AB869" s="1"/>
      <c r="AC869" s="1"/>
      <c r="AD869" s="1"/>
      <c r="AE869" s="1"/>
      <c r="AF869" s="1" t="str">
        <f>IFERROR(__xludf.DUMMYFUNCTION("""COMPUTED_VALUE"""),"++50% chance to negate any damage from a wyvern +-Cannot be forged or duplicated")</f>
        <v>++50% chance to negate any damage from a wyvern +-Cannot be forged or duplicated</v>
      </c>
      <c r="AG869" s="1" t="str">
        <f>IFERROR(__xludf.DUMMYFUNCTION("""COMPUTED_VALUE"""),"Dragonscale Island")</f>
        <v>Dragonscale Island</v>
      </c>
      <c r="AH869" s="1" t="b">
        <f>IFERROR(__xludf.DUMMYFUNCTION("""COMPUTED_VALUE"""),FALSE)</f>
        <v>0</v>
      </c>
    </row>
    <row r="870">
      <c r="A870" s="1" t="str">
        <f>IFERROR(__xludf.DUMMYFUNCTION("""COMPUTED_VALUE"""),"Wyvern Hood")</f>
        <v>Wyvern Hood</v>
      </c>
      <c r="B870" s="1" t="str">
        <f>IFERROR(__xludf.DUMMYFUNCTION("""COMPUTED_VALUE"""),"Head")</f>
        <v>Head</v>
      </c>
      <c r="C870" s="1"/>
      <c r="D870" s="1" t="str">
        <f>IFERROR(__xludf.DUMMYFUNCTION("""COMPUTED_VALUE"""),"Item")</f>
        <v>Item</v>
      </c>
      <c r="E870" s="1">
        <f>IFERROR(__xludf.DUMMYFUNCTION("""COMPUTED_VALUE"""),1.0)</f>
        <v>1</v>
      </c>
      <c r="F870" s="2">
        <f>IFERROR(__xludf.DUMMYFUNCTION("""COMPUTED_VALUE"""),0.0)</f>
        <v>0</v>
      </c>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t="str">
        <f>IFERROR(__xludf.DUMMYFUNCTION("""COMPUTED_VALUE"""),"++When in a party of 4 or more, enemy wyverns cannot target the wearer +-Cannot be forged or duplicated")</f>
        <v>++When in a party of 4 or more, enemy wyverns cannot target the wearer +-Cannot be forged or duplicated</v>
      </c>
      <c r="AG870" s="1" t="str">
        <f>IFERROR(__xludf.DUMMYFUNCTION("""COMPUTED_VALUE"""),"Dragonscale Island")</f>
        <v>Dragonscale Island</v>
      </c>
      <c r="AH870" s="1" t="b">
        <f>IFERROR(__xludf.DUMMYFUNCTION("""COMPUTED_VALUE"""),FALSE)</f>
        <v>0</v>
      </c>
    </row>
    <row r="871">
      <c r="A871" s="1" t="str">
        <f>IFERROR(__xludf.DUMMYFUNCTION("""COMPUTED_VALUE"""),"Wyvernarang")</f>
        <v>Wyvernarang</v>
      </c>
      <c r="B871" s="1" t="str">
        <f>IFERROR(__xludf.DUMMYFUNCTION("""COMPUTED_VALUE"""),"Hand")</f>
        <v>Hand</v>
      </c>
      <c r="C871" s="1"/>
      <c r="D871" s="1" t="str">
        <f>IFERROR(__xludf.DUMMYFUNCTION("""COMPUTED_VALUE"""),"Boomerang")</f>
        <v>Boomerang</v>
      </c>
      <c r="E871" s="1">
        <f>IFERROR(__xludf.DUMMYFUNCTION("""COMPUTED_VALUE"""),3000.0)</f>
        <v>3000</v>
      </c>
      <c r="F871" s="2">
        <f>IFERROR(__xludf.DUMMYFUNCTION("""COMPUTED_VALUE"""),4.485E8)</f>
        <v>448500000</v>
      </c>
      <c r="G871" s="1" t="str">
        <f>IFERROR(__xludf.DUMMYFUNCTION("""COMPUTED_VALUE"""),"DMG")</f>
        <v>DMG</v>
      </c>
      <c r="H871" s="1">
        <f>IFERROR(__xludf.DUMMYFUNCTION("""COMPUTED_VALUE"""),50000.0)</f>
        <v>50000</v>
      </c>
      <c r="I871" s="1"/>
      <c r="J871" s="1"/>
      <c r="K871" s="1"/>
      <c r="L871" s="1"/>
      <c r="M871" s="1"/>
      <c r="N871" s="1"/>
      <c r="O871" s="1"/>
      <c r="P871" s="1">
        <f>IFERROR(__xludf.DUMMYFUNCTION("""COMPUTED_VALUE"""),50000.0)</f>
        <v>50000</v>
      </c>
      <c r="Q871" s="1"/>
      <c r="R871" s="1">
        <f>IFERROR(__xludf.DUMMYFUNCTION("""COMPUTED_VALUE"""),50000.0)</f>
        <v>50000</v>
      </c>
      <c r="S871" s="1"/>
      <c r="T871" s="1"/>
      <c r="U871" s="1"/>
      <c r="V871" s="1"/>
      <c r="W871" s="1"/>
      <c r="X871" s="1"/>
      <c r="Y871" s="1"/>
      <c r="Z871" s="1"/>
      <c r="AA871" s="1"/>
      <c r="AB871" s="1"/>
      <c r="AC871" s="1"/>
      <c r="AD871" s="1"/>
      <c r="AE871" s="1"/>
      <c r="AF871" s="1"/>
      <c r="AG871" s="1" t="str">
        <f>IFERROR(__xludf.DUMMYFUNCTION("""COMPUTED_VALUE"""),"Dragonscale Island")</f>
        <v>Dragonscale Island</v>
      </c>
      <c r="AH871" s="1" t="b">
        <f>IFERROR(__xludf.DUMMYFUNCTION("""COMPUTED_VALUE"""),FALSE)</f>
        <v>0</v>
      </c>
    </row>
    <row r="872">
      <c r="A872" s="1" t="str">
        <f>IFERROR(__xludf.DUMMYFUNCTION("""COMPUTED_VALUE"""),"Iguanian Assassin's Memento")</f>
        <v>Iguanian Assassin's Memento</v>
      </c>
      <c r="B872" s="1" t="str">
        <f>IFERROR(__xludf.DUMMYFUNCTION("""COMPUTED_VALUE"""),"Neck")</f>
        <v>Neck</v>
      </c>
      <c r="C872" s="1" t="str">
        <f>IFERROR(__xludf.DUMMYFUNCTION("""COMPUTED_VALUE"""),"From this necklace hangs a series of teeth, each one taken from an iguanian assassin's victim.")</f>
        <v>From this necklace hangs a series of teeth, each one taken from an iguanian assassin's victim.</v>
      </c>
      <c r="D872" s="1"/>
      <c r="E872" s="1">
        <f>IFERROR(__xludf.DUMMYFUNCTION("""COMPUTED_VALUE"""),1.0)</f>
        <v>1</v>
      </c>
      <c r="F872" s="2">
        <f>IFERROR(__xludf.DUMMYFUNCTION("""COMPUTED_VALUE"""),0.0)</f>
        <v>0</v>
      </c>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t="str">
        <f>IFERROR(__xludf.DUMMYFUNCTION("""COMPUTED_VALUE"""),"++For every enemy killed with this item equipped +1 permanent ATK (0/100000)")</f>
        <v>++For every enemy killed with this item equipped +1 permanent ATK (0/100000)</v>
      </c>
      <c r="AG872" s="1" t="str">
        <f>IFERROR(__xludf.DUMMYFUNCTION("""COMPUTED_VALUE"""),"Dragonscale Island")</f>
        <v>Dragonscale Island</v>
      </c>
      <c r="AH872" s="1" t="b">
        <f>IFERROR(__xludf.DUMMYFUNCTION("""COMPUTED_VALUE"""),FALSE)</f>
        <v>0</v>
      </c>
    </row>
    <row r="873">
      <c r="A873" s="1" t="str">
        <f>IFERROR(__xludf.DUMMYFUNCTION("""COMPUTED_VALUE"""),"Salamander Boots")</f>
        <v>Salamander Boots</v>
      </c>
      <c r="B873" s="1" t="str">
        <f>IFERROR(__xludf.DUMMYFUNCTION("""COMPUTED_VALUE"""),"Feet")</f>
        <v>Feet</v>
      </c>
      <c r="C873" s="1"/>
      <c r="D873" s="1" t="str">
        <f>IFERROR(__xludf.DUMMYFUNCTION("""COMPUTED_VALUE"""),"Item")</f>
        <v>Item</v>
      </c>
      <c r="E873" s="1">
        <f>IFERROR(__xludf.DUMMYFUNCTION("""COMPUTED_VALUE"""),2000.0)</f>
        <v>2000</v>
      </c>
      <c r="F873" s="2">
        <f>IFERROR(__xludf.DUMMYFUNCTION("""COMPUTED_VALUE"""),1.99E8)</f>
        <v>199000000</v>
      </c>
      <c r="G873" s="1" t="str">
        <f>IFERROR(__xludf.DUMMYFUNCTION("""COMPUTED_VALUE"""),"DEF")</f>
        <v>DEF</v>
      </c>
      <c r="H873" s="1"/>
      <c r="I873" s="1">
        <f>IFERROR(__xludf.DUMMYFUNCTION("""COMPUTED_VALUE"""),100000.0)</f>
        <v>100000</v>
      </c>
      <c r="J873" s="1"/>
      <c r="K873" s="1"/>
      <c r="L873" s="1"/>
      <c r="M873" s="1"/>
      <c r="N873" s="1"/>
      <c r="O873" s="1"/>
      <c r="P873" s="1"/>
      <c r="Q873" s="1"/>
      <c r="R873" s="1"/>
      <c r="S873" s="1"/>
      <c r="T873" s="1"/>
      <c r="U873" s="1"/>
      <c r="V873" s="1"/>
      <c r="W873" s="1"/>
      <c r="X873" s="1"/>
      <c r="Y873" s="1"/>
      <c r="Z873" s="1"/>
      <c r="AA873" s="1"/>
      <c r="AB873" s="1"/>
      <c r="AC873" s="1"/>
      <c r="AD873" s="1"/>
      <c r="AE873" s="1"/>
      <c r="AF873" s="1"/>
      <c r="AG873" s="1" t="str">
        <f>IFERROR(__xludf.DUMMYFUNCTION("""COMPUTED_VALUE"""),"Dragonscale Island")</f>
        <v>Dragonscale Island</v>
      </c>
      <c r="AH873" s="1" t="b">
        <f>IFERROR(__xludf.DUMMYFUNCTION("""COMPUTED_VALUE"""),FALSE)</f>
        <v>0</v>
      </c>
    </row>
    <row r="874">
      <c r="A874" s="1" t="str">
        <f>IFERROR(__xludf.DUMMYFUNCTION("""COMPUTED_VALUE"""),"Salamanderscale Chainmail")</f>
        <v>Salamanderscale Chainmail</v>
      </c>
      <c r="B874" s="1" t="str">
        <f>IFERROR(__xludf.DUMMYFUNCTION("""COMPUTED_VALUE"""),"Torso")</f>
        <v>Torso</v>
      </c>
      <c r="C874" s="1"/>
      <c r="D874" s="1" t="str">
        <f>IFERROR(__xludf.DUMMYFUNCTION("""COMPUTED_VALUE"""),"Item")</f>
        <v>Item</v>
      </c>
      <c r="E874" s="1">
        <f>IFERROR(__xludf.DUMMYFUNCTION("""COMPUTED_VALUE"""),2000.0)</f>
        <v>2000</v>
      </c>
      <c r="F874" s="2">
        <f>IFERROR(__xludf.DUMMYFUNCTION("""COMPUTED_VALUE"""),1.99E8)</f>
        <v>199000000</v>
      </c>
      <c r="G874" s="1" t="str">
        <f>IFERROR(__xludf.DUMMYFUNCTION("""COMPUTED_VALUE"""),"DEF")</f>
        <v>DEF</v>
      </c>
      <c r="H874" s="1"/>
      <c r="I874" s="1">
        <f>IFERROR(__xludf.DUMMYFUNCTION("""COMPUTED_VALUE"""),120000.0)</f>
        <v>120000</v>
      </c>
      <c r="J874" s="1"/>
      <c r="K874" s="1">
        <f>IFERROR(__xludf.DUMMYFUNCTION("""COMPUTED_VALUE"""),-10000.0)</f>
        <v>-10000</v>
      </c>
      <c r="L874" s="1">
        <f>IFERROR(__xludf.DUMMYFUNCTION("""COMPUTED_VALUE"""),-10000.0)</f>
        <v>-10000</v>
      </c>
      <c r="M874" s="1"/>
      <c r="N874" s="1"/>
      <c r="O874" s="1"/>
      <c r="P874" s="1"/>
      <c r="Q874" s="1"/>
      <c r="R874" s="1"/>
      <c r="S874" s="1"/>
      <c r="T874" s="1"/>
      <c r="U874" s="1"/>
      <c r="V874" s="1"/>
      <c r="W874" s="1"/>
      <c r="X874" s="1"/>
      <c r="Y874" s="1"/>
      <c r="Z874" s="1"/>
      <c r="AA874" s="1"/>
      <c r="AB874" s="1"/>
      <c r="AC874" s="1"/>
      <c r="AD874" s="1"/>
      <c r="AE874" s="1"/>
      <c r="AF874" s="1" t="str">
        <f>IFERROR(__xludf.DUMMYFUNCTION("""COMPUTED_VALUE"""),"+-Water and Storm deal additional 20000 damage to the wearer")</f>
        <v>+-Water and Storm deal additional 20000 damage to the wearer</v>
      </c>
      <c r="AG874" s="1" t="str">
        <f>IFERROR(__xludf.DUMMYFUNCTION("""COMPUTED_VALUE"""),"Dragonscale Island")</f>
        <v>Dragonscale Island</v>
      </c>
      <c r="AH874" s="1" t="b">
        <f>IFERROR(__xludf.DUMMYFUNCTION("""COMPUTED_VALUE"""),FALSE)</f>
        <v>0</v>
      </c>
    </row>
    <row r="875">
      <c r="A875" s="1" t="str">
        <f>IFERROR(__xludf.DUMMYFUNCTION("""COMPUTED_VALUE"""),"Iguanian Brawler's Headband")</f>
        <v>Iguanian Brawler's Headband</v>
      </c>
      <c r="B875" s="1" t="str">
        <f>IFERROR(__xludf.DUMMYFUNCTION("""COMPUTED_VALUE"""),"Head")</f>
        <v>Head</v>
      </c>
      <c r="C875" s="1"/>
      <c r="D875" s="1" t="str">
        <f>IFERROR(__xludf.DUMMYFUNCTION("""COMPUTED_VALUE"""),"Item")</f>
        <v>Item</v>
      </c>
      <c r="E875" s="1">
        <f>IFERROR(__xludf.DUMMYFUNCTION("""COMPUTED_VALUE"""),3000.0)</f>
        <v>3000</v>
      </c>
      <c r="F875" s="2">
        <f>IFERROR(__xludf.DUMMYFUNCTION("""COMPUTED_VALUE"""),4.485E8)</f>
        <v>448500000</v>
      </c>
      <c r="G875" s="1" t="str">
        <f>IFERROR(__xludf.DUMMYFUNCTION("""COMPUTED_VALUE"""),"DEF")</f>
        <v>DEF</v>
      </c>
      <c r="H875" s="1">
        <f>IFERROR(__xludf.DUMMYFUNCTION("""COMPUTED_VALUE"""),150000.0)</f>
        <v>150000</v>
      </c>
      <c r="I875" s="1"/>
      <c r="J875" s="1"/>
      <c r="K875" s="1">
        <f>IFERROR(__xludf.DUMMYFUNCTION("""COMPUTED_VALUE"""),50000.0)</f>
        <v>50000</v>
      </c>
      <c r="L875" s="1"/>
      <c r="M875" s="1"/>
      <c r="N875" s="1"/>
      <c r="O875" s="1"/>
      <c r="P875" s="1"/>
      <c r="Q875" s="1"/>
      <c r="R875" s="1"/>
      <c r="S875" s="1">
        <f>IFERROR(__xludf.DUMMYFUNCTION("""COMPUTED_VALUE"""),-50000.0)</f>
        <v>-50000</v>
      </c>
      <c r="T875" s="1"/>
      <c r="U875" s="1"/>
      <c r="V875" s="1"/>
      <c r="W875" s="1"/>
      <c r="X875" s="1"/>
      <c r="Y875" s="1"/>
      <c r="Z875" s="1"/>
      <c r="AA875" s="1"/>
      <c r="AB875" s="1"/>
      <c r="AC875" s="1"/>
      <c r="AD875" s="1"/>
      <c r="AE875" s="1"/>
      <c r="AF875" s="1"/>
      <c r="AG875" s="1" t="str">
        <f>IFERROR(__xludf.DUMMYFUNCTION("""COMPUTED_VALUE"""),"Dragonscale Island")</f>
        <v>Dragonscale Island</v>
      </c>
      <c r="AH875" s="1" t="b">
        <f>IFERROR(__xludf.DUMMYFUNCTION("""COMPUTED_VALUE"""),FALSE)</f>
        <v>0</v>
      </c>
    </row>
    <row r="876">
      <c r="A876" s="1" t="str">
        <f>IFERROR(__xludf.DUMMYFUNCTION("""COMPUTED_VALUE"""),"Iguanian Brawler's Cape")</f>
        <v>Iguanian Brawler's Cape</v>
      </c>
      <c r="B876" s="1" t="str">
        <f>IFERROR(__xludf.DUMMYFUNCTION("""COMPUTED_VALUE"""),"Shoulders")</f>
        <v>Shoulders</v>
      </c>
      <c r="C876" s="1"/>
      <c r="D876" s="1" t="str">
        <f>IFERROR(__xludf.DUMMYFUNCTION("""COMPUTED_VALUE"""),"Item")</f>
        <v>Item</v>
      </c>
      <c r="E876" s="1">
        <f>IFERROR(__xludf.DUMMYFUNCTION("""COMPUTED_VALUE"""),3000.0)</f>
        <v>3000</v>
      </c>
      <c r="F876" s="2">
        <f>IFERROR(__xludf.DUMMYFUNCTION("""COMPUTED_VALUE"""),4.485E8)</f>
        <v>448500000</v>
      </c>
      <c r="G876" s="1" t="str">
        <f>IFERROR(__xludf.DUMMYFUNCTION("""COMPUTED_VALUE"""),"DEF")</f>
        <v>DEF</v>
      </c>
      <c r="H876" s="1">
        <f>IFERROR(__xludf.DUMMYFUNCTION("""COMPUTED_VALUE"""),150000.0)</f>
        <v>150000</v>
      </c>
      <c r="I876" s="1"/>
      <c r="J876" s="1"/>
      <c r="K876" s="1">
        <f>IFERROR(__xludf.DUMMYFUNCTION("""COMPUTED_VALUE"""),50000.0)</f>
        <v>50000</v>
      </c>
      <c r="L876" s="1"/>
      <c r="M876" s="1"/>
      <c r="N876" s="1"/>
      <c r="O876" s="1"/>
      <c r="P876" s="1"/>
      <c r="Q876" s="1"/>
      <c r="R876" s="1"/>
      <c r="S876" s="1">
        <f>IFERROR(__xludf.DUMMYFUNCTION("""COMPUTED_VALUE"""),-50000.0)</f>
        <v>-50000</v>
      </c>
      <c r="T876" s="1"/>
      <c r="U876" s="1"/>
      <c r="V876" s="1"/>
      <c r="W876" s="1"/>
      <c r="X876" s="1"/>
      <c r="Y876" s="1"/>
      <c r="Z876" s="1"/>
      <c r="AA876" s="1"/>
      <c r="AB876" s="1"/>
      <c r="AC876" s="1"/>
      <c r="AD876" s="1"/>
      <c r="AE876" s="1"/>
      <c r="AF876" s="1"/>
      <c r="AG876" s="1" t="str">
        <f>IFERROR(__xludf.DUMMYFUNCTION("""COMPUTED_VALUE"""),"Dragonscale Island")</f>
        <v>Dragonscale Island</v>
      </c>
      <c r="AH876" s="1" t="b">
        <f>IFERROR(__xludf.DUMMYFUNCTION("""COMPUTED_VALUE"""),FALSE)</f>
        <v>0</v>
      </c>
    </row>
    <row r="877">
      <c r="A877" s="1" t="str">
        <f>IFERROR(__xludf.DUMMYFUNCTION("""COMPUTED_VALUE"""),"Iguanian Brawler's Sash")</f>
        <v>Iguanian Brawler's Sash</v>
      </c>
      <c r="B877" s="1" t="str">
        <f>IFERROR(__xludf.DUMMYFUNCTION("""COMPUTED_VALUE"""),"Torso")</f>
        <v>Torso</v>
      </c>
      <c r="C877" s="1"/>
      <c r="D877" s="1" t="str">
        <f>IFERROR(__xludf.DUMMYFUNCTION("""COMPUTED_VALUE"""),"Item")</f>
        <v>Item</v>
      </c>
      <c r="E877" s="1">
        <f>IFERROR(__xludf.DUMMYFUNCTION("""COMPUTED_VALUE"""),3000.0)</f>
        <v>3000</v>
      </c>
      <c r="F877" s="2">
        <f>IFERROR(__xludf.DUMMYFUNCTION("""COMPUTED_VALUE"""),4.485E8)</f>
        <v>448500000</v>
      </c>
      <c r="G877" s="1" t="str">
        <f>IFERROR(__xludf.DUMMYFUNCTION("""COMPUTED_VALUE"""),"DEF")</f>
        <v>DEF</v>
      </c>
      <c r="H877" s="1">
        <f>IFERROR(__xludf.DUMMYFUNCTION("""COMPUTED_VALUE"""),150000.0)</f>
        <v>150000</v>
      </c>
      <c r="I877" s="1"/>
      <c r="J877" s="1"/>
      <c r="K877" s="1">
        <f>IFERROR(__xludf.DUMMYFUNCTION("""COMPUTED_VALUE"""),50000.0)</f>
        <v>50000</v>
      </c>
      <c r="L877" s="1"/>
      <c r="M877" s="1"/>
      <c r="N877" s="1"/>
      <c r="O877" s="1"/>
      <c r="P877" s="1"/>
      <c r="Q877" s="1"/>
      <c r="R877" s="1"/>
      <c r="S877" s="1">
        <f>IFERROR(__xludf.DUMMYFUNCTION("""COMPUTED_VALUE"""),-50000.0)</f>
        <v>-50000</v>
      </c>
      <c r="T877" s="1"/>
      <c r="U877" s="1"/>
      <c r="V877" s="1"/>
      <c r="W877" s="1"/>
      <c r="X877" s="1"/>
      <c r="Y877" s="1"/>
      <c r="Z877" s="1"/>
      <c r="AA877" s="1"/>
      <c r="AB877" s="1"/>
      <c r="AC877" s="1"/>
      <c r="AD877" s="1"/>
      <c r="AE877" s="1"/>
      <c r="AF877" s="1"/>
      <c r="AG877" s="1" t="str">
        <f>IFERROR(__xludf.DUMMYFUNCTION("""COMPUTED_VALUE"""),"Dragonscale Island")</f>
        <v>Dragonscale Island</v>
      </c>
      <c r="AH877" s="1" t="b">
        <f>IFERROR(__xludf.DUMMYFUNCTION("""COMPUTED_VALUE"""),FALSE)</f>
        <v>0</v>
      </c>
    </row>
    <row r="878">
      <c r="A878" s="1" t="str">
        <f>IFERROR(__xludf.DUMMYFUNCTION("""COMPUTED_VALUE"""),"Iguanian Brawler's Arm Wraps")</f>
        <v>Iguanian Brawler's Arm Wraps</v>
      </c>
      <c r="B878" s="1" t="str">
        <f>IFERROR(__xludf.DUMMYFUNCTION("""COMPUTED_VALUE"""),"Arms")</f>
        <v>Arms</v>
      </c>
      <c r="C878" s="1"/>
      <c r="D878" s="1" t="str">
        <f>IFERROR(__xludf.DUMMYFUNCTION("""COMPUTED_VALUE"""),"Item")</f>
        <v>Item</v>
      </c>
      <c r="E878" s="1">
        <f>IFERROR(__xludf.DUMMYFUNCTION("""COMPUTED_VALUE"""),3000.0)</f>
        <v>3000</v>
      </c>
      <c r="F878" s="2">
        <f>IFERROR(__xludf.DUMMYFUNCTION("""COMPUTED_VALUE"""),4.485E8)</f>
        <v>448500000</v>
      </c>
      <c r="G878" s="1" t="str">
        <f>IFERROR(__xludf.DUMMYFUNCTION("""COMPUTED_VALUE"""),"DEF")</f>
        <v>DEF</v>
      </c>
      <c r="H878" s="1">
        <f>IFERROR(__xludf.DUMMYFUNCTION("""COMPUTED_VALUE"""),150000.0)</f>
        <v>150000</v>
      </c>
      <c r="I878" s="1"/>
      <c r="J878" s="1"/>
      <c r="K878" s="1">
        <f>IFERROR(__xludf.DUMMYFUNCTION("""COMPUTED_VALUE"""),50000.0)</f>
        <v>50000</v>
      </c>
      <c r="L878" s="1"/>
      <c r="M878" s="1"/>
      <c r="N878" s="1"/>
      <c r="O878" s="1"/>
      <c r="P878" s="1"/>
      <c r="Q878" s="1"/>
      <c r="R878" s="1"/>
      <c r="S878" s="1">
        <f>IFERROR(__xludf.DUMMYFUNCTION("""COMPUTED_VALUE"""),-50000.0)</f>
        <v>-50000</v>
      </c>
      <c r="T878" s="1"/>
      <c r="U878" s="1"/>
      <c r="V878" s="1"/>
      <c r="W878" s="1"/>
      <c r="X878" s="1"/>
      <c r="Y878" s="1"/>
      <c r="Z878" s="1"/>
      <c r="AA878" s="1"/>
      <c r="AB878" s="1"/>
      <c r="AC878" s="1"/>
      <c r="AD878" s="1"/>
      <c r="AE878" s="1"/>
      <c r="AF878" s="1"/>
      <c r="AG878" s="1" t="str">
        <f>IFERROR(__xludf.DUMMYFUNCTION("""COMPUTED_VALUE"""),"Dragonscale Island")</f>
        <v>Dragonscale Island</v>
      </c>
      <c r="AH878" s="1" t="b">
        <f>IFERROR(__xludf.DUMMYFUNCTION("""COMPUTED_VALUE"""),FALSE)</f>
        <v>0</v>
      </c>
    </row>
    <row r="879">
      <c r="A879" s="1" t="str">
        <f>IFERROR(__xludf.DUMMYFUNCTION("""COMPUTED_VALUE"""),"Iguanian Brawler's Shorts")</f>
        <v>Iguanian Brawler's Shorts</v>
      </c>
      <c r="B879" s="1" t="str">
        <f>IFERROR(__xludf.DUMMYFUNCTION("""COMPUTED_VALUE"""),"Legs")</f>
        <v>Legs</v>
      </c>
      <c r="C879" s="1"/>
      <c r="D879" s="1" t="str">
        <f>IFERROR(__xludf.DUMMYFUNCTION("""COMPUTED_VALUE"""),"Item")</f>
        <v>Item</v>
      </c>
      <c r="E879" s="1">
        <f>IFERROR(__xludf.DUMMYFUNCTION("""COMPUTED_VALUE"""),3000.0)</f>
        <v>3000</v>
      </c>
      <c r="F879" s="2">
        <f>IFERROR(__xludf.DUMMYFUNCTION("""COMPUTED_VALUE"""),4.485E8)</f>
        <v>448500000</v>
      </c>
      <c r="G879" s="1" t="str">
        <f>IFERROR(__xludf.DUMMYFUNCTION("""COMPUTED_VALUE"""),"DEF")</f>
        <v>DEF</v>
      </c>
      <c r="H879" s="1">
        <f>IFERROR(__xludf.DUMMYFUNCTION("""COMPUTED_VALUE"""),150000.0)</f>
        <v>150000</v>
      </c>
      <c r="I879" s="1"/>
      <c r="J879" s="1"/>
      <c r="K879" s="1">
        <f>IFERROR(__xludf.DUMMYFUNCTION("""COMPUTED_VALUE"""),50000.0)</f>
        <v>50000</v>
      </c>
      <c r="L879" s="1"/>
      <c r="M879" s="1"/>
      <c r="N879" s="1"/>
      <c r="O879" s="1"/>
      <c r="P879" s="1"/>
      <c r="Q879" s="1"/>
      <c r="R879" s="1"/>
      <c r="S879" s="1">
        <f>IFERROR(__xludf.DUMMYFUNCTION("""COMPUTED_VALUE"""),-50000.0)</f>
        <v>-50000</v>
      </c>
      <c r="T879" s="1"/>
      <c r="U879" s="1"/>
      <c r="V879" s="1"/>
      <c r="W879" s="1"/>
      <c r="X879" s="1"/>
      <c r="Y879" s="1"/>
      <c r="Z879" s="1"/>
      <c r="AA879" s="1"/>
      <c r="AB879" s="1"/>
      <c r="AC879" s="1"/>
      <c r="AD879" s="1"/>
      <c r="AE879" s="1"/>
      <c r="AF879" s="1"/>
      <c r="AG879" s="1" t="str">
        <f>IFERROR(__xludf.DUMMYFUNCTION("""COMPUTED_VALUE"""),"Dragonscale Island")</f>
        <v>Dragonscale Island</v>
      </c>
      <c r="AH879" s="1" t="b">
        <f>IFERROR(__xludf.DUMMYFUNCTION("""COMPUTED_VALUE"""),FALSE)</f>
        <v>0</v>
      </c>
    </row>
    <row r="880">
      <c r="A880" s="1" t="str">
        <f>IFERROR(__xludf.DUMMYFUNCTION("""COMPUTED_VALUE"""),"Iguanian Brawler's Sandals")</f>
        <v>Iguanian Brawler's Sandals</v>
      </c>
      <c r="B880" s="1" t="str">
        <f>IFERROR(__xludf.DUMMYFUNCTION("""COMPUTED_VALUE"""),"Feet")</f>
        <v>Feet</v>
      </c>
      <c r="C880" s="1"/>
      <c r="D880" s="1" t="str">
        <f>IFERROR(__xludf.DUMMYFUNCTION("""COMPUTED_VALUE"""),"Item")</f>
        <v>Item</v>
      </c>
      <c r="E880" s="1">
        <f>IFERROR(__xludf.DUMMYFUNCTION("""COMPUTED_VALUE"""),3000.0)</f>
        <v>3000</v>
      </c>
      <c r="F880" s="2">
        <f>IFERROR(__xludf.DUMMYFUNCTION("""COMPUTED_VALUE"""),4.485E8)</f>
        <v>448500000</v>
      </c>
      <c r="G880" s="1" t="str">
        <f>IFERROR(__xludf.DUMMYFUNCTION("""COMPUTED_VALUE"""),"DEF")</f>
        <v>DEF</v>
      </c>
      <c r="H880" s="1">
        <f>IFERROR(__xludf.DUMMYFUNCTION("""COMPUTED_VALUE"""),150000.0)</f>
        <v>150000</v>
      </c>
      <c r="I880" s="1"/>
      <c r="J880" s="1"/>
      <c r="K880" s="1">
        <f>IFERROR(__xludf.DUMMYFUNCTION("""COMPUTED_VALUE"""),50000.0)</f>
        <v>50000</v>
      </c>
      <c r="L880" s="1"/>
      <c r="M880" s="1"/>
      <c r="N880" s="1"/>
      <c r="O880" s="1"/>
      <c r="P880" s="1"/>
      <c r="Q880" s="1"/>
      <c r="R880" s="1"/>
      <c r="S880" s="1">
        <f>IFERROR(__xludf.DUMMYFUNCTION("""COMPUTED_VALUE"""),-50000.0)</f>
        <v>-50000</v>
      </c>
      <c r="T880" s="1"/>
      <c r="U880" s="1"/>
      <c r="V880" s="1"/>
      <c r="W880" s="1"/>
      <c r="X880" s="1"/>
      <c r="Y880" s="1"/>
      <c r="Z880" s="1"/>
      <c r="AA880" s="1"/>
      <c r="AB880" s="1"/>
      <c r="AC880" s="1"/>
      <c r="AD880" s="1"/>
      <c r="AE880" s="1"/>
      <c r="AF880" s="1"/>
      <c r="AG880" s="1" t="str">
        <f>IFERROR(__xludf.DUMMYFUNCTION("""COMPUTED_VALUE"""),"Dragonscale Island")</f>
        <v>Dragonscale Island</v>
      </c>
      <c r="AH880" s="1" t="b">
        <f>IFERROR(__xludf.DUMMYFUNCTION("""COMPUTED_VALUE"""),FALSE)</f>
        <v>0</v>
      </c>
    </row>
    <row r="881">
      <c r="A881" s="1" t="str">
        <f>IFERROR(__xludf.DUMMYFUNCTION("""COMPUTED_VALUE"""),"Iguanian Brawler's Knuckles")</f>
        <v>Iguanian Brawler's Knuckles</v>
      </c>
      <c r="B881" s="1" t="str">
        <f>IFERROR(__xludf.DUMMYFUNCTION("""COMPUTED_VALUE"""),"Hand")</f>
        <v>Hand</v>
      </c>
      <c r="C881" s="1"/>
      <c r="D881" s="1" t="str">
        <f>IFERROR(__xludf.DUMMYFUNCTION("""COMPUTED_VALUE"""),"Gauntlet")</f>
        <v>Gauntlet</v>
      </c>
      <c r="E881" s="1">
        <f>IFERROR(__xludf.DUMMYFUNCTION("""COMPUTED_VALUE"""),3000.0)</f>
        <v>3000</v>
      </c>
      <c r="F881" s="2">
        <f>IFERROR(__xludf.DUMMYFUNCTION("""COMPUTED_VALUE"""),4.485E8)</f>
        <v>448500000</v>
      </c>
      <c r="G881" s="1" t="str">
        <f>IFERROR(__xludf.DUMMYFUNCTION("""COMPUTED_VALUE"""),"DEF")</f>
        <v>DEF</v>
      </c>
      <c r="H881" s="1">
        <f>IFERROR(__xludf.DUMMYFUNCTION("""COMPUTED_VALUE"""),100000.0)</f>
        <v>100000</v>
      </c>
      <c r="I881" s="1"/>
      <c r="J881" s="1"/>
      <c r="K881" s="1">
        <f>IFERROR(__xludf.DUMMYFUNCTION("""COMPUTED_VALUE"""),50000.0)</f>
        <v>50000</v>
      </c>
      <c r="L881" s="1"/>
      <c r="M881" s="1"/>
      <c r="N881" s="1"/>
      <c r="O881" s="1"/>
      <c r="P881" s="1"/>
      <c r="Q881" s="1"/>
      <c r="R881" s="1"/>
      <c r="S881" s="1"/>
      <c r="T881" s="1"/>
      <c r="U881" s="1"/>
      <c r="V881" s="1"/>
      <c r="W881" s="1"/>
      <c r="X881" s="1"/>
      <c r="Y881" s="1"/>
      <c r="Z881" s="1"/>
      <c r="AA881" s="1"/>
      <c r="AB881" s="1"/>
      <c r="AC881" s="1"/>
      <c r="AD881" s="1"/>
      <c r="AE881" s="1"/>
      <c r="AF881" s="1"/>
      <c r="AG881" s="1" t="str">
        <f>IFERROR(__xludf.DUMMYFUNCTION("""COMPUTED_VALUE"""),"Dragonscale Island")</f>
        <v>Dragonscale Island</v>
      </c>
      <c r="AH881" s="1" t="b">
        <f>IFERROR(__xludf.DUMMYFUNCTION("""COMPUTED_VALUE"""),FALSE)</f>
        <v>0</v>
      </c>
    </row>
    <row r="882">
      <c r="A882" s="1" t="str">
        <f>IFERROR(__xludf.DUMMYFUNCTION("""COMPUTED_VALUE"""),"Iguanian Brawler's Ring")</f>
        <v>Iguanian Brawler's Ring</v>
      </c>
      <c r="B882" s="1" t="str">
        <f>IFERROR(__xludf.DUMMYFUNCTION("""COMPUTED_VALUE"""),"Finger")</f>
        <v>Finger</v>
      </c>
      <c r="C882" s="1"/>
      <c r="D882" s="1"/>
      <c r="E882" s="1">
        <f>IFERROR(__xludf.DUMMYFUNCTION("""COMPUTED_VALUE"""),1.0)</f>
        <v>1</v>
      </c>
      <c r="F882" s="2">
        <f>IFERROR(__xludf.DUMMYFUNCTION("""COMPUTED_VALUE"""),0.0)</f>
        <v>0</v>
      </c>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t="str">
        <f>IFERROR(__xludf.DUMMYFUNCTION("""COMPUTED_VALUE"""),"++X10 Natural Attack damage")</f>
        <v>++X10 Natural Attack damage</v>
      </c>
      <c r="AG882" s="1" t="str">
        <f>IFERROR(__xludf.DUMMYFUNCTION("""COMPUTED_VALUE"""),"Dragonscale Island")</f>
        <v>Dragonscale Island</v>
      </c>
      <c r="AH882" s="1" t="b">
        <f>IFERROR(__xludf.DUMMYFUNCTION("""COMPUTED_VALUE"""),FALSE)</f>
        <v>0</v>
      </c>
    </row>
    <row r="883">
      <c r="A883" s="1" t="str">
        <f>IFERROR(__xludf.DUMMYFUNCTION("""COMPUTED_VALUE"""),"Cursed Ring of Sudden Death")</f>
        <v>Cursed Ring of Sudden Death</v>
      </c>
      <c r="B883" s="1" t="str">
        <f>IFERROR(__xludf.DUMMYFUNCTION("""COMPUTED_VALUE"""),"Finger")</f>
        <v>Finger</v>
      </c>
      <c r="C883" s="1"/>
      <c r="D883" s="1" t="str">
        <f>IFERROR(__xludf.DUMMYFUNCTION("""COMPUTED_VALUE"""),"Item")</f>
        <v>Item</v>
      </c>
      <c r="E883" s="1">
        <f>IFERROR(__xludf.DUMMYFUNCTION("""COMPUTED_VALUE"""),1.0)</f>
        <v>1</v>
      </c>
      <c r="F883" s="2">
        <f>IFERROR(__xludf.DUMMYFUNCTION("""COMPUTED_VALUE"""),0.0)</f>
        <v>0</v>
      </c>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t="str">
        <f>IFERROR(__xludf.DUMMYFUNCTION("""COMPUTED_VALUE"""),"++Can be manually activated at the beginning of battle, before turn order is set. When activated, all damage dealt to or by the wearer results in instant death for the battle. +-Cannot be forged or duplicated")</f>
        <v>++Can be manually activated at the beginning of battle, before turn order is set. When activated, all damage dealt to or by the wearer results in instant death for the battle. +-Cannot be forged or duplicated</v>
      </c>
      <c r="AG883" s="1" t="str">
        <f>IFERROR(__xludf.DUMMYFUNCTION("""COMPUTED_VALUE"""),"Dragonscale Island")</f>
        <v>Dragonscale Island</v>
      </c>
      <c r="AH883" s="1" t="b">
        <f>IFERROR(__xludf.DUMMYFUNCTION("""COMPUTED_VALUE"""),FALSE)</f>
        <v>0</v>
      </c>
    </row>
    <row r="884">
      <c r="A884" s="1" t="str">
        <f>IFERROR(__xludf.DUMMYFUNCTION("""COMPUTED_VALUE"""),"Ring of Action")</f>
        <v>Ring of Action</v>
      </c>
      <c r="B884" s="1" t="str">
        <f>IFERROR(__xludf.DUMMYFUNCTION("""COMPUTED_VALUE"""),"Finger")</f>
        <v>Finger</v>
      </c>
      <c r="C884" s="1"/>
      <c r="D884" s="1" t="str">
        <f>IFERROR(__xludf.DUMMYFUNCTION("""COMPUTED_VALUE"""),"Item")</f>
        <v>Item</v>
      </c>
      <c r="E884" s="1">
        <f>IFERROR(__xludf.DUMMYFUNCTION("""COMPUTED_VALUE"""),1.0)</f>
        <v>1</v>
      </c>
      <c r="F884" s="2">
        <f>IFERROR(__xludf.DUMMYFUNCTION("""COMPUTED_VALUE"""),0.0)</f>
        <v>0</v>
      </c>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t="str">
        <f>IFERROR(__xludf.DUMMYFUNCTION("""COMPUTED_VALUE"""),"++10000 SP")</f>
        <v>++10000 SP</v>
      </c>
      <c r="AG884" s="1" t="str">
        <f>IFERROR(__xludf.DUMMYFUNCTION("""COMPUTED_VALUE"""),"Dragonscale Island")</f>
        <v>Dragonscale Island</v>
      </c>
      <c r="AH884" s="1" t="b">
        <f>IFERROR(__xludf.DUMMYFUNCTION("""COMPUTED_VALUE"""),FALSE)</f>
        <v>0</v>
      </c>
    </row>
    <row r="885">
      <c r="A885" s="1" t="str">
        <f>IFERROR(__xludf.DUMMYFUNCTION("""COMPUTED_VALUE"""),"Iguanian Mage Hat")</f>
        <v>Iguanian Mage Hat</v>
      </c>
      <c r="B885" s="1"/>
      <c r="C885" s="1"/>
      <c r="D885" s="1" t="str">
        <f>IFERROR(__xludf.DUMMYFUNCTION("""COMPUTED_VALUE"""),"Item")</f>
        <v>Item</v>
      </c>
      <c r="E885" s="1">
        <f>IFERROR(__xludf.DUMMYFUNCTION("""COMPUTED_VALUE"""),1.0)</f>
        <v>1</v>
      </c>
      <c r="F885" s="2">
        <f>IFERROR(__xludf.DUMMYFUNCTION("""COMPUTED_VALUE"""),0.0)</f>
        <v>0</v>
      </c>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t="str">
        <f>IFERROR(__xludf.DUMMYFUNCTION("""COMPUTED_VALUE"""),"++10000 hp and sp")</f>
        <v>++10000 hp and sp</v>
      </c>
      <c r="AG885" s="1" t="str">
        <f>IFERROR(__xludf.DUMMYFUNCTION("""COMPUTED_VALUE"""),"Dragonscale Island")</f>
        <v>Dragonscale Island</v>
      </c>
      <c r="AH885" s="1" t="b">
        <f>IFERROR(__xludf.DUMMYFUNCTION("""COMPUTED_VALUE"""),FALSE)</f>
        <v>0</v>
      </c>
    </row>
    <row r="886">
      <c r="A886" s="1" t="str">
        <f>IFERROR(__xludf.DUMMYFUNCTION("""COMPUTED_VALUE"""),"Iguanian Mage Robes")</f>
        <v>Iguanian Mage Robes</v>
      </c>
      <c r="B886" s="1"/>
      <c r="C886" s="1"/>
      <c r="D886" s="1" t="str">
        <f>IFERROR(__xludf.DUMMYFUNCTION("""COMPUTED_VALUE"""),"Item")</f>
        <v>Item</v>
      </c>
      <c r="E886" s="1">
        <f>IFERROR(__xludf.DUMMYFUNCTION("""COMPUTED_VALUE"""),1.0)</f>
        <v>1</v>
      </c>
      <c r="F886" s="2">
        <f>IFERROR(__xludf.DUMMYFUNCTION("""COMPUTED_VALUE"""),0.0)</f>
        <v>0</v>
      </c>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t="str">
        <f>IFERROR(__xludf.DUMMYFUNCTION("""COMPUTED_VALUE"""),"++10000 hp and sp")</f>
        <v>++10000 hp and sp</v>
      </c>
      <c r="AG886" s="1" t="str">
        <f>IFERROR(__xludf.DUMMYFUNCTION("""COMPUTED_VALUE"""),"Dragonscale Island")</f>
        <v>Dragonscale Island</v>
      </c>
      <c r="AH886" s="1" t="b">
        <f>IFERROR(__xludf.DUMMYFUNCTION("""COMPUTED_VALUE"""),FALSE)</f>
        <v>0</v>
      </c>
    </row>
    <row r="887">
      <c r="A887" s="1" t="str">
        <f>IFERROR(__xludf.DUMMYFUNCTION("""COMPUTED_VALUE"""),"Iguanian Mage Leggings")</f>
        <v>Iguanian Mage Leggings</v>
      </c>
      <c r="B887" s="1"/>
      <c r="C887" s="1"/>
      <c r="D887" s="1" t="str">
        <f>IFERROR(__xludf.DUMMYFUNCTION("""COMPUTED_VALUE"""),"Item")</f>
        <v>Item</v>
      </c>
      <c r="E887" s="1">
        <f>IFERROR(__xludf.DUMMYFUNCTION("""COMPUTED_VALUE"""),1.0)</f>
        <v>1</v>
      </c>
      <c r="F887" s="2">
        <f>IFERROR(__xludf.DUMMYFUNCTION("""COMPUTED_VALUE"""),0.0)</f>
        <v>0</v>
      </c>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t="str">
        <f>IFERROR(__xludf.DUMMYFUNCTION("""COMPUTED_VALUE"""),"++10000 hp and sp")</f>
        <v>++10000 hp and sp</v>
      </c>
      <c r="AG887" s="1" t="str">
        <f>IFERROR(__xludf.DUMMYFUNCTION("""COMPUTED_VALUE"""),"Dragonscale Island")</f>
        <v>Dragonscale Island</v>
      </c>
      <c r="AH887" s="1" t="b">
        <f>IFERROR(__xludf.DUMMYFUNCTION("""COMPUTED_VALUE"""),FALSE)</f>
        <v>0</v>
      </c>
    </row>
    <row r="888">
      <c r="A888" s="1" t="str">
        <f>IFERROR(__xludf.DUMMYFUNCTION("""COMPUTED_VALUE"""),"Iguanian Mage Pointed Shoes")</f>
        <v>Iguanian Mage Pointed Shoes</v>
      </c>
      <c r="B888" s="1"/>
      <c r="C888" s="1"/>
      <c r="D888" s="1" t="str">
        <f>IFERROR(__xludf.DUMMYFUNCTION("""COMPUTED_VALUE"""),"Item")</f>
        <v>Item</v>
      </c>
      <c r="E888" s="1">
        <f>IFERROR(__xludf.DUMMYFUNCTION("""COMPUTED_VALUE"""),1.0)</f>
        <v>1</v>
      </c>
      <c r="F888" s="2">
        <f>IFERROR(__xludf.DUMMYFUNCTION("""COMPUTED_VALUE"""),0.0)</f>
        <v>0</v>
      </c>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t="str">
        <f>IFERROR(__xludf.DUMMYFUNCTION("""COMPUTED_VALUE"""),"++10000 hp and sp")</f>
        <v>++10000 hp and sp</v>
      </c>
      <c r="AG888" s="1" t="str">
        <f>IFERROR(__xludf.DUMMYFUNCTION("""COMPUTED_VALUE"""),"Dragonscale Island")</f>
        <v>Dragonscale Island</v>
      </c>
      <c r="AH888" s="1" t="b">
        <f>IFERROR(__xludf.DUMMYFUNCTION("""COMPUTED_VALUE"""),FALSE)</f>
        <v>0</v>
      </c>
    </row>
    <row r="889">
      <c r="A889" s="1" t="str">
        <f>IFERROR(__xludf.DUMMYFUNCTION("""COMPUTED_VALUE"""),"Iguanian Mage Staff of Hail")</f>
        <v>Iguanian Mage Staff of Hail</v>
      </c>
      <c r="B889" s="1"/>
      <c r="C889" s="1"/>
      <c r="D889" s="1" t="str">
        <f>IFERROR(__xludf.DUMMYFUNCTION("""COMPUTED_VALUE"""),"Staff")</f>
        <v>Staff</v>
      </c>
      <c r="E889" s="1">
        <f>IFERROR(__xludf.DUMMYFUNCTION("""COMPUTED_VALUE"""),1.0)</f>
        <v>1</v>
      </c>
      <c r="F889" s="2">
        <f>IFERROR(__xludf.DUMMYFUNCTION("""COMPUTED_VALUE"""),0.0)</f>
        <v>0</v>
      </c>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t="str">
        <f>IFERROR(__xludf.DUMMYFUNCTION("""COMPUTED_VALUE"""),"++Iguanian Tidecall: Inflicts 25000XWisdom Water damage on all enemies sp cost: 1000XWisdom sp. ++Iguanian Mage's Staff: X5 to all Water and Storm Damage ")</f>
        <v>++Iguanian Tidecall: Inflicts 25000XWisdom Water damage on all enemies sp cost: 1000XWisdom sp. ++Iguanian Mage's Staff: X5 to all Water and Storm Damage </v>
      </c>
      <c r="AG889" s="1" t="str">
        <f>IFERROR(__xludf.DUMMYFUNCTION("""COMPUTED_VALUE"""),"Dragonscale Island")</f>
        <v>Dragonscale Island</v>
      </c>
      <c r="AH889" s="1" t="b">
        <f>IFERROR(__xludf.DUMMYFUNCTION("""COMPUTED_VALUE"""),FALSE)</f>
        <v>0</v>
      </c>
    </row>
    <row r="890">
      <c r="A890" s="1"/>
      <c r="B890" s="1"/>
      <c r="C890" s="1"/>
      <c r="D890" s="1"/>
      <c r="E890" s="1">
        <f>IFERROR(__xludf.DUMMYFUNCTION("""COMPUTED_VALUE"""),1.0)</f>
        <v>1</v>
      </c>
      <c r="F890" s="2">
        <f>IFERROR(__xludf.DUMMYFUNCTION("""COMPUTED_VALUE"""),0.0)</f>
        <v>0</v>
      </c>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t="str">
        <f>IFERROR(__xludf.DUMMYFUNCTION("""COMPUTED_VALUE"""),"Dragonscale Island")</f>
        <v>Dragonscale Island</v>
      </c>
      <c r="AH890" s="1" t="b">
        <f>IFERROR(__xludf.DUMMYFUNCTION("""COMPUTED_VALUE"""),FALSE)</f>
        <v>0</v>
      </c>
    </row>
    <row r="891">
      <c r="A891" s="1" t="str">
        <f>IFERROR(__xludf.DUMMYFUNCTION("""COMPUTED_VALUE"""),"Blood Finger Ring")</f>
        <v>Blood Finger Ring</v>
      </c>
      <c r="B891" s="1" t="str">
        <f>IFERROR(__xludf.DUMMYFUNCTION("""COMPUTED_VALUE"""),"Finger")</f>
        <v>Finger</v>
      </c>
      <c r="C891" s="1"/>
      <c r="D891" s="1" t="str">
        <f>IFERROR(__xludf.DUMMYFUNCTION("""COMPUTED_VALUE"""),"Item")</f>
        <v>Item</v>
      </c>
      <c r="E891" s="1">
        <f>IFERROR(__xludf.DUMMYFUNCTION("""COMPUTED_VALUE"""),1.0)</f>
        <v>1</v>
      </c>
      <c r="F891" s="2">
        <f>IFERROR(__xludf.DUMMYFUNCTION("""COMPUTED_VALUE"""),0.0)</f>
        <v>0</v>
      </c>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t="str">
        <f>IFERROR(__xludf.DUMMYFUNCTION("""COMPUTED_VALUE"""),"++Once per battle, if HP&lt;110, heal 10000 HP +-Cannot be forged or duplicated")</f>
        <v>++Once per battle, if HP&lt;110, heal 10000 HP +-Cannot be forged or duplicated</v>
      </c>
      <c r="AG891" s="1" t="str">
        <f>IFERROR(__xludf.DUMMYFUNCTION("""COMPUTED_VALUE"""),"Dragonscale Island")</f>
        <v>Dragonscale Island</v>
      </c>
      <c r="AH891" s="1" t="b">
        <f>IFERROR(__xludf.DUMMYFUNCTION("""COMPUTED_VALUE"""),FALSE)</f>
        <v>0</v>
      </c>
    </row>
    <row r="892">
      <c r="A892" s="1" t="str">
        <f>IFERROR(__xludf.DUMMYFUNCTION("""COMPUTED_VALUE"""),"Finger Food Ring")</f>
        <v>Finger Food Ring</v>
      </c>
      <c r="B892" s="1" t="str">
        <f>IFERROR(__xludf.DUMMYFUNCTION("""COMPUTED_VALUE"""),"Finger")</f>
        <v>Finger</v>
      </c>
      <c r="C892" s="1"/>
      <c r="D892" s="1" t="str">
        <f>IFERROR(__xludf.DUMMYFUNCTION("""COMPUTED_VALUE"""),"Item")</f>
        <v>Item</v>
      </c>
      <c r="E892" s="1">
        <f>IFERROR(__xludf.DUMMYFUNCTION("""COMPUTED_VALUE"""),1.0)</f>
        <v>1</v>
      </c>
      <c r="F892" s="2">
        <f>IFERROR(__xludf.DUMMYFUNCTION("""COMPUTED_VALUE"""),0.0)</f>
        <v>0</v>
      </c>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t="str">
        <f>IFERROR(__xludf.DUMMYFUNCTION("""COMPUTED_VALUE"""),"++Once per journey, consume one piece of food without it being removed from inventory +-Cannot be forged or duplicated")</f>
        <v>++Once per journey, consume one piece of food without it being removed from inventory +-Cannot be forged or duplicated</v>
      </c>
      <c r="AG892" s="1" t="str">
        <f>IFERROR(__xludf.DUMMYFUNCTION("""COMPUTED_VALUE"""),"Dragonscale Island")</f>
        <v>Dragonscale Island</v>
      </c>
      <c r="AH892" s="1" t="b">
        <f>IFERROR(__xludf.DUMMYFUNCTION("""COMPUTED_VALUE"""),FALSE)</f>
        <v>0</v>
      </c>
    </row>
    <row r="893">
      <c r="A893" s="1" t="str">
        <f>IFERROR(__xludf.DUMMYFUNCTION("""COMPUTED_VALUE"""),"Ring of Power")</f>
        <v>Ring of Power</v>
      </c>
      <c r="B893" s="1" t="str">
        <f>IFERROR(__xludf.DUMMYFUNCTION("""COMPUTED_VALUE"""),"Finger")</f>
        <v>Finger</v>
      </c>
      <c r="C893" s="1"/>
      <c r="D893" s="1" t="str">
        <f>IFERROR(__xludf.DUMMYFUNCTION("""COMPUTED_VALUE"""),"Item")</f>
        <v>Item</v>
      </c>
      <c r="E893" s="1">
        <f>IFERROR(__xludf.DUMMYFUNCTION("""COMPUTED_VALUE"""),1.0)</f>
        <v>1</v>
      </c>
      <c r="F893" s="2">
        <f>IFERROR(__xludf.DUMMYFUNCTION("""COMPUTED_VALUE"""),0.0)</f>
        <v>0</v>
      </c>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t="str">
        <f>IFERROR(__xludf.DUMMYFUNCTION("""COMPUTED_VALUE"""),"++1500 ATK and ACC")</f>
        <v>++1500 ATK and ACC</v>
      </c>
      <c r="AG893" s="1" t="str">
        <f>IFERROR(__xludf.DUMMYFUNCTION("""COMPUTED_VALUE"""),"Dragonscale Island")</f>
        <v>Dragonscale Island</v>
      </c>
      <c r="AH893" s="1" t="b">
        <f>IFERROR(__xludf.DUMMYFUNCTION("""COMPUTED_VALUE"""),FALSE)</f>
        <v>0</v>
      </c>
    </row>
    <row r="894">
      <c r="A894" s="1" t="str">
        <f>IFERROR(__xludf.DUMMYFUNCTION("""COMPUTED_VALUE"""),"Axe of Red")</f>
        <v>Axe of Red</v>
      </c>
      <c r="B894" s="1" t="str">
        <f>IFERROR(__xludf.DUMMYFUNCTION("""COMPUTED_VALUE"""),"Hand")</f>
        <v>Hand</v>
      </c>
      <c r="C894" s="1"/>
      <c r="D894" s="1" t="str">
        <f>IFERROR(__xludf.DUMMYFUNCTION("""COMPUTED_VALUE"""),"Axe")</f>
        <v>Axe</v>
      </c>
      <c r="E894" s="1">
        <f>IFERROR(__xludf.DUMMYFUNCTION("""COMPUTED_VALUE"""),4500.0)</f>
        <v>4500</v>
      </c>
      <c r="F894" s="2">
        <f>IFERROR(__xludf.DUMMYFUNCTION("""COMPUTED_VALUE"""),1.01025E9)</f>
        <v>1010250000</v>
      </c>
      <c r="G894" s="1" t="str">
        <f>IFERROR(__xludf.DUMMYFUNCTION("""COMPUTED_VALUE"""),"DMG")</f>
        <v>DMG</v>
      </c>
      <c r="H894" s="1"/>
      <c r="I894" s="1">
        <f>IFERROR(__xludf.DUMMYFUNCTION("""COMPUTED_VALUE"""),75000.0)</f>
        <v>75000</v>
      </c>
      <c r="J894" s="1"/>
      <c r="K894" s="1"/>
      <c r="L894" s="1"/>
      <c r="M894" s="1"/>
      <c r="N894" s="1"/>
      <c r="O894" s="1"/>
      <c r="P894" s="1"/>
      <c r="Q894" s="1"/>
      <c r="R894" s="1">
        <f>IFERROR(__xludf.DUMMYFUNCTION("""COMPUTED_VALUE"""),75000.0)</f>
        <v>75000</v>
      </c>
      <c r="S894" s="1"/>
      <c r="T894" s="1"/>
      <c r="U894" s="1"/>
      <c r="V894" s="1"/>
      <c r="W894" s="1"/>
      <c r="X894" s="1"/>
      <c r="Y894" s="1">
        <f>IFERROR(__xludf.DUMMYFUNCTION("""COMPUTED_VALUE"""),75000.0)</f>
        <v>75000</v>
      </c>
      <c r="Z894" s="1"/>
      <c r="AA894" s="1"/>
      <c r="AB894" s="1"/>
      <c r="AC894" s="1"/>
      <c r="AD894" s="1"/>
      <c r="AE894" s="1"/>
      <c r="AF894" s="1"/>
      <c r="AG894" s="1" t="str">
        <f>IFERROR(__xludf.DUMMYFUNCTION("""COMPUTED_VALUE"""),"Dragonscale Island")</f>
        <v>Dragonscale Island</v>
      </c>
      <c r="AH894" s="1" t="b">
        <f>IFERROR(__xludf.DUMMYFUNCTION("""COMPUTED_VALUE"""),FALSE)</f>
        <v>0</v>
      </c>
    </row>
    <row r="895">
      <c r="A895" s="1" t="str">
        <f>IFERROR(__xludf.DUMMYFUNCTION("""COMPUTED_VALUE"""),"Wyrmscale Staff")</f>
        <v>Wyrmscale Staff</v>
      </c>
      <c r="B895" s="1" t="str">
        <f>IFERROR(__xludf.DUMMYFUNCTION("""COMPUTED_VALUE"""),"Hand")</f>
        <v>Hand</v>
      </c>
      <c r="C895" s="1"/>
      <c r="D895" s="1" t="str">
        <f>IFERROR(__xludf.DUMMYFUNCTION("""COMPUTED_VALUE"""),"Staff")</f>
        <v>Staff</v>
      </c>
      <c r="E895" s="1">
        <f>IFERROR(__xludf.DUMMYFUNCTION("""COMPUTED_VALUE"""),1.0)</f>
        <v>1</v>
      </c>
      <c r="F895" s="2">
        <f>IFERROR(__xludf.DUMMYFUNCTION("""COMPUTED_VALUE"""),0.0)</f>
        <v>0</v>
      </c>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t="str">
        <f>IFERROR(__xludf.DUMMYFUNCTION("""COMPUTED_VALUE"""),"++Spells have double effect when cast on dragons +-Cannot be forged or duplicated")</f>
        <v>++Spells have double effect when cast on dragons +-Cannot be forged or duplicated</v>
      </c>
      <c r="AG895" s="1" t="str">
        <f>IFERROR(__xludf.DUMMYFUNCTION("""COMPUTED_VALUE"""),"Dragonscale Island")</f>
        <v>Dragonscale Island</v>
      </c>
      <c r="AH895" s="1" t="b">
        <f>IFERROR(__xludf.DUMMYFUNCTION("""COMPUTED_VALUE"""),FALSE)</f>
        <v>0</v>
      </c>
    </row>
    <row r="896">
      <c r="A896" s="1" t="str">
        <f>IFERROR(__xludf.DUMMYFUNCTION("""COMPUTED_VALUE"""),"Wyrmscale Wand")</f>
        <v>Wyrmscale Wand</v>
      </c>
      <c r="B896" s="1" t="str">
        <f>IFERROR(__xludf.DUMMYFUNCTION("""COMPUTED_VALUE"""),"Hand")</f>
        <v>Hand</v>
      </c>
      <c r="C896" s="1"/>
      <c r="D896" s="1" t="str">
        <f>IFERROR(__xludf.DUMMYFUNCTION("""COMPUTED_VALUE"""),"Wand")</f>
        <v>Wand</v>
      </c>
      <c r="E896" s="1">
        <f>IFERROR(__xludf.DUMMYFUNCTION("""COMPUTED_VALUE"""),1.0)</f>
        <v>1</v>
      </c>
      <c r="F896" s="2">
        <f>IFERROR(__xludf.DUMMYFUNCTION("""COMPUTED_VALUE"""),0.0)</f>
        <v>0</v>
      </c>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t="str">
        <f>IFERROR(__xludf.DUMMYFUNCTION("""COMPUTED_VALUE"""),"++Half the SP/HP cost of spells when in the presence of a dragon +-Cannot be forged or duplicated")</f>
        <v>++Half the SP/HP cost of spells when in the presence of a dragon +-Cannot be forged or duplicated</v>
      </c>
      <c r="AG896" s="1" t="str">
        <f>IFERROR(__xludf.DUMMYFUNCTION("""COMPUTED_VALUE"""),"Dragonscale Island")</f>
        <v>Dragonscale Island</v>
      </c>
      <c r="AH896" s="1" t="b">
        <f>IFERROR(__xludf.DUMMYFUNCTION("""COMPUTED_VALUE"""),FALSE)</f>
        <v>0</v>
      </c>
    </row>
    <row r="897">
      <c r="A897" s="1"/>
      <c r="B897" s="1"/>
      <c r="C897" s="1"/>
      <c r="D897" s="1"/>
      <c r="E897" s="1">
        <f>IFERROR(__xludf.DUMMYFUNCTION("""COMPUTED_VALUE"""),1.0)</f>
        <v>1</v>
      </c>
      <c r="F897" s="2">
        <f>IFERROR(__xludf.DUMMYFUNCTION("""COMPUTED_VALUE"""),0.0)</f>
        <v>0</v>
      </c>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t="b">
        <f>IFERROR(__xludf.DUMMYFUNCTION("""COMPUTED_VALUE"""),FALSE)</f>
        <v>0</v>
      </c>
    </row>
    <row r="898">
      <c r="A898" s="1"/>
      <c r="B898" s="1"/>
      <c r="C898" s="1"/>
      <c r="D898" s="1"/>
      <c r="E898" s="1">
        <f>IFERROR(__xludf.DUMMYFUNCTION("""COMPUTED_VALUE"""),1.0)</f>
        <v>1</v>
      </c>
      <c r="F898" s="2">
        <f>IFERROR(__xludf.DUMMYFUNCTION("""COMPUTED_VALUE"""),0.0)</f>
        <v>0</v>
      </c>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t="b">
        <f>IFERROR(__xludf.DUMMYFUNCTION("""COMPUTED_VALUE"""),FALSE)</f>
        <v>0</v>
      </c>
    </row>
    <row r="899">
      <c r="A899" s="1"/>
      <c r="B899" s="1"/>
      <c r="C899" s="1"/>
      <c r="D899" s="1"/>
      <c r="E899" s="1">
        <f>IFERROR(__xludf.DUMMYFUNCTION("""COMPUTED_VALUE"""),1.0)</f>
        <v>1</v>
      </c>
      <c r="F899" s="2">
        <f>IFERROR(__xludf.DUMMYFUNCTION("""COMPUTED_VALUE"""),0.0)</f>
        <v>0</v>
      </c>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t="b">
        <f>IFERROR(__xludf.DUMMYFUNCTION("""COMPUTED_VALUE"""),FALSE)</f>
        <v>0</v>
      </c>
    </row>
    <row r="900">
      <c r="A900" s="1"/>
      <c r="B900" s="1"/>
      <c r="C900" s="1"/>
      <c r="D900" s="1"/>
      <c r="E900" s="1">
        <f>IFERROR(__xludf.DUMMYFUNCTION("""COMPUTED_VALUE"""),1.0)</f>
        <v>1</v>
      </c>
      <c r="F900" s="2">
        <f>IFERROR(__xludf.DUMMYFUNCTION("""COMPUTED_VALUE"""),0.0)</f>
        <v>0</v>
      </c>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t="b">
        <f>IFERROR(__xludf.DUMMYFUNCTION("""COMPUTED_VALUE"""),FALSE)</f>
        <v>0</v>
      </c>
    </row>
    <row r="901">
      <c r="A901" s="1"/>
      <c r="B901" s="1"/>
      <c r="C901" s="1"/>
      <c r="D901" s="1"/>
      <c r="E901" s="1">
        <f>IFERROR(__xludf.DUMMYFUNCTION("""COMPUTED_VALUE"""),1.0)</f>
        <v>1</v>
      </c>
      <c r="F901" s="2">
        <f>IFERROR(__xludf.DUMMYFUNCTION("""COMPUTED_VALUE"""),0.0)</f>
        <v>0</v>
      </c>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t="b">
        <f>IFERROR(__xludf.DUMMYFUNCTION("""COMPUTED_VALUE"""),FALSE)</f>
        <v>0</v>
      </c>
    </row>
    <row r="902">
      <c r="A902" s="1"/>
      <c r="B902" s="1"/>
      <c r="C902" s="1"/>
      <c r="D902" s="1"/>
      <c r="E902" s="1">
        <f>IFERROR(__xludf.DUMMYFUNCTION("""COMPUTED_VALUE"""),1.0)</f>
        <v>1</v>
      </c>
      <c r="F902" s="2">
        <f>IFERROR(__xludf.DUMMYFUNCTION("""COMPUTED_VALUE"""),0.0)</f>
        <v>0</v>
      </c>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t="b">
        <f>IFERROR(__xludf.DUMMYFUNCTION("""COMPUTED_VALUE"""),FALSE)</f>
        <v>0</v>
      </c>
    </row>
    <row r="903">
      <c r="A903" s="1"/>
      <c r="B903" s="1"/>
      <c r="C903" s="1"/>
      <c r="D903" s="1"/>
      <c r="E903" s="1">
        <f>IFERROR(__xludf.DUMMYFUNCTION("""COMPUTED_VALUE"""),1.0)</f>
        <v>1</v>
      </c>
      <c r="F903" s="2">
        <f>IFERROR(__xludf.DUMMYFUNCTION("""COMPUTED_VALUE"""),0.0)</f>
        <v>0</v>
      </c>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t="b">
        <f>IFERROR(__xludf.DUMMYFUNCTION("""COMPUTED_VALUE"""),FALSE)</f>
        <v>0</v>
      </c>
    </row>
    <row r="904">
      <c r="A904" s="1"/>
      <c r="B904" s="1"/>
      <c r="C904" s="1"/>
      <c r="D904" s="1"/>
      <c r="E904" s="1">
        <f>IFERROR(__xludf.DUMMYFUNCTION("""COMPUTED_VALUE"""),1.0)</f>
        <v>1</v>
      </c>
      <c r="F904" s="2">
        <f>IFERROR(__xludf.DUMMYFUNCTION("""COMPUTED_VALUE"""),0.0)</f>
        <v>0</v>
      </c>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t="b">
        <f>IFERROR(__xludf.DUMMYFUNCTION("""COMPUTED_VALUE"""),FALSE)</f>
        <v>0</v>
      </c>
    </row>
    <row r="905">
      <c r="A905" s="1"/>
      <c r="B905" s="1"/>
      <c r="C905" s="1"/>
      <c r="D905" s="1"/>
      <c r="E905" s="1">
        <f>IFERROR(__xludf.DUMMYFUNCTION("""COMPUTED_VALUE"""),1.0)</f>
        <v>1</v>
      </c>
      <c r="F905" s="2">
        <f>IFERROR(__xludf.DUMMYFUNCTION("""COMPUTED_VALUE"""),0.0)</f>
        <v>0</v>
      </c>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t="b">
        <f>IFERROR(__xludf.DUMMYFUNCTION("""COMPUTED_VALUE"""),FALSE)</f>
        <v>0</v>
      </c>
    </row>
    <row r="906">
      <c r="A906" s="1"/>
      <c r="B906" s="1"/>
      <c r="C906" s="1"/>
      <c r="D906" s="1"/>
      <c r="E906" s="1">
        <f>IFERROR(__xludf.DUMMYFUNCTION("""COMPUTED_VALUE"""),1.0)</f>
        <v>1</v>
      </c>
      <c r="F906" s="2">
        <f>IFERROR(__xludf.DUMMYFUNCTION("""COMPUTED_VALUE"""),0.0)</f>
        <v>0</v>
      </c>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t="b">
        <f>IFERROR(__xludf.DUMMYFUNCTION("""COMPUTED_VALUE"""),FALSE)</f>
        <v>0</v>
      </c>
    </row>
    <row r="907">
      <c r="A907" s="1"/>
      <c r="B907" s="1"/>
      <c r="C907" s="1"/>
      <c r="D907" s="1"/>
      <c r="E907" s="1">
        <f>IFERROR(__xludf.DUMMYFUNCTION("""COMPUTED_VALUE"""),1.0)</f>
        <v>1</v>
      </c>
      <c r="F907" s="2">
        <f>IFERROR(__xludf.DUMMYFUNCTION("""COMPUTED_VALUE"""),0.0)</f>
        <v>0</v>
      </c>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t="b">
        <f>IFERROR(__xludf.DUMMYFUNCTION("""COMPUTED_VALUE"""),FALSE)</f>
        <v>0</v>
      </c>
    </row>
    <row r="908">
      <c r="A908" s="1"/>
      <c r="B908" s="1"/>
      <c r="C908" s="1"/>
      <c r="D908" s="1"/>
      <c r="E908" s="1">
        <f>IFERROR(__xludf.DUMMYFUNCTION("""COMPUTED_VALUE"""),1.0)</f>
        <v>1</v>
      </c>
      <c r="F908" s="2">
        <f>IFERROR(__xludf.DUMMYFUNCTION("""COMPUTED_VALUE"""),0.0)</f>
        <v>0</v>
      </c>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t="b">
        <f>IFERROR(__xludf.DUMMYFUNCTION("""COMPUTED_VALUE"""),FALSE)</f>
        <v>0</v>
      </c>
    </row>
    <row r="909">
      <c r="A909" s="1"/>
      <c r="B909" s="1"/>
      <c r="C909" s="1"/>
      <c r="D909" s="1"/>
      <c r="E909" s="1">
        <f>IFERROR(__xludf.DUMMYFUNCTION("""COMPUTED_VALUE"""),1.0)</f>
        <v>1</v>
      </c>
      <c r="F909" s="2">
        <f>IFERROR(__xludf.DUMMYFUNCTION("""COMPUTED_VALUE"""),0.0)</f>
        <v>0</v>
      </c>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t="b">
        <f>IFERROR(__xludf.DUMMYFUNCTION("""COMPUTED_VALUE"""),FALSE)</f>
        <v>0</v>
      </c>
    </row>
    <row r="910">
      <c r="A910" s="1"/>
      <c r="B910" s="1"/>
      <c r="C910" s="1"/>
      <c r="D910" s="1"/>
      <c r="E910" s="1">
        <f>IFERROR(__xludf.DUMMYFUNCTION("""COMPUTED_VALUE"""),1.0)</f>
        <v>1</v>
      </c>
      <c r="F910" s="2">
        <f>IFERROR(__xludf.DUMMYFUNCTION("""COMPUTED_VALUE"""),0.0)</f>
        <v>0</v>
      </c>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t="b">
        <f>IFERROR(__xludf.DUMMYFUNCTION("""COMPUTED_VALUE"""),FALSE)</f>
        <v>0</v>
      </c>
    </row>
    <row r="911">
      <c r="A911" s="1"/>
      <c r="B911" s="1"/>
      <c r="C911" s="1"/>
      <c r="D911" s="1"/>
      <c r="E911" s="1">
        <f>IFERROR(__xludf.DUMMYFUNCTION("""COMPUTED_VALUE"""),1.0)</f>
        <v>1</v>
      </c>
      <c r="F911" s="2">
        <f>IFERROR(__xludf.DUMMYFUNCTION("""COMPUTED_VALUE"""),0.0)</f>
        <v>0</v>
      </c>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t="b">
        <f>IFERROR(__xludf.DUMMYFUNCTION("""COMPUTED_VALUE"""),FALSE)</f>
        <v>0</v>
      </c>
    </row>
    <row r="912">
      <c r="A912" s="1"/>
      <c r="B912" s="1"/>
      <c r="C912" s="1"/>
      <c r="D912" s="1"/>
      <c r="E912" s="1">
        <f>IFERROR(__xludf.DUMMYFUNCTION("""COMPUTED_VALUE"""),1.0)</f>
        <v>1</v>
      </c>
      <c r="F912" s="2">
        <f>IFERROR(__xludf.DUMMYFUNCTION("""COMPUTED_VALUE"""),0.0)</f>
        <v>0</v>
      </c>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t="b">
        <f>IFERROR(__xludf.DUMMYFUNCTION("""COMPUTED_VALUE"""),FALSE)</f>
        <v>0</v>
      </c>
    </row>
    <row r="913">
      <c r="A913" s="1"/>
      <c r="B913" s="1"/>
      <c r="C913" s="1"/>
      <c r="D913" s="1"/>
      <c r="E913" s="1">
        <f>IFERROR(__xludf.DUMMYFUNCTION("""COMPUTED_VALUE"""),1.0)</f>
        <v>1</v>
      </c>
      <c r="F913" s="2">
        <f>IFERROR(__xludf.DUMMYFUNCTION("""COMPUTED_VALUE"""),0.0)</f>
        <v>0</v>
      </c>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t="b">
        <f>IFERROR(__xludf.DUMMYFUNCTION("""COMPUTED_VALUE"""),FALSE)</f>
        <v>0</v>
      </c>
    </row>
    <row r="914">
      <c r="A914" s="1"/>
      <c r="B914" s="1"/>
      <c r="C914" s="1"/>
      <c r="D914" s="1"/>
      <c r="E914" s="1">
        <f>IFERROR(__xludf.DUMMYFUNCTION("""COMPUTED_VALUE"""),1.0)</f>
        <v>1</v>
      </c>
      <c r="F914" s="2">
        <f>IFERROR(__xludf.DUMMYFUNCTION("""COMPUTED_VALUE"""),0.0)</f>
        <v>0</v>
      </c>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t="b">
        <f>IFERROR(__xludf.DUMMYFUNCTION("""COMPUTED_VALUE"""),FALSE)</f>
        <v>0</v>
      </c>
    </row>
    <row r="915">
      <c r="A915" s="1"/>
      <c r="B915" s="1"/>
      <c r="C915" s="1"/>
      <c r="D915" s="1"/>
      <c r="E915" s="1">
        <f>IFERROR(__xludf.DUMMYFUNCTION("""COMPUTED_VALUE"""),1.0)</f>
        <v>1</v>
      </c>
      <c r="F915" s="2">
        <f>IFERROR(__xludf.DUMMYFUNCTION("""COMPUTED_VALUE"""),0.0)</f>
        <v>0</v>
      </c>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t="b">
        <f>IFERROR(__xludf.DUMMYFUNCTION("""COMPUTED_VALUE"""),FALSE)</f>
        <v>0</v>
      </c>
    </row>
    <row r="916">
      <c r="A916" s="1"/>
      <c r="B916" s="1"/>
      <c r="C916" s="1"/>
      <c r="D916" s="1"/>
      <c r="E916" s="1">
        <f>IFERROR(__xludf.DUMMYFUNCTION("""COMPUTED_VALUE"""),1.0)</f>
        <v>1</v>
      </c>
      <c r="F916" s="2">
        <f>IFERROR(__xludf.DUMMYFUNCTION("""COMPUTED_VALUE"""),0.0)</f>
        <v>0</v>
      </c>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t="b">
        <f>IFERROR(__xludf.DUMMYFUNCTION("""COMPUTED_VALUE"""),FALSE)</f>
        <v>0</v>
      </c>
    </row>
    <row r="917">
      <c r="A917" s="1"/>
      <c r="B917" s="1"/>
      <c r="C917" s="1"/>
      <c r="D917" s="1"/>
      <c r="E917" s="1">
        <f>IFERROR(__xludf.DUMMYFUNCTION("""COMPUTED_VALUE"""),1.0)</f>
        <v>1</v>
      </c>
      <c r="F917" s="2">
        <f>IFERROR(__xludf.DUMMYFUNCTION("""COMPUTED_VALUE"""),0.0)</f>
        <v>0</v>
      </c>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t="b">
        <f>IFERROR(__xludf.DUMMYFUNCTION("""COMPUTED_VALUE"""),FALSE)</f>
        <v>0</v>
      </c>
    </row>
    <row r="918">
      <c r="A918" s="1"/>
      <c r="B918" s="1"/>
      <c r="C918" s="1"/>
      <c r="D918" s="1"/>
      <c r="E918" s="1">
        <f>IFERROR(__xludf.DUMMYFUNCTION("""COMPUTED_VALUE"""),1.0)</f>
        <v>1</v>
      </c>
      <c r="F918" s="2">
        <f>IFERROR(__xludf.DUMMYFUNCTION("""COMPUTED_VALUE"""),0.0)</f>
        <v>0</v>
      </c>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t="b">
        <f>IFERROR(__xludf.DUMMYFUNCTION("""COMPUTED_VALUE"""),FALSE)</f>
        <v>0</v>
      </c>
    </row>
    <row r="919">
      <c r="A919" s="1"/>
      <c r="B919" s="1"/>
      <c r="C919" s="1"/>
      <c r="D919" s="1"/>
      <c r="E919" s="1">
        <f>IFERROR(__xludf.DUMMYFUNCTION("""COMPUTED_VALUE"""),1.0)</f>
        <v>1</v>
      </c>
      <c r="F919" s="2">
        <f>IFERROR(__xludf.DUMMYFUNCTION("""COMPUTED_VALUE"""),0.0)</f>
        <v>0</v>
      </c>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t="b">
        <f>IFERROR(__xludf.DUMMYFUNCTION("""COMPUTED_VALUE"""),FALSE)</f>
        <v>0</v>
      </c>
    </row>
    <row r="920">
      <c r="A920" s="1"/>
      <c r="B920" s="1"/>
      <c r="C920" s="1"/>
      <c r="D920" s="1"/>
      <c r="E920" s="1">
        <f>IFERROR(__xludf.DUMMYFUNCTION("""COMPUTED_VALUE"""),1.0)</f>
        <v>1</v>
      </c>
      <c r="F920" s="2">
        <f>IFERROR(__xludf.DUMMYFUNCTION("""COMPUTED_VALUE"""),0.0)</f>
        <v>0</v>
      </c>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t="b">
        <f>IFERROR(__xludf.DUMMYFUNCTION("""COMPUTED_VALUE"""),FALSE)</f>
        <v>0</v>
      </c>
    </row>
    <row r="921">
      <c r="A921" s="1"/>
      <c r="B921" s="1"/>
      <c r="C921" s="1"/>
      <c r="D921" s="1"/>
      <c r="E921" s="1">
        <f>IFERROR(__xludf.DUMMYFUNCTION("""COMPUTED_VALUE"""),1.0)</f>
        <v>1</v>
      </c>
      <c r="F921" s="2">
        <f>IFERROR(__xludf.DUMMYFUNCTION("""COMPUTED_VALUE"""),0.0)</f>
        <v>0</v>
      </c>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t="b">
        <f>IFERROR(__xludf.DUMMYFUNCTION("""COMPUTED_VALUE"""),FALSE)</f>
        <v>0</v>
      </c>
    </row>
    <row r="922">
      <c r="A922" s="1"/>
      <c r="B922" s="1"/>
      <c r="C922" s="1"/>
      <c r="D922" s="1"/>
      <c r="E922" s="1">
        <f>IFERROR(__xludf.DUMMYFUNCTION("""COMPUTED_VALUE"""),1.0)</f>
        <v>1</v>
      </c>
      <c r="F922" s="2">
        <f>IFERROR(__xludf.DUMMYFUNCTION("""COMPUTED_VALUE"""),0.0)</f>
        <v>0</v>
      </c>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t="b">
        <f>IFERROR(__xludf.DUMMYFUNCTION("""COMPUTED_VALUE"""),FALSE)</f>
        <v>0</v>
      </c>
    </row>
    <row r="923">
      <c r="A923" s="1"/>
      <c r="B923" s="1"/>
      <c r="C923" s="1"/>
      <c r="D923" s="1"/>
      <c r="E923" s="1">
        <f>IFERROR(__xludf.DUMMYFUNCTION("""COMPUTED_VALUE"""),1.0)</f>
        <v>1</v>
      </c>
      <c r="F923" s="2">
        <f>IFERROR(__xludf.DUMMYFUNCTION("""COMPUTED_VALUE"""),0.0)</f>
        <v>0</v>
      </c>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t="b">
        <f>IFERROR(__xludf.DUMMYFUNCTION("""COMPUTED_VALUE"""),FALSE)</f>
        <v>0</v>
      </c>
    </row>
    <row r="924">
      <c r="A924" s="1"/>
      <c r="B924" s="1"/>
      <c r="C924" s="1"/>
      <c r="D924" s="1"/>
      <c r="E924" s="1">
        <f>IFERROR(__xludf.DUMMYFUNCTION("""COMPUTED_VALUE"""),1.0)</f>
        <v>1</v>
      </c>
      <c r="F924" s="2">
        <f>IFERROR(__xludf.DUMMYFUNCTION("""COMPUTED_VALUE"""),0.0)</f>
        <v>0</v>
      </c>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t="b">
        <f>IFERROR(__xludf.DUMMYFUNCTION("""COMPUTED_VALUE"""),FALSE)</f>
        <v>0</v>
      </c>
    </row>
    <row r="925">
      <c r="A925" s="1"/>
      <c r="B925" s="1"/>
      <c r="C925" s="1"/>
      <c r="D925" s="1"/>
      <c r="E925" s="1">
        <f>IFERROR(__xludf.DUMMYFUNCTION("""COMPUTED_VALUE"""),1.0)</f>
        <v>1</v>
      </c>
      <c r="F925" s="2">
        <f>IFERROR(__xludf.DUMMYFUNCTION("""COMPUTED_VALUE"""),0.0)</f>
        <v>0</v>
      </c>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t="b">
        <f>IFERROR(__xludf.DUMMYFUNCTION("""COMPUTED_VALUE"""),FALSE)</f>
        <v>0</v>
      </c>
    </row>
    <row r="926">
      <c r="A926" s="1"/>
      <c r="B926" s="1"/>
      <c r="C926" s="1"/>
      <c r="D926" s="1"/>
      <c r="E926" s="1">
        <f>IFERROR(__xludf.DUMMYFUNCTION("""COMPUTED_VALUE"""),1.0)</f>
        <v>1</v>
      </c>
      <c r="F926" s="2">
        <f>IFERROR(__xludf.DUMMYFUNCTION("""COMPUTED_VALUE"""),0.0)</f>
        <v>0</v>
      </c>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t="b">
        <f>IFERROR(__xludf.DUMMYFUNCTION("""COMPUTED_VALUE"""),FALSE)</f>
        <v>0</v>
      </c>
    </row>
    <row r="927">
      <c r="A927" s="1"/>
      <c r="B927" s="1"/>
      <c r="C927" s="1"/>
      <c r="D927" s="1"/>
      <c r="E927" s="1">
        <f>IFERROR(__xludf.DUMMYFUNCTION("""COMPUTED_VALUE"""),1.0)</f>
        <v>1</v>
      </c>
      <c r="F927" s="2">
        <f>IFERROR(__xludf.DUMMYFUNCTION("""COMPUTED_VALUE"""),0.0)</f>
        <v>0</v>
      </c>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t="b">
        <f>IFERROR(__xludf.DUMMYFUNCTION("""COMPUTED_VALUE"""),FALSE)</f>
        <v>0</v>
      </c>
    </row>
    <row r="928">
      <c r="A928" s="1"/>
      <c r="B928" s="1"/>
      <c r="C928" s="1"/>
      <c r="D928" s="1"/>
      <c r="E928" s="1">
        <f>IFERROR(__xludf.DUMMYFUNCTION("""COMPUTED_VALUE"""),1.0)</f>
        <v>1</v>
      </c>
      <c r="F928" s="2">
        <f>IFERROR(__xludf.DUMMYFUNCTION("""COMPUTED_VALUE"""),0.0)</f>
        <v>0</v>
      </c>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t="b">
        <f>IFERROR(__xludf.DUMMYFUNCTION("""COMPUTED_VALUE"""),FALSE)</f>
        <v>0</v>
      </c>
    </row>
    <row r="929">
      <c r="A929" s="1"/>
      <c r="B929" s="1"/>
      <c r="C929" s="1"/>
      <c r="D929" s="1"/>
      <c r="E929" s="1">
        <f>IFERROR(__xludf.DUMMYFUNCTION("""COMPUTED_VALUE"""),1.0)</f>
        <v>1</v>
      </c>
      <c r="F929" s="2">
        <f>IFERROR(__xludf.DUMMYFUNCTION("""COMPUTED_VALUE"""),0.0)</f>
        <v>0</v>
      </c>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t="b">
        <f>IFERROR(__xludf.DUMMYFUNCTION("""COMPUTED_VALUE"""),FALSE)</f>
        <v>0</v>
      </c>
    </row>
    <row r="930">
      <c r="A930" s="1"/>
      <c r="B930" s="1"/>
      <c r="C930" s="1"/>
      <c r="D930" s="1"/>
      <c r="E930" s="1">
        <f>IFERROR(__xludf.DUMMYFUNCTION("""COMPUTED_VALUE"""),1.0)</f>
        <v>1</v>
      </c>
      <c r="F930" s="2">
        <f>IFERROR(__xludf.DUMMYFUNCTION("""COMPUTED_VALUE"""),0.0)</f>
        <v>0</v>
      </c>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t="b">
        <f>IFERROR(__xludf.DUMMYFUNCTION("""COMPUTED_VALUE"""),FALSE)</f>
        <v>0</v>
      </c>
    </row>
    <row r="931">
      <c r="A931" s="1"/>
      <c r="B931" s="1"/>
      <c r="C931" s="1"/>
      <c r="D931" s="1"/>
      <c r="E931" s="1">
        <f>IFERROR(__xludf.DUMMYFUNCTION("""COMPUTED_VALUE"""),1.0)</f>
        <v>1</v>
      </c>
      <c r="F931" s="2">
        <f>IFERROR(__xludf.DUMMYFUNCTION("""COMPUTED_VALUE"""),0.0)</f>
        <v>0</v>
      </c>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t="b">
        <f>IFERROR(__xludf.DUMMYFUNCTION("""COMPUTED_VALUE"""),FALSE)</f>
        <v>0</v>
      </c>
    </row>
    <row r="932">
      <c r="A932" s="1"/>
      <c r="B932" s="1"/>
      <c r="C932" s="1"/>
      <c r="D932" s="1"/>
      <c r="E932" s="1">
        <f>IFERROR(__xludf.DUMMYFUNCTION("""COMPUTED_VALUE"""),1.0)</f>
        <v>1</v>
      </c>
      <c r="F932" s="2">
        <f>IFERROR(__xludf.DUMMYFUNCTION("""COMPUTED_VALUE"""),0.0)</f>
        <v>0</v>
      </c>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t="b">
        <f>IFERROR(__xludf.DUMMYFUNCTION("""COMPUTED_VALUE"""),FALSE)</f>
        <v>0</v>
      </c>
    </row>
    <row r="933">
      <c r="A933" s="1"/>
      <c r="B933" s="1"/>
      <c r="C933" s="1"/>
      <c r="D933" s="1"/>
      <c r="E933" s="1">
        <f>IFERROR(__xludf.DUMMYFUNCTION("""COMPUTED_VALUE"""),1.0)</f>
        <v>1</v>
      </c>
      <c r="F933" s="2">
        <f>IFERROR(__xludf.DUMMYFUNCTION("""COMPUTED_VALUE"""),0.0)</f>
        <v>0</v>
      </c>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t="b">
        <f>IFERROR(__xludf.DUMMYFUNCTION("""COMPUTED_VALUE"""),FALSE)</f>
        <v>0</v>
      </c>
    </row>
    <row r="934">
      <c r="A934" s="1"/>
      <c r="B934" s="1"/>
      <c r="C934" s="1"/>
      <c r="D934" s="1"/>
      <c r="E934" s="1">
        <f>IFERROR(__xludf.DUMMYFUNCTION("""COMPUTED_VALUE"""),1.0)</f>
        <v>1</v>
      </c>
      <c r="F934" s="2">
        <f>IFERROR(__xludf.DUMMYFUNCTION("""COMPUTED_VALUE"""),0.0)</f>
        <v>0</v>
      </c>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t="b">
        <f>IFERROR(__xludf.DUMMYFUNCTION("""COMPUTED_VALUE"""),FALSE)</f>
        <v>0</v>
      </c>
    </row>
    <row r="935">
      <c r="A935" s="1"/>
      <c r="B935" s="1"/>
      <c r="C935" s="1"/>
      <c r="D935" s="1"/>
      <c r="E935" s="1">
        <f>IFERROR(__xludf.DUMMYFUNCTION("""COMPUTED_VALUE"""),1.0)</f>
        <v>1</v>
      </c>
      <c r="F935" s="2">
        <f>IFERROR(__xludf.DUMMYFUNCTION("""COMPUTED_VALUE"""),0.0)</f>
        <v>0</v>
      </c>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t="b">
        <f>IFERROR(__xludf.DUMMYFUNCTION("""COMPUTED_VALUE"""),FALSE)</f>
        <v>0</v>
      </c>
    </row>
    <row r="936">
      <c r="A936" s="1"/>
      <c r="B936" s="1"/>
      <c r="C936" s="1"/>
      <c r="D936" s="1"/>
      <c r="E936" s="1">
        <f>IFERROR(__xludf.DUMMYFUNCTION("""COMPUTED_VALUE"""),1.0)</f>
        <v>1</v>
      </c>
      <c r="F936" s="2">
        <f>IFERROR(__xludf.DUMMYFUNCTION("""COMPUTED_VALUE"""),0.0)</f>
        <v>0</v>
      </c>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t="b">
        <f>IFERROR(__xludf.DUMMYFUNCTION("""COMPUTED_VALUE"""),FALSE)</f>
        <v>0</v>
      </c>
    </row>
    <row r="937">
      <c r="A937" s="1"/>
      <c r="B937" s="1"/>
      <c r="C937" s="1"/>
      <c r="D937" s="1"/>
      <c r="E937" s="1">
        <f>IFERROR(__xludf.DUMMYFUNCTION("""COMPUTED_VALUE"""),1.0)</f>
        <v>1</v>
      </c>
      <c r="F937" s="2">
        <f>IFERROR(__xludf.DUMMYFUNCTION("""COMPUTED_VALUE"""),0.0)</f>
        <v>0</v>
      </c>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t="b">
        <f>IFERROR(__xludf.DUMMYFUNCTION("""COMPUTED_VALUE"""),FALSE)</f>
        <v>0</v>
      </c>
    </row>
    <row r="938">
      <c r="A938" s="1"/>
      <c r="B938" s="1"/>
      <c r="C938" s="1"/>
      <c r="D938" s="1"/>
      <c r="E938" s="1">
        <f>IFERROR(__xludf.DUMMYFUNCTION("""COMPUTED_VALUE"""),1.0)</f>
        <v>1</v>
      </c>
      <c r="F938" s="2">
        <f>IFERROR(__xludf.DUMMYFUNCTION("""COMPUTED_VALUE"""),0.0)</f>
        <v>0</v>
      </c>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t="b">
        <f>IFERROR(__xludf.DUMMYFUNCTION("""COMPUTED_VALUE"""),FALSE)</f>
        <v>0</v>
      </c>
    </row>
    <row r="939">
      <c r="A939" s="1"/>
      <c r="B939" s="1"/>
      <c r="C939" s="1"/>
      <c r="D939" s="1"/>
      <c r="E939" s="1">
        <f>IFERROR(__xludf.DUMMYFUNCTION("""COMPUTED_VALUE"""),1.0)</f>
        <v>1</v>
      </c>
      <c r="F939" s="2">
        <f>IFERROR(__xludf.DUMMYFUNCTION("""COMPUTED_VALUE"""),0.0)</f>
        <v>0</v>
      </c>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t="b">
        <f>IFERROR(__xludf.DUMMYFUNCTION("""COMPUTED_VALUE"""),FALSE)</f>
        <v>0</v>
      </c>
    </row>
    <row r="940">
      <c r="A940" s="1"/>
      <c r="B940" s="1"/>
      <c r="C940" s="1"/>
      <c r="D940" s="1"/>
      <c r="E940" s="1">
        <f>IFERROR(__xludf.DUMMYFUNCTION("""COMPUTED_VALUE"""),1.0)</f>
        <v>1</v>
      </c>
      <c r="F940" s="2">
        <f>IFERROR(__xludf.DUMMYFUNCTION("""COMPUTED_VALUE"""),0.0)</f>
        <v>0</v>
      </c>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t="b">
        <f>IFERROR(__xludf.DUMMYFUNCTION("""COMPUTED_VALUE"""),FALSE)</f>
        <v>0</v>
      </c>
    </row>
    <row r="941">
      <c r="A941" s="1"/>
      <c r="B941" s="1"/>
      <c r="C941" s="1"/>
      <c r="D941" s="1"/>
      <c r="E941" s="1">
        <f>IFERROR(__xludf.DUMMYFUNCTION("""COMPUTED_VALUE"""),1.0)</f>
        <v>1</v>
      </c>
      <c r="F941" s="2">
        <f>IFERROR(__xludf.DUMMYFUNCTION("""COMPUTED_VALUE"""),0.0)</f>
        <v>0</v>
      </c>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t="b">
        <f>IFERROR(__xludf.DUMMYFUNCTION("""COMPUTED_VALUE"""),FALSE)</f>
        <v>0</v>
      </c>
    </row>
    <row r="942">
      <c r="A942" s="1"/>
      <c r="B942" s="1"/>
      <c r="C942" s="1"/>
      <c r="D942" s="1"/>
      <c r="E942" s="1">
        <f>IFERROR(__xludf.DUMMYFUNCTION("""COMPUTED_VALUE"""),1.0)</f>
        <v>1</v>
      </c>
      <c r="F942" s="2">
        <f>IFERROR(__xludf.DUMMYFUNCTION("""COMPUTED_VALUE"""),0.0)</f>
        <v>0</v>
      </c>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t="b">
        <f>IFERROR(__xludf.DUMMYFUNCTION("""COMPUTED_VALUE"""),FALSE)</f>
        <v>0</v>
      </c>
    </row>
    <row r="943">
      <c r="A943" s="1"/>
      <c r="B943" s="1"/>
      <c r="C943" s="1"/>
      <c r="D943" s="1"/>
      <c r="E943" s="1">
        <f>IFERROR(__xludf.DUMMYFUNCTION("""COMPUTED_VALUE"""),1.0)</f>
        <v>1</v>
      </c>
      <c r="F943" s="2">
        <f>IFERROR(__xludf.DUMMYFUNCTION("""COMPUTED_VALUE"""),0.0)</f>
        <v>0</v>
      </c>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t="b">
        <f>IFERROR(__xludf.DUMMYFUNCTION("""COMPUTED_VALUE"""),FALSE)</f>
        <v>0</v>
      </c>
    </row>
    <row r="944">
      <c r="A944" s="1"/>
      <c r="B944" s="1"/>
      <c r="C944" s="1"/>
      <c r="D944" s="1"/>
      <c r="E944" s="1">
        <f>IFERROR(__xludf.DUMMYFUNCTION("""COMPUTED_VALUE"""),1.0)</f>
        <v>1</v>
      </c>
      <c r="F944" s="2">
        <f>IFERROR(__xludf.DUMMYFUNCTION("""COMPUTED_VALUE"""),0.0)</f>
        <v>0</v>
      </c>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t="b">
        <f>IFERROR(__xludf.DUMMYFUNCTION("""COMPUTED_VALUE"""),FALSE)</f>
        <v>0</v>
      </c>
    </row>
    <row r="945">
      <c r="A945" s="1"/>
      <c r="B945" s="1"/>
      <c r="C945" s="1"/>
      <c r="D945" s="1"/>
      <c r="E945" s="1">
        <f>IFERROR(__xludf.DUMMYFUNCTION("""COMPUTED_VALUE"""),1.0)</f>
        <v>1</v>
      </c>
      <c r="F945" s="2">
        <f>IFERROR(__xludf.DUMMYFUNCTION("""COMPUTED_VALUE"""),0.0)</f>
        <v>0</v>
      </c>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t="b">
        <f>IFERROR(__xludf.DUMMYFUNCTION("""COMPUTED_VALUE"""),FALSE)</f>
        <v>0</v>
      </c>
    </row>
    <row r="946">
      <c r="A946" s="1"/>
      <c r="B946" s="1"/>
      <c r="C946" s="1"/>
      <c r="D946" s="1"/>
      <c r="E946" s="1">
        <f>IFERROR(__xludf.DUMMYFUNCTION("""COMPUTED_VALUE"""),1.0)</f>
        <v>1</v>
      </c>
      <c r="F946" s="2">
        <f>IFERROR(__xludf.DUMMYFUNCTION("""COMPUTED_VALUE"""),0.0)</f>
        <v>0</v>
      </c>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t="b">
        <f>IFERROR(__xludf.DUMMYFUNCTION("""COMPUTED_VALUE"""),FALSE)</f>
        <v>0</v>
      </c>
    </row>
    <row r="947">
      <c r="A947" s="1"/>
      <c r="B947" s="1"/>
      <c r="C947" s="1"/>
      <c r="D947" s="1"/>
      <c r="E947" s="1">
        <f>IFERROR(__xludf.DUMMYFUNCTION("""COMPUTED_VALUE"""),1.0)</f>
        <v>1</v>
      </c>
      <c r="F947" s="2">
        <f>IFERROR(__xludf.DUMMYFUNCTION("""COMPUTED_VALUE"""),0.0)</f>
        <v>0</v>
      </c>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t="b">
        <f>IFERROR(__xludf.DUMMYFUNCTION("""COMPUTED_VALUE"""),FALSE)</f>
        <v>0</v>
      </c>
    </row>
    <row r="948">
      <c r="A948" s="1"/>
      <c r="B948" s="1"/>
      <c r="C948" s="1"/>
      <c r="D948" s="1"/>
      <c r="E948" s="1">
        <f>IFERROR(__xludf.DUMMYFUNCTION("""COMPUTED_VALUE"""),1.0)</f>
        <v>1</v>
      </c>
      <c r="F948" s="2">
        <f>IFERROR(__xludf.DUMMYFUNCTION("""COMPUTED_VALUE"""),0.0)</f>
        <v>0</v>
      </c>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t="b">
        <f>IFERROR(__xludf.DUMMYFUNCTION("""COMPUTED_VALUE"""),FALSE)</f>
        <v>0</v>
      </c>
    </row>
    <row r="949">
      <c r="A949" s="1"/>
      <c r="B949" s="1"/>
      <c r="C949" s="1"/>
      <c r="D949" s="1"/>
      <c r="E949" s="1">
        <f>IFERROR(__xludf.DUMMYFUNCTION("""COMPUTED_VALUE"""),1.0)</f>
        <v>1</v>
      </c>
      <c r="F949" s="2">
        <f>IFERROR(__xludf.DUMMYFUNCTION("""COMPUTED_VALUE"""),0.0)</f>
        <v>0</v>
      </c>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t="b">
        <f>IFERROR(__xludf.DUMMYFUNCTION("""COMPUTED_VALUE"""),FALSE)</f>
        <v>0</v>
      </c>
    </row>
    <row r="950">
      <c r="A950" s="1"/>
      <c r="B950" s="1"/>
      <c r="C950" s="1"/>
      <c r="D950" s="1"/>
      <c r="E950" s="1">
        <f>IFERROR(__xludf.DUMMYFUNCTION("""COMPUTED_VALUE"""),1.0)</f>
        <v>1</v>
      </c>
      <c r="F950" s="2">
        <f>IFERROR(__xludf.DUMMYFUNCTION("""COMPUTED_VALUE"""),0.0)</f>
        <v>0</v>
      </c>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t="b">
        <f>IFERROR(__xludf.DUMMYFUNCTION("""COMPUTED_VALUE"""),FALSE)</f>
        <v>0</v>
      </c>
    </row>
    <row r="951">
      <c r="A951" s="1"/>
      <c r="B951" s="1"/>
      <c r="C951" s="1"/>
      <c r="D951" s="1"/>
      <c r="E951" s="1">
        <f>IFERROR(__xludf.DUMMYFUNCTION("""COMPUTED_VALUE"""),1.0)</f>
        <v>1</v>
      </c>
      <c r="F951" s="2">
        <f>IFERROR(__xludf.DUMMYFUNCTION("""COMPUTED_VALUE"""),0.0)</f>
        <v>0</v>
      </c>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t="b">
        <f>IFERROR(__xludf.DUMMYFUNCTION("""COMPUTED_VALUE"""),FALSE)</f>
        <v>0</v>
      </c>
    </row>
    <row r="952">
      <c r="A952" s="1"/>
      <c r="B952" s="1"/>
      <c r="C952" s="1"/>
      <c r="D952" s="1"/>
      <c r="E952" s="1">
        <f>IFERROR(__xludf.DUMMYFUNCTION("""COMPUTED_VALUE"""),1.0)</f>
        <v>1</v>
      </c>
      <c r="F952" s="2">
        <f>IFERROR(__xludf.DUMMYFUNCTION("""COMPUTED_VALUE"""),0.0)</f>
        <v>0</v>
      </c>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t="b">
        <f>IFERROR(__xludf.DUMMYFUNCTION("""COMPUTED_VALUE"""),FALSE)</f>
        <v>0</v>
      </c>
    </row>
    <row r="953">
      <c r="A953" s="1"/>
      <c r="B953" s="1"/>
      <c r="C953" s="1"/>
      <c r="D953" s="1"/>
      <c r="E953" s="1">
        <f>IFERROR(__xludf.DUMMYFUNCTION("""COMPUTED_VALUE"""),1.0)</f>
        <v>1</v>
      </c>
      <c r="F953" s="2">
        <f>IFERROR(__xludf.DUMMYFUNCTION("""COMPUTED_VALUE"""),0.0)</f>
        <v>0</v>
      </c>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t="b">
        <f>IFERROR(__xludf.DUMMYFUNCTION("""COMPUTED_VALUE"""),FALSE)</f>
        <v>0</v>
      </c>
    </row>
    <row r="954">
      <c r="A954" s="1"/>
      <c r="B954" s="1"/>
      <c r="C954" s="1"/>
      <c r="D954" s="1"/>
      <c r="E954" s="1">
        <f>IFERROR(__xludf.DUMMYFUNCTION("""COMPUTED_VALUE"""),1.0)</f>
        <v>1</v>
      </c>
      <c r="F954" s="2">
        <f>IFERROR(__xludf.DUMMYFUNCTION("""COMPUTED_VALUE"""),0.0)</f>
        <v>0</v>
      </c>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t="b">
        <f>IFERROR(__xludf.DUMMYFUNCTION("""COMPUTED_VALUE"""),FALSE)</f>
        <v>0</v>
      </c>
    </row>
    <row r="955">
      <c r="A955" s="1"/>
      <c r="B955" s="1"/>
      <c r="C955" s="1"/>
      <c r="D955" s="1"/>
      <c r="E955" s="1">
        <f>IFERROR(__xludf.DUMMYFUNCTION("""COMPUTED_VALUE"""),1.0)</f>
        <v>1</v>
      </c>
      <c r="F955" s="2">
        <f>IFERROR(__xludf.DUMMYFUNCTION("""COMPUTED_VALUE"""),0.0)</f>
        <v>0</v>
      </c>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t="b">
        <f>IFERROR(__xludf.DUMMYFUNCTION("""COMPUTED_VALUE"""),FALSE)</f>
        <v>0</v>
      </c>
    </row>
    <row r="956">
      <c r="A956" s="1"/>
      <c r="B956" s="1"/>
      <c r="C956" s="1"/>
      <c r="D956" s="1"/>
      <c r="E956" s="1">
        <f>IFERROR(__xludf.DUMMYFUNCTION("""COMPUTED_VALUE"""),1.0)</f>
        <v>1</v>
      </c>
      <c r="F956" s="2">
        <f>IFERROR(__xludf.DUMMYFUNCTION("""COMPUTED_VALUE"""),0.0)</f>
        <v>0</v>
      </c>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t="b">
        <f>IFERROR(__xludf.DUMMYFUNCTION("""COMPUTED_VALUE"""),FALSE)</f>
        <v>0</v>
      </c>
    </row>
    <row r="957">
      <c r="A957" s="1"/>
      <c r="B957" s="1"/>
      <c r="C957" s="1"/>
      <c r="D957" s="1"/>
      <c r="E957" s="1">
        <f>IFERROR(__xludf.DUMMYFUNCTION("""COMPUTED_VALUE"""),1.0)</f>
        <v>1</v>
      </c>
      <c r="F957" s="2">
        <f>IFERROR(__xludf.DUMMYFUNCTION("""COMPUTED_VALUE"""),0.0)</f>
        <v>0</v>
      </c>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t="b">
        <f>IFERROR(__xludf.DUMMYFUNCTION("""COMPUTED_VALUE"""),FALSE)</f>
        <v>0</v>
      </c>
    </row>
    <row r="958">
      <c r="A958" s="1"/>
      <c r="B958" s="1"/>
      <c r="C958" s="1"/>
      <c r="D958" s="1"/>
      <c r="E958" s="1">
        <f>IFERROR(__xludf.DUMMYFUNCTION("""COMPUTED_VALUE"""),1.0)</f>
        <v>1</v>
      </c>
      <c r="F958" s="2">
        <f>IFERROR(__xludf.DUMMYFUNCTION("""COMPUTED_VALUE"""),0.0)</f>
        <v>0</v>
      </c>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t="b">
        <f>IFERROR(__xludf.DUMMYFUNCTION("""COMPUTED_VALUE"""),FALSE)</f>
        <v>0</v>
      </c>
    </row>
    <row r="959">
      <c r="A959" s="1"/>
      <c r="B959" s="1"/>
      <c r="C959" s="1"/>
      <c r="D959" s="1"/>
      <c r="E959" s="1">
        <f>IFERROR(__xludf.DUMMYFUNCTION("""COMPUTED_VALUE"""),1.0)</f>
        <v>1</v>
      </c>
      <c r="F959" s="2">
        <f>IFERROR(__xludf.DUMMYFUNCTION("""COMPUTED_VALUE"""),0.0)</f>
        <v>0</v>
      </c>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t="b">
        <f>IFERROR(__xludf.DUMMYFUNCTION("""COMPUTED_VALUE"""),FALSE)</f>
        <v>0</v>
      </c>
    </row>
    <row r="960">
      <c r="A960" s="1"/>
      <c r="B960" s="1"/>
      <c r="C960" s="1"/>
      <c r="D960" s="1"/>
      <c r="E960" s="1">
        <f>IFERROR(__xludf.DUMMYFUNCTION("""COMPUTED_VALUE"""),1.0)</f>
        <v>1</v>
      </c>
      <c r="F960" s="2">
        <f>IFERROR(__xludf.DUMMYFUNCTION("""COMPUTED_VALUE"""),0.0)</f>
        <v>0</v>
      </c>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t="b">
        <f>IFERROR(__xludf.DUMMYFUNCTION("""COMPUTED_VALUE"""),FALSE)</f>
        <v>0</v>
      </c>
    </row>
    <row r="961">
      <c r="A961" s="1"/>
      <c r="B961" s="1"/>
      <c r="C961" s="1"/>
      <c r="D961" s="1"/>
      <c r="E961" s="1">
        <f>IFERROR(__xludf.DUMMYFUNCTION("""COMPUTED_VALUE"""),1.0)</f>
        <v>1</v>
      </c>
      <c r="F961" s="2">
        <f>IFERROR(__xludf.DUMMYFUNCTION("""COMPUTED_VALUE"""),0.0)</f>
        <v>0</v>
      </c>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t="b">
        <f>IFERROR(__xludf.DUMMYFUNCTION("""COMPUTED_VALUE"""),FALSE)</f>
        <v>0</v>
      </c>
    </row>
    <row r="962">
      <c r="A962" s="1"/>
      <c r="B962" s="1"/>
      <c r="C962" s="1"/>
      <c r="D962" s="1"/>
      <c r="E962" s="1">
        <f>IFERROR(__xludf.DUMMYFUNCTION("""COMPUTED_VALUE"""),1.0)</f>
        <v>1</v>
      </c>
      <c r="F962" s="2">
        <f>IFERROR(__xludf.DUMMYFUNCTION("""COMPUTED_VALUE"""),0.0)</f>
        <v>0</v>
      </c>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t="b">
        <f>IFERROR(__xludf.DUMMYFUNCTION("""COMPUTED_VALUE"""),FALSE)</f>
        <v>0</v>
      </c>
    </row>
    <row r="963">
      <c r="A963" s="1"/>
      <c r="B963" s="1"/>
      <c r="C963" s="1"/>
      <c r="D963" s="1"/>
      <c r="E963" s="1">
        <f>IFERROR(__xludf.DUMMYFUNCTION("""COMPUTED_VALUE"""),1.0)</f>
        <v>1</v>
      </c>
      <c r="F963" s="2">
        <f>IFERROR(__xludf.DUMMYFUNCTION("""COMPUTED_VALUE"""),0.0)</f>
        <v>0</v>
      </c>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t="b">
        <f>IFERROR(__xludf.DUMMYFUNCTION("""COMPUTED_VALUE"""),FALSE)</f>
        <v>0</v>
      </c>
    </row>
    <row r="964">
      <c r="A964" s="1"/>
      <c r="B964" s="1"/>
      <c r="C964" s="1"/>
      <c r="D964" s="1"/>
      <c r="E964" s="1">
        <f>IFERROR(__xludf.DUMMYFUNCTION("""COMPUTED_VALUE"""),1.0)</f>
        <v>1</v>
      </c>
      <c r="F964" s="2">
        <f>IFERROR(__xludf.DUMMYFUNCTION("""COMPUTED_VALUE"""),0.0)</f>
        <v>0</v>
      </c>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t="b">
        <f>IFERROR(__xludf.DUMMYFUNCTION("""COMPUTED_VALUE"""),FALSE)</f>
        <v>0</v>
      </c>
    </row>
    <row r="965">
      <c r="A965" s="1"/>
      <c r="B965" s="1"/>
      <c r="C965" s="1"/>
      <c r="D965" s="1"/>
      <c r="E965" s="1">
        <f>IFERROR(__xludf.DUMMYFUNCTION("""COMPUTED_VALUE"""),1.0)</f>
        <v>1</v>
      </c>
      <c r="F965" s="2">
        <f>IFERROR(__xludf.DUMMYFUNCTION("""COMPUTED_VALUE"""),0.0)</f>
        <v>0</v>
      </c>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t="b">
        <f>IFERROR(__xludf.DUMMYFUNCTION("""COMPUTED_VALUE"""),FALSE)</f>
        <v>0</v>
      </c>
    </row>
    <row r="966">
      <c r="A966" s="1"/>
      <c r="B966" s="1"/>
      <c r="C966" s="1"/>
      <c r="D966" s="1"/>
      <c r="E966" s="1">
        <f>IFERROR(__xludf.DUMMYFUNCTION("""COMPUTED_VALUE"""),1.0)</f>
        <v>1</v>
      </c>
      <c r="F966" s="2">
        <f>IFERROR(__xludf.DUMMYFUNCTION("""COMPUTED_VALUE"""),0.0)</f>
        <v>0</v>
      </c>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t="b">
        <f>IFERROR(__xludf.DUMMYFUNCTION("""COMPUTED_VALUE"""),FALSE)</f>
        <v>0</v>
      </c>
    </row>
    <row r="967">
      <c r="A967" s="1"/>
      <c r="B967" s="1"/>
      <c r="C967" s="1"/>
      <c r="D967" s="1"/>
      <c r="E967" s="1">
        <f>IFERROR(__xludf.DUMMYFUNCTION("""COMPUTED_VALUE"""),1.0)</f>
        <v>1</v>
      </c>
      <c r="F967" s="2">
        <f>IFERROR(__xludf.DUMMYFUNCTION("""COMPUTED_VALUE"""),0.0)</f>
        <v>0</v>
      </c>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t="b">
        <f>IFERROR(__xludf.DUMMYFUNCTION("""COMPUTED_VALUE"""),FALSE)</f>
        <v>0</v>
      </c>
    </row>
    <row r="968">
      <c r="A968" s="1"/>
      <c r="B968" s="1"/>
      <c r="C968" s="1"/>
      <c r="D968" s="1"/>
      <c r="E968" s="1">
        <f>IFERROR(__xludf.DUMMYFUNCTION("""COMPUTED_VALUE"""),1.0)</f>
        <v>1</v>
      </c>
      <c r="F968" s="2">
        <f>IFERROR(__xludf.DUMMYFUNCTION("""COMPUTED_VALUE"""),0.0)</f>
        <v>0</v>
      </c>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t="b">
        <f>IFERROR(__xludf.DUMMYFUNCTION("""COMPUTED_VALUE"""),FALSE)</f>
        <v>0</v>
      </c>
    </row>
    <row r="969">
      <c r="A969" s="1"/>
      <c r="B969" s="1"/>
      <c r="C969" s="1"/>
      <c r="D969" s="1"/>
      <c r="E969" s="1">
        <f>IFERROR(__xludf.DUMMYFUNCTION("""COMPUTED_VALUE"""),1.0)</f>
        <v>1</v>
      </c>
      <c r="F969" s="2">
        <f>IFERROR(__xludf.DUMMYFUNCTION("""COMPUTED_VALUE"""),0.0)</f>
        <v>0</v>
      </c>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t="b">
        <f>IFERROR(__xludf.DUMMYFUNCTION("""COMPUTED_VALUE"""),FALSE)</f>
        <v>0</v>
      </c>
    </row>
    <row r="970">
      <c r="A970" s="1"/>
      <c r="B970" s="1"/>
      <c r="C970" s="1"/>
      <c r="D970" s="1"/>
      <c r="E970" s="1">
        <f>IFERROR(__xludf.DUMMYFUNCTION("""COMPUTED_VALUE"""),1.0)</f>
        <v>1</v>
      </c>
      <c r="F970" s="2">
        <f>IFERROR(__xludf.DUMMYFUNCTION("""COMPUTED_VALUE"""),0.0)</f>
        <v>0</v>
      </c>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t="b">
        <f>IFERROR(__xludf.DUMMYFUNCTION("""COMPUTED_VALUE"""),FALSE)</f>
        <v>0</v>
      </c>
    </row>
    <row r="971">
      <c r="A971" s="1"/>
      <c r="B971" s="1"/>
      <c r="C971" s="1"/>
      <c r="D971" s="1"/>
      <c r="E971" s="1">
        <f>IFERROR(__xludf.DUMMYFUNCTION("""COMPUTED_VALUE"""),1.0)</f>
        <v>1</v>
      </c>
      <c r="F971" s="2">
        <f>IFERROR(__xludf.DUMMYFUNCTION("""COMPUTED_VALUE"""),0.0)</f>
        <v>0</v>
      </c>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t="b">
        <f>IFERROR(__xludf.DUMMYFUNCTION("""COMPUTED_VALUE"""),FALSE)</f>
        <v>0</v>
      </c>
    </row>
    <row r="972">
      <c r="A972" s="1"/>
      <c r="B972" s="1"/>
      <c r="C972" s="1"/>
      <c r="D972" s="1"/>
      <c r="E972" s="1">
        <f>IFERROR(__xludf.DUMMYFUNCTION("""COMPUTED_VALUE"""),1.0)</f>
        <v>1</v>
      </c>
      <c r="F972" s="2">
        <f>IFERROR(__xludf.DUMMYFUNCTION("""COMPUTED_VALUE"""),0.0)</f>
        <v>0</v>
      </c>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t="b">
        <f>IFERROR(__xludf.DUMMYFUNCTION("""COMPUTED_VALUE"""),FALSE)</f>
        <v>0</v>
      </c>
    </row>
    <row r="973">
      <c r="A973" s="1"/>
      <c r="B973" s="1"/>
      <c r="C973" s="1"/>
      <c r="D973" s="1"/>
      <c r="E973" s="1">
        <f>IFERROR(__xludf.DUMMYFUNCTION("""COMPUTED_VALUE"""),1.0)</f>
        <v>1</v>
      </c>
      <c r="F973" s="2">
        <f>IFERROR(__xludf.DUMMYFUNCTION("""COMPUTED_VALUE"""),0.0)</f>
        <v>0</v>
      </c>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t="b">
        <f>IFERROR(__xludf.DUMMYFUNCTION("""COMPUTED_VALUE"""),FALSE)</f>
        <v>0</v>
      </c>
    </row>
    <row r="974">
      <c r="A974" s="1"/>
      <c r="B974" s="1"/>
      <c r="C974" s="1"/>
      <c r="D974" s="1"/>
      <c r="E974" s="1">
        <f>IFERROR(__xludf.DUMMYFUNCTION("""COMPUTED_VALUE"""),1.0)</f>
        <v>1</v>
      </c>
      <c r="F974" s="2">
        <f>IFERROR(__xludf.DUMMYFUNCTION("""COMPUTED_VALUE"""),0.0)</f>
        <v>0</v>
      </c>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t="b">
        <f>IFERROR(__xludf.DUMMYFUNCTION("""COMPUTED_VALUE"""),FALSE)</f>
        <v>0</v>
      </c>
    </row>
    <row r="975">
      <c r="A975" s="1"/>
      <c r="B975" s="1"/>
      <c r="C975" s="1"/>
      <c r="D975" s="1"/>
      <c r="E975" s="1">
        <f>IFERROR(__xludf.DUMMYFUNCTION("""COMPUTED_VALUE"""),1.0)</f>
        <v>1</v>
      </c>
      <c r="F975" s="2">
        <f>IFERROR(__xludf.DUMMYFUNCTION("""COMPUTED_VALUE"""),0.0)</f>
        <v>0</v>
      </c>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t="b">
        <f>IFERROR(__xludf.DUMMYFUNCTION("""COMPUTED_VALUE"""),FALSE)</f>
        <v>0</v>
      </c>
    </row>
    <row r="976">
      <c r="A976" s="1"/>
      <c r="B976" s="1"/>
      <c r="C976" s="1"/>
      <c r="D976" s="1"/>
      <c r="E976" s="1">
        <f>IFERROR(__xludf.DUMMYFUNCTION("""COMPUTED_VALUE"""),1.0)</f>
        <v>1</v>
      </c>
      <c r="F976" s="2">
        <f>IFERROR(__xludf.DUMMYFUNCTION("""COMPUTED_VALUE"""),0.0)</f>
        <v>0</v>
      </c>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t="b">
        <f>IFERROR(__xludf.DUMMYFUNCTION("""COMPUTED_VALUE"""),FALSE)</f>
        <v>0</v>
      </c>
    </row>
    <row r="977">
      <c r="A977" s="1"/>
      <c r="B977" s="1"/>
      <c r="C977" s="1"/>
      <c r="D977" s="1"/>
      <c r="E977" s="1">
        <f>IFERROR(__xludf.DUMMYFUNCTION("""COMPUTED_VALUE"""),1.0)</f>
        <v>1</v>
      </c>
      <c r="F977" s="2">
        <f>IFERROR(__xludf.DUMMYFUNCTION("""COMPUTED_VALUE"""),0.0)</f>
        <v>0</v>
      </c>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t="b">
        <f>IFERROR(__xludf.DUMMYFUNCTION("""COMPUTED_VALUE"""),FALSE)</f>
        <v>0</v>
      </c>
    </row>
    <row r="978">
      <c r="A978" s="1"/>
      <c r="B978" s="1"/>
      <c r="C978" s="1"/>
      <c r="D978" s="1"/>
      <c r="E978" s="1">
        <f>IFERROR(__xludf.DUMMYFUNCTION("""COMPUTED_VALUE"""),1.0)</f>
        <v>1</v>
      </c>
      <c r="F978" s="2">
        <f>IFERROR(__xludf.DUMMYFUNCTION("""COMPUTED_VALUE"""),0.0)</f>
        <v>0</v>
      </c>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t="b">
        <f>IFERROR(__xludf.DUMMYFUNCTION("""COMPUTED_VALUE"""),FALSE)</f>
        <v>0</v>
      </c>
    </row>
    <row r="979">
      <c r="A979" s="1"/>
      <c r="B979" s="1"/>
      <c r="C979" s="1"/>
      <c r="D979" s="1"/>
      <c r="E979" s="1">
        <f>IFERROR(__xludf.DUMMYFUNCTION("""COMPUTED_VALUE"""),1.0)</f>
        <v>1</v>
      </c>
      <c r="F979" s="2">
        <f>IFERROR(__xludf.DUMMYFUNCTION("""COMPUTED_VALUE"""),0.0)</f>
        <v>0</v>
      </c>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t="b">
        <f>IFERROR(__xludf.DUMMYFUNCTION("""COMPUTED_VALUE"""),FALSE)</f>
        <v>0</v>
      </c>
    </row>
    <row r="980">
      <c r="A980" s="1"/>
      <c r="B980" s="1"/>
      <c r="C980" s="1"/>
      <c r="D980" s="1"/>
      <c r="E980" s="1">
        <f>IFERROR(__xludf.DUMMYFUNCTION("""COMPUTED_VALUE"""),1.0)</f>
        <v>1</v>
      </c>
      <c r="F980" s="2">
        <f>IFERROR(__xludf.DUMMYFUNCTION("""COMPUTED_VALUE"""),0.0)</f>
        <v>0</v>
      </c>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t="b">
        <f>IFERROR(__xludf.DUMMYFUNCTION("""COMPUTED_VALUE"""),FALSE)</f>
        <v>0</v>
      </c>
    </row>
    <row r="981">
      <c r="A981" s="1"/>
      <c r="B981" s="1"/>
      <c r="C981" s="1"/>
      <c r="D981" s="1"/>
      <c r="E981" s="1">
        <f>IFERROR(__xludf.DUMMYFUNCTION("""COMPUTED_VALUE"""),1.0)</f>
        <v>1</v>
      </c>
      <c r="F981" s="2">
        <f>IFERROR(__xludf.DUMMYFUNCTION("""COMPUTED_VALUE"""),0.0)</f>
        <v>0</v>
      </c>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t="b">
        <f>IFERROR(__xludf.DUMMYFUNCTION("""COMPUTED_VALUE"""),FALSE)</f>
        <v>0</v>
      </c>
    </row>
    <row r="982">
      <c r="A982" s="1"/>
      <c r="B982" s="1"/>
      <c r="C982" s="1"/>
      <c r="D982" s="1"/>
      <c r="E982" s="1">
        <f>IFERROR(__xludf.DUMMYFUNCTION("""COMPUTED_VALUE"""),1.0)</f>
        <v>1</v>
      </c>
      <c r="F982" s="2">
        <f>IFERROR(__xludf.DUMMYFUNCTION("""COMPUTED_VALUE"""),0.0)</f>
        <v>0</v>
      </c>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t="b">
        <f>IFERROR(__xludf.DUMMYFUNCTION("""COMPUTED_VALUE"""),FALSE)</f>
        <v>0</v>
      </c>
    </row>
    <row r="983">
      <c r="A983" s="1"/>
      <c r="B983" s="1"/>
      <c r="C983" s="1"/>
      <c r="D983" s="1"/>
      <c r="E983" s="1">
        <f>IFERROR(__xludf.DUMMYFUNCTION("""COMPUTED_VALUE"""),1.0)</f>
        <v>1</v>
      </c>
      <c r="F983" s="2">
        <f>IFERROR(__xludf.DUMMYFUNCTION("""COMPUTED_VALUE"""),0.0)</f>
        <v>0</v>
      </c>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t="b">
        <f>IFERROR(__xludf.DUMMYFUNCTION("""COMPUTED_VALUE"""),FALSE)</f>
        <v>0</v>
      </c>
    </row>
    <row r="984">
      <c r="A984" s="1"/>
      <c r="B984" s="1"/>
      <c r="C984" s="1"/>
      <c r="D984" s="1"/>
      <c r="E984" s="1">
        <f>IFERROR(__xludf.DUMMYFUNCTION("""COMPUTED_VALUE"""),1.0)</f>
        <v>1</v>
      </c>
      <c r="F984" s="2">
        <f>IFERROR(__xludf.DUMMYFUNCTION("""COMPUTED_VALUE"""),0.0)</f>
        <v>0</v>
      </c>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t="b">
        <f>IFERROR(__xludf.DUMMYFUNCTION("""COMPUTED_VALUE"""),FALSE)</f>
        <v>0</v>
      </c>
    </row>
    <row r="985">
      <c r="A985" s="1"/>
      <c r="B985" s="1"/>
      <c r="C985" s="1"/>
      <c r="D985" s="1"/>
      <c r="E985" s="1">
        <f>IFERROR(__xludf.DUMMYFUNCTION("""COMPUTED_VALUE"""),1.0)</f>
        <v>1</v>
      </c>
      <c r="F985" s="2">
        <f>IFERROR(__xludf.DUMMYFUNCTION("""COMPUTED_VALUE"""),0.0)</f>
        <v>0</v>
      </c>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t="b">
        <f>IFERROR(__xludf.DUMMYFUNCTION("""COMPUTED_VALUE"""),FALSE)</f>
        <v>0</v>
      </c>
    </row>
    <row r="986">
      <c r="A986" s="1"/>
      <c r="B986" s="1"/>
      <c r="C986" s="1"/>
      <c r="D986" s="1"/>
      <c r="E986" s="1">
        <f>IFERROR(__xludf.DUMMYFUNCTION("""COMPUTED_VALUE"""),1.0)</f>
        <v>1</v>
      </c>
      <c r="F986" s="2">
        <f>IFERROR(__xludf.DUMMYFUNCTION("""COMPUTED_VALUE"""),0.0)</f>
        <v>0</v>
      </c>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t="b">
        <f>IFERROR(__xludf.DUMMYFUNCTION("""COMPUTED_VALUE"""),FALSE)</f>
        <v>0</v>
      </c>
    </row>
    <row r="987">
      <c r="A987" s="1"/>
      <c r="B987" s="1"/>
      <c r="C987" s="1"/>
      <c r="D987" s="1"/>
      <c r="E987" s="1">
        <f>IFERROR(__xludf.DUMMYFUNCTION("""COMPUTED_VALUE"""),1.0)</f>
        <v>1</v>
      </c>
      <c r="F987" s="2">
        <f>IFERROR(__xludf.DUMMYFUNCTION("""COMPUTED_VALUE"""),0.0)</f>
        <v>0</v>
      </c>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t="b">
        <f>IFERROR(__xludf.DUMMYFUNCTION("""COMPUTED_VALUE"""),FALSE)</f>
        <v>0</v>
      </c>
    </row>
    <row r="988">
      <c r="A988" s="1"/>
      <c r="B988" s="1"/>
      <c r="C988" s="1"/>
      <c r="D988" s="1"/>
      <c r="E988" s="1">
        <f>IFERROR(__xludf.DUMMYFUNCTION("""COMPUTED_VALUE"""),1.0)</f>
        <v>1</v>
      </c>
      <c r="F988" s="2">
        <f>IFERROR(__xludf.DUMMYFUNCTION("""COMPUTED_VALUE"""),0.0)</f>
        <v>0</v>
      </c>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t="b">
        <f>IFERROR(__xludf.DUMMYFUNCTION("""COMPUTED_VALUE"""),FALSE)</f>
        <v>0</v>
      </c>
    </row>
    <row r="989">
      <c r="A989" s="1"/>
      <c r="B989" s="1"/>
      <c r="C989" s="1"/>
      <c r="D989" s="1"/>
      <c r="E989" s="1">
        <f>IFERROR(__xludf.DUMMYFUNCTION("""COMPUTED_VALUE"""),1.0)</f>
        <v>1</v>
      </c>
      <c r="F989" s="2">
        <f>IFERROR(__xludf.DUMMYFUNCTION("""COMPUTED_VALUE"""),0.0)</f>
        <v>0</v>
      </c>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t="b">
        <f>IFERROR(__xludf.DUMMYFUNCTION("""COMPUTED_VALUE"""),FALSE)</f>
        <v>0</v>
      </c>
    </row>
    <row r="990">
      <c r="A990" s="1"/>
      <c r="B990" s="1"/>
      <c r="C990" s="1"/>
      <c r="D990" s="1"/>
      <c r="E990" s="1">
        <f>IFERROR(__xludf.DUMMYFUNCTION("""COMPUTED_VALUE"""),1.0)</f>
        <v>1</v>
      </c>
      <c r="F990" s="2">
        <f>IFERROR(__xludf.DUMMYFUNCTION("""COMPUTED_VALUE"""),0.0)</f>
        <v>0</v>
      </c>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t="b">
        <f>IFERROR(__xludf.DUMMYFUNCTION("""COMPUTED_VALUE"""),FALSE)</f>
        <v>0</v>
      </c>
    </row>
    <row r="991">
      <c r="A991" s="1"/>
      <c r="B991" s="1"/>
      <c r="C991" s="1"/>
      <c r="D991" s="1"/>
      <c r="E991" s="1">
        <f>IFERROR(__xludf.DUMMYFUNCTION("""COMPUTED_VALUE"""),1.0)</f>
        <v>1</v>
      </c>
      <c r="F991" s="2">
        <f>IFERROR(__xludf.DUMMYFUNCTION("""COMPUTED_VALUE"""),0.0)</f>
        <v>0</v>
      </c>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t="b">
        <f>IFERROR(__xludf.DUMMYFUNCTION("""COMPUTED_VALUE"""),FALSE)</f>
        <v>0</v>
      </c>
    </row>
    <row r="992">
      <c r="A992" s="1"/>
      <c r="B992" s="1"/>
      <c r="C992" s="1"/>
      <c r="D992" s="1"/>
      <c r="E992" s="1">
        <f>IFERROR(__xludf.DUMMYFUNCTION("""COMPUTED_VALUE"""),1.0)</f>
        <v>1</v>
      </c>
      <c r="F992" s="2">
        <f>IFERROR(__xludf.DUMMYFUNCTION("""COMPUTED_VALUE"""),0.0)</f>
        <v>0</v>
      </c>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t="b">
        <f>IFERROR(__xludf.DUMMYFUNCTION("""COMPUTED_VALUE"""),FALSE)</f>
        <v>0</v>
      </c>
    </row>
    <row r="993">
      <c r="A993" s="1"/>
      <c r="B993" s="1"/>
      <c r="C993" s="1"/>
      <c r="D993" s="1"/>
      <c r="E993" s="1">
        <f>IFERROR(__xludf.DUMMYFUNCTION("""COMPUTED_VALUE"""),1.0)</f>
        <v>1</v>
      </c>
      <c r="F993" s="2">
        <f>IFERROR(__xludf.DUMMYFUNCTION("""COMPUTED_VALUE"""),0.0)</f>
        <v>0</v>
      </c>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t="b">
        <f>IFERROR(__xludf.DUMMYFUNCTION("""COMPUTED_VALUE"""),FALSE)</f>
        <v>0</v>
      </c>
    </row>
    <row r="994">
      <c r="A994" s="1"/>
      <c r="B994" s="1"/>
      <c r="C994" s="1"/>
      <c r="D994" s="1"/>
      <c r="E994" s="1">
        <f>IFERROR(__xludf.DUMMYFUNCTION("""COMPUTED_VALUE"""),1.0)</f>
        <v>1</v>
      </c>
      <c r="F994" s="2">
        <f>IFERROR(__xludf.DUMMYFUNCTION("""COMPUTED_VALUE"""),0.0)</f>
        <v>0</v>
      </c>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t="b">
        <f>IFERROR(__xludf.DUMMYFUNCTION("""COMPUTED_VALUE"""),FALSE)</f>
        <v>0</v>
      </c>
    </row>
    <row r="995">
      <c r="A995" s="1"/>
      <c r="B995" s="1"/>
      <c r="C995" s="1"/>
      <c r="D995" s="1"/>
      <c r="E995" s="1">
        <f>IFERROR(__xludf.DUMMYFUNCTION("""COMPUTED_VALUE"""),1.0)</f>
        <v>1</v>
      </c>
      <c r="F995" s="2">
        <f>IFERROR(__xludf.DUMMYFUNCTION("""COMPUTED_VALUE"""),0.0)</f>
        <v>0</v>
      </c>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t="b">
        <f>IFERROR(__xludf.DUMMYFUNCTION("""COMPUTED_VALUE"""),FALSE)</f>
        <v>0</v>
      </c>
    </row>
    <row r="996">
      <c r="A996" s="1"/>
      <c r="B996" s="1"/>
      <c r="C996" s="1"/>
      <c r="D996" s="1"/>
      <c r="E996" s="1">
        <f>IFERROR(__xludf.DUMMYFUNCTION("""COMPUTED_VALUE"""),1.0)</f>
        <v>1</v>
      </c>
      <c r="F996" s="2">
        <f>IFERROR(__xludf.DUMMYFUNCTION("""COMPUTED_VALUE"""),0.0)</f>
        <v>0</v>
      </c>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t="b">
        <f>IFERROR(__xludf.DUMMYFUNCTION("""COMPUTED_VALUE"""),FALSE)</f>
        <v>0</v>
      </c>
    </row>
    <row r="997">
      <c r="A997" s="1"/>
      <c r="B997" s="1"/>
      <c r="C997" s="1"/>
      <c r="D997" s="1"/>
      <c r="E997" s="1">
        <f>IFERROR(__xludf.DUMMYFUNCTION("""COMPUTED_VALUE"""),1.0)</f>
        <v>1</v>
      </c>
      <c r="F997" s="2">
        <f>IFERROR(__xludf.DUMMYFUNCTION("""COMPUTED_VALUE"""),0.0)</f>
        <v>0</v>
      </c>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t="b">
        <f>IFERROR(__xludf.DUMMYFUNCTION("""COMPUTED_VALUE"""),FALSE)</f>
        <v>0</v>
      </c>
    </row>
    <row r="998">
      <c r="A998" s="1"/>
      <c r="B998" s="1"/>
      <c r="C998" s="1"/>
      <c r="D998" s="1"/>
      <c r="E998" s="1">
        <f>IFERROR(__xludf.DUMMYFUNCTION("""COMPUTED_VALUE"""),1.0)</f>
        <v>1</v>
      </c>
      <c r="F998" s="2">
        <f>IFERROR(__xludf.DUMMYFUNCTION("""COMPUTED_VALUE"""),0.0)</f>
        <v>0</v>
      </c>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t="b">
        <f>IFERROR(__xludf.DUMMYFUNCTION("""COMPUTED_VALUE"""),FALSE)</f>
        <v>0</v>
      </c>
    </row>
    <row r="999">
      <c r="A999" s="1"/>
      <c r="B999" s="1"/>
      <c r="C999" s="1"/>
      <c r="D999" s="1"/>
      <c r="E999" s="1">
        <f>IFERROR(__xludf.DUMMYFUNCTION("""COMPUTED_VALUE"""),1.0)</f>
        <v>1</v>
      </c>
      <c r="F999" s="2">
        <f>IFERROR(__xludf.DUMMYFUNCTION("""COMPUTED_VALUE"""),0.0)</f>
        <v>0</v>
      </c>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t="b">
        <f>IFERROR(__xludf.DUMMYFUNCTION("""COMPUTED_VALUE"""),FALSE)</f>
        <v>0</v>
      </c>
    </row>
    <row r="1000">
      <c r="A1000" s="1"/>
      <c r="B1000" s="1"/>
      <c r="C1000" s="1"/>
      <c r="D1000" s="1"/>
      <c r="E1000" s="1">
        <f>IFERROR(__xludf.DUMMYFUNCTION("""COMPUTED_VALUE"""),1.0)</f>
        <v>1</v>
      </c>
      <c r="F1000" s="2">
        <f>IFERROR(__xludf.DUMMYFUNCTION("""COMPUTED_VALUE"""),0.0)</f>
        <v>0</v>
      </c>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t="b">
        <f>IFERROR(__xludf.DUMMYFUNCTION("""COMPUTED_VALUE"""),FALSE)</f>
        <v>0</v>
      </c>
    </row>
    <row r="1001">
      <c r="A1001" s="1"/>
      <c r="B1001" s="1"/>
      <c r="C1001" s="1"/>
      <c r="D1001" s="1"/>
      <c r="E1001" s="1">
        <f>IFERROR(__xludf.DUMMYFUNCTION("""COMPUTED_VALUE"""),1.0)</f>
        <v>1</v>
      </c>
      <c r="F1001" s="2">
        <f>IFERROR(__xludf.DUMMYFUNCTION("""COMPUTED_VALUE"""),0.0)</f>
        <v>0</v>
      </c>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t="b">
        <f>IFERROR(__xludf.DUMMYFUNCTION("""COMPUTED_VALUE"""),FALSE)</f>
        <v>0</v>
      </c>
    </row>
    <row r="1002">
      <c r="A1002" s="1"/>
      <c r="B1002" s="1"/>
      <c r="C1002" s="1"/>
      <c r="D1002" s="1"/>
      <c r="E1002" s="1">
        <f>IFERROR(__xludf.DUMMYFUNCTION("""COMPUTED_VALUE"""),1.0)</f>
        <v>1</v>
      </c>
      <c r="F1002" s="2">
        <f>IFERROR(__xludf.DUMMYFUNCTION("""COMPUTED_VALUE"""),0.0)</f>
        <v>0</v>
      </c>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t="b">
        <f>IFERROR(__xludf.DUMMYFUNCTION("""COMPUTED_VALUE"""),FALSE)</f>
        <v>0</v>
      </c>
    </row>
    <row r="1003">
      <c r="A1003" s="1"/>
      <c r="B1003" s="1"/>
      <c r="C1003" s="1"/>
      <c r="D1003" s="1"/>
      <c r="E1003" s="1">
        <f>IFERROR(__xludf.DUMMYFUNCTION("""COMPUTED_VALUE"""),1.0)</f>
        <v>1</v>
      </c>
      <c r="F1003" s="2">
        <f>IFERROR(__xludf.DUMMYFUNCTION("""COMPUTED_VALUE"""),0.0)</f>
        <v>0</v>
      </c>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t="b">
        <f>IFERROR(__xludf.DUMMYFUNCTION("""COMPUTED_VALUE"""),FALSE)</f>
        <v>0</v>
      </c>
    </row>
    <row r="1004">
      <c r="A1004" s="1"/>
      <c r="B1004" s="1"/>
      <c r="C1004" s="1"/>
      <c r="D1004" s="1"/>
      <c r="E1004" s="1">
        <f>IFERROR(__xludf.DUMMYFUNCTION("""COMPUTED_VALUE"""),1.0)</f>
        <v>1</v>
      </c>
      <c r="F1004" s="2">
        <f>IFERROR(__xludf.DUMMYFUNCTION("""COMPUTED_VALUE"""),0.0)</f>
        <v>0</v>
      </c>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t="b">
        <f>IFERROR(__xludf.DUMMYFUNCTION("""COMPUTED_VALUE"""),FALSE)</f>
        <v>0</v>
      </c>
    </row>
    <row r="1005">
      <c r="A1005" s="1"/>
      <c r="B1005" s="1"/>
      <c r="C1005" s="1"/>
      <c r="D1005" s="1"/>
      <c r="E1005" s="1">
        <f>IFERROR(__xludf.DUMMYFUNCTION("""COMPUTED_VALUE"""),1.0)</f>
        <v>1</v>
      </c>
      <c r="F1005" s="2">
        <f>IFERROR(__xludf.DUMMYFUNCTION("""COMPUTED_VALUE"""),0.0)</f>
        <v>0</v>
      </c>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t="b">
        <f>IFERROR(__xludf.DUMMYFUNCTION("""COMPUTED_VALUE"""),FALSE)</f>
        <v>0</v>
      </c>
    </row>
    <row r="1006">
      <c r="A1006" s="1"/>
      <c r="B1006" s="1"/>
      <c r="C1006" s="1"/>
      <c r="D1006" s="1"/>
      <c r="E1006" s="1">
        <f>IFERROR(__xludf.DUMMYFUNCTION("""COMPUTED_VALUE"""),1.0)</f>
        <v>1</v>
      </c>
      <c r="F1006" s="2">
        <f>IFERROR(__xludf.DUMMYFUNCTION("""COMPUTED_VALUE"""),0.0)</f>
        <v>0</v>
      </c>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t="b">
        <f>IFERROR(__xludf.DUMMYFUNCTION("""COMPUTED_VALUE"""),FALSE)</f>
        <v>0</v>
      </c>
    </row>
    <row r="1007">
      <c r="A1007" s="1"/>
      <c r="B1007" s="1"/>
      <c r="C1007" s="1"/>
      <c r="D1007" s="1"/>
      <c r="E1007" s="1">
        <f>IFERROR(__xludf.DUMMYFUNCTION("""COMPUTED_VALUE"""),1.0)</f>
        <v>1</v>
      </c>
      <c r="F1007" s="2">
        <f>IFERROR(__xludf.DUMMYFUNCTION("""COMPUTED_VALUE"""),0.0)</f>
        <v>0</v>
      </c>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t="b">
        <f>IFERROR(__xludf.DUMMYFUNCTION("""COMPUTED_VALUE"""),FALSE)</f>
        <v>0</v>
      </c>
    </row>
    <row r="1008">
      <c r="A1008" s="1"/>
      <c r="B1008" s="1"/>
      <c r="C1008" s="1"/>
      <c r="D1008" s="1"/>
      <c r="E1008" s="1">
        <f>IFERROR(__xludf.DUMMYFUNCTION("""COMPUTED_VALUE"""),1.0)</f>
        <v>1</v>
      </c>
      <c r="F1008" s="2">
        <f>IFERROR(__xludf.DUMMYFUNCTION("""COMPUTED_VALUE"""),0.0)</f>
        <v>0</v>
      </c>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t="b">
        <f>IFERROR(__xludf.DUMMYFUNCTION("""COMPUTED_VALUE"""),FALSE)</f>
        <v>0</v>
      </c>
    </row>
    <row r="1009">
      <c r="A1009" s="1"/>
      <c r="B1009" s="1"/>
      <c r="C1009" s="1"/>
      <c r="D1009" s="1"/>
      <c r="E1009" s="1">
        <f>IFERROR(__xludf.DUMMYFUNCTION("""COMPUTED_VALUE"""),1.0)</f>
        <v>1</v>
      </c>
      <c r="F1009" s="2">
        <f>IFERROR(__xludf.DUMMYFUNCTION("""COMPUTED_VALUE"""),0.0)</f>
        <v>0</v>
      </c>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t="b">
        <f>IFERROR(__xludf.DUMMYFUNCTION("""COMPUTED_VALUE"""),FALSE)</f>
        <v>0</v>
      </c>
    </row>
    <row r="1010">
      <c r="A1010" s="1"/>
      <c r="B1010" s="1"/>
      <c r="C1010" s="1"/>
      <c r="D1010" s="1"/>
      <c r="E1010" s="1">
        <f>IFERROR(__xludf.DUMMYFUNCTION("""COMPUTED_VALUE"""),1.0)</f>
        <v>1</v>
      </c>
      <c r="F1010" s="2">
        <f>IFERROR(__xludf.DUMMYFUNCTION("""COMPUTED_VALUE"""),0.0)</f>
        <v>0</v>
      </c>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t="b">
        <f>IFERROR(__xludf.DUMMYFUNCTION("""COMPUTED_VALUE"""),FALSE)</f>
        <v>0</v>
      </c>
    </row>
    <row r="1011">
      <c r="A1011" s="1"/>
      <c r="B1011" s="1"/>
      <c r="C1011" s="1"/>
      <c r="D1011" s="1"/>
      <c r="E1011" s="1">
        <f>IFERROR(__xludf.DUMMYFUNCTION("""COMPUTED_VALUE"""),1.0)</f>
        <v>1</v>
      </c>
      <c r="F1011" s="2">
        <f>IFERROR(__xludf.DUMMYFUNCTION("""COMPUTED_VALUE"""),0.0)</f>
        <v>0</v>
      </c>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t="b">
        <f>IFERROR(__xludf.DUMMYFUNCTION("""COMPUTED_VALUE"""),FALSE)</f>
        <v>0</v>
      </c>
    </row>
    <row r="1012">
      <c r="A1012" s="1"/>
      <c r="B1012" s="1"/>
      <c r="C1012" s="1"/>
      <c r="D1012" s="1"/>
      <c r="E1012" s="1">
        <f>IFERROR(__xludf.DUMMYFUNCTION("""COMPUTED_VALUE"""),1.0)</f>
        <v>1</v>
      </c>
      <c r="F1012" s="2">
        <f>IFERROR(__xludf.DUMMYFUNCTION("""COMPUTED_VALUE"""),0.0)</f>
        <v>0</v>
      </c>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t="b">
        <f>IFERROR(__xludf.DUMMYFUNCTION("""COMPUTED_VALUE"""),FALSE)</f>
        <v>0</v>
      </c>
    </row>
    <row r="1013">
      <c r="A1013" s="1"/>
      <c r="B1013" s="1"/>
      <c r="C1013" s="1"/>
      <c r="D1013" s="1"/>
      <c r="E1013" s="1">
        <f>IFERROR(__xludf.DUMMYFUNCTION("""COMPUTED_VALUE"""),1.0)</f>
        <v>1</v>
      </c>
      <c r="F1013" s="2">
        <f>IFERROR(__xludf.DUMMYFUNCTION("""COMPUTED_VALUE"""),0.0)</f>
        <v>0</v>
      </c>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t="b">
        <f>IFERROR(__xludf.DUMMYFUNCTION("""COMPUTED_VALUE"""),FALSE)</f>
        <v>0</v>
      </c>
    </row>
    <row r="1014">
      <c r="A1014" s="1"/>
      <c r="B1014" s="1"/>
      <c r="C1014" s="1"/>
      <c r="D1014" s="1"/>
      <c r="E1014" s="1">
        <f>IFERROR(__xludf.DUMMYFUNCTION("""COMPUTED_VALUE"""),1.0)</f>
        <v>1</v>
      </c>
      <c r="F1014" s="2">
        <f>IFERROR(__xludf.DUMMYFUNCTION("""COMPUTED_VALUE"""),0.0)</f>
        <v>0</v>
      </c>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t="b">
        <f>IFERROR(__xludf.DUMMYFUNCTION("""COMPUTED_VALUE"""),FALSE)</f>
        <v>0</v>
      </c>
    </row>
    <row r="1015">
      <c r="A1015" s="1"/>
      <c r="B1015" s="1"/>
      <c r="C1015" s="1"/>
      <c r="D1015" s="1"/>
      <c r="E1015" s="1">
        <f>IFERROR(__xludf.DUMMYFUNCTION("""COMPUTED_VALUE"""),1.0)</f>
        <v>1</v>
      </c>
      <c r="F1015" s="2">
        <f>IFERROR(__xludf.DUMMYFUNCTION("""COMPUTED_VALUE"""),0.0)</f>
        <v>0</v>
      </c>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t="b">
        <f>IFERROR(__xludf.DUMMYFUNCTION("""COMPUTED_VALUE"""),FALSE)</f>
        <v>0</v>
      </c>
    </row>
    <row r="1016">
      <c r="A1016" s="1"/>
      <c r="B1016" s="1"/>
      <c r="C1016" s="1"/>
      <c r="D1016" s="1"/>
      <c r="E1016" s="1">
        <f>IFERROR(__xludf.DUMMYFUNCTION("""COMPUTED_VALUE"""),1.0)</f>
        <v>1</v>
      </c>
      <c r="F1016" s="2">
        <f>IFERROR(__xludf.DUMMYFUNCTION("""COMPUTED_VALUE"""),0.0)</f>
        <v>0</v>
      </c>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t="b">
        <f>IFERROR(__xludf.DUMMYFUNCTION("""COMPUTED_VALUE"""),FALSE)</f>
        <v>0</v>
      </c>
    </row>
    <row r="1017">
      <c r="A1017" s="1"/>
      <c r="B1017" s="1"/>
      <c r="C1017" s="1"/>
      <c r="D1017" s="1"/>
      <c r="E1017" s="1">
        <f>IFERROR(__xludf.DUMMYFUNCTION("""COMPUTED_VALUE"""),1.0)</f>
        <v>1</v>
      </c>
      <c r="F1017" s="2">
        <f>IFERROR(__xludf.DUMMYFUNCTION("""COMPUTED_VALUE"""),0.0)</f>
        <v>0</v>
      </c>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t="b">
        <f>IFERROR(__xludf.DUMMYFUNCTION("""COMPUTED_VALUE"""),FALSE)</f>
        <v>0</v>
      </c>
    </row>
    <row r="1018">
      <c r="A1018" s="1"/>
      <c r="B1018" s="1"/>
      <c r="C1018" s="1"/>
      <c r="D1018" s="1"/>
      <c r="E1018" s="1">
        <f>IFERROR(__xludf.DUMMYFUNCTION("""COMPUTED_VALUE"""),1.0)</f>
        <v>1</v>
      </c>
      <c r="F1018" s="2">
        <f>IFERROR(__xludf.DUMMYFUNCTION("""COMPUTED_VALUE"""),0.0)</f>
        <v>0</v>
      </c>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t="b">
        <f>IFERROR(__xludf.DUMMYFUNCTION("""COMPUTED_VALUE"""),FALSE)</f>
        <v>0</v>
      </c>
    </row>
    <row r="1019">
      <c r="A1019" s="1"/>
      <c r="B1019" s="1"/>
      <c r="C1019" s="1"/>
      <c r="D1019" s="1"/>
      <c r="E1019" s="1">
        <f>IFERROR(__xludf.DUMMYFUNCTION("""COMPUTED_VALUE"""),1.0)</f>
        <v>1</v>
      </c>
      <c r="F1019" s="2">
        <f>IFERROR(__xludf.DUMMYFUNCTION("""COMPUTED_VALUE"""),0.0)</f>
        <v>0</v>
      </c>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t="b">
        <f>IFERROR(__xludf.DUMMYFUNCTION("""COMPUTED_VALUE"""),FALSE)</f>
        <v>0</v>
      </c>
    </row>
    <row r="1020">
      <c r="A1020" s="1"/>
      <c r="B1020" s="1"/>
      <c r="C1020" s="1"/>
      <c r="D1020" s="1"/>
      <c r="E1020" s="1">
        <f>IFERROR(__xludf.DUMMYFUNCTION("""COMPUTED_VALUE"""),1.0)</f>
        <v>1</v>
      </c>
      <c r="F1020" s="2">
        <f>IFERROR(__xludf.DUMMYFUNCTION("""COMPUTED_VALUE"""),0.0)</f>
        <v>0</v>
      </c>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t="b">
        <f>IFERROR(__xludf.DUMMYFUNCTION("""COMPUTED_VALUE"""),FALSE)</f>
        <v>0</v>
      </c>
    </row>
    <row r="1021">
      <c r="A1021" s="1"/>
      <c r="B1021" s="1"/>
      <c r="C1021" s="1"/>
      <c r="D1021" s="1"/>
      <c r="E1021" s="1">
        <f>IFERROR(__xludf.DUMMYFUNCTION("""COMPUTED_VALUE"""),1.0)</f>
        <v>1</v>
      </c>
      <c r="F1021" s="2">
        <f>IFERROR(__xludf.DUMMYFUNCTION("""COMPUTED_VALUE"""),0.0)</f>
        <v>0</v>
      </c>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t="b">
        <f>IFERROR(__xludf.DUMMYFUNCTION("""COMPUTED_VALUE"""),FALSE)</f>
        <v>0</v>
      </c>
    </row>
    <row r="1022">
      <c r="A1022" s="1"/>
      <c r="B1022" s="1"/>
      <c r="C1022" s="1"/>
      <c r="D1022" s="1"/>
      <c r="E1022" s="1">
        <f>IFERROR(__xludf.DUMMYFUNCTION("""COMPUTED_VALUE"""),1.0)</f>
        <v>1</v>
      </c>
      <c r="F1022" s="2">
        <f>IFERROR(__xludf.DUMMYFUNCTION("""COMPUTED_VALUE"""),0.0)</f>
        <v>0</v>
      </c>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t="b">
        <f>IFERROR(__xludf.DUMMYFUNCTION("""COMPUTED_VALUE"""),FALSE)</f>
        <v>0</v>
      </c>
    </row>
    <row r="1023">
      <c r="A1023" s="1"/>
      <c r="B1023" s="1"/>
      <c r="C1023" s="1"/>
      <c r="D1023" s="1"/>
      <c r="E1023" s="1">
        <f>IFERROR(__xludf.DUMMYFUNCTION("""COMPUTED_VALUE"""),1.0)</f>
        <v>1</v>
      </c>
      <c r="F1023" s="2">
        <f>IFERROR(__xludf.DUMMYFUNCTION("""COMPUTED_VALUE"""),0.0)</f>
        <v>0</v>
      </c>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t="b">
        <f>IFERROR(__xludf.DUMMYFUNCTION("""COMPUTED_VALUE"""),FALSE)</f>
        <v>0</v>
      </c>
    </row>
    <row r="1024">
      <c r="A1024" s="1"/>
      <c r="B1024" s="1"/>
      <c r="C1024" s="1"/>
      <c r="D1024" s="1"/>
      <c r="E1024" s="1">
        <f>IFERROR(__xludf.DUMMYFUNCTION("""COMPUTED_VALUE"""),1.0)</f>
        <v>1</v>
      </c>
      <c r="F1024" s="2">
        <f>IFERROR(__xludf.DUMMYFUNCTION("""COMPUTED_VALUE"""),0.0)</f>
        <v>0</v>
      </c>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t="b">
        <f>IFERROR(__xludf.DUMMYFUNCTION("""COMPUTED_VALUE"""),FALSE)</f>
        <v>0</v>
      </c>
    </row>
    <row r="1025">
      <c r="A1025" s="1"/>
      <c r="B1025" s="1"/>
      <c r="C1025" s="1"/>
      <c r="D1025" s="1"/>
      <c r="E1025" s="1">
        <f>IFERROR(__xludf.DUMMYFUNCTION("""COMPUTED_VALUE"""),1.0)</f>
        <v>1</v>
      </c>
      <c r="F1025" s="2">
        <f>IFERROR(__xludf.DUMMYFUNCTION("""COMPUTED_VALUE"""),0.0)</f>
        <v>0</v>
      </c>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t="b">
        <f>IFERROR(__xludf.DUMMYFUNCTION("""COMPUTED_VALUE"""),FALSE)</f>
        <v>0</v>
      </c>
    </row>
    <row r="1026">
      <c r="A1026" s="1"/>
      <c r="B1026" s="1"/>
      <c r="C1026" s="1"/>
      <c r="D1026" s="1"/>
      <c r="E1026" s="1">
        <f>IFERROR(__xludf.DUMMYFUNCTION("""COMPUTED_VALUE"""),1.0)</f>
        <v>1</v>
      </c>
      <c r="F1026" s="2">
        <f>IFERROR(__xludf.DUMMYFUNCTION("""COMPUTED_VALUE"""),0.0)</f>
        <v>0</v>
      </c>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t="b">
        <f>IFERROR(__xludf.DUMMYFUNCTION("""COMPUTED_VALUE"""),FALSE)</f>
        <v>0</v>
      </c>
    </row>
    <row r="1027">
      <c r="A1027" s="1"/>
      <c r="B1027" s="1"/>
      <c r="C1027" s="1"/>
      <c r="D1027" s="1"/>
      <c r="E1027" s="1">
        <f>IFERROR(__xludf.DUMMYFUNCTION("""COMPUTED_VALUE"""),1.0)</f>
        <v>1</v>
      </c>
      <c r="F1027" s="2">
        <f>IFERROR(__xludf.DUMMYFUNCTION("""COMPUTED_VALUE"""),0.0)</f>
        <v>0</v>
      </c>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t="b">
        <f>IFERROR(__xludf.DUMMYFUNCTION("""COMPUTED_VALUE"""),FALSE)</f>
        <v>0</v>
      </c>
    </row>
    <row r="1028">
      <c r="A1028" s="1"/>
      <c r="B1028" s="1"/>
      <c r="C1028" s="1"/>
      <c r="D1028" s="1"/>
      <c r="E1028" s="1">
        <f>IFERROR(__xludf.DUMMYFUNCTION("""COMPUTED_VALUE"""),1.0)</f>
        <v>1</v>
      </c>
      <c r="F1028" s="2">
        <f>IFERROR(__xludf.DUMMYFUNCTION("""COMPUTED_VALUE"""),0.0)</f>
        <v>0</v>
      </c>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t="b">
        <f>IFERROR(__xludf.DUMMYFUNCTION("""COMPUTED_VALUE"""),FALSE)</f>
        <v>0</v>
      </c>
    </row>
    <row r="1029">
      <c r="A1029" s="1"/>
      <c r="B1029" s="1"/>
      <c r="C1029" s="1"/>
      <c r="D1029" s="1"/>
      <c r="E1029" s="1">
        <f>IFERROR(__xludf.DUMMYFUNCTION("""COMPUTED_VALUE"""),1.0)</f>
        <v>1</v>
      </c>
      <c r="F1029" s="2">
        <f>IFERROR(__xludf.DUMMYFUNCTION("""COMPUTED_VALUE"""),0.0)</f>
        <v>0</v>
      </c>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t="b">
        <f>IFERROR(__xludf.DUMMYFUNCTION("""COMPUTED_VALUE"""),FALSE)</f>
        <v>0</v>
      </c>
    </row>
    <row r="1030">
      <c r="A1030" s="1"/>
      <c r="B1030" s="1"/>
      <c r="C1030" s="1"/>
      <c r="D1030" s="1"/>
      <c r="E1030" s="1">
        <f>IFERROR(__xludf.DUMMYFUNCTION("""COMPUTED_VALUE"""),1.0)</f>
        <v>1</v>
      </c>
      <c r="F1030" s="2">
        <f>IFERROR(__xludf.DUMMYFUNCTION("""COMPUTED_VALUE"""),0.0)</f>
        <v>0</v>
      </c>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t="b">
        <f>IFERROR(__xludf.DUMMYFUNCTION("""COMPUTED_VALUE"""),FALSE)</f>
        <v>0</v>
      </c>
    </row>
    <row r="1031">
      <c r="A1031" s="1"/>
      <c r="B1031" s="1"/>
      <c r="C1031" s="1"/>
      <c r="D1031" s="1"/>
      <c r="E1031" s="1">
        <f>IFERROR(__xludf.DUMMYFUNCTION("""COMPUTED_VALUE"""),1.0)</f>
        <v>1</v>
      </c>
      <c r="F1031" s="2">
        <f>IFERROR(__xludf.DUMMYFUNCTION("""COMPUTED_VALUE"""),0.0)</f>
        <v>0</v>
      </c>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t="b">
        <f>IFERROR(__xludf.DUMMYFUNCTION("""COMPUTED_VALUE"""),FALSE)</f>
        <v>0</v>
      </c>
    </row>
    <row r="1032">
      <c r="A1032" s="1"/>
      <c r="B1032" s="1"/>
      <c r="C1032" s="1"/>
      <c r="D1032" s="1"/>
      <c r="E1032" s="1">
        <f>IFERROR(__xludf.DUMMYFUNCTION("""COMPUTED_VALUE"""),1.0)</f>
        <v>1</v>
      </c>
      <c r="F1032" s="2">
        <f>IFERROR(__xludf.DUMMYFUNCTION("""COMPUTED_VALUE"""),0.0)</f>
        <v>0</v>
      </c>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t="b">
        <f>IFERROR(__xludf.DUMMYFUNCTION("""COMPUTED_VALUE"""),FALSE)</f>
        <v>0</v>
      </c>
    </row>
    <row r="1033">
      <c r="A1033" s="1"/>
      <c r="B1033" s="1"/>
      <c r="C1033" s="1"/>
      <c r="D1033" s="1"/>
      <c r="E1033" s="1">
        <f>IFERROR(__xludf.DUMMYFUNCTION("""COMPUTED_VALUE"""),1.0)</f>
        <v>1</v>
      </c>
      <c r="F1033" s="2">
        <f>IFERROR(__xludf.DUMMYFUNCTION("""COMPUTED_VALUE"""),0.0)</f>
        <v>0</v>
      </c>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t="b">
        <f>IFERROR(__xludf.DUMMYFUNCTION("""COMPUTED_VALUE"""),FALSE)</f>
        <v>0</v>
      </c>
    </row>
    <row r="1034">
      <c r="A1034" s="1"/>
      <c r="B1034" s="1"/>
      <c r="C1034" s="1"/>
      <c r="D1034" s="1"/>
      <c r="E1034" s="1">
        <f>IFERROR(__xludf.DUMMYFUNCTION("""COMPUTED_VALUE"""),1.0)</f>
        <v>1</v>
      </c>
      <c r="F1034" s="2">
        <f>IFERROR(__xludf.DUMMYFUNCTION("""COMPUTED_VALUE"""),0.0)</f>
        <v>0</v>
      </c>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t="b">
        <f>IFERROR(__xludf.DUMMYFUNCTION("""COMPUTED_VALUE"""),FALSE)</f>
        <v>0</v>
      </c>
    </row>
    <row r="1035">
      <c r="A1035" s="1"/>
      <c r="B1035" s="1"/>
      <c r="C1035" s="1"/>
      <c r="D1035" s="1"/>
      <c r="E1035" s="1">
        <f>IFERROR(__xludf.DUMMYFUNCTION("""COMPUTED_VALUE"""),1.0)</f>
        <v>1</v>
      </c>
      <c r="F1035" s="2">
        <f>IFERROR(__xludf.DUMMYFUNCTION("""COMPUTED_VALUE"""),0.0)</f>
        <v>0</v>
      </c>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t="b">
        <f>IFERROR(__xludf.DUMMYFUNCTION("""COMPUTED_VALUE"""),FALSE)</f>
        <v>0</v>
      </c>
    </row>
    <row r="1036">
      <c r="A1036" s="1"/>
      <c r="B1036" s="1"/>
      <c r="C1036" s="1"/>
      <c r="D1036" s="1"/>
      <c r="E1036" s="1">
        <f>IFERROR(__xludf.DUMMYFUNCTION("""COMPUTED_VALUE"""),1.0)</f>
        <v>1</v>
      </c>
      <c r="F1036" s="2">
        <f>IFERROR(__xludf.DUMMYFUNCTION("""COMPUTED_VALUE"""),0.0)</f>
        <v>0</v>
      </c>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t="b">
        <f>IFERROR(__xludf.DUMMYFUNCTION("""COMPUTED_VALUE"""),FALSE)</f>
        <v>0</v>
      </c>
    </row>
    <row r="1037">
      <c r="A1037" s="1"/>
      <c r="B1037" s="1"/>
      <c r="C1037" s="1"/>
      <c r="D1037" s="1"/>
      <c r="E1037" s="1">
        <f>IFERROR(__xludf.DUMMYFUNCTION("""COMPUTED_VALUE"""),1.0)</f>
        <v>1</v>
      </c>
      <c r="F1037" s="2">
        <f>IFERROR(__xludf.DUMMYFUNCTION("""COMPUTED_VALUE"""),0.0)</f>
        <v>0</v>
      </c>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t="b">
        <f>IFERROR(__xludf.DUMMYFUNCTION("""COMPUTED_VALUE"""),FALSE)</f>
        <v>0</v>
      </c>
    </row>
    <row r="1038">
      <c r="A1038" s="1"/>
      <c r="B1038" s="1"/>
      <c r="C1038" s="1"/>
      <c r="D1038" s="1"/>
      <c r="E1038" s="1">
        <f>IFERROR(__xludf.DUMMYFUNCTION("""COMPUTED_VALUE"""),1.0)</f>
        <v>1</v>
      </c>
      <c r="F1038" s="2">
        <f>IFERROR(__xludf.DUMMYFUNCTION("""COMPUTED_VALUE"""),0.0)</f>
        <v>0</v>
      </c>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t="b">
        <f>IFERROR(__xludf.DUMMYFUNCTION("""COMPUTED_VALUE"""),FALSE)</f>
        <v>0</v>
      </c>
    </row>
    <row r="1039">
      <c r="A1039" s="1"/>
      <c r="B1039" s="1"/>
      <c r="C1039" s="1"/>
      <c r="D1039" s="1"/>
      <c r="E1039" s="1">
        <f>IFERROR(__xludf.DUMMYFUNCTION("""COMPUTED_VALUE"""),1.0)</f>
        <v>1</v>
      </c>
      <c r="F1039" s="2">
        <f>IFERROR(__xludf.DUMMYFUNCTION("""COMPUTED_VALUE"""),0.0)</f>
        <v>0</v>
      </c>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t="b">
        <f>IFERROR(__xludf.DUMMYFUNCTION("""COMPUTED_VALUE"""),FALSE)</f>
        <v>0</v>
      </c>
    </row>
    <row r="1040">
      <c r="A1040" s="1"/>
      <c r="B1040" s="1"/>
      <c r="C1040" s="1"/>
      <c r="D1040" s="1"/>
      <c r="E1040" s="1">
        <f>IFERROR(__xludf.DUMMYFUNCTION("""COMPUTED_VALUE"""),1.0)</f>
        <v>1</v>
      </c>
      <c r="F1040" s="2">
        <f>IFERROR(__xludf.DUMMYFUNCTION("""COMPUTED_VALUE"""),0.0)</f>
        <v>0</v>
      </c>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t="b">
        <f>IFERROR(__xludf.DUMMYFUNCTION("""COMPUTED_VALUE"""),FALSE)</f>
        <v>0</v>
      </c>
    </row>
    <row r="1041">
      <c r="A1041" s="1"/>
      <c r="B1041" s="1"/>
      <c r="C1041" s="1"/>
      <c r="D1041" s="1"/>
      <c r="E1041" s="1">
        <f>IFERROR(__xludf.DUMMYFUNCTION("""COMPUTED_VALUE"""),1.0)</f>
        <v>1</v>
      </c>
      <c r="F1041" s="2">
        <f>IFERROR(__xludf.DUMMYFUNCTION("""COMPUTED_VALUE"""),0.0)</f>
        <v>0</v>
      </c>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t="b">
        <f>IFERROR(__xludf.DUMMYFUNCTION("""COMPUTED_VALUE"""),FALSE)</f>
        <v>0</v>
      </c>
    </row>
    <row r="1042">
      <c r="A1042" s="1"/>
      <c r="B1042" s="1"/>
      <c r="C1042" s="1"/>
      <c r="D1042" s="1"/>
      <c r="E1042" s="1">
        <f>IFERROR(__xludf.DUMMYFUNCTION("""COMPUTED_VALUE"""),1.0)</f>
        <v>1</v>
      </c>
      <c r="F1042" s="2">
        <f>IFERROR(__xludf.DUMMYFUNCTION("""COMPUTED_VALUE"""),0.0)</f>
        <v>0</v>
      </c>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t="b">
        <f>IFERROR(__xludf.DUMMYFUNCTION("""COMPUTED_VALUE"""),FALSE)</f>
        <v>0</v>
      </c>
    </row>
    <row r="1043">
      <c r="A1043" s="1"/>
      <c r="B1043" s="1"/>
      <c r="C1043" s="1"/>
      <c r="D1043" s="1"/>
      <c r="E1043" s="1">
        <f>IFERROR(__xludf.DUMMYFUNCTION("""COMPUTED_VALUE"""),1.0)</f>
        <v>1</v>
      </c>
      <c r="F1043" s="2">
        <f>IFERROR(__xludf.DUMMYFUNCTION("""COMPUTED_VALUE"""),0.0)</f>
        <v>0</v>
      </c>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t="b">
        <f>IFERROR(__xludf.DUMMYFUNCTION("""COMPUTED_VALUE"""),FALSE)</f>
        <v>0</v>
      </c>
    </row>
    <row r="1044">
      <c r="A1044" s="1"/>
      <c r="B1044" s="1"/>
      <c r="C1044" s="1"/>
      <c r="D1044" s="1"/>
      <c r="E1044" s="1">
        <f>IFERROR(__xludf.DUMMYFUNCTION("""COMPUTED_VALUE"""),1.0)</f>
        <v>1</v>
      </c>
      <c r="F1044" s="2">
        <f>IFERROR(__xludf.DUMMYFUNCTION("""COMPUTED_VALUE"""),0.0)</f>
        <v>0</v>
      </c>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t="b">
        <f>IFERROR(__xludf.DUMMYFUNCTION("""COMPUTED_VALUE"""),FALSE)</f>
        <v>0</v>
      </c>
    </row>
    <row r="1045">
      <c r="A1045" s="1"/>
      <c r="B1045" s="1"/>
      <c r="C1045" s="1"/>
      <c r="D1045" s="1"/>
      <c r="E1045" s="1">
        <f>IFERROR(__xludf.DUMMYFUNCTION("""COMPUTED_VALUE"""),1.0)</f>
        <v>1</v>
      </c>
      <c r="F1045" s="2">
        <f>IFERROR(__xludf.DUMMYFUNCTION("""COMPUTED_VALUE"""),0.0)</f>
        <v>0</v>
      </c>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t="b">
        <f>IFERROR(__xludf.DUMMYFUNCTION("""COMPUTED_VALUE"""),FALSE)</f>
        <v>0</v>
      </c>
    </row>
    <row r="1046">
      <c r="A1046" s="1"/>
      <c r="B1046" s="1"/>
      <c r="C1046" s="1"/>
      <c r="D1046" s="1"/>
      <c r="E1046" s="1">
        <f>IFERROR(__xludf.DUMMYFUNCTION("""COMPUTED_VALUE"""),1.0)</f>
        <v>1</v>
      </c>
      <c r="F1046" s="2">
        <f>IFERROR(__xludf.DUMMYFUNCTION("""COMPUTED_VALUE"""),0.0)</f>
        <v>0</v>
      </c>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t="b">
        <f>IFERROR(__xludf.DUMMYFUNCTION("""COMPUTED_VALUE"""),FALSE)</f>
        <v>0</v>
      </c>
    </row>
    <row r="1047">
      <c r="A1047" s="1"/>
      <c r="B1047" s="1"/>
      <c r="C1047" s="1"/>
      <c r="D1047" s="1"/>
      <c r="E1047" s="1">
        <f>IFERROR(__xludf.DUMMYFUNCTION("""COMPUTED_VALUE"""),1.0)</f>
        <v>1</v>
      </c>
      <c r="F1047" s="2">
        <f>IFERROR(__xludf.DUMMYFUNCTION("""COMPUTED_VALUE"""),0.0)</f>
        <v>0</v>
      </c>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t="b">
        <f>IFERROR(__xludf.DUMMYFUNCTION("""COMPUTED_VALUE"""),FALSE)</f>
        <v>0</v>
      </c>
    </row>
    <row r="1048">
      <c r="A1048" s="1"/>
      <c r="B1048" s="1"/>
      <c r="C1048" s="1"/>
      <c r="D1048" s="1"/>
      <c r="E1048" s="1">
        <f>IFERROR(__xludf.DUMMYFUNCTION("""COMPUTED_VALUE"""),1.0)</f>
        <v>1</v>
      </c>
      <c r="F1048" s="2">
        <f>IFERROR(__xludf.DUMMYFUNCTION("""COMPUTED_VALUE"""),0.0)</f>
        <v>0</v>
      </c>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t="b">
        <f>IFERROR(__xludf.DUMMYFUNCTION("""COMPUTED_VALUE"""),FALSE)</f>
        <v>0</v>
      </c>
    </row>
    <row r="1049">
      <c r="A1049" s="1"/>
      <c r="B1049" s="1"/>
      <c r="C1049" s="1"/>
      <c r="D1049" s="1"/>
      <c r="E1049" s="1">
        <f>IFERROR(__xludf.DUMMYFUNCTION("""COMPUTED_VALUE"""),1.0)</f>
        <v>1</v>
      </c>
      <c r="F1049" s="2">
        <f>IFERROR(__xludf.DUMMYFUNCTION("""COMPUTED_VALUE"""),0.0)</f>
        <v>0</v>
      </c>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t="b">
        <f>IFERROR(__xludf.DUMMYFUNCTION("""COMPUTED_VALUE"""),FALSE)</f>
        <v>0</v>
      </c>
    </row>
    <row r="1050">
      <c r="A1050" s="1"/>
      <c r="B1050" s="1"/>
      <c r="C1050" s="1"/>
      <c r="D1050" s="1"/>
      <c r="E1050" s="1">
        <f>IFERROR(__xludf.DUMMYFUNCTION("""COMPUTED_VALUE"""),1.0)</f>
        <v>1</v>
      </c>
      <c r="F1050" s="2">
        <f>IFERROR(__xludf.DUMMYFUNCTION("""COMPUTED_VALUE"""),0.0)</f>
        <v>0</v>
      </c>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t="b">
        <f>IFERROR(__xludf.DUMMYFUNCTION("""COMPUTED_VALUE"""),FALSE)</f>
        <v>0</v>
      </c>
    </row>
    <row r="1051">
      <c r="A1051" s="1"/>
      <c r="B1051" s="1"/>
      <c r="C1051" s="1"/>
      <c r="D1051" s="1"/>
      <c r="E1051" s="1">
        <f>IFERROR(__xludf.DUMMYFUNCTION("""COMPUTED_VALUE"""),1.0)</f>
        <v>1</v>
      </c>
      <c r="F1051" s="2">
        <f>IFERROR(__xludf.DUMMYFUNCTION("""COMPUTED_VALUE"""),0.0)</f>
        <v>0</v>
      </c>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t="b">
        <f>IFERROR(__xludf.DUMMYFUNCTION("""COMPUTED_VALUE"""),FALSE)</f>
        <v>0</v>
      </c>
    </row>
    <row r="1052">
      <c r="A1052" s="1"/>
      <c r="B1052" s="1"/>
      <c r="C1052" s="1"/>
      <c r="D1052" s="1"/>
      <c r="E1052" s="1">
        <f>IFERROR(__xludf.DUMMYFUNCTION("""COMPUTED_VALUE"""),1.0)</f>
        <v>1</v>
      </c>
      <c r="F1052" s="2">
        <f>IFERROR(__xludf.DUMMYFUNCTION("""COMPUTED_VALUE"""),0.0)</f>
        <v>0</v>
      </c>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t="b">
        <f>IFERROR(__xludf.DUMMYFUNCTION("""COMPUTED_VALUE"""),FALSE)</f>
        <v>0</v>
      </c>
    </row>
    <row r="1053">
      <c r="A1053" s="1"/>
      <c r="B1053" s="1"/>
      <c r="C1053" s="1"/>
      <c r="D1053" s="1"/>
      <c r="E1053" s="1">
        <f>IFERROR(__xludf.DUMMYFUNCTION("""COMPUTED_VALUE"""),1.0)</f>
        <v>1</v>
      </c>
      <c r="F1053" s="2">
        <f>IFERROR(__xludf.DUMMYFUNCTION("""COMPUTED_VALUE"""),0.0)</f>
        <v>0</v>
      </c>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t="b">
        <f>IFERROR(__xludf.DUMMYFUNCTION("""COMPUTED_VALUE"""),FALSE)</f>
        <v>0</v>
      </c>
    </row>
    <row r="1054">
      <c r="A1054" s="1"/>
      <c r="B1054" s="1"/>
      <c r="C1054" s="1"/>
      <c r="D1054" s="1"/>
      <c r="E1054" s="1">
        <f>IFERROR(__xludf.DUMMYFUNCTION("""COMPUTED_VALUE"""),1.0)</f>
        <v>1</v>
      </c>
      <c r="F1054" s="2">
        <f>IFERROR(__xludf.DUMMYFUNCTION("""COMPUTED_VALUE"""),0.0)</f>
        <v>0</v>
      </c>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t="b">
        <f>IFERROR(__xludf.DUMMYFUNCTION("""COMPUTED_VALUE"""),FALSE)</f>
        <v>0</v>
      </c>
    </row>
    <row r="1055">
      <c r="A1055" s="1"/>
      <c r="B1055" s="1"/>
      <c r="C1055" s="1"/>
      <c r="D1055" s="1"/>
      <c r="E1055" s="1">
        <f>IFERROR(__xludf.DUMMYFUNCTION("""COMPUTED_VALUE"""),1.0)</f>
        <v>1</v>
      </c>
      <c r="F1055" s="2">
        <f>IFERROR(__xludf.DUMMYFUNCTION("""COMPUTED_VALUE"""),0.0)</f>
        <v>0</v>
      </c>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t="b">
        <f>IFERROR(__xludf.DUMMYFUNCTION("""COMPUTED_VALUE"""),FALSE)</f>
        <v>0</v>
      </c>
    </row>
    <row r="1056">
      <c r="A1056" s="1"/>
      <c r="B1056" s="1"/>
      <c r="C1056" s="1"/>
      <c r="D1056" s="1"/>
      <c r="E1056" s="1">
        <f>IFERROR(__xludf.DUMMYFUNCTION("""COMPUTED_VALUE"""),1.0)</f>
        <v>1</v>
      </c>
      <c r="F1056" s="2">
        <f>IFERROR(__xludf.DUMMYFUNCTION("""COMPUTED_VALUE"""),0.0)</f>
        <v>0</v>
      </c>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t="b">
        <f>IFERROR(__xludf.DUMMYFUNCTION("""COMPUTED_VALUE"""),FALSE)</f>
        <v>0</v>
      </c>
    </row>
    <row r="1057">
      <c r="A1057" s="1"/>
      <c r="B1057" s="1"/>
      <c r="C1057" s="1"/>
      <c r="D1057" s="1"/>
      <c r="E1057" s="1">
        <f>IFERROR(__xludf.DUMMYFUNCTION("""COMPUTED_VALUE"""),1.0)</f>
        <v>1</v>
      </c>
      <c r="F1057" s="2">
        <f>IFERROR(__xludf.DUMMYFUNCTION("""COMPUTED_VALUE"""),0.0)</f>
        <v>0</v>
      </c>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t="b">
        <f>IFERROR(__xludf.DUMMYFUNCTION("""COMPUTED_VALUE"""),FALSE)</f>
        <v>0</v>
      </c>
    </row>
    <row r="1058">
      <c r="A1058" s="1"/>
      <c r="B1058" s="1"/>
      <c r="C1058" s="1"/>
      <c r="D1058" s="1"/>
      <c r="E1058" s="1">
        <f>IFERROR(__xludf.DUMMYFUNCTION("""COMPUTED_VALUE"""),1.0)</f>
        <v>1</v>
      </c>
      <c r="F1058" s="2">
        <f>IFERROR(__xludf.DUMMYFUNCTION("""COMPUTED_VALUE"""),0.0)</f>
        <v>0</v>
      </c>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t="b">
        <f>IFERROR(__xludf.DUMMYFUNCTION("""COMPUTED_VALUE"""),FALSE)</f>
        <v>0</v>
      </c>
    </row>
    <row r="1059">
      <c r="A1059" s="1"/>
      <c r="B1059" s="1"/>
      <c r="C1059" s="1"/>
      <c r="D1059" s="1"/>
      <c r="E1059" s="1">
        <f>IFERROR(__xludf.DUMMYFUNCTION("""COMPUTED_VALUE"""),1.0)</f>
        <v>1</v>
      </c>
      <c r="F1059" s="2">
        <f>IFERROR(__xludf.DUMMYFUNCTION("""COMPUTED_VALUE"""),0.0)</f>
        <v>0</v>
      </c>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t="b">
        <f>IFERROR(__xludf.DUMMYFUNCTION("""COMPUTED_VALUE"""),FALSE)</f>
        <v>0</v>
      </c>
    </row>
    <row r="1060">
      <c r="A1060" s="1"/>
      <c r="B1060" s="1"/>
      <c r="C1060" s="1"/>
      <c r="D1060" s="1"/>
      <c r="E1060" s="1">
        <f>IFERROR(__xludf.DUMMYFUNCTION("""COMPUTED_VALUE"""),1.0)</f>
        <v>1</v>
      </c>
      <c r="F1060" s="2">
        <f>IFERROR(__xludf.DUMMYFUNCTION("""COMPUTED_VALUE"""),0.0)</f>
        <v>0</v>
      </c>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t="b">
        <f>IFERROR(__xludf.DUMMYFUNCTION("""COMPUTED_VALUE"""),FALSE)</f>
        <v>0</v>
      </c>
    </row>
    <row r="1061">
      <c r="A1061" s="1"/>
      <c r="B1061" s="1"/>
      <c r="C1061" s="1"/>
      <c r="D1061" s="1"/>
      <c r="E1061" s="1">
        <f>IFERROR(__xludf.DUMMYFUNCTION("""COMPUTED_VALUE"""),1.0)</f>
        <v>1</v>
      </c>
      <c r="F1061" s="2">
        <f>IFERROR(__xludf.DUMMYFUNCTION("""COMPUTED_VALUE"""),0.0)</f>
        <v>0</v>
      </c>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t="b">
        <f>IFERROR(__xludf.DUMMYFUNCTION("""COMPUTED_VALUE"""),FALSE)</f>
        <v>0</v>
      </c>
    </row>
    <row r="1062">
      <c r="A1062" s="1"/>
      <c r="B1062" s="1"/>
      <c r="C1062" s="1"/>
      <c r="D1062" s="1"/>
      <c r="E1062" s="1">
        <f>IFERROR(__xludf.DUMMYFUNCTION("""COMPUTED_VALUE"""),1.0)</f>
        <v>1</v>
      </c>
      <c r="F1062" s="2">
        <f>IFERROR(__xludf.DUMMYFUNCTION("""COMPUTED_VALUE"""),0.0)</f>
        <v>0</v>
      </c>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t="b">
        <f>IFERROR(__xludf.DUMMYFUNCTION("""COMPUTED_VALUE"""),FALSE)</f>
        <v>0</v>
      </c>
    </row>
    <row r="1063">
      <c r="A1063" s="1"/>
      <c r="B1063" s="1"/>
      <c r="C1063" s="1"/>
      <c r="D1063" s="1"/>
      <c r="E1063" s="1">
        <f>IFERROR(__xludf.DUMMYFUNCTION("""COMPUTED_VALUE"""),1.0)</f>
        <v>1</v>
      </c>
      <c r="F1063" s="2">
        <f>IFERROR(__xludf.DUMMYFUNCTION("""COMPUTED_VALUE"""),0.0)</f>
        <v>0</v>
      </c>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t="b">
        <f>IFERROR(__xludf.DUMMYFUNCTION("""COMPUTED_VALUE"""),FALSE)</f>
        <v>0</v>
      </c>
    </row>
    <row r="1064">
      <c r="A1064" s="1"/>
      <c r="B1064" s="1"/>
      <c r="C1064" s="1"/>
      <c r="D1064" s="1"/>
      <c r="E1064" s="1">
        <f>IFERROR(__xludf.DUMMYFUNCTION("""COMPUTED_VALUE"""),1.0)</f>
        <v>1</v>
      </c>
      <c r="F1064" s="2">
        <f>IFERROR(__xludf.DUMMYFUNCTION("""COMPUTED_VALUE"""),0.0)</f>
        <v>0</v>
      </c>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t="b">
        <f>IFERROR(__xludf.DUMMYFUNCTION("""COMPUTED_VALUE"""),FALSE)</f>
        <v>0</v>
      </c>
    </row>
    <row r="1065">
      <c r="A1065" s="1"/>
      <c r="B1065" s="1"/>
      <c r="C1065" s="1"/>
      <c r="D1065" s="1"/>
      <c r="E1065" s="1">
        <f>IFERROR(__xludf.DUMMYFUNCTION("""COMPUTED_VALUE"""),1.0)</f>
        <v>1</v>
      </c>
      <c r="F1065" s="2">
        <f>IFERROR(__xludf.DUMMYFUNCTION("""COMPUTED_VALUE"""),0.0)</f>
        <v>0</v>
      </c>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t="b">
        <f>IFERROR(__xludf.DUMMYFUNCTION("""COMPUTED_VALUE"""),FALSE)</f>
        <v>0</v>
      </c>
    </row>
    <row r="1066">
      <c r="A1066" s="1"/>
      <c r="B1066" s="1"/>
      <c r="C1066" s="1"/>
      <c r="D1066" s="1"/>
      <c r="E1066" s="1">
        <f>IFERROR(__xludf.DUMMYFUNCTION("""COMPUTED_VALUE"""),1.0)</f>
        <v>1</v>
      </c>
      <c r="F1066" s="2">
        <f>IFERROR(__xludf.DUMMYFUNCTION("""COMPUTED_VALUE"""),0.0)</f>
        <v>0</v>
      </c>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t="b">
        <f>IFERROR(__xludf.DUMMYFUNCTION("""COMPUTED_VALUE"""),FALSE)</f>
        <v>0</v>
      </c>
    </row>
    <row r="1067">
      <c r="A1067" s="1"/>
      <c r="B1067" s="1"/>
      <c r="C1067" s="1"/>
      <c r="D1067" s="1"/>
      <c r="E1067" s="1">
        <f>IFERROR(__xludf.DUMMYFUNCTION("""COMPUTED_VALUE"""),1.0)</f>
        <v>1</v>
      </c>
      <c r="F1067" s="2">
        <f>IFERROR(__xludf.DUMMYFUNCTION("""COMPUTED_VALUE"""),0.0)</f>
        <v>0</v>
      </c>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t="b">
        <f>IFERROR(__xludf.DUMMYFUNCTION("""COMPUTED_VALUE"""),FALSE)</f>
        <v>0</v>
      </c>
    </row>
    <row r="1068">
      <c r="A1068" s="1"/>
      <c r="B1068" s="1"/>
      <c r="C1068" s="1"/>
      <c r="D1068" s="1"/>
      <c r="E1068" s="1">
        <f>IFERROR(__xludf.DUMMYFUNCTION("""COMPUTED_VALUE"""),1.0)</f>
        <v>1</v>
      </c>
      <c r="F1068" s="2">
        <f>IFERROR(__xludf.DUMMYFUNCTION("""COMPUTED_VALUE"""),0.0)</f>
        <v>0</v>
      </c>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t="b">
        <f>IFERROR(__xludf.DUMMYFUNCTION("""COMPUTED_VALUE"""),FALSE)</f>
        <v>0</v>
      </c>
    </row>
    <row r="1069">
      <c r="A1069" s="1"/>
      <c r="B1069" s="1"/>
      <c r="C1069" s="1"/>
      <c r="D1069" s="1"/>
      <c r="E1069" s="1">
        <f>IFERROR(__xludf.DUMMYFUNCTION("""COMPUTED_VALUE"""),1.0)</f>
        <v>1</v>
      </c>
      <c r="F1069" s="2">
        <f>IFERROR(__xludf.DUMMYFUNCTION("""COMPUTED_VALUE"""),0.0)</f>
        <v>0</v>
      </c>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t="b">
        <f>IFERROR(__xludf.DUMMYFUNCTION("""COMPUTED_VALUE"""),FALSE)</f>
        <v>0</v>
      </c>
    </row>
    <row r="1070">
      <c r="A1070" s="1"/>
      <c r="B1070" s="1"/>
      <c r="C1070" s="1"/>
      <c r="D1070" s="1"/>
      <c r="E1070" s="1">
        <f>IFERROR(__xludf.DUMMYFUNCTION("""COMPUTED_VALUE"""),1.0)</f>
        <v>1</v>
      </c>
      <c r="F1070" s="2">
        <f>IFERROR(__xludf.DUMMYFUNCTION("""COMPUTED_VALUE"""),0.0)</f>
        <v>0</v>
      </c>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t="b">
        <f>IFERROR(__xludf.DUMMYFUNCTION("""COMPUTED_VALUE"""),FALSE)</f>
        <v>0</v>
      </c>
    </row>
    <row r="1071">
      <c r="A1071" s="1"/>
      <c r="B1071" s="1"/>
      <c r="C1071" s="1"/>
      <c r="D1071" s="1"/>
      <c r="E1071" s="1">
        <f>IFERROR(__xludf.DUMMYFUNCTION("""COMPUTED_VALUE"""),1.0)</f>
        <v>1</v>
      </c>
      <c r="F1071" s="2">
        <f>IFERROR(__xludf.DUMMYFUNCTION("""COMPUTED_VALUE"""),0.0)</f>
        <v>0</v>
      </c>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t="b">
        <f>IFERROR(__xludf.DUMMYFUNCTION("""COMPUTED_VALUE"""),FALSE)</f>
        <v>0</v>
      </c>
    </row>
    <row r="1072">
      <c r="A1072" s="1"/>
      <c r="B1072" s="1"/>
      <c r="C1072" s="1"/>
      <c r="D1072" s="1"/>
      <c r="E1072" s="1">
        <f>IFERROR(__xludf.DUMMYFUNCTION("""COMPUTED_VALUE"""),1.0)</f>
        <v>1</v>
      </c>
      <c r="F1072" s="2">
        <f>IFERROR(__xludf.DUMMYFUNCTION("""COMPUTED_VALUE"""),0.0)</f>
        <v>0</v>
      </c>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t="b">
        <f>IFERROR(__xludf.DUMMYFUNCTION("""COMPUTED_VALUE"""),FALSE)</f>
        <v>0</v>
      </c>
    </row>
    <row r="1073">
      <c r="A1073" s="1"/>
      <c r="B1073" s="1"/>
      <c r="C1073" s="1"/>
      <c r="D1073" s="1"/>
      <c r="E1073" s="1">
        <f>IFERROR(__xludf.DUMMYFUNCTION("""COMPUTED_VALUE"""),1.0)</f>
        <v>1</v>
      </c>
      <c r="F1073" s="2">
        <f>IFERROR(__xludf.DUMMYFUNCTION("""COMPUTED_VALUE"""),0.0)</f>
        <v>0</v>
      </c>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t="b">
        <f>IFERROR(__xludf.DUMMYFUNCTION("""COMPUTED_VALUE"""),FALSE)</f>
        <v>0</v>
      </c>
    </row>
    <row r="1074">
      <c r="A1074" s="1"/>
      <c r="B1074" s="1"/>
      <c r="C1074" s="1"/>
      <c r="D1074" s="1"/>
      <c r="E1074" s="1">
        <f>IFERROR(__xludf.DUMMYFUNCTION("""COMPUTED_VALUE"""),1.0)</f>
        <v>1</v>
      </c>
      <c r="F1074" s="2">
        <f>IFERROR(__xludf.DUMMYFUNCTION("""COMPUTED_VALUE"""),0.0)</f>
        <v>0</v>
      </c>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t="b">
        <f>IFERROR(__xludf.DUMMYFUNCTION("""COMPUTED_VALUE"""),FALSE)</f>
        <v>0</v>
      </c>
    </row>
    <row r="1075">
      <c r="A1075" s="1"/>
      <c r="B1075" s="1"/>
      <c r="C1075" s="1"/>
      <c r="D1075" s="1"/>
      <c r="E1075" s="1">
        <f>IFERROR(__xludf.DUMMYFUNCTION("""COMPUTED_VALUE"""),1.0)</f>
        <v>1</v>
      </c>
      <c r="F1075" s="2">
        <f>IFERROR(__xludf.DUMMYFUNCTION("""COMPUTED_VALUE"""),0.0)</f>
        <v>0</v>
      </c>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t="b">
        <f>IFERROR(__xludf.DUMMYFUNCTION("""COMPUTED_VALUE"""),FALSE)</f>
        <v>0</v>
      </c>
    </row>
    <row r="1076">
      <c r="A1076" s="1"/>
      <c r="B1076" s="1"/>
      <c r="C1076" s="1"/>
      <c r="D1076" s="1"/>
      <c r="E1076" s="1">
        <f>IFERROR(__xludf.DUMMYFUNCTION("""COMPUTED_VALUE"""),1.0)</f>
        <v>1</v>
      </c>
      <c r="F1076" s="2">
        <f>IFERROR(__xludf.DUMMYFUNCTION("""COMPUTED_VALUE"""),0.0)</f>
        <v>0</v>
      </c>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t="b">
        <f>IFERROR(__xludf.DUMMYFUNCTION("""COMPUTED_VALUE"""),FALSE)</f>
        <v>0</v>
      </c>
    </row>
    <row r="1077">
      <c r="A1077" s="1"/>
      <c r="B1077" s="1"/>
      <c r="C1077" s="1"/>
      <c r="D1077" s="1"/>
      <c r="E1077" s="1">
        <f>IFERROR(__xludf.DUMMYFUNCTION("""COMPUTED_VALUE"""),1.0)</f>
        <v>1</v>
      </c>
      <c r="F1077" s="2">
        <f>IFERROR(__xludf.DUMMYFUNCTION("""COMPUTED_VALUE"""),0.0)</f>
        <v>0</v>
      </c>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t="b">
        <f>IFERROR(__xludf.DUMMYFUNCTION("""COMPUTED_VALUE"""),FALSE)</f>
        <v>0</v>
      </c>
    </row>
    <row r="1078">
      <c r="A1078" s="1"/>
      <c r="B1078" s="1"/>
      <c r="C1078" s="1"/>
      <c r="D1078" s="1"/>
      <c r="E1078" s="1">
        <f>IFERROR(__xludf.DUMMYFUNCTION("""COMPUTED_VALUE"""),1.0)</f>
        <v>1</v>
      </c>
      <c r="F1078" s="2">
        <f>IFERROR(__xludf.DUMMYFUNCTION("""COMPUTED_VALUE"""),0.0)</f>
        <v>0</v>
      </c>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t="b">
        <f>IFERROR(__xludf.DUMMYFUNCTION("""COMPUTED_VALUE"""),FALSE)</f>
        <v>0</v>
      </c>
    </row>
    <row r="1079">
      <c r="A1079" s="1"/>
      <c r="B1079" s="1"/>
      <c r="C1079" s="1"/>
      <c r="D1079" s="1"/>
      <c r="E1079" s="1">
        <f>IFERROR(__xludf.DUMMYFUNCTION("""COMPUTED_VALUE"""),1.0)</f>
        <v>1</v>
      </c>
      <c r="F1079" s="2">
        <f>IFERROR(__xludf.DUMMYFUNCTION("""COMPUTED_VALUE"""),0.0)</f>
        <v>0</v>
      </c>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t="b">
        <f>IFERROR(__xludf.DUMMYFUNCTION("""COMPUTED_VALUE"""),FALSE)</f>
        <v>0</v>
      </c>
    </row>
    <row r="1080">
      <c r="A1080" s="1"/>
      <c r="B1080" s="1"/>
      <c r="C1080" s="1"/>
      <c r="D1080" s="1"/>
      <c r="E1080" s="1">
        <f>IFERROR(__xludf.DUMMYFUNCTION("""COMPUTED_VALUE"""),1.0)</f>
        <v>1</v>
      </c>
      <c r="F1080" s="2">
        <f>IFERROR(__xludf.DUMMYFUNCTION("""COMPUTED_VALUE"""),0.0)</f>
        <v>0</v>
      </c>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t="b">
        <f>IFERROR(__xludf.DUMMYFUNCTION("""COMPUTED_VALUE"""),FALSE)</f>
        <v>0</v>
      </c>
    </row>
    <row r="1081">
      <c r="A1081" s="1"/>
      <c r="B1081" s="1"/>
      <c r="C1081" s="1"/>
      <c r="D1081" s="1"/>
      <c r="E1081" s="1">
        <f>IFERROR(__xludf.DUMMYFUNCTION("""COMPUTED_VALUE"""),1.0)</f>
        <v>1</v>
      </c>
      <c r="F1081" s="2">
        <f>IFERROR(__xludf.DUMMYFUNCTION("""COMPUTED_VALUE"""),0.0)</f>
        <v>0</v>
      </c>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t="b">
        <f>IFERROR(__xludf.DUMMYFUNCTION("""COMPUTED_VALUE"""),FALSE)</f>
        <v>0</v>
      </c>
    </row>
    <row r="1082">
      <c r="A1082" s="1"/>
      <c r="B1082" s="1"/>
      <c r="C1082" s="1"/>
      <c r="D1082" s="1"/>
      <c r="E1082" s="1">
        <f>IFERROR(__xludf.DUMMYFUNCTION("""COMPUTED_VALUE"""),1.0)</f>
        <v>1</v>
      </c>
      <c r="F1082" s="2">
        <f>IFERROR(__xludf.DUMMYFUNCTION("""COMPUTED_VALUE"""),0.0)</f>
        <v>0</v>
      </c>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t="b">
        <f>IFERROR(__xludf.DUMMYFUNCTION("""COMPUTED_VALUE"""),FALSE)</f>
        <v>0</v>
      </c>
    </row>
    <row r="1083">
      <c r="A1083" s="1"/>
      <c r="B1083" s="1"/>
      <c r="C1083" s="1"/>
      <c r="D1083" s="1"/>
      <c r="E1083" s="1">
        <f>IFERROR(__xludf.DUMMYFUNCTION("""COMPUTED_VALUE"""),1.0)</f>
        <v>1</v>
      </c>
      <c r="F1083" s="2">
        <f>IFERROR(__xludf.DUMMYFUNCTION("""COMPUTED_VALUE"""),0.0)</f>
        <v>0</v>
      </c>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t="b">
        <f>IFERROR(__xludf.DUMMYFUNCTION("""COMPUTED_VALUE"""),FALSE)</f>
        <v>0</v>
      </c>
    </row>
    <row r="1084">
      <c r="A1084" s="1"/>
      <c r="B1084" s="1"/>
      <c r="C1084" s="1"/>
      <c r="D1084" s="1"/>
      <c r="E1084" s="1">
        <f>IFERROR(__xludf.DUMMYFUNCTION("""COMPUTED_VALUE"""),1.0)</f>
        <v>1</v>
      </c>
      <c r="F1084" s="2">
        <f>IFERROR(__xludf.DUMMYFUNCTION("""COMPUTED_VALUE"""),0.0)</f>
        <v>0</v>
      </c>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t="b">
        <f>IFERROR(__xludf.DUMMYFUNCTION("""COMPUTED_VALUE"""),FALSE)</f>
        <v>0</v>
      </c>
    </row>
    <row r="1085">
      <c r="A1085" s="1"/>
      <c r="B1085" s="1"/>
      <c r="C1085" s="1"/>
      <c r="D1085" s="1"/>
      <c r="E1085" s="1">
        <f>IFERROR(__xludf.DUMMYFUNCTION("""COMPUTED_VALUE"""),1.0)</f>
        <v>1</v>
      </c>
      <c r="F1085" s="2">
        <f>IFERROR(__xludf.DUMMYFUNCTION("""COMPUTED_VALUE"""),0.0)</f>
        <v>0</v>
      </c>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t="b">
        <f>IFERROR(__xludf.DUMMYFUNCTION("""COMPUTED_VALUE"""),FALSE)</f>
        <v>0</v>
      </c>
    </row>
    <row r="1086">
      <c r="A1086" s="1"/>
      <c r="B1086" s="1"/>
      <c r="C1086" s="1"/>
      <c r="D1086" s="1"/>
      <c r="E1086" s="1">
        <f>IFERROR(__xludf.DUMMYFUNCTION("""COMPUTED_VALUE"""),1.0)</f>
        <v>1</v>
      </c>
      <c r="F1086" s="2">
        <f>IFERROR(__xludf.DUMMYFUNCTION("""COMPUTED_VALUE"""),0.0)</f>
        <v>0</v>
      </c>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t="b">
        <f>IFERROR(__xludf.DUMMYFUNCTION("""COMPUTED_VALUE"""),FALSE)</f>
        <v>0</v>
      </c>
    </row>
    <row r="1087">
      <c r="A1087" s="1"/>
      <c r="B1087" s="1"/>
      <c r="C1087" s="1"/>
      <c r="D1087" s="1"/>
      <c r="E1087" s="1">
        <f>IFERROR(__xludf.DUMMYFUNCTION("""COMPUTED_VALUE"""),1.0)</f>
        <v>1</v>
      </c>
      <c r="F1087" s="2">
        <f>IFERROR(__xludf.DUMMYFUNCTION("""COMPUTED_VALUE"""),0.0)</f>
        <v>0</v>
      </c>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t="b">
        <f>IFERROR(__xludf.DUMMYFUNCTION("""COMPUTED_VALUE"""),FALSE)</f>
        <v>0</v>
      </c>
    </row>
    <row r="1088">
      <c r="A1088" s="1"/>
      <c r="B1088" s="1"/>
      <c r="C1088" s="1"/>
      <c r="D1088" s="1"/>
      <c r="E1088" s="1">
        <f>IFERROR(__xludf.DUMMYFUNCTION("""COMPUTED_VALUE"""),1.0)</f>
        <v>1</v>
      </c>
      <c r="F1088" s="2">
        <f>IFERROR(__xludf.DUMMYFUNCTION("""COMPUTED_VALUE"""),0.0)</f>
        <v>0</v>
      </c>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t="b">
        <f>IFERROR(__xludf.DUMMYFUNCTION("""COMPUTED_VALUE"""),FALSE)</f>
        <v>0</v>
      </c>
    </row>
    <row r="1089">
      <c r="A1089" s="1"/>
      <c r="B1089" s="1"/>
      <c r="C1089" s="1"/>
      <c r="D1089" s="1"/>
      <c r="E1089" s="1">
        <f>IFERROR(__xludf.DUMMYFUNCTION("""COMPUTED_VALUE"""),1.0)</f>
        <v>1</v>
      </c>
      <c r="F1089" s="2">
        <f>IFERROR(__xludf.DUMMYFUNCTION("""COMPUTED_VALUE"""),0.0)</f>
        <v>0</v>
      </c>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t="b">
        <f>IFERROR(__xludf.DUMMYFUNCTION("""COMPUTED_VALUE"""),FALSE)</f>
        <v>0</v>
      </c>
    </row>
    <row r="1090">
      <c r="A1090" s="1"/>
      <c r="B1090" s="1"/>
      <c r="C1090" s="1"/>
      <c r="D1090" s="1"/>
      <c r="E1090" s="1">
        <f>IFERROR(__xludf.DUMMYFUNCTION("""COMPUTED_VALUE"""),1.0)</f>
        <v>1</v>
      </c>
      <c r="F1090" s="2">
        <f>IFERROR(__xludf.DUMMYFUNCTION("""COMPUTED_VALUE"""),0.0)</f>
        <v>0</v>
      </c>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t="b">
        <f>IFERROR(__xludf.DUMMYFUNCTION("""COMPUTED_VALUE"""),FALSE)</f>
        <v>0</v>
      </c>
    </row>
    <row r="1091">
      <c r="A1091" s="1"/>
      <c r="B1091" s="1"/>
      <c r="C1091" s="1"/>
      <c r="D1091" s="1"/>
      <c r="E1091" s="1">
        <f>IFERROR(__xludf.DUMMYFUNCTION("""COMPUTED_VALUE"""),1.0)</f>
        <v>1</v>
      </c>
      <c r="F1091" s="2">
        <f>IFERROR(__xludf.DUMMYFUNCTION("""COMPUTED_VALUE"""),0.0)</f>
        <v>0</v>
      </c>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t="b">
        <f>IFERROR(__xludf.DUMMYFUNCTION("""COMPUTED_VALUE"""),FALSE)</f>
        <v>0</v>
      </c>
    </row>
    <row r="1092">
      <c r="A1092" s="1"/>
      <c r="B1092" s="1"/>
      <c r="C1092" s="1"/>
      <c r="D1092" s="1"/>
      <c r="E1092" s="1">
        <f>IFERROR(__xludf.DUMMYFUNCTION("""COMPUTED_VALUE"""),1.0)</f>
        <v>1</v>
      </c>
      <c r="F1092" s="2">
        <f>IFERROR(__xludf.DUMMYFUNCTION("""COMPUTED_VALUE"""),0.0)</f>
        <v>0</v>
      </c>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t="b">
        <f>IFERROR(__xludf.DUMMYFUNCTION("""COMPUTED_VALUE"""),FALSE)</f>
        <v>0</v>
      </c>
    </row>
    <row r="1093">
      <c r="A1093" s="1"/>
      <c r="B1093" s="1"/>
      <c r="C1093" s="1"/>
      <c r="D1093" s="1"/>
      <c r="E1093" s="1">
        <f>IFERROR(__xludf.DUMMYFUNCTION("""COMPUTED_VALUE"""),1.0)</f>
        <v>1</v>
      </c>
      <c r="F1093" s="2">
        <f>IFERROR(__xludf.DUMMYFUNCTION("""COMPUTED_VALUE"""),0.0)</f>
        <v>0</v>
      </c>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t="b">
        <f>IFERROR(__xludf.DUMMYFUNCTION("""COMPUTED_VALUE"""),FALSE)</f>
        <v>0</v>
      </c>
    </row>
    <row r="1094">
      <c r="A1094" s="1"/>
      <c r="B1094" s="1"/>
      <c r="C1094" s="1"/>
      <c r="D1094" s="1"/>
      <c r="E1094" s="1">
        <f>IFERROR(__xludf.DUMMYFUNCTION("""COMPUTED_VALUE"""),1.0)</f>
        <v>1</v>
      </c>
      <c r="F1094" s="2">
        <f>IFERROR(__xludf.DUMMYFUNCTION("""COMPUTED_VALUE"""),0.0)</f>
        <v>0</v>
      </c>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t="b">
        <f>IFERROR(__xludf.DUMMYFUNCTION("""COMPUTED_VALUE"""),FALSE)</f>
        <v>0</v>
      </c>
    </row>
    <row r="1095">
      <c r="A1095" s="1"/>
      <c r="B1095" s="1"/>
      <c r="C1095" s="1"/>
      <c r="D1095" s="1"/>
      <c r="E1095" s="1">
        <f>IFERROR(__xludf.DUMMYFUNCTION("""COMPUTED_VALUE"""),1.0)</f>
        <v>1</v>
      </c>
      <c r="F1095" s="2">
        <f>IFERROR(__xludf.DUMMYFUNCTION("""COMPUTED_VALUE"""),0.0)</f>
        <v>0</v>
      </c>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t="b">
        <f>IFERROR(__xludf.DUMMYFUNCTION("""COMPUTED_VALUE"""),FALSE)</f>
        <v>0</v>
      </c>
    </row>
    <row r="1096">
      <c r="A1096" s="1"/>
      <c r="B1096" s="1"/>
      <c r="C1096" s="1"/>
      <c r="D1096" s="1"/>
      <c r="E1096" s="1">
        <f>IFERROR(__xludf.DUMMYFUNCTION("""COMPUTED_VALUE"""),1.0)</f>
        <v>1</v>
      </c>
      <c r="F1096" s="2">
        <f>IFERROR(__xludf.DUMMYFUNCTION("""COMPUTED_VALUE"""),0.0)</f>
        <v>0</v>
      </c>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t="b">
        <f>IFERROR(__xludf.DUMMYFUNCTION("""COMPUTED_VALUE"""),FALSE)</f>
        <v>0</v>
      </c>
    </row>
    <row r="1097">
      <c r="A1097" s="1"/>
      <c r="B1097" s="1"/>
      <c r="C1097" s="1"/>
      <c r="D1097" s="1"/>
      <c r="E1097" s="1">
        <f>IFERROR(__xludf.DUMMYFUNCTION("""COMPUTED_VALUE"""),1.0)</f>
        <v>1</v>
      </c>
      <c r="F1097" s="2">
        <f>IFERROR(__xludf.DUMMYFUNCTION("""COMPUTED_VALUE"""),0.0)</f>
        <v>0</v>
      </c>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t="b">
        <f>IFERROR(__xludf.DUMMYFUNCTION("""COMPUTED_VALUE"""),FALSE)</f>
        <v>0</v>
      </c>
    </row>
    <row r="1098">
      <c r="A1098" s="1"/>
      <c r="B1098" s="1"/>
      <c r="C1098" s="1"/>
      <c r="D1098" s="1"/>
      <c r="E1098" s="1">
        <f>IFERROR(__xludf.DUMMYFUNCTION("""COMPUTED_VALUE"""),1.0)</f>
        <v>1</v>
      </c>
      <c r="F1098" s="2">
        <f>IFERROR(__xludf.DUMMYFUNCTION("""COMPUTED_VALUE"""),0.0)</f>
        <v>0</v>
      </c>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t="b">
        <f>IFERROR(__xludf.DUMMYFUNCTION("""COMPUTED_VALUE"""),FALSE)</f>
        <v>0</v>
      </c>
    </row>
    <row r="1099">
      <c r="A1099" s="1"/>
      <c r="B1099" s="1"/>
      <c r="C1099" s="1"/>
      <c r="D1099" s="1"/>
      <c r="E1099" s="1">
        <f>IFERROR(__xludf.DUMMYFUNCTION("""COMPUTED_VALUE"""),1.0)</f>
        <v>1</v>
      </c>
      <c r="F1099" s="2">
        <f>IFERROR(__xludf.DUMMYFUNCTION("""COMPUTED_VALUE"""),0.0)</f>
        <v>0</v>
      </c>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t="b">
        <f>IFERROR(__xludf.DUMMYFUNCTION("""COMPUTED_VALUE"""),FALSE)</f>
        <v>0</v>
      </c>
    </row>
    <row r="1100">
      <c r="A1100" s="1"/>
      <c r="B1100" s="1"/>
      <c r="C1100" s="1"/>
      <c r="D1100" s="1"/>
      <c r="E1100" s="1">
        <f>IFERROR(__xludf.DUMMYFUNCTION("""COMPUTED_VALUE"""),1.0)</f>
        <v>1</v>
      </c>
      <c r="F1100" s="2">
        <f>IFERROR(__xludf.DUMMYFUNCTION("""COMPUTED_VALUE"""),0.0)</f>
        <v>0</v>
      </c>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t="b">
        <f>IFERROR(__xludf.DUMMYFUNCTION("""COMPUTED_VALUE"""),FALSE)</f>
        <v>0</v>
      </c>
    </row>
    <row r="1101">
      <c r="A1101" s="1"/>
      <c r="B1101" s="1"/>
      <c r="C1101" s="1"/>
      <c r="D1101" s="1"/>
      <c r="E1101" s="1">
        <f>IFERROR(__xludf.DUMMYFUNCTION("""COMPUTED_VALUE"""),1.0)</f>
        <v>1</v>
      </c>
      <c r="F1101" s="2">
        <f>IFERROR(__xludf.DUMMYFUNCTION("""COMPUTED_VALUE"""),0.0)</f>
        <v>0</v>
      </c>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t="b">
        <f>IFERROR(__xludf.DUMMYFUNCTION("""COMPUTED_VALUE"""),FALSE)</f>
        <v>0</v>
      </c>
    </row>
    <row r="1102">
      <c r="A1102" s="1"/>
      <c r="B1102" s="1"/>
      <c r="C1102" s="1"/>
      <c r="D1102" s="1"/>
      <c r="E1102" s="1">
        <f>IFERROR(__xludf.DUMMYFUNCTION("""COMPUTED_VALUE"""),1.0)</f>
        <v>1</v>
      </c>
      <c r="F1102" s="2">
        <f>IFERROR(__xludf.DUMMYFUNCTION("""COMPUTED_VALUE"""),0.0)</f>
        <v>0</v>
      </c>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t="b">
        <f>IFERROR(__xludf.DUMMYFUNCTION("""COMPUTED_VALUE"""),FALSE)</f>
        <v>0</v>
      </c>
    </row>
    <row r="1103">
      <c r="A1103" s="1"/>
      <c r="B1103" s="1"/>
      <c r="C1103" s="1"/>
      <c r="D1103" s="1"/>
      <c r="E1103" s="1">
        <f>IFERROR(__xludf.DUMMYFUNCTION("""COMPUTED_VALUE"""),1.0)</f>
        <v>1</v>
      </c>
      <c r="F1103" s="2">
        <f>IFERROR(__xludf.DUMMYFUNCTION("""COMPUTED_VALUE"""),0.0)</f>
        <v>0</v>
      </c>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t="b">
        <f>IFERROR(__xludf.DUMMYFUNCTION("""COMPUTED_VALUE"""),FALSE)</f>
        <v>0</v>
      </c>
    </row>
    <row r="1104">
      <c r="A1104" s="1"/>
      <c r="B1104" s="1"/>
      <c r="C1104" s="1"/>
      <c r="D1104" s="1"/>
      <c r="E1104" s="1">
        <f>IFERROR(__xludf.DUMMYFUNCTION("""COMPUTED_VALUE"""),1.0)</f>
        <v>1</v>
      </c>
      <c r="F1104" s="2">
        <f>IFERROR(__xludf.DUMMYFUNCTION("""COMPUTED_VALUE"""),0.0)</f>
        <v>0</v>
      </c>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t="b">
        <f>IFERROR(__xludf.DUMMYFUNCTION("""COMPUTED_VALUE"""),FALSE)</f>
        <v>0</v>
      </c>
    </row>
    <row r="1105">
      <c r="A1105" s="1"/>
      <c r="B1105" s="1"/>
      <c r="C1105" s="1"/>
      <c r="D1105" s="1"/>
      <c r="E1105" s="1">
        <f>IFERROR(__xludf.DUMMYFUNCTION("""COMPUTED_VALUE"""),1.0)</f>
        <v>1</v>
      </c>
      <c r="F1105" s="2">
        <f>IFERROR(__xludf.DUMMYFUNCTION("""COMPUTED_VALUE"""),0.0)</f>
        <v>0</v>
      </c>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t="b">
        <f>IFERROR(__xludf.DUMMYFUNCTION("""COMPUTED_VALUE"""),FALSE)</f>
        <v>0</v>
      </c>
    </row>
    <row r="1106">
      <c r="A1106" s="1"/>
      <c r="B1106" s="1"/>
      <c r="C1106" s="1"/>
      <c r="D1106" s="1"/>
      <c r="E1106" s="1">
        <f>IFERROR(__xludf.DUMMYFUNCTION("""COMPUTED_VALUE"""),1.0)</f>
        <v>1</v>
      </c>
      <c r="F1106" s="2">
        <f>IFERROR(__xludf.DUMMYFUNCTION("""COMPUTED_VALUE"""),0.0)</f>
        <v>0</v>
      </c>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t="b">
        <f>IFERROR(__xludf.DUMMYFUNCTION("""COMPUTED_VALUE"""),FALSE)</f>
        <v>0</v>
      </c>
    </row>
    <row r="1107">
      <c r="A1107" s="1"/>
      <c r="B1107" s="1"/>
      <c r="C1107" s="1"/>
      <c r="D1107" s="1"/>
      <c r="E1107" s="1">
        <f>IFERROR(__xludf.DUMMYFUNCTION("""COMPUTED_VALUE"""),1.0)</f>
        <v>1</v>
      </c>
      <c r="F1107" s="2">
        <f>IFERROR(__xludf.DUMMYFUNCTION("""COMPUTED_VALUE"""),0.0)</f>
        <v>0</v>
      </c>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t="b">
        <f>IFERROR(__xludf.DUMMYFUNCTION("""COMPUTED_VALUE"""),FALSE)</f>
        <v>0</v>
      </c>
    </row>
    <row r="1108">
      <c r="A1108" s="1"/>
      <c r="B1108" s="1"/>
      <c r="C1108" s="1"/>
      <c r="D1108" s="1"/>
      <c r="E1108" s="1">
        <f>IFERROR(__xludf.DUMMYFUNCTION("""COMPUTED_VALUE"""),1.0)</f>
        <v>1</v>
      </c>
      <c r="F1108" s="2">
        <f>IFERROR(__xludf.DUMMYFUNCTION("""COMPUTED_VALUE"""),0.0)</f>
        <v>0</v>
      </c>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t="b">
        <f>IFERROR(__xludf.DUMMYFUNCTION("""COMPUTED_VALUE"""),FALSE)</f>
        <v>0</v>
      </c>
    </row>
    <row r="1109">
      <c r="A1109" s="1"/>
      <c r="B1109" s="1"/>
      <c r="C1109" s="1"/>
      <c r="D1109" s="1"/>
      <c r="E1109" s="1">
        <f>IFERROR(__xludf.DUMMYFUNCTION("""COMPUTED_VALUE"""),1.0)</f>
        <v>1</v>
      </c>
      <c r="F1109" s="2">
        <f>IFERROR(__xludf.DUMMYFUNCTION("""COMPUTED_VALUE"""),0.0)</f>
        <v>0</v>
      </c>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t="b">
        <f>IFERROR(__xludf.DUMMYFUNCTION("""COMPUTED_VALUE"""),FALSE)</f>
        <v>0</v>
      </c>
    </row>
    <row r="1110">
      <c r="A1110" s="1"/>
      <c r="B1110" s="1"/>
      <c r="C1110" s="1"/>
      <c r="D1110" s="1"/>
      <c r="E1110" s="1">
        <f>IFERROR(__xludf.DUMMYFUNCTION("""COMPUTED_VALUE"""),1.0)</f>
        <v>1</v>
      </c>
      <c r="F1110" s="2">
        <f>IFERROR(__xludf.DUMMYFUNCTION("""COMPUTED_VALUE"""),0.0)</f>
        <v>0</v>
      </c>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t="b">
        <f>IFERROR(__xludf.DUMMYFUNCTION("""COMPUTED_VALUE"""),FALSE)</f>
        <v>0</v>
      </c>
    </row>
    <row r="1111">
      <c r="A1111" s="1"/>
      <c r="B1111" s="1"/>
      <c r="C1111" s="1"/>
      <c r="D1111" s="1"/>
      <c r="E1111" s="1">
        <f>IFERROR(__xludf.DUMMYFUNCTION("""COMPUTED_VALUE"""),1.0)</f>
        <v>1</v>
      </c>
      <c r="F1111" s="2">
        <f>IFERROR(__xludf.DUMMYFUNCTION("""COMPUTED_VALUE"""),0.0)</f>
        <v>0</v>
      </c>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t="b">
        <f>IFERROR(__xludf.DUMMYFUNCTION("""COMPUTED_VALUE"""),FALSE)</f>
        <v>0</v>
      </c>
    </row>
    <row r="1112">
      <c r="A1112" s="1"/>
      <c r="B1112" s="1"/>
      <c r="C1112" s="1"/>
      <c r="D1112" s="1"/>
      <c r="E1112" s="1">
        <f>IFERROR(__xludf.DUMMYFUNCTION("""COMPUTED_VALUE"""),1.0)</f>
        <v>1</v>
      </c>
      <c r="F1112" s="2">
        <f>IFERROR(__xludf.DUMMYFUNCTION("""COMPUTED_VALUE"""),0.0)</f>
        <v>0</v>
      </c>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t="b">
        <f>IFERROR(__xludf.DUMMYFUNCTION("""COMPUTED_VALUE"""),FALSE)</f>
        <v>0</v>
      </c>
    </row>
    <row r="1113">
      <c r="A1113" s="1"/>
      <c r="B1113" s="1"/>
      <c r="C1113" s="1"/>
      <c r="D1113" s="1"/>
      <c r="E1113" s="1">
        <f>IFERROR(__xludf.DUMMYFUNCTION("""COMPUTED_VALUE"""),1.0)</f>
        <v>1</v>
      </c>
      <c r="F1113" s="2">
        <f>IFERROR(__xludf.DUMMYFUNCTION("""COMPUTED_VALUE"""),0.0)</f>
        <v>0</v>
      </c>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t="b">
        <f>IFERROR(__xludf.DUMMYFUNCTION("""COMPUTED_VALUE"""),FALSE)</f>
        <v>0</v>
      </c>
    </row>
    <row r="1114">
      <c r="A1114" s="1"/>
      <c r="B1114" s="1"/>
      <c r="C1114" s="1"/>
      <c r="D1114" s="1"/>
      <c r="E1114" s="1">
        <f>IFERROR(__xludf.DUMMYFUNCTION("""COMPUTED_VALUE"""),1.0)</f>
        <v>1</v>
      </c>
      <c r="F1114" s="2">
        <f>IFERROR(__xludf.DUMMYFUNCTION("""COMPUTED_VALUE"""),0.0)</f>
        <v>0</v>
      </c>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t="b">
        <f>IFERROR(__xludf.DUMMYFUNCTION("""COMPUTED_VALUE"""),FALSE)</f>
        <v>0</v>
      </c>
    </row>
    <row r="1115">
      <c r="A1115" s="1"/>
      <c r="B1115" s="1"/>
      <c r="C1115" s="1"/>
      <c r="D1115" s="1"/>
      <c r="E1115" s="1">
        <f>IFERROR(__xludf.DUMMYFUNCTION("""COMPUTED_VALUE"""),1.0)</f>
        <v>1</v>
      </c>
      <c r="F1115" s="2">
        <f>IFERROR(__xludf.DUMMYFUNCTION("""COMPUTED_VALUE"""),0.0)</f>
        <v>0</v>
      </c>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t="b">
        <f>IFERROR(__xludf.DUMMYFUNCTION("""COMPUTED_VALUE"""),FALSE)</f>
        <v>0</v>
      </c>
    </row>
    <row r="1116">
      <c r="A1116" s="1"/>
      <c r="B1116" s="1"/>
      <c r="C1116" s="1"/>
      <c r="D1116" s="1"/>
      <c r="E1116" s="1">
        <f>IFERROR(__xludf.DUMMYFUNCTION("""COMPUTED_VALUE"""),1.0)</f>
        <v>1</v>
      </c>
      <c r="F1116" s="2">
        <f>IFERROR(__xludf.DUMMYFUNCTION("""COMPUTED_VALUE"""),0.0)</f>
        <v>0</v>
      </c>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t="b">
        <f>IFERROR(__xludf.DUMMYFUNCTION("""COMPUTED_VALUE"""),FALSE)</f>
        <v>0</v>
      </c>
    </row>
    <row r="1117">
      <c r="A1117" s="1"/>
      <c r="B1117" s="1"/>
      <c r="C1117" s="1"/>
      <c r="D1117" s="1"/>
      <c r="E1117" s="1">
        <f>IFERROR(__xludf.DUMMYFUNCTION("""COMPUTED_VALUE"""),1.0)</f>
        <v>1</v>
      </c>
      <c r="F1117" s="2">
        <f>IFERROR(__xludf.DUMMYFUNCTION("""COMPUTED_VALUE"""),0.0)</f>
        <v>0</v>
      </c>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t="b">
        <f>IFERROR(__xludf.DUMMYFUNCTION("""COMPUTED_VALUE"""),FALSE)</f>
        <v>0</v>
      </c>
    </row>
    <row r="1118">
      <c r="A1118" s="1"/>
      <c r="B1118" s="1"/>
      <c r="C1118" s="1"/>
      <c r="D1118" s="1"/>
      <c r="E1118" s="1">
        <f>IFERROR(__xludf.DUMMYFUNCTION("""COMPUTED_VALUE"""),1.0)</f>
        <v>1</v>
      </c>
      <c r="F1118" s="2">
        <f>IFERROR(__xludf.DUMMYFUNCTION("""COMPUTED_VALUE"""),0.0)</f>
        <v>0</v>
      </c>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t="b">
        <f>IFERROR(__xludf.DUMMYFUNCTION("""COMPUTED_VALUE"""),FALSE)</f>
        <v>0</v>
      </c>
    </row>
    <row r="1119">
      <c r="A1119" s="1"/>
      <c r="B1119" s="1"/>
      <c r="C1119" s="1"/>
      <c r="D1119" s="1"/>
      <c r="E1119" s="1">
        <f>IFERROR(__xludf.DUMMYFUNCTION("""COMPUTED_VALUE"""),1.0)</f>
        <v>1</v>
      </c>
      <c r="F1119" s="2">
        <f>IFERROR(__xludf.DUMMYFUNCTION("""COMPUTED_VALUE"""),0.0)</f>
        <v>0</v>
      </c>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t="b">
        <f>IFERROR(__xludf.DUMMYFUNCTION("""COMPUTED_VALUE"""),FALSE)</f>
        <v>0</v>
      </c>
    </row>
    <row r="1120">
      <c r="A1120" s="1"/>
      <c r="B1120" s="1"/>
      <c r="C1120" s="1"/>
      <c r="D1120" s="1"/>
      <c r="E1120" s="1">
        <f>IFERROR(__xludf.DUMMYFUNCTION("""COMPUTED_VALUE"""),1.0)</f>
        <v>1</v>
      </c>
      <c r="F1120" s="2">
        <f>IFERROR(__xludf.DUMMYFUNCTION("""COMPUTED_VALUE"""),0.0)</f>
        <v>0</v>
      </c>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t="b">
        <f>IFERROR(__xludf.DUMMYFUNCTION("""COMPUTED_VALUE"""),FALSE)</f>
        <v>0</v>
      </c>
    </row>
    <row r="1121">
      <c r="A1121" s="1"/>
      <c r="B1121" s="1"/>
      <c r="C1121" s="1"/>
      <c r="D1121" s="1"/>
      <c r="E1121" s="1">
        <f>IFERROR(__xludf.DUMMYFUNCTION("""COMPUTED_VALUE"""),1.0)</f>
        <v>1</v>
      </c>
      <c r="F1121" s="2">
        <f>IFERROR(__xludf.DUMMYFUNCTION("""COMPUTED_VALUE"""),0.0)</f>
        <v>0</v>
      </c>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t="b">
        <f>IFERROR(__xludf.DUMMYFUNCTION("""COMPUTED_VALUE"""),FALSE)</f>
        <v>0</v>
      </c>
    </row>
    <row r="1122">
      <c r="A1122" s="1"/>
      <c r="B1122" s="1"/>
      <c r="C1122" s="1"/>
      <c r="D1122" s="1"/>
      <c r="E1122" s="1">
        <f>IFERROR(__xludf.DUMMYFUNCTION("""COMPUTED_VALUE"""),1.0)</f>
        <v>1</v>
      </c>
      <c r="F1122" s="2">
        <f>IFERROR(__xludf.DUMMYFUNCTION("""COMPUTED_VALUE"""),0.0)</f>
        <v>0</v>
      </c>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t="b">
        <f>IFERROR(__xludf.DUMMYFUNCTION("""COMPUTED_VALUE"""),FALSE)</f>
        <v>0</v>
      </c>
    </row>
    <row r="1123">
      <c r="A1123" s="1"/>
      <c r="B1123" s="1"/>
      <c r="C1123" s="1"/>
      <c r="D1123" s="1"/>
      <c r="E1123" s="1">
        <f>IFERROR(__xludf.DUMMYFUNCTION("""COMPUTED_VALUE"""),1.0)</f>
        <v>1</v>
      </c>
      <c r="F1123" s="2">
        <f>IFERROR(__xludf.DUMMYFUNCTION("""COMPUTED_VALUE"""),0.0)</f>
        <v>0</v>
      </c>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t="b">
        <f>IFERROR(__xludf.DUMMYFUNCTION("""COMPUTED_VALUE"""),FALSE)</f>
        <v>0</v>
      </c>
    </row>
    <row r="1124">
      <c r="A1124" s="1"/>
      <c r="B1124" s="1"/>
      <c r="C1124" s="1"/>
      <c r="D1124" s="1"/>
      <c r="E1124" s="1">
        <f>IFERROR(__xludf.DUMMYFUNCTION("""COMPUTED_VALUE"""),1.0)</f>
        <v>1</v>
      </c>
      <c r="F1124" s="2">
        <f>IFERROR(__xludf.DUMMYFUNCTION("""COMPUTED_VALUE"""),0.0)</f>
        <v>0</v>
      </c>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t="b">
        <f>IFERROR(__xludf.DUMMYFUNCTION("""COMPUTED_VALUE"""),FALSE)</f>
        <v>0</v>
      </c>
    </row>
    <row r="1125">
      <c r="A1125" s="1"/>
      <c r="B1125" s="1"/>
      <c r="C1125" s="1"/>
      <c r="D1125" s="1"/>
      <c r="E1125" s="1">
        <f>IFERROR(__xludf.DUMMYFUNCTION("""COMPUTED_VALUE"""),1.0)</f>
        <v>1</v>
      </c>
      <c r="F1125" s="2">
        <f>IFERROR(__xludf.DUMMYFUNCTION("""COMPUTED_VALUE"""),0.0)</f>
        <v>0</v>
      </c>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t="b">
        <f>IFERROR(__xludf.DUMMYFUNCTION("""COMPUTED_VALUE"""),FALSE)</f>
        <v>0</v>
      </c>
    </row>
    <row r="1126">
      <c r="A1126" s="1"/>
      <c r="B1126" s="1"/>
      <c r="C1126" s="1"/>
      <c r="D1126" s="1"/>
      <c r="E1126" s="1">
        <f>IFERROR(__xludf.DUMMYFUNCTION("""COMPUTED_VALUE"""),1.0)</f>
        <v>1</v>
      </c>
      <c r="F1126" s="2">
        <f>IFERROR(__xludf.DUMMYFUNCTION("""COMPUTED_VALUE"""),0.0)</f>
        <v>0</v>
      </c>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t="b">
        <f>IFERROR(__xludf.DUMMYFUNCTION("""COMPUTED_VALUE"""),FALSE)</f>
        <v>0</v>
      </c>
    </row>
    <row r="1127">
      <c r="A1127" s="1"/>
      <c r="B1127" s="1"/>
      <c r="C1127" s="1"/>
      <c r="D1127" s="1"/>
      <c r="E1127" s="1">
        <f>IFERROR(__xludf.DUMMYFUNCTION("""COMPUTED_VALUE"""),1.0)</f>
        <v>1</v>
      </c>
      <c r="F1127" s="2">
        <f>IFERROR(__xludf.DUMMYFUNCTION("""COMPUTED_VALUE"""),0.0)</f>
        <v>0</v>
      </c>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t="b">
        <f>IFERROR(__xludf.DUMMYFUNCTION("""COMPUTED_VALUE"""),FALSE)</f>
        <v>0</v>
      </c>
    </row>
    <row r="1128">
      <c r="A1128" s="1"/>
      <c r="B1128" s="1"/>
      <c r="C1128" s="1"/>
      <c r="D1128" s="1"/>
      <c r="E1128" s="1">
        <f>IFERROR(__xludf.DUMMYFUNCTION("""COMPUTED_VALUE"""),1.0)</f>
        <v>1</v>
      </c>
      <c r="F1128" s="2">
        <f>IFERROR(__xludf.DUMMYFUNCTION("""COMPUTED_VALUE"""),0.0)</f>
        <v>0</v>
      </c>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t="b">
        <f>IFERROR(__xludf.DUMMYFUNCTION("""COMPUTED_VALUE"""),FALSE)</f>
        <v>0</v>
      </c>
    </row>
    <row r="1129">
      <c r="A1129" s="1"/>
      <c r="B1129" s="1"/>
      <c r="C1129" s="1"/>
      <c r="D1129" s="1"/>
      <c r="E1129" s="1">
        <f>IFERROR(__xludf.DUMMYFUNCTION("""COMPUTED_VALUE"""),1.0)</f>
        <v>1</v>
      </c>
      <c r="F1129" s="2">
        <f>IFERROR(__xludf.DUMMYFUNCTION("""COMPUTED_VALUE"""),0.0)</f>
        <v>0</v>
      </c>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t="b">
        <f>IFERROR(__xludf.DUMMYFUNCTION("""COMPUTED_VALUE"""),FALSE)</f>
        <v>0</v>
      </c>
    </row>
    <row r="1130">
      <c r="A1130" s="1"/>
      <c r="B1130" s="1"/>
      <c r="C1130" s="1"/>
      <c r="D1130" s="1"/>
      <c r="E1130" s="1">
        <f>IFERROR(__xludf.DUMMYFUNCTION("""COMPUTED_VALUE"""),1.0)</f>
        <v>1</v>
      </c>
      <c r="F1130" s="2">
        <f>IFERROR(__xludf.DUMMYFUNCTION("""COMPUTED_VALUE"""),0.0)</f>
        <v>0</v>
      </c>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t="b">
        <f>IFERROR(__xludf.DUMMYFUNCTION("""COMPUTED_VALUE"""),FALSE)</f>
        <v>0</v>
      </c>
    </row>
    <row r="1131">
      <c r="A1131" s="1"/>
      <c r="B1131" s="1"/>
      <c r="C1131" s="1"/>
      <c r="D1131" s="1"/>
      <c r="E1131" s="1">
        <f>IFERROR(__xludf.DUMMYFUNCTION("""COMPUTED_VALUE"""),1.0)</f>
        <v>1</v>
      </c>
      <c r="F1131" s="2">
        <f>IFERROR(__xludf.DUMMYFUNCTION("""COMPUTED_VALUE"""),0.0)</f>
        <v>0</v>
      </c>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t="b">
        <f>IFERROR(__xludf.DUMMYFUNCTION("""COMPUTED_VALUE"""),FALSE)</f>
        <v>0</v>
      </c>
    </row>
    <row r="1132">
      <c r="A1132" s="1"/>
      <c r="B1132" s="1"/>
      <c r="C1132" s="1"/>
      <c r="D1132" s="1"/>
      <c r="E1132" s="1">
        <f>IFERROR(__xludf.DUMMYFUNCTION("""COMPUTED_VALUE"""),1.0)</f>
        <v>1</v>
      </c>
      <c r="F1132" s="2">
        <f>IFERROR(__xludf.DUMMYFUNCTION("""COMPUTED_VALUE"""),0.0)</f>
        <v>0</v>
      </c>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t="b">
        <f>IFERROR(__xludf.DUMMYFUNCTION("""COMPUTED_VALUE"""),FALSE)</f>
        <v>0</v>
      </c>
    </row>
    <row r="1133">
      <c r="A1133" s="1"/>
      <c r="B1133" s="1"/>
      <c r="C1133" s="1"/>
      <c r="D1133" s="1"/>
      <c r="E1133" s="1">
        <f>IFERROR(__xludf.DUMMYFUNCTION("""COMPUTED_VALUE"""),1.0)</f>
        <v>1</v>
      </c>
      <c r="F1133" s="2">
        <f>IFERROR(__xludf.DUMMYFUNCTION("""COMPUTED_VALUE"""),0.0)</f>
        <v>0</v>
      </c>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t="b">
        <f>IFERROR(__xludf.DUMMYFUNCTION("""COMPUTED_VALUE"""),FALSE)</f>
        <v>0</v>
      </c>
    </row>
    <row r="1134">
      <c r="A1134" s="1"/>
      <c r="B1134" s="1"/>
      <c r="C1134" s="1"/>
      <c r="D1134" s="1"/>
      <c r="E1134" s="1">
        <f>IFERROR(__xludf.DUMMYFUNCTION("""COMPUTED_VALUE"""),1.0)</f>
        <v>1</v>
      </c>
      <c r="F1134" s="2">
        <f>IFERROR(__xludf.DUMMYFUNCTION("""COMPUTED_VALUE"""),0.0)</f>
        <v>0</v>
      </c>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t="b">
        <f>IFERROR(__xludf.DUMMYFUNCTION("""COMPUTED_VALUE"""),FALSE)</f>
        <v>0</v>
      </c>
    </row>
    <row r="1135">
      <c r="A1135" s="1"/>
      <c r="B1135" s="1"/>
      <c r="C1135" s="1"/>
      <c r="D1135" s="1"/>
      <c r="E1135" s="1">
        <f>IFERROR(__xludf.DUMMYFUNCTION("""COMPUTED_VALUE"""),1.0)</f>
        <v>1</v>
      </c>
      <c r="F1135" s="2">
        <f>IFERROR(__xludf.DUMMYFUNCTION("""COMPUTED_VALUE"""),0.0)</f>
        <v>0</v>
      </c>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t="b">
        <f>IFERROR(__xludf.DUMMYFUNCTION("""COMPUTED_VALUE"""),FALSE)</f>
        <v>0</v>
      </c>
    </row>
    <row r="1136">
      <c r="A1136" s="1"/>
      <c r="B1136" s="1"/>
      <c r="C1136" s="1"/>
      <c r="D1136" s="1"/>
      <c r="E1136" s="1">
        <f>IFERROR(__xludf.DUMMYFUNCTION("""COMPUTED_VALUE"""),1.0)</f>
        <v>1</v>
      </c>
      <c r="F1136" s="2">
        <f>IFERROR(__xludf.DUMMYFUNCTION("""COMPUTED_VALUE"""),0.0)</f>
        <v>0</v>
      </c>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t="b">
        <f>IFERROR(__xludf.DUMMYFUNCTION("""COMPUTED_VALUE"""),FALSE)</f>
        <v>0</v>
      </c>
    </row>
    <row r="1137">
      <c r="A1137" s="1"/>
      <c r="B1137" s="1"/>
      <c r="C1137" s="1"/>
      <c r="D1137" s="1"/>
      <c r="E1137" s="1">
        <f>IFERROR(__xludf.DUMMYFUNCTION("""COMPUTED_VALUE"""),1.0)</f>
        <v>1</v>
      </c>
      <c r="F1137" s="2">
        <f>IFERROR(__xludf.DUMMYFUNCTION("""COMPUTED_VALUE"""),0.0)</f>
        <v>0</v>
      </c>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t="b">
        <f>IFERROR(__xludf.DUMMYFUNCTION("""COMPUTED_VALUE"""),FALSE)</f>
        <v>0</v>
      </c>
    </row>
    <row r="1138">
      <c r="A1138" s="1"/>
      <c r="B1138" s="1"/>
      <c r="C1138" s="1"/>
      <c r="D1138" s="1"/>
      <c r="E1138" s="1">
        <f>IFERROR(__xludf.DUMMYFUNCTION("""COMPUTED_VALUE"""),1.0)</f>
        <v>1</v>
      </c>
      <c r="F1138" s="2">
        <f>IFERROR(__xludf.DUMMYFUNCTION("""COMPUTED_VALUE"""),0.0)</f>
        <v>0</v>
      </c>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t="b">
        <f>IFERROR(__xludf.DUMMYFUNCTION("""COMPUTED_VALUE"""),FALSE)</f>
        <v>0</v>
      </c>
    </row>
    <row r="1139">
      <c r="A1139" s="1"/>
      <c r="B1139" s="1"/>
      <c r="C1139" s="1"/>
      <c r="D1139" s="1"/>
      <c r="E1139" s="1">
        <f>IFERROR(__xludf.DUMMYFUNCTION("""COMPUTED_VALUE"""),1.0)</f>
        <v>1</v>
      </c>
      <c r="F1139" s="2">
        <f>IFERROR(__xludf.DUMMYFUNCTION("""COMPUTED_VALUE"""),0.0)</f>
        <v>0</v>
      </c>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t="b">
        <f>IFERROR(__xludf.DUMMYFUNCTION("""COMPUTED_VALUE"""),FALSE)</f>
        <v>0</v>
      </c>
    </row>
    <row r="1140">
      <c r="A1140" s="1"/>
      <c r="B1140" s="1"/>
      <c r="C1140" s="1"/>
      <c r="D1140" s="1"/>
      <c r="E1140" s="1">
        <f>IFERROR(__xludf.DUMMYFUNCTION("""COMPUTED_VALUE"""),1.0)</f>
        <v>1</v>
      </c>
      <c r="F1140" s="2">
        <f>IFERROR(__xludf.DUMMYFUNCTION("""COMPUTED_VALUE"""),0.0)</f>
        <v>0</v>
      </c>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t="b">
        <f>IFERROR(__xludf.DUMMYFUNCTION("""COMPUTED_VALUE"""),FALSE)</f>
        <v>0</v>
      </c>
    </row>
    <row r="1141">
      <c r="A1141" s="1"/>
      <c r="B1141" s="1"/>
      <c r="C1141" s="1"/>
      <c r="D1141" s="1"/>
      <c r="E1141" s="1">
        <f>IFERROR(__xludf.DUMMYFUNCTION("""COMPUTED_VALUE"""),1.0)</f>
        <v>1</v>
      </c>
      <c r="F1141" s="2">
        <f>IFERROR(__xludf.DUMMYFUNCTION("""COMPUTED_VALUE"""),0.0)</f>
        <v>0</v>
      </c>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t="b">
        <f>IFERROR(__xludf.DUMMYFUNCTION("""COMPUTED_VALUE"""),FALSE)</f>
        <v>0</v>
      </c>
    </row>
    <row r="1142">
      <c r="A1142" s="1"/>
      <c r="B1142" s="1"/>
      <c r="C1142" s="1"/>
      <c r="D1142" s="1"/>
      <c r="E1142" s="1">
        <f>IFERROR(__xludf.DUMMYFUNCTION("""COMPUTED_VALUE"""),1.0)</f>
        <v>1</v>
      </c>
      <c r="F1142" s="2">
        <f>IFERROR(__xludf.DUMMYFUNCTION("""COMPUTED_VALUE"""),0.0)</f>
        <v>0</v>
      </c>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t="b">
        <f>IFERROR(__xludf.DUMMYFUNCTION("""COMPUTED_VALUE"""),FALSE)</f>
        <v>0</v>
      </c>
    </row>
    <row r="1143">
      <c r="A1143" s="1"/>
      <c r="B1143" s="1"/>
      <c r="C1143" s="1"/>
      <c r="D1143" s="1"/>
      <c r="E1143" s="1">
        <f>IFERROR(__xludf.DUMMYFUNCTION("""COMPUTED_VALUE"""),1.0)</f>
        <v>1</v>
      </c>
      <c r="F1143" s="2">
        <f>IFERROR(__xludf.DUMMYFUNCTION("""COMPUTED_VALUE"""),0.0)</f>
        <v>0</v>
      </c>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t="b">
        <f>IFERROR(__xludf.DUMMYFUNCTION("""COMPUTED_VALUE"""),FALSE)</f>
        <v>0</v>
      </c>
    </row>
    <row r="1144">
      <c r="A1144" s="1"/>
      <c r="B1144" s="1"/>
      <c r="C1144" s="1"/>
      <c r="D1144" s="1"/>
      <c r="E1144" s="1">
        <f>IFERROR(__xludf.DUMMYFUNCTION("""COMPUTED_VALUE"""),1.0)</f>
        <v>1</v>
      </c>
      <c r="F1144" s="2">
        <f>IFERROR(__xludf.DUMMYFUNCTION("""COMPUTED_VALUE"""),0.0)</f>
        <v>0</v>
      </c>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t="b">
        <f>IFERROR(__xludf.DUMMYFUNCTION("""COMPUTED_VALUE"""),FALSE)</f>
        <v>0</v>
      </c>
    </row>
    <row r="1145">
      <c r="A1145" s="1"/>
      <c r="B1145" s="1"/>
      <c r="C1145" s="1"/>
      <c r="D1145" s="1"/>
      <c r="E1145" s="1">
        <f>IFERROR(__xludf.DUMMYFUNCTION("""COMPUTED_VALUE"""),1.0)</f>
        <v>1</v>
      </c>
      <c r="F1145" s="2">
        <f>IFERROR(__xludf.DUMMYFUNCTION("""COMPUTED_VALUE"""),0.0)</f>
        <v>0</v>
      </c>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t="b">
        <f>IFERROR(__xludf.DUMMYFUNCTION("""COMPUTED_VALUE"""),FALSE)</f>
        <v>0</v>
      </c>
    </row>
    <row r="1146">
      <c r="A1146" s="1"/>
      <c r="B1146" s="1"/>
      <c r="C1146" s="1"/>
      <c r="D1146" s="1"/>
      <c r="E1146" s="1">
        <f>IFERROR(__xludf.DUMMYFUNCTION("""COMPUTED_VALUE"""),1.0)</f>
        <v>1</v>
      </c>
      <c r="F1146" s="2">
        <f>IFERROR(__xludf.DUMMYFUNCTION("""COMPUTED_VALUE"""),0.0)</f>
        <v>0</v>
      </c>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t="b">
        <f>IFERROR(__xludf.DUMMYFUNCTION("""COMPUTED_VALUE"""),FALSE)</f>
        <v>0</v>
      </c>
    </row>
    <row r="1147">
      <c r="A1147" s="1"/>
      <c r="B1147" s="1"/>
      <c r="C1147" s="1"/>
      <c r="D1147" s="1"/>
      <c r="E1147" s="1">
        <f>IFERROR(__xludf.DUMMYFUNCTION("""COMPUTED_VALUE"""),1.0)</f>
        <v>1</v>
      </c>
      <c r="F1147" s="2">
        <f>IFERROR(__xludf.DUMMYFUNCTION("""COMPUTED_VALUE"""),0.0)</f>
        <v>0</v>
      </c>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t="b">
        <f>IFERROR(__xludf.DUMMYFUNCTION("""COMPUTED_VALUE"""),FALSE)</f>
        <v>0</v>
      </c>
    </row>
    <row r="1148">
      <c r="A1148" s="1"/>
      <c r="B1148" s="1"/>
      <c r="C1148" s="1"/>
      <c r="D1148" s="1"/>
      <c r="E1148" s="1">
        <f>IFERROR(__xludf.DUMMYFUNCTION("""COMPUTED_VALUE"""),1.0)</f>
        <v>1</v>
      </c>
      <c r="F1148" s="2">
        <f>IFERROR(__xludf.DUMMYFUNCTION("""COMPUTED_VALUE"""),0.0)</f>
        <v>0</v>
      </c>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t="b">
        <f>IFERROR(__xludf.DUMMYFUNCTION("""COMPUTED_VALUE"""),FALSE)</f>
        <v>0</v>
      </c>
    </row>
    <row r="1149">
      <c r="A1149" s="1"/>
      <c r="B1149" s="1"/>
      <c r="C1149" s="1"/>
      <c r="D1149" s="1"/>
      <c r="E1149" s="1">
        <f>IFERROR(__xludf.DUMMYFUNCTION("""COMPUTED_VALUE"""),1.0)</f>
        <v>1</v>
      </c>
      <c r="F1149" s="2">
        <f>IFERROR(__xludf.DUMMYFUNCTION("""COMPUTED_VALUE"""),0.0)</f>
        <v>0</v>
      </c>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t="b">
        <f>IFERROR(__xludf.DUMMYFUNCTION("""COMPUTED_VALUE"""),FALSE)</f>
        <v>0</v>
      </c>
    </row>
    <row r="1150">
      <c r="A1150" s="1"/>
      <c r="B1150" s="1"/>
      <c r="C1150" s="1"/>
      <c r="D1150" s="1"/>
      <c r="E1150" s="1">
        <f>IFERROR(__xludf.DUMMYFUNCTION("""COMPUTED_VALUE"""),1.0)</f>
        <v>1</v>
      </c>
      <c r="F1150" s="2">
        <f>IFERROR(__xludf.DUMMYFUNCTION("""COMPUTED_VALUE"""),0.0)</f>
        <v>0</v>
      </c>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t="b">
        <f>IFERROR(__xludf.DUMMYFUNCTION("""COMPUTED_VALUE"""),FALSE)</f>
        <v>0</v>
      </c>
    </row>
    <row r="1151">
      <c r="A1151" s="1"/>
      <c r="B1151" s="1"/>
      <c r="C1151" s="1"/>
      <c r="D1151" s="1"/>
      <c r="E1151" s="1">
        <f>IFERROR(__xludf.DUMMYFUNCTION("""COMPUTED_VALUE"""),1.0)</f>
        <v>1</v>
      </c>
      <c r="F1151" s="2">
        <f>IFERROR(__xludf.DUMMYFUNCTION("""COMPUTED_VALUE"""),0.0)</f>
        <v>0</v>
      </c>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t="b">
        <f>IFERROR(__xludf.DUMMYFUNCTION("""COMPUTED_VALUE"""),FALSE)</f>
        <v>0</v>
      </c>
    </row>
    <row r="1152">
      <c r="A1152" s="1"/>
      <c r="B1152" s="1"/>
      <c r="C1152" s="1"/>
      <c r="D1152" s="1"/>
      <c r="E1152" s="1">
        <f>IFERROR(__xludf.DUMMYFUNCTION("""COMPUTED_VALUE"""),1.0)</f>
        <v>1</v>
      </c>
      <c r="F1152" s="2">
        <f>IFERROR(__xludf.DUMMYFUNCTION("""COMPUTED_VALUE"""),0.0)</f>
        <v>0</v>
      </c>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t="b">
        <f>IFERROR(__xludf.DUMMYFUNCTION("""COMPUTED_VALUE"""),FALSE)</f>
        <v>0</v>
      </c>
    </row>
    <row r="1153">
      <c r="A1153" s="1"/>
      <c r="B1153" s="1"/>
      <c r="C1153" s="1"/>
      <c r="D1153" s="1"/>
      <c r="E1153" s="1">
        <f>IFERROR(__xludf.DUMMYFUNCTION("""COMPUTED_VALUE"""),1.0)</f>
        <v>1</v>
      </c>
      <c r="F1153" s="2">
        <f>IFERROR(__xludf.DUMMYFUNCTION("""COMPUTED_VALUE"""),0.0)</f>
        <v>0</v>
      </c>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t="b">
        <f>IFERROR(__xludf.DUMMYFUNCTION("""COMPUTED_VALUE"""),FALSE)</f>
        <v>0</v>
      </c>
    </row>
    <row r="1154">
      <c r="A1154" s="1"/>
      <c r="B1154" s="1"/>
      <c r="C1154" s="1"/>
      <c r="D1154" s="1"/>
      <c r="E1154" s="1">
        <f>IFERROR(__xludf.DUMMYFUNCTION("""COMPUTED_VALUE"""),1.0)</f>
        <v>1</v>
      </c>
      <c r="F1154" s="2">
        <f>IFERROR(__xludf.DUMMYFUNCTION("""COMPUTED_VALUE"""),0.0)</f>
        <v>0</v>
      </c>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t="b">
        <f>IFERROR(__xludf.DUMMYFUNCTION("""COMPUTED_VALUE"""),FALSE)</f>
        <v>0</v>
      </c>
    </row>
    <row r="1155">
      <c r="A1155" s="1"/>
      <c r="B1155" s="1"/>
      <c r="C1155" s="1"/>
      <c r="D1155" s="1"/>
      <c r="E1155" s="1">
        <f>IFERROR(__xludf.DUMMYFUNCTION("""COMPUTED_VALUE"""),1.0)</f>
        <v>1</v>
      </c>
      <c r="F1155" s="2">
        <f>IFERROR(__xludf.DUMMYFUNCTION("""COMPUTED_VALUE"""),0.0)</f>
        <v>0</v>
      </c>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t="b">
        <f>IFERROR(__xludf.DUMMYFUNCTION("""COMPUTED_VALUE"""),FALSE)</f>
        <v>0</v>
      </c>
    </row>
    <row r="1156">
      <c r="A1156" s="1"/>
      <c r="B1156" s="1"/>
      <c r="C1156" s="1"/>
      <c r="D1156" s="1"/>
      <c r="E1156" s="1">
        <f>IFERROR(__xludf.DUMMYFUNCTION("""COMPUTED_VALUE"""),1.0)</f>
        <v>1</v>
      </c>
      <c r="F1156" s="2">
        <f>IFERROR(__xludf.DUMMYFUNCTION("""COMPUTED_VALUE"""),0.0)</f>
        <v>0</v>
      </c>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t="b">
        <f>IFERROR(__xludf.DUMMYFUNCTION("""COMPUTED_VALUE"""),FALSE)</f>
        <v>0</v>
      </c>
    </row>
    <row r="1157">
      <c r="A1157" s="1"/>
      <c r="B1157" s="1"/>
      <c r="C1157" s="1"/>
      <c r="D1157" s="1"/>
      <c r="E1157" s="1">
        <f>IFERROR(__xludf.DUMMYFUNCTION("""COMPUTED_VALUE"""),1.0)</f>
        <v>1</v>
      </c>
      <c r="F1157" s="2">
        <f>IFERROR(__xludf.DUMMYFUNCTION("""COMPUTED_VALUE"""),0.0)</f>
        <v>0</v>
      </c>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t="b">
        <f>IFERROR(__xludf.DUMMYFUNCTION("""COMPUTED_VALUE"""),FALSE)</f>
        <v>0</v>
      </c>
    </row>
    <row r="1158">
      <c r="A1158" s="1"/>
      <c r="B1158" s="1"/>
      <c r="C1158" s="1"/>
      <c r="D1158" s="1"/>
      <c r="E1158" s="1">
        <f>IFERROR(__xludf.DUMMYFUNCTION("""COMPUTED_VALUE"""),1.0)</f>
        <v>1</v>
      </c>
      <c r="F1158" s="2">
        <f>IFERROR(__xludf.DUMMYFUNCTION("""COMPUTED_VALUE"""),0.0)</f>
        <v>0</v>
      </c>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t="b">
        <f>IFERROR(__xludf.DUMMYFUNCTION("""COMPUTED_VALUE"""),FALSE)</f>
        <v>0</v>
      </c>
    </row>
    <row r="1159">
      <c r="A1159" s="1"/>
      <c r="B1159" s="1"/>
      <c r="C1159" s="1"/>
      <c r="D1159" s="1"/>
      <c r="E1159" s="1">
        <f>IFERROR(__xludf.DUMMYFUNCTION("""COMPUTED_VALUE"""),1.0)</f>
        <v>1</v>
      </c>
      <c r="F1159" s="2">
        <f>IFERROR(__xludf.DUMMYFUNCTION("""COMPUTED_VALUE"""),0.0)</f>
        <v>0</v>
      </c>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t="b">
        <f>IFERROR(__xludf.DUMMYFUNCTION("""COMPUTED_VALUE"""),FALSE)</f>
        <v>0</v>
      </c>
    </row>
    <row r="1160">
      <c r="A1160" s="1"/>
      <c r="B1160" s="1"/>
      <c r="C1160" s="1"/>
      <c r="D1160" s="1"/>
      <c r="E1160" s="1">
        <f>IFERROR(__xludf.DUMMYFUNCTION("""COMPUTED_VALUE"""),1.0)</f>
        <v>1</v>
      </c>
      <c r="F1160" s="2">
        <f>IFERROR(__xludf.DUMMYFUNCTION("""COMPUTED_VALUE"""),0.0)</f>
        <v>0</v>
      </c>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t="b">
        <f>IFERROR(__xludf.DUMMYFUNCTION("""COMPUTED_VALUE"""),FALSE)</f>
        <v>0</v>
      </c>
    </row>
    <row r="1161">
      <c r="A1161" s="1"/>
      <c r="B1161" s="1"/>
      <c r="C1161" s="1"/>
      <c r="D1161" s="1"/>
      <c r="E1161" s="1">
        <f>IFERROR(__xludf.DUMMYFUNCTION("""COMPUTED_VALUE"""),1.0)</f>
        <v>1</v>
      </c>
      <c r="F1161" s="2">
        <f>IFERROR(__xludf.DUMMYFUNCTION("""COMPUTED_VALUE"""),0.0)</f>
        <v>0</v>
      </c>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t="b">
        <f>IFERROR(__xludf.DUMMYFUNCTION("""COMPUTED_VALUE"""),FALSE)</f>
        <v>0</v>
      </c>
    </row>
    <row r="1162">
      <c r="A1162" s="1"/>
      <c r="B1162" s="1"/>
      <c r="C1162" s="1"/>
      <c r="D1162" s="1"/>
      <c r="E1162" s="1">
        <f>IFERROR(__xludf.DUMMYFUNCTION("""COMPUTED_VALUE"""),1.0)</f>
        <v>1</v>
      </c>
      <c r="F1162" s="2">
        <f>IFERROR(__xludf.DUMMYFUNCTION("""COMPUTED_VALUE"""),0.0)</f>
        <v>0</v>
      </c>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t="b">
        <f>IFERROR(__xludf.DUMMYFUNCTION("""COMPUTED_VALUE"""),FALSE)</f>
        <v>0</v>
      </c>
    </row>
    <row r="1163">
      <c r="A1163" s="1"/>
      <c r="B1163" s="1"/>
      <c r="C1163" s="1"/>
      <c r="D1163" s="1"/>
      <c r="E1163" s="1">
        <f>IFERROR(__xludf.DUMMYFUNCTION("""COMPUTED_VALUE"""),1.0)</f>
        <v>1</v>
      </c>
      <c r="F1163" s="2">
        <f>IFERROR(__xludf.DUMMYFUNCTION("""COMPUTED_VALUE"""),0.0)</f>
        <v>0</v>
      </c>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t="b">
        <f>IFERROR(__xludf.DUMMYFUNCTION("""COMPUTED_VALUE"""),FALSE)</f>
        <v>0</v>
      </c>
    </row>
    <row r="1164">
      <c r="A1164" s="1"/>
      <c r="B1164" s="1"/>
      <c r="C1164" s="1"/>
      <c r="D1164" s="1"/>
      <c r="E1164" s="1">
        <f>IFERROR(__xludf.DUMMYFUNCTION("""COMPUTED_VALUE"""),1.0)</f>
        <v>1</v>
      </c>
      <c r="F1164" s="2">
        <f>IFERROR(__xludf.DUMMYFUNCTION("""COMPUTED_VALUE"""),0.0)</f>
        <v>0</v>
      </c>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t="b">
        <f>IFERROR(__xludf.DUMMYFUNCTION("""COMPUTED_VALUE"""),FALSE)</f>
        <v>0</v>
      </c>
    </row>
    <row r="1165">
      <c r="A1165" s="1"/>
      <c r="B1165" s="1"/>
      <c r="C1165" s="1"/>
      <c r="D1165" s="1"/>
      <c r="E1165" s="1">
        <f>IFERROR(__xludf.DUMMYFUNCTION("""COMPUTED_VALUE"""),1.0)</f>
        <v>1</v>
      </c>
      <c r="F1165" s="2">
        <f>IFERROR(__xludf.DUMMYFUNCTION("""COMPUTED_VALUE"""),0.0)</f>
        <v>0</v>
      </c>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t="b">
        <f>IFERROR(__xludf.DUMMYFUNCTION("""COMPUTED_VALUE"""),FALSE)</f>
        <v>0</v>
      </c>
    </row>
    <row r="1166">
      <c r="A1166" s="1"/>
      <c r="B1166" s="1"/>
      <c r="C1166" s="1"/>
      <c r="D1166" s="1"/>
      <c r="E1166" s="1">
        <f>IFERROR(__xludf.DUMMYFUNCTION("""COMPUTED_VALUE"""),1.0)</f>
        <v>1</v>
      </c>
      <c r="F1166" s="2">
        <f>IFERROR(__xludf.DUMMYFUNCTION("""COMPUTED_VALUE"""),0.0)</f>
        <v>0</v>
      </c>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t="b">
        <f>IFERROR(__xludf.DUMMYFUNCTION("""COMPUTED_VALUE"""),FALSE)</f>
        <v>0</v>
      </c>
    </row>
    <row r="1167">
      <c r="A1167" s="1"/>
      <c r="B1167" s="1"/>
      <c r="C1167" s="1"/>
      <c r="D1167" s="1"/>
      <c r="E1167" s="1">
        <f>IFERROR(__xludf.DUMMYFUNCTION("""COMPUTED_VALUE"""),1.0)</f>
        <v>1</v>
      </c>
      <c r="F1167" s="2">
        <f>IFERROR(__xludf.DUMMYFUNCTION("""COMPUTED_VALUE"""),0.0)</f>
        <v>0</v>
      </c>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t="b">
        <f>IFERROR(__xludf.DUMMYFUNCTION("""COMPUTED_VALUE"""),FALSE)</f>
        <v>0</v>
      </c>
    </row>
    <row r="1168">
      <c r="A1168" s="1"/>
      <c r="B1168" s="1"/>
      <c r="C1168" s="1"/>
      <c r="D1168" s="1"/>
      <c r="E1168" s="1">
        <f>IFERROR(__xludf.DUMMYFUNCTION("""COMPUTED_VALUE"""),1.0)</f>
        <v>1</v>
      </c>
      <c r="F1168" s="2">
        <f>IFERROR(__xludf.DUMMYFUNCTION("""COMPUTED_VALUE"""),0.0)</f>
        <v>0</v>
      </c>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t="b">
        <f>IFERROR(__xludf.DUMMYFUNCTION("""COMPUTED_VALUE"""),FALSE)</f>
        <v>0</v>
      </c>
    </row>
    <row r="1169">
      <c r="A1169" s="1"/>
      <c r="B1169" s="1"/>
      <c r="C1169" s="1"/>
      <c r="D1169" s="1"/>
      <c r="E1169" s="1">
        <f>IFERROR(__xludf.DUMMYFUNCTION("""COMPUTED_VALUE"""),1.0)</f>
        <v>1</v>
      </c>
      <c r="F1169" s="2">
        <f>IFERROR(__xludf.DUMMYFUNCTION("""COMPUTED_VALUE"""),0.0)</f>
        <v>0</v>
      </c>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t="b">
        <f>IFERROR(__xludf.DUMMYFUNCTION("""COMPUTED_VALUE"""),FALSE)</f>
        <v>0</v>
      </c>
    </row>
    <row r="1170">
      <c r="A1170" s="1"/>
      <c r="B1170" s="1"/>
      <c r="C1170" s="1"/>
      <c r="D1170" s="1"/>
      <c r="E1170" s="1">
        <f>IFERROR(__xludf.DUMMYFUNCTION("""COMPUTED_VALUE"""),1.0)</f>
        <v>1</v>
      </c>
      <c r="F1170" s="2">
        <f>IFERROR(__xludf.DUMMYFUNCTION("""COMPUTED_VALUE"""),0.0)</f>
        <v>0</v>
      </c>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t="b">
        <f>IFERROR(__xludf.DUMMYFUNCTION("""COMPUTED_VALUE"""),FALSE)</f>
        <v>0</v>
      </c>
    </row>
    <row r="1171">
      <c r="A1171" s="1"/>
      <c r="B1171" s="1"/>
      <c r="C1171" s="1"/>
      <c r="D1171" s="1"/>
      <c r="E1171" s="1">
        <f>IFERROR(__xludf.DUMMYFUNCTION("""COMPUTED_VALUE"""),1.0)</f>
        <v>1</v>
      </c>
      <c r="F1171" s="2">
        <f>IFERROR(__xludf.DUMMYFUNCTION("""COMPUTED_VALUE"""),0.0)</f>
        <v>0</v>
      </c>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t="b">
        <f>IFERROR(__xludf.DUMMYFUNCTION("""COMPUTED_VALUE"""),FALSE)</f>
        <v>0</v>
      </c>
    </row>
    <row r="1172">
      <c r="A1172" s="1"/>
      <c r="B1172" s="1"/>
      <c r="C1172" s="1"/>
      <c r="D1172" s="1"/>
      <c r="E1172" s="1">
        <f>IFERROR(__xludf.DUMMYFUNCTION("""COMPUTED_VALUE"""),1.0)</f>
        <v>1</v>
      </c>
      <c r="F1172" s="2">
        <f>IFERROR(__xludf.DUMMYFUNCTION("""COMPUTED_VALUE"""),0.0)</f>
        <v>0</v>
      </c>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t="b">
        <f>IFERROR(__xludf.DUMMYFUNCTION("""COMPUTED_VALUE"""),FALSE)</f>
        <v>0</v>
      </c>
    </row>
    <row r="1173">
      <c r="A1173" s="1"/>
      <c r="B1173" s="1"/>
      <c r="C1173" s="1"/>
      <c r="D1173" s="1"/>
      <c r="E1173" s="1">
        <f>IFERROR(__xludf.DUMMYFUNCTION("""COMPUTED_VALUE"""),1.0)</f>
        <v>1</v>
      </c>
      <c r="F1173" s="2">
        <f>IFERROR(__xludf.DUMMYFUNCTION("""COMPUTED_VALUE"""),0.0)</f>
        <v>0</v>
      </c>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t="b">
        <f>IFERROR(__xludf.DUMMYFUNCTION("""COMPUTED_VALUE"""),FALSE)</f>
        <v>0</v>
      </c>
    </row>
    <row r="1174">
      <c r="A1174" s="1"/>
      <c r="B1174" s="1"/>
      <c r="C1174" s="1"/>
      <c r="D1174" s="1"/>
      <c r="E1174" s="1">
        <f>IFERROR(__xludf.DUMMYFUNCTION("""COMPUTED_VALUE"""),1.0)</f>
        <v>1</v>
      </c>
      <c r="F1174" s="2">
        <f>IFERROR(__xludf.DUMMYFUNCTION("""COMPUTED_VALUE"""),0.0)</f>
        <v>0</v>
      </c>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t="b">
        <f>IFERROR(__xludf.DUMMYFUNCTION("""COMPUTED_VALUE"""),FALSE)</f>
        <v>0</v>
      </c>
    </row>
    <row r="1175">
      <c r="A1175" s="1"/>
      <c r="B1175" s="1"/>
      <c r="C1175" s="1"/>
      <c r="D1175" s="1"/>
      <c r="E1175" s="1">
        <f>IFERROR(__xludf.DUMMYFUNCTION("""COMPUTED_VALUE"""),1.0)</f>
        <v>1</v>
      </c>
      <c r="F1175" s="2">
        <f>IFERROR(__xludf.DUMMYFUNCTION("""COMPUTED_VALUE"""),0.0)</f>
        <v>0</v>
      </c>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t="b">
        <f>IFERROR(__xludf.DUMMYFUNCTION("""COMPUTED_VALUE"""),FALSE)</f>
        <v>0</v>
      </c>
    </row>
    <row r="1176">
      <c r="A1176" s="1"/>
      <c r="B1176" s="1"/>
      <c r="C1176" s="1"/>
      <c r="D1176" s="1"/>
      <c r="E1176" s="1">
        <f>IFERROR(__xludf.DUMMYFUNCTION("""COMPUTED_VALUE"""),1.0)</f>
        <v>1</v>
      </c>
      <c r="F1176" s="2">
        <f>IFERROR(__xludf.DUMMYFUNCTION("""COMPUTED_VALUE"""),0.0)</f>
        <v>0</v>
      </c>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t="b">
        <f>IFERROR(__xludf.DUMMYFUNCTION("""COMPUTED_VALUE"""),FALSE)</f>
        <v>0</v>
      </c>
    </row>
    <row r="1177">
      <c r="A1177" s="1"/>
      <c r="B1177" s="1"/>
      <c r="C1177" s="1"/>
      <c r="D1177" s="1"/>
      <c r="E1177" s="1">
        <f>IFERROR(__xludf.DUMMYFUNCTION("""COMPUTED_VALUE"""),1.0)</f>
        <v>1</v>
      </c>
      <c r="F1177" s="2">
        <f>IFERROR(__xludf.DUMMYFUNCTION("""COMPUTED_VALUE"""),0.0)</f>
        <v>0</v>
      </c>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t="b">
        <f>IFERROR(__xludf.DUMMYFUNCTION("""COMPUTED_VALUE"""),FALSE)</f>
        <v>0</v>
      </c>
    </row>
    <row r="1178">
      <c r="A1178" s="1"/>
      <c r="B1178" s="1"/>
      <c r="C1178" s="1"/>
      <c r="D1178" s="1"/>
      <c r="E1178" s="1">
        <f>IFERROR(__xludf.DUMMYFUNCTION("""COMPUTED_VALUE"""),1.0)</f>
        <v>1</v>
      </c>
      <c r="F1178" s="2">
        <f>IFERROR(__xludf.DUMMYFUNCTION("""COMPUTED_VALUE"""),0.0)</f>
        <v>0</v>
      </c>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t="b">
        <f>IFERROR(__xludf.DUMMYFUNCTION("""COMPUTED_VALUE"""),FALSE)</f>
        <v>0</v>
      </c>
    </row>
    <row r="1179">
      <c r="A1179" s="1"/>
      <c r="B1179" s="1"/>
      <c r="C1179" s="1"/>
      <c r="D1179" s="1"/>
      <c r="E1179" s="1">
        <f>IFERROR(__xludf.DUMMYFUNCTION("""COMPUTED_VALUE"""),1.0)</f>
        <v>1</v>
      </c>
      <c r="F1179" s="2">
        <f>IFERROR(__xludf.DUMMYFUNCTION("""COMPUTED_VALUE"""),0.0)</f>
        <v>0</v>
      </c>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t="b">
        <f>IFERROR(__xludf.DUMMYFUNCTION("""COMPUTED_VALUE"""),FALSE)</f>
        <v>0</v>
      </c>
    </row>
    <row r="1180">
      <c r="A1180" s="1"/>
      <c r="B1180" s="1"/>
      <c r="C1180" s="1"/>
      <c r="D1180" s="1"/>
      <c r="E1180" s="1">
        <f>IFERROR(__xludf.DUMMYFUNCTION("""COMPUTED_VALUE"""),1.0)</f>
        <v>1</v>
      </c>
      <c r="F1180" s="2">
        <f>IFERROR(__xludf.DUMMYFUNCTION("""COMPUTED_VALUE"""),0.0)</f>
        <v>0</v>
      </c>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t="b">
        <f>IFERROR(__xludf.DUMMYFUNCTION("""COMPUTED_VALUE"""),FALSE)</f>
        <v>0</v>
      </c>
    </row>
    <row r="1181">
      <c r="A1181" s="1"/>
      <c r="B1181" s="1"/>
      <c r="C1181" s="1"/>
      <c r="D1181" s="1"/>
      <c r="E1181" s="1">
        <f>IFERROR(__xludf.DUMMYFUNCTION("""COMPUTED_VALUE"""),1.0)</f>
        <v>1</v>
      </c>
      <c r="F1181" s="2">
        <f>IFERROR(__xludf.DUMMYFUNCTION("""COMPUTED_VALUE"""),0.0)</f>
        <v>0</v>
      </c>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t="b">
        <f>IFERROR(__xludf.DUMMYFUNCTION("""COMPUTED_VALUE"""),FALSE)</f>
        <v>0</v>
      </c>
    </row>
    <row r="1182">
      <c r="A1182" s="1"/>
      <c r="B1182" s="1"/>
      <c r="C1182" s="1"/>
      <c r="D1182" s="1"/>
      <c r="E1182" s="1">
        <f>IFERROR(__xludf.DUMMYFUNCTION("""COMPUTED_VALUE"""),1.0)</f>
        <v>1</v>
      </c>
      <c r="F1182" s="2">
        <f>IFERROR(__xludf.DUMMYFUNCTION("""COMPUTED_VALUE"""),0.0)</f>
        <v>0</v>
      </c>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t="b">
        <f>IFERROR(__xludf.DUMMYFUNCTION("""COMPUTED_VALUE"""),FALSE)</f>
        <v>0</v>
      </c>
    </row>
    <row r="1183">
      <c r="A1183" s="1"/>
      <c r="B1183" s="1"/>
      <c r="C1183" s="1"/>
      <c r="D1183" s="1"/>
      <c r="E1183" s="1">
        <f>IFERROR(__xludf.DUMMYFUNCTION("""COMPUTED_VALUE"""),1.0)</f>
        <v>1</v>
      </c>
      <c r="F1183" s="2">
        <f>IFERROR(__xludf.DUMMYFUNCTION("""COMPUTED_VALUE"""),0.0)</f>
        <v>0</v>
      </c>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t="b">
        <f>IFERROR(__xludf.DUMMYFUNCTION("""COMPUTED_VALUE"""),FALSE)</f>
        <v>0</v>
      </c>
    </row>
    <row r="1184">
      <c r="A1184" s="1"/>
      <c r="B1184" s="1"/>
      <c r="C1184" s="1"/>
      <c r="D1184" s="1"/>
      <c r="E1184" s="1">
        <f>IFERROR(__xludf.DUMMYFUNCTION("""COMPUTED_VALUE"""),1.0)</f>
        <v>1</v>
      </c>
      <c r="F1184" s="2">
        <f>IFERROR(__xludf.DUMMYFUNCTION("""COMPUTED_VALUE"""),0.0)</f>
        <v>0</v>
      </c>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t="b">
        <f>IFERROR(__xludf.DUMMYFUNCTION("""COMPUTED_VALUE"""),FALSE)</f>
        <v>0</v>
      </c>
    </row>
    <row r="1185">
      <c r="A1185" s="1"/>
      <c r="B1185" s="1"/>
      <c r="C1185" s="1"/>
      <c r="D1185" s="1"/>
      <c r="E1185" s="1">
        <f>IFERROR(__xludf.DUMMYFUNCTION("""COMPUTED_VALUE"""),1.0)</f>
        <v>1</v>
      </c>
      <c r="F1185" s="2">
        <f>IFERROR(__xludf.DUMMYFUNCTION("""COMPUTED_VALUE"""),0.0)</f>
        <v>0</v>
      </c>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t="b">
        <f>IFERROR(__xludf.DUMMYFUNCTION("""COMPUTED_VALUE"""),FALSE)</f>
        <v>0</v>
      </c>
    </row>
    <row r="1186">
      <c r="A1186" s="1"/>
      <c r="B1186" s="1"/>
      <c r="C1186" s="1"/>
      <c r="D1186" s="1"/>
      <c r="E1186" s="1">
        <f>IFERROR(__xludf.DUMMYFUNCTION("""COMPUTED_VALUE"""),1.0)</f>
        <v>1</v>
      </c>
      <c r="F1186" s="2">
        <f>IFERROR(__xludf.DUMMYFUNCTION("""COMPUTED_VALUE"""),0.0)</f>
        <v>0</v>
      </c>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t="b">
        <f>IFERROR(__xludf.DUMMYFUNCTION("""COMPUTED_VALUE"""),FALSE)</f>
        <v>0</v>
      </c>
    </row>
    <row r="1187">
      <c r="A1187" s="1"/>
      <c r="B1187" s="1"/>
      <c r="C1187" s="1"/>
      <c r="D1187" s="1"/>
      <c r="E1187" s="1">
        <f>IFERROR(__xludf.DUMMYFUNCTION("""COMPUTED_VALUE"""),1.0)</f>
        <v>1</v>
      </c>
      <c r="F1187" s="2">
        <f>IFERROR(__xludf.DUMMYFUNCTION("""COMPUTED_VALUE"""),0.0)</f>
        <v>0</v>
      </c>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t="b">
        <f>IFERROR(__xludf.DUMMYFUNCTION("""COMPUTED_VALUE"""),FALSE)</f>
        <v>0</v>
      </c>
    </row>
    <row r="1188">
      <c r="A1188" s="1"/>
      <c r="B1188" s="1"/>
      <c r="C1188" s="1"/>
      <c r="D1188" s="1"/>
      <c r="E1188" s="1">
        <f>IFERROR(__xludf.DUMMYFUNCTION("""COMPUTED_VALUE"""),1.0)</f>
        <v>1</v>
      </c>
      <c r="F1188" s="2">
        <f>IFERROR(__xludf.DUMMYFUNCTION("""COMPUTED_VALUE"""),0.0)</f>
        <v>0</v>
      </c>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t="b">
        <f>IFERROR(__xludf.DUMMYFUNCTION("""COMPUTED_VALUE"""),FALSE)</f>
        <v>0</v>
      </c>
    </row>
    <row r="1189">
      <c r="A1189" s="1"/>
      <c r="B1189" s="1"/>
      <c r="C1189" s="1"/>
      <c r="D1189" s="1"/>
      <c r="E1189" s="1">
        <f>IFERROR(__xludf.DUMMYFUNCTION("""COMPUTED_VALUE"""),1.0)</f>
        <v>1</v>
      </c>
      <c r="F1189" s="2">
        <f>IFERROR(__xludf.DUMMYFUNCTION("""COMPUTED_VALUE"""),0.0)</f>
        <v>0</v>
      </c>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t="b">
        <f>IFERROR(__xludf.DUMMYFUNCTION("""COMPUTED_VALUE"""),FALSE)</f>
        <v>0</v>
      </c>
    </row>
    <row r="1190">
      <c r="A1190" s="1"/>
      <c r="B1190" s="1"/>
      <c r="C1190" s="1"/>
      <c r="D1190" s="1"/>
      <c r="E1190" s="1">
        <f>IFERROR(__xludf.DUMMYFUNCTION("""COMPUTED_VALUE"""),1.0)</f>
        <v>1</v>
      </c>
      <c r="F1190" s="2">
        <f>IFERROR(__xludf.DUMMYFUNCTION("""COMPUTED_VALUE"""),0.0)</f>
        <v>0</v>
      </c>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t="b">
        <f>IFERROR(__xludf.DUMMYFUNCTION("""COMPUTED_VALUE"""),FALSE)</f>
        <v>0</v>
      </c>
    </row>
    <row r="1191">
      <c r="A1191" s="1"/>
      <c r="B1191" s="1"/>
      <c r="C1191" s="1"/>
      <c r="D1191" s="1"/>
      <c r="E1191" s="1">
        <f>IFERROR(__xludf.DUMMYFUNCTION("""COMPUTED_VALUE"""),1.0)</f>
        <v>1</v>
      </c>
      <c r="F1191" s="2">
        <f>IFERROR(__xludf.DUMMYFUNCTION("""COMPUTED_VALUE"""),0.0)</f>
        <v>0</v>
      </c>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t="b">
        <f>IFERROR(__xludf.DUMMYFUNCTION("""COMPUTED_VALUE"""),FALSE)</f>
        <v>0</v>
      </c>
    </row>
    <row r="1192">
      <c r="A1192" s="1"/>
      <c r="B1192" s="1"/>
      <c r="C1192" s="1"/>
      <c r="D1192" s="1"/>
      <c r="E1192" s="1">
        <f>IFERROR(__xludf.DUMMYFUNCTION("""COMPUTED_VALUE"""),1.0)</f>
        <v>1</v>
      </c>
      <c r="F1192" s="2">
        <f>IFERROR(__xludf.DUMMYFUNCTION("""COMPUTED_VALUE"""),0.0)</f>
        <v>0</v>
      </c>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t="b">
        <f>IFERROR(__xludf.DUMMYFUNCTION("""COMPUTED_VALUE"""),FALSE)</f>
        <v>0</v>
      </c>
    </row>
    <row r="1193">
      <c r="A1193" s="1"/>
      <c r="B1193" s="1"/>
      <c r="C1193" s="1"/>
      <c r="D1193" s="1"/>
      <c r="E1193" s="1">
        <f>IFERROR(__xludf.DUMMYFUNCTION("""COMPUTED_VALUE"""),1.0)</f>
        <v>1</v>
      </c>
      <c r="F1193" s="2">
        <f>IFERROR(__xludf.DUMMYFUNCTION("""COMPUTED_VALUE"""),0.0)</f>
        <v>0</v>
      </c>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t="b">
        <f>IFERROR(__xludf.DUMMYFUNCTION("""COMPUTED_VALUE"""),FALSE)</f>
        <v>0</v>
      </c>
    </row>
    <row r="1194">
      <c r="A1194" s="1"/>
      <c r="B1194" s="1"/>
      <c r="C1194" s="1"/>
      <c r="D1194" s="1"/>
      <c r="E1194" s="1">
        <f>IFERROR(__xludf.DUMMYFUNCTION("""COMPUTED_VALUE"""),1.0)</f>
        <v>1</v>
      </c>
      <c r="F1194" s="2">
        <f>IFERROR(__xludf.DUMMYFUNCTION("""COMPUTED_VALUE"""),0.0)</f>
        <v>0</v>
      </c>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t="b">
        <f>IFERROR(__xludf.DUMMYFUNCTION("""COMPUTED_VALUE"""),FALSE)</f>
        <v>0</v>
      </c>
    </row>
    <row r="1195">
      <c r="A1195" s="1"/>
      <c r="B1195" s="1"/>
      <c r="C1195" s="1"/>
      <c r="D1195" s="1"/>
      <c r="E1195" s="1">
        <f>IFERROR(__xludf.DUMMYFUNCTION("""COMPUTED_VALUE"""),1.0)</f>
        <v>1</v>
      </c>
      <c r="F1195" s="2">
        <f>IFERROR(__xludf.DUMMYFUNCTION("""COMPUTED_VALUE"""),0.0)</f>
        <v>0</v>
      </c>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t="b">
        <f>IFERROR(__xludf.DUMMYFUNCTION("""COMPUTED_VALUE"""),FALSE)</f>
        <v>0</v>
      </c>
    </row>
    <row r="1196">
      <c r="A1196" s="1"/>
      <c r="B1196" s="1"/>
      <c r="C1196" s="1"/>
      <c r="D1196" s="1"/>
      <c r="E1196" s="1">
        <f>IFERROR(__xludf.DUMMYFUNCTION("""COMPUTED_VALUE"""),1.0)</f>
        <v>1</v>
      </c>
      <c r="F1196" s="2">
        <f>IFERROR(__xludf.DUMMYFUNCTION("""COMPUTED_VALUE"""),0.0)</f>
        <v>0</v>
      </c>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t="b">
        <f>IFERROR(__xludf.DUMMYFUNCTION("""COMPUTED_VALUE"""),FALSE)</f>
        <v>0</v>
      </c>
    </row>
    <row r="1197">
      <c r="A1197" s="1"/>
      <c r="B1197" s="1"/>
      <c r="C1197" s="1"/>
      <c r="D1197" s="1"/>
      <c r="E1197" s="1">
        <f>IFERROR(__xludf.DUMMYFUNCTION("""COMPUTED_VALUE"""),1.0)</f>
        <v>1</v>
      </c>
      <c r="F1197" s="2">
        <f>IFERROR(__xludf.DUMMYFUNCTION("""COMPUTED_VALUE"""),0.0)</f>
        <v>0</v>
      </c>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t="b">
        <f>IFERROR(__xludf.DUMMYFUNCTION("""COMPUTED_VALUE"""),FALSE)</f>
        <v>0</v>
      </c>
    </row>
    <row r="1198">
      <c r="A1198" s="1"/>
      <c r="B1198" s="1"/>
      <c r="C1198" s="1"/>
      <c r="D1198" s="1"/>
      <c r="E1198" s="1">
        <f>IFERROR(__xludf.DUMMYFUNCTION("""COMPUTED_VALUE"""),1.0)</f>
        <v>1</v>
      </c>
      <c r="F1198" s="2">
        <f>IFERROR(__xludf.DUMMYFUNCTION("""COMPUTED_VALUE"""),0.0)</f>
        <v>0</v>
      </c>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t="b">
        <f>IFERROR(__xludf.DUMMYFUNCTION("""COMPUTED_VALUE"""),FALSE)</f>
        <v>0</v>
      </c>
    </row>
    <row r="1199">
      <c r="A1199" s="1"/>
      <c r="B1199" s="1"/>
      <c r="C1199" s="1"/>
      <c r="D1199" s="1"/>
      <c r="E1199" s="1">
        <f>IFERROR(__xludf.DUMMYFUNCTION("""COMPUTED_VALUE"""),1.0)</f>
        <v>1</v>
      </c>
      <c r="F1199" s="2">
        <f>IFERROR(__xludf.DUMMYFUNCTION("""COMPUTED_VALUE"""),0.0)</f>
        <v>0</v>
      </c>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t="b">
        <f>IFERROR(__xludf.DUMMYFUNCTION("""COMPUTED_VALUE"""),FALSE)</f>
        <v>0</v>
      </c>
    </row>
    <row r="1200">
      <c r="A1200" s="1"/>
      <c r="B1200" s="1"/>
      <c r="C1200" s="1"/>
      <c r="D1200" s="1"/>
      <c r="E1200" s="1">
        <f>IFERROR(__xludf.DUMMYFUNCTION("""COMPUTED_VALUE"""),1.0)</f>
        <v>1</v>
      </c>
      <c r="F1200" s="2">
        <f>IFERROR(__xludf.DUMMYFUNCTION("""COMPUTED_VALUE"""),0.0)</f>
        <v>0</v>
      </c>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t="b">
        <f>IFERROR(__xludf.DUMMYFUNCTION("""COMPUTED_VALUE"""),FALSE)</f>
        <v>0</v>
      </c>
    </row>
    <row r="1201">
      <c r="A1201" s="1"/>
      <c r="B1201" s="1"/>
      <c r="C1201" s="1"/>
      <c r="D1201" s="1"/>
      <c r="E1201" s="1">
        <f>IFERROR(__xludf.DUMMYFUNCTION("""COMPUTED_VALUE"""),1.0)</f>
        <v>1</v>
      </c>
      <c r="F1201" s="2">
        <f>IFERROR(__xludf.DUMMYFUNCTION("""COMPUTED_VALUE"""),0.0)</f>
        <v>0</v>
      </c>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t="b">
        <f>IFERROR(__xludf.DUMMYFUNCTION("""COMPUTED_VALUE"""),FALSE)</f>
        <v>0</v>
      </c>
    </row>
    <row r="1202">
      <c r="A1202" s="1"/>
      <c r="B1202" s="1"/>
      <c r="C1202" s="1"/>
      <c r="D1202" s="1"/>
      <c r="E1202" s="1">
        <f>IFERROR(__xludf.DUMMYFUNCTION("""COMPUTED_VALUE"""),1.0)</f>
        <v>1</v>
      </c>
      <c r="F1202" s="2">
        <f>IFERROR(__xludf.DUMMYFUNCTION("""COMPUTED_VALUE"""),0.0)</f>
        <v>0</v>
      </c>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t="b">
        <f>IFERROR(__xludf.DUMMYFUNCTION("""COMPUTED_VALUE"""),FALSE)</f>
        <v>0</v>
      </c>
    </row>
    <row r="1203">
      <c r="A1203" s="1"/>
      <c r="B1203" s="1"/>
      <c r="C1203" s="1"/>
      <c r="D1203" s="1"/>
      <c r="E1203" s="1">
        <f>IFERROR(__xludf.DUMMYFUNCTION("""COMPUTED_VALUE"""),1.0)</f>
        <v>1</v>
      </c>
      <c r="F1203" s="2">
        <f>IFERROR(__xludf.DUMMYFUNCTION("""COMPUTED_VALUE"""),0.0)</f>
        <v>0</v>
      </c>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t="b">
        <f>IFERROR(__xludf.DUMMYFUNCTION("""COMPUTED_VALUE"""),FALSE)</f>
        <v>0</v>
      </c>
    </row>
    <row r="1204">
      <c r="A1204" s="1"/>
      <c r="B1204" s="1"/>
      <c r="C1204" s="1"/>
      <c r="D1204" s="1"/>
      <c r="E1204" s="1">
        <f>IFERROR(__xludf.DUMMYFUNCTION("""COMPUTED_VALUE"""),1.0)</f>
        <v>1</v>
      </c>
      <c r="F1204" s="2">
        <f>IFERROR(__xludf.DUMMYFUNCTION("""COMPUTED_VALUE"""),0.0)</f>
        <v>0</v>
      </c>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t="b">
        <f>IFERROR(__xludf.DUMMYFUNCTION("""COMPUTED_VALUE"""),FALSE)</f>
        <v>0</v>
      </c>
    </row>
    <row r="1205">
      <c r="A1205" s="1"/>
      <c r="B1205" s="1"/>
      <c r="C1205" s="1"/>
      <c r="D1205" s="1"/>
      <c r="E1205" s="1">
        <f>IFERROR(__xludf.DUMMYFUNCTION("""COMPUTED_VALUE"""),1.0)</f>
        <v>1</v>
      </c>
      <c r="F1205" s="2">
        <f>IFERROR(__xludf.DUMMYFUNCTION("""COMPUTED_VALUE"""),0.0)</f>
        <v>0</v>
      </c>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t="b">
        <f>IFERROR(__xludf.DUMMYFUNCTION("""COMPUTED_VALUE"""),FALSE)</f>
        <v>0</v>
      </c>
    </row>
    <row r="1206">
      <c r="A1206" s="1"/>
      <c r="B1206" s="1"/>
      <c r="C1206" s="1"/>
      <c r="D1206" s="1"/>
      <c r="E1206" s="1">
        <f>IFERROR(__xludf.DUMMYFUNCTION("""COMPUTED_VALUE"""),1.0)</f>
        <v>1</v>
      </c>
      <c r="F1206" s="2">
        <f>IFERROR(__xludf.DUMMYFUNCTION("""COMPUTED_VALUE"""),0.0)</f>
        <v>0</v>
      </c>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t="b">
        <f>IFERROR(__xludf.DUMMYFUNCTION("""COMPUTED_VALUE"""),FALSE)</f>
        <v>0</v>
      </c>
    </row>
    <row r="1207">
      <c r="A1207" s="1"/>
      <c r="B1207" s="1"/>
      <c r="C1207" s="1"/>
      <c r="D1207" s="1"/>
      <c r="E1207" s="1">
        <f>IFERROR(__xludf.DUMMYFUNCTION("""COMPUTED_VALUE"""),1.0)</f>
        <v>1</v>
      </c>
      <c r="F1207" s="2">
        <f>IFERROR(__xludf.DUMMYFUNCTION("""COMPUTED_VALUE"""),0.0)</f>
        <v>0</v>
      </c>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t="b">
        <f>IFERROR(__xludf.DUMMYFUNCTION("""COMPUTED_VALUE"""),FALSE)</f>
        <v>0</v>
      </c>
    </row>
    <row r="1208">
      <c r="A1208" s="1"/>
      <c r="B1208" s="1"/>
      <c r="C1208" s="1"/>
      <c r="D1208" s="1"/>
      <c r="E1208" s="1">
        <f>IFERROR(__xludf.DUMMYFUNCTION("""COMPUTED_VALUE"""),1.0)</f>
        <v>1</v>
      </c>
      <c r="F1208" s="2">
        <f>IFERROR(__xludf.DUMMYFUNCTION("""COMPUTED_VALUE"""),0.0)</f>
        <v>0</v>
      </c>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t="b">
        <f>IFERROR(__xludf.DUMMYFUNCTION("""COMPUTED_VALUE"""),FALSE)</f>
        <v>0</v>
      </c>
    </row>
    <row r="1209">
      <c r="A1209" s="1"/>
      <c r="B1209" s="1"/>
      <c r="C1209" s="1"/>
      <c r="D1209" s="1"/>
      <c r="E1209" s="1">
        <f>IFERROR(__xludf.DUMMYFUNCTION("""COMPUTED_VALUE"""),1.0)</f>
        <v>1</v>
      </c>
      <c r="F1209" s="2">
        <f>IFERROR(__xludf.DUMMYFUNCTION("""COMPUTED_VALUE"""),0.0)</f>
        <v>0</v>
      </c>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t="b">
        <f>IFERROR(__xludf.DUMMYFUNCTION("""COMPUTED_VALUE"""),FALSE)</f>
        <v>0</v>
      </c>
    </row>
    <row r="1210">
      <c r="A1210" s="1"/>
      <c r="B1210" s="1"/>
      <c r="C1210" s="1"/>
      <c r="D1210" s="1"/>
      <c r="E1210" s="1">
        <f>IFERROR(__xludf.DUMMYFUNCTION("""COMPUTED_VALUE"""),1.0)</f>
        <v>1</v>
      </c>
      <c r="F1210" s="2">
        <f>IFERROR(__xludf.DUMMYFUNCTION("""COMPUTED_VALUE"""),0.0)</f>
        <v>0</v>
      </c>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t="b">
        <f>IFERROR(__xludf.DUMMYFUNCTION("""COMPUTED_VALUE"""),FALSE)</f>
        <v>0</v>
      </c>
    </row>
    <row r="1211">
      <c r="A1211" s="1"/>
      <c r="B1211" s="1"/>
      <c r="C1211" s="1"/>
      <c r="D1211" s="1"/>
      <c r="E1211" s="1">
        <f>IFERROR(__xludf.DUMMYFUNCTION("""COMPUTED_VALUE"""),1.0)</f>
        <v>1</v>
      </c>
      <c r="F1211" s="2">
        <f>IFERROR(__xludf.DUMMYFUNCTION("""COMPUTED_VALUE"""),0.0)</f>
        <v>0</v>
      </c>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t="b">
        <f>IFERROR(__xludf.DUMMYFUNCTION("""COMPUTED_VALUE"""),FALSE)</f>
        <v>0</v>
      </c>
    </row>
    <row r="1212">
      <c r="A1212" s="1"/>
      <c r="B1212" s="1"/>
      <c r="C1212" s="1"/>
      <c r="D1212" s="1"/>
      <c r="E1212" s="1">
        <f>IFERROR(__xludf.DUMMYFUNCTION("""COMPUTED_VALUE"""),1.0)</f>
        <v>1</v>
      </c>
      <c r="F1212" s="2">
        <f>IFERROR(__xludf.DUMMYFUNCTION("""COMPUTED_VALUE"""),0.0)</f>
        <v>0</v>
      </c>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t="b">
        <f>IFERROR(__xludf.DUMMYFUNCTION("""COMPUTED_VALUE"""),FALSE)</f>
        <v>0</v>
      </c>
    </row>
    <row r="1213">
      <c r="A1213" s="1"/>
      <c r="B1213" s="1"/>
      <c r="C1213" s="1"/>
      <c r="D1213" s="1"/>
      <c r="E1213" s="1">
        <f>IFERROR(__xludf.DUMMYFUNCTION("""COMPUTED_VALUE"""),1.0)</f>
        <v>1</v>
      </c>
      <c r="F1213" s="2">
        <f>IFERROR(__xludf.DUMMYFUNCTION("""COMPUTED_VALUE"""),0.0)</f>
        <v>0</v>
      </c>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t="b">
        <f>IFERROR(__xludf.DUMMYFUNCTION("""COMPUTED_VALUE"""),FALSE)</f>
        <v>0</v>
      </c>
    </row>
    <row r="1214">
      <c r="A1214" s="1"/>
      <c r="B1214" s="1"/>
      <c r="C1214" s="1"/>
      <c r="D1214" s="1"/>
      <c r="E1214" s="1">
        <f>IFERROR(__xludf.DUMMYFUNCTION("""COMPUTED_VALUE"""),1.0)</f>
        <v>1</v>
      </c>
      <c r="F1214" s="2">
        <f>IFERROR(__xludf.DUMMYFUNCTION("""COMPUTED_VALUE"""),0.0)</f>
        <v>0</v>
      </c>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t="b">
        <f>IFERROR(__xludf.DUMMYFUNCTION("""COMPUTED_VALUE"""),FALSE)</f>
        <v>0</v>
      </c>
    </row>
    <row r="1215">
      <c r="A1215" s="1"/>
      <c r="B1215" s="1"/>
      <c r="C1215" s="1"/>
      <c r="D1215" s="1"/>
      <c r="E1215" s="1">
        <f>IFERROR(__xludf.DUMMYFUNCTION("""COMPUTED_VALUE"""),1.0)</f>
        <v>1</v>
      </c>
      <c r="F1215" s="2">
        <f>IFERROR(__xludf.DUMMYFUNCTION("""COMPUTED_VALUE"""),0.0)</f>
        <v>0</v>
      </c>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t="b">
        <f>IFERROR(__xludf.DUMMYFUNCTION("""COMPUTED_VALUE"""),FALSE)</f>
        <v>0</v>
      </c>
    </row>
    <row r="1216">
      <c r="A1216" s="1"/>
      <c r="B1216" s="1"/>
      <c r="C1216" s="1"/>
      <c r="D1216" s="1"/>
      <c r="E1216" s="1">
        <f>IFERROR(__xludf.DUMMYFUNCTION("""COMPUTED_VALUE"""),1.0)</f>
        <v>1</v>
      </c>
      <c r="F1216" s="2">
        <f>IFERROR(__xludf.DUMMYFUNCTION("""COMPUTED_VALUE"""),0.0)</f>
        <v>0</v>
      </c>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t="b">
        <f>IFERROR(__xludf.DUMMYFUNCTION("""COMPUTED_VALUE"""),FALSE)</f>
        <v>0</v>
      </c>
    </row>
    <row r="1217">
      <c r="A1217" s="1"/>
      <c r="B1217" s="1"/>
      <c r="C1217" s="1"/>
      <c r="D1217" s="1"/>
      <c r="E1217" s="1">
        <f>IFERROR(__xludf.DUMMYFUNCTION("""COMPUTED_VALUE"""),1.0)</f>
        <v>1</v>
      </c>
      <c r="F1217" s="2">
        <f>IFERROR(__xludf.DUMMYFUNCTION("""COMPUTED_VALUE"""),0.0)</f>
        <v>0</v>
      </c>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t="b">
        <f>IFERROR(__xludf.DUMMYFUNCTION("""COMPUTED_VALUE"""),FALSE)</f>
        <v>0</v>
      </c>
    </row>
    <row r="1218">
      <c r="A1218" s="1"/>
      <c r="B1218" s="1"/>
      <c r="C1218" s="1"/>
      <c r="D1218" s="1"/>
      <c r="E1218" s="1">
        <f>IFERROR(__xludf.DUMMYFUNCTION("""COMPUTED_VALUE"""),1.0)</f>
        <v>1</v>
      </c>
      <c r="F1218" s="2">
        <f>IFERROR(__xludf.DUMMYFUNCTION("""COMPUTED_VALUE"""),0.0)</f>
        <v>0</v>
      </c>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t="b">
        <f>IFERROR(__xludf.DUMMYFUNCTION("""COMPUTED_VALUE"""),FALSE)</f>
        <v>0</v>
      </c>
    </row>
    <row r="1219">
      <c r="A1219" s="1"/>
      <c r="B1219" s="1"/>
      <c r="C1219" s="1"/>
      <c r="D1219" s="1"/>
      <c r="E1219" s="1">
        <f>IFERROR(__xludf.DUMMYFUNCTION("""COMPUTED_VALUE"""),1.0)</f>
        <v>1</v>
      </c>
      <c r="F1219" s="2">
        <f>IFERROR(__xludf.DUMMYFUNCTION("""COMPUTED_VALUE"""),0.0)</f>
        <v>0</v>
      </c>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t="b">
        <f>IFERROR(__xludf.DUMMYFUNCTION("""COMPUTED_VALUE"""),FALSE)</f>
        <v>0</v>
      </c>
    </row>
    <row r="1220">
      <c r="A1220" s="1"/>
      <c r="B1220" s="1"/>
      <c r="C1220" s="1"/>
      <c r="D1220" s="1"/>
      <c r="E1220" s="1">
        <f>IFERROR(__xludf.DUMMYFUNCTION("""COMPUTED_VALUE"""),1.0)</f>
        <v>1</v>
      </c>
      <c r="F1220" s="2">
        <f>IFERROR(__xludf.DUMMYFUNCTION("""COMPUTED_VALUE"""),0.0)</f>
        <v>0</v>
      </c>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t="b">
        <f>IFERROR(__xludf.DUMMYFUNCTION("""COMPUTED_VALUE"""),FALSE)</f>
        <v>0</v>
      </c>
    </row>
    <row r="1221">
      <c r="A1221" s="1"/>
      <c r="B1221" s="1"/>
      <c r="C1221" s="1"/>
      <c r="D1221" s="1"/>
      <c r="E1221" s="1">
        <f>IFERROR(__xludf.DUMMYFUNCTION("""COMPUTED_VALUE"""),1.0)</f>
        <v>1</v>
      </c>
      <c r="F1221" s="2">
        <f>IFERROR(__xludf.DUMMYFUNCTION("""COMPUTED_VALUE"""),0.0)</f>
        <v>0</v>
      </c>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t="b">
        <f>IFERROR(__xludf.DUMMYFUNCTION("""COMPUTED_VALUE"""),FALSE)</f>
        <v>0</v>
      </c>
    </row>
    <row r="1222">
      <c r="A1222" s="1"/>
      <c r="B1222" s="1"/>
      <c r="C1222" s="1"/>
      <c r="D1222" s="1"/>
      <c r="E1222" s="1">
        <f>IFERROR(__xludf.DUMMYFUNCTION("""COMPUTED_VALUE"""),1.0)</f>
        <v>1</v>
      </c>
      <c r="F1222" s="2">
        <f>IFERROR(__xludf.DUMMYFUNCTION("""COMPUTED_VALUE"""),0.0)</f>
        <v>0</v>
      </c>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t="b">
        <f>IFERROR(__xludf.DUMMYFUNCTION("""COMPUTED_VALUE"""),FALSE)</f>
        <v>0</v>
      </c>
    </row>
    <row r="1223">
      <c r="A1223" s="1"/>
      <c r="B1223" s="1"/>
      <c r="C1223" s="1"/>
      <c r="D1223" s="1"/>
      <c r="E1223" s="1">
        <f>IFERROR(__xludf.DUMMYFUNCTION("""COMPUTED_VALUE"""),1.0)</f>
        <v>1</v>
      </c>
      <c r="F1223" s="2">
        <f>IFERROR(__xludf.DUMMYFUNCTION("""COMPUTED_VALUE"""),0.0)</f>
        <v>0</v>
      </c>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t="b">
        <f>IFERROR(__xludf.DUMMYFUNCTION("""COMPUTED_VALUE"""),FALSE)</f>
        <v>0</v>
      </c>
    </row>
    <row r="1224">
      <c r="A1224" s="1"/>
      <c r="B1224" s="1"/>
      <c r="C1224" s="1"/>
      <c r="D1224" s="1"/>
      <c r="E1224" s="1">
        <f>IFERROR(__xludf.DUMMYFUNCTION("""COMPUTED_VALUE"""),1.0)</f>
        <v>1</v>
      </c>
      <c r="F1224" s="2">
        <f>IFERROR(__xludf.DUMMYFUNCTION("""COMPUTED_VALUE"""),0.0)</f>
        <v>0</v>
      </c>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t="b">
        <f>IFERROR(__xludf.DUMMYFUNCTION("""COMPUTED_VALUE"""),FALSE)</f>
        <v>0</v>
      </c>
    </row>
    <row r="1225">
      <c r="A1225" s="1"/>
      <c r="B1225" s="1"/>
      <c r="C1225" s="1"/>
      <c r="D1225" s="1"/>
      <c r="E1225" s="1">
        <f>IFERROR(__xludf.DUMMYFUNCTION("""COMPUTED_VALUE"""),1.0)</f>
        <v>1</v>
      </c>
      <c r="F1225" s="2">
        <f>IFERROR(__xludf.DUMMYFUNCTION("""COMPUTED_VALUE"""),0.0)</f>
        <v>0</v>
      </c>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t="b">
        <f>IFERROR(__xludf.DUMMYFUNCTION("""COMPUTED_VALUE"""),FALSE)</f>
        <v>0</v>
      </c>
    </row>
    <row r="1226">
      <c r="A1226" s="1"/>
      <c r="B1226" s="1"/>
      <c r="C1226" s="1"/>
      <c r="D1226" s="1"/>
      <c r="E1226" s="1">
        <f>IFERROR(__xludf.DUMMYFUNCTION("""COMPUTED_VALUE"""),1.0)</f>
        <v>1</v>
      </c>
      <c r="F1226" s="2">
        <f>IFERROR(__xludf.DUMMYFUNCTION("""COMPUTED_VALUE"""),0.0)</f>
        <v>0</v>
      </c>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t="b">
        <f>IFERROR(__xludf.DUMMYFUNCTION("""COMPUTED_VALUE"""),FALSE)</f>
        <v>0</v>
      </c>
    </row>
    <row r="1227">
      <c r="A1227" s="1"/>
      <c r="B1227" s="1"/>
      <c r="C1227" s="1"/>
      <c r="D1227" s="1"/>
      <c r="E1227" s="1">
        <f>IFERROR(__xludf.DUMMYFUNCTION("""COMPUTED_VALUE"""),1.0)</f>
        <v>1</v>
      </c>
      <c r="F1227" s="2">
        <f>IFERROR(__xludf.DUMMYFUNCTION("""COMPUTED_VALUE"""),0.0)</f>
        <v>0</v>
      </c>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t="b">
        <f>IFERROR(__xludf.DUMMYFUNCTION("""COMPUTED_VALUE"""),FALSE)</f>
        <v>0</v>
      </c>
    </row>
    <row r="1228">
      <c r="A1228" s="1"/>
      <c r="B1228" s="1"/>
      <c r="C1228" s="1"/>
      <c r="D1228" s="1"/>
      <c r="E1228" s="1">
        <f>IFERROR(__xludf.DUMMYFUNCTION("""COMPUTED_VALUE"""),1.0)</f>
        <v>1</v>
      </c>
      <c r="F1228" s="2">
        <f>IFERROR(__xludf.DUMMYFUNCTION("""COMPUTED_VALUE"""),0.0)</f>
        <v>0</v>
      </c>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t="b">
        <f>IFERROR(__xludf.DUMMYFUNCTION("""COMPUTED_VALUE"""),FALSE)</f>
        <v>0</v>
      </c>
    </row>
    <row r="1229">
      <c r="A1229" s="1"/>
      <c r="B1229" s="1"/>
      <c r="C1229" s="1"/>
      <c r="D1229" s="1"/>
      <c r="E1229" s="1">
        <f>IFERROR(__xludf.DUMMYFUNCTION("""COMPUTED_VALUE"""),1.0)</f>
        <v>1</v>
      </c>
      <c r="F1229" s="2">
        <f>IFERROR(__xludf.DUMMYFUNCTION("""COMPUTED_VALUE"""),0.0)</f>
        <v>0</v>
      </c>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t="b">
        <f>IFERROR(__xludf.DUMMYFUNCTION("""COMPUTED_VALUE"""),FALSE)</f>
        <v>0</v>
      </c>
    </row>
    <row r="1230">
      <c r="A1230" s="1"/>
      <c r="B1230" s="1"/>
      <c r="C1230" s="1"/>
      <c r="D1230" s="1"/>
      <c r="E1230" s="1">
        <f>IFERROR(__xludf.DUMMYFUNCTION("""COMPUTED_VALUE"""),1.0)</f>
        <v>1</v>
      </c>
      <c r="F1230" s="2">
        <f>IFERROR(__xludf.DUMMYFUNCTION("""COMPUTED_VALUE"""),0.0)</f>
        <v>0</v>
      </c>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t="b">
        <f>IFERROR(__xludf.DUMMYFUNCTION("""COMPUTED_VALUE"""),FALSE)</f>
        <v>0</v>
      </c>
    </row>
    <row r="1231">
      <c r="A1231" s="1"/>
      <c r="B1231" s="1"/>
      <c r="C1231" s="1"/>
      <c r="D1231" s="1"/>
      <c r="E1231" s="1">
        <f>IFERROR(__xludf.DUMMYFUNCTION("""COMPUTED_VALUE"""),1.0)</f>
        <v>1</v>
      </c>
      <c r="F1231" s="2">
        <f>IFERROR(__xludf.DUMMYFUNCTION("""COMPUTED_VALUE"""),0.0)</f>
        <v>0</v>
      </c>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t="b">
        <f>IFERROR(__xludf.DUMMYFUNCTION("""COMPUTED_VALUE"""),FALSE)</f>
        <v>0</v>
      </c>
    </row>
    <row r="1232">
      <c r="A1232" s="1"/>
      <c r="B1232" s="1"/>
      <c r="C1232" s="1"/>
      <c r="D1232" s="1"/>
      <c r="E1232" s="1">
        <f>IFERROR(__xludf.DUMMYFUNCTION("""COMPUTED_VALUE"""),1.0)</f>
        <v>1</v>
      </c>
      <c r="F1232" s="2">
        <f>IFERROR(__xludf.DUMMYFUNCTION("""COMPUTED_VALUE"""),0.0)</f>
        <v>0</v>
      </c>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t="b">
        <f>IFERROR(__xludf.DUMMYFUNCTION("""COMPUTED_VALUE"""),FALSE)</f>
        <v>0</v>
      </c>
    </row>
    <row r="1233">
      <c r="A1233" s="1"/>
      <c r="B1233" s="1"/>
      <c r="C1233" s="1"/>
      <c r="D1233" s="1"/>
      <c r="E1233" s="1">
        <f>IFERROR(__xludf.DUMMYFUNCTION("""COMPUTED_VALUE"""),1.0)</f>
        <v>1</v>
      </c>
      <c r="F1233" s="2">
        <f>IFERROR(__xludf.DUMMYFUNCTION("""COMPUTED_VALUE"""),0.0)</f>
        <v>0</v>
      </c>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t="b">
        <f>IFERROR(__xludf.DUMMYFUNCTION("""COMPUTED_VALUE"""),FALSE)</f>
        <v>0</v>
      </c>
    </row>
    <row r="1234">
      <c r="A1234" s="1"/>
      <c r="B1234" s="1"/>
      <c r="C1234" s="1"/>
      <c r="D1234" s="1"/>
      <c r="E1234" s="1">
        <f>IFERROR(__xludf.DUMMYFUNCTION("""COMPUTED_VALUE"""),1.0)</f>
        <v>1</v>
      </c>
      <c r="F1234" s="2">
        <f>IFERROR(__xludf.DUMMYFUNCTION("""COMPUTED_VALUE"""),0.0)</f>
        <v>0</v>
      </c>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t="b">
        <f>IFERROR(__xludf.DUMMYFUNCTION("""COMPUTED_VALUE"""),FALSE)</f>
        <v>0</v>
      </c>
    </row>
    <row r="1235">
      <c r="A1235" s="1"/>
      <c r="B1235" s="1"/>
      <c r="C1235" s="1"/>
      <c r="D1235" s="1"/>
      <c r="E1235" s="1">
        <f>IFERROR(__xludf.DUMMYFUNCTION("""COMPUTED_VALUE"""),1.0)</f>
        <v>1</v>
      </c>
      <c r="F1235" s="2">
        <f>IFERROR(__xludf.DUMMYFUNCTION("""COMPUTED_VALUE"""),0.0)</f>
        <v>0</v>
      </c>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t="b">
        <f>IFERROR(__xludf.DUMMYFUNCTION("""COMPUTED_VALUE"""),FALSE)</f>
        <v>0</v>
      </c>
    </row>
    <row r="1236">
      <c r="A1236" s="1"/>
      <c r="B1236" s="1"/>
      <c r="C1236" s="1"/>
      <c r="D1236" s="1"/>
      <c r="E1236" s="1">
        <f>IFERROR(__xludf.DUMMYFUNCTION("""COMPUTED_VALUE"""),1.0)</f>
        <v>1</v>
      </c>
      <c r="F1236" s="2">
        <f>IFERROR(__xludf.DUMMYFUNCTION("""COMPUTED_VALUE"""),0.0)</f>
        <v>0</v>
      </c>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t="b">
        <f>IFERROR(__xludf.DUMMYFUNCTION("""COMPUTED_VALUE"""),FALSE)</f>
        <v>0</v>
      </c>
    </row>
    <row r="1237">
      <c r="A1237" s="1"/>
      <c r="B1237" s="1"/>
      <c r="C1237" s="1"/>
      <c r="D1237" s="1"/>
      <c r="E1237" s="1">
        <f>IFERROR(__xludf.DUMMYFUNCTION("""COMPUTED_VALUE"""),1.0)</f>
        <v>1</v>
      </c>
      <c r="F1237" s="2">
        <f>IFERROR(__xludf.DUMMYFUNCTION("""COMPUTED_VALUE"""),0.0)</f>
        <v>0</v>
      </c>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t="b">
        <f>IFERROR(__xludf.DUMMYFUNCTION("""COMPUTED_VALUE"""),FALSE)</f>
        <v>0</v>
      </c>
    </row>
    <row r="1238">
      <c r="A1238" s="1"/>
      <c r="B1238" s="1"/>
      <c r="C1238" s="1"/>
      <c r="D1238" s="1"/>
      <c r="E1238" s="1">
        <f>IFERROR(__xludf.DUMMYFUNCTION("""COMPUTED_VALUE"""),1.0)</f>
        <v>1</v>
      </c>
      <c r="F1238" s="2">
        <f>IFERROR(__xludf.DUMMYFUNCTION("""COMPUTED_VALUE"""),0.0)</f>
        <v>0</v>
      </c>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t="b">
        <f>IFERROR(__xludf.DUMMYFUNCTION("""COMPUTED_VALUE"""),FALSE)</f>
        <v>0</v>
      </c>
    </row>
    <row r="1239">
      <c r="A1239" s="1"/>
      <c r="B1239" s="1"/>
      <c r="C1239" s="1"/>
      <c r="D1239" s="1"/>
      <c r="E1239" s="1">
        <f>IFERROR(__xludf.DUMMYFUNCTION("""COMPUTED_VALUE"""),1.0)</f>
        <v>1</v>
      </c>
      <c r="F1239" s="2">
        <f>IFERROR(__xludf.DUMMYFUNCTION("""COMPUTED_VALUE"""),0.0)</f>
        <v>0</v>
      </c>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t="b">
        <f>IFERROR(__xludf.DUMMYFUNCTION("""COMPUTED_VALUE"""),FALSE)</f>
        <v>0</v>
      </c>
    </row>
    <row r="1240">
      <c r="A1240" s="1"/>
      <c r="B1240" s="1"/>
      <c r="C1240" s="1"/>
      <c r="D1240" s="1"/>
      <c r="E1240" s="1">
        <f>IFERROR(__xludf.DUMMYFUNCTION("""COMPUTED_VALUE"""),1.0)</f>
        <v>1</v>
      </c>
      <c r="F1240" s="2">
        <f>IFERROR(__xludf.DUMMYFUNCTION("""COMPUTED_VALUE"""),0.0)</f>
        <v>0</v>
      </c>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t="b">
        <f>IFERROR(__xludf.DUMMYFUNCTION("""COMPUTED_VALUE"""),FALSE)</f>
        <v>0</v>
      </c>
    </row>
    <row r="1241">
      <c r="A1241" s="1"/>
      <c r="B1241" s="1"/>
      <c r="C1241" s="1"/>
      <c r="D1241" s="1"/>
      <c r="E1241" s="1">
        <f>IFERROR(__xludf.DUMMYFUNCTION("""COMPUTED_VALUE"""),1.0)</f>
        <v>1</v>
      </c>
      <c r="F1241" s="2">
        <f>IFERROR(__xludf.DUMMYFUNCTION("""COMPUTED_VALUE"""),0.0)</f>
        <v>0</v>
      </c>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t="b">
        <f>IFERROR(__xludf.DUMMYFUNCTION("""COMPUTED_VALUE"""),FALSE)</f>
        <v>0</v>
      </c>
    </row>
    <row r="1242">
      <c r="A1242" s="1"/>
      <c r="B1242" s="1"/>
      <c r="C1242" s="1"/>
      <c r="D1242" s="1"/>
      <c r="E1242" s="1">
        <f>IFERROR(__xludf.DUMMYFUNCTION("""COMPUTED_VALUE"""),1.0)</f>
        <v>1</v>
      </c>
      <c r="F1242" s="2">
        <f>IFERROR(__xludf.DUMMYFUNCTION("""COMPUTED_VALUE"""),0.0)</f>
        <v>0</v>
      </c>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t="b">
        <f>IFERROR(__xludf.DUMMYFUNCTION("""COMPUTED_VALUE"""),FALSE)</f>
        <v>0</v>
      </c>
    </row>
    <row r="1243">
      <c r="A1243" s="1"/>
      <c r="B1243" s="1"/>
      <c r="C1243" s="1"/>
      <c r="D1243" s="1"/>
      <c r="E1243" s="1">
        <f>IFERROR(__xludf.DUMMYFUNCTION("""COMPUTED_VALUE"""),1.0)</f>
        <v>1</v>
      </c>
      <c r="F1243" s="2">
        <f>IFERROR(__xludf.DUMMYFUNCTION("""COMPUTED_VALUE"""),0.0)</f>
        <v>0</v>
      </c>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t="b">
        <f>IFERROR(__xludf.DUMMYFUNCTION("""COMPUTED_VALUE"""),FALSE)</f>
        <v>0</v>
      </c>
    </row>
    <row r="1244">
      <c r="A1244" s="1"/>
      <c r="B1244" s="1"/>
      <c r="C1244" s="1"/>
      <c r="D1244" s="1"/>
      <c r="E1244" s="1">
        <f>IFERROR(__xludf.DUMMYFUNCTION("""COMPUTED_VALUE"""),1.0)</f>
        <v>1</v>
      </c>
      <c r="F1244" s="2">
        <f>IFERROR(__xludf.DUMMYFUNCTION("""COMPUTED_VALUE"""),0.0)</f>
        <v>0</v>
      </c>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t="b">
        <f>IFERROR(__xludf.DUMMYFUNCTION("""COMPUTED_VALUE"""),FALSE)</f>
        <v>0</v>
      </c>
    </row>
    <row r="1245">
      <c r="A1245" s="1"/>
      <c r="B1245" s="1"/>
      <c r="C1245" s="1"/>
      <c r="D1245" s="1"/>
      <c r="E1245" s="1">
        <f>IFERROR(__xludf.DUMMYFUNCTION("""COMPUTED_VALUE"""),1.0)</f>
        <v>1</v>
      </c>
      <c r="F1245" s="2">
        <f>IFERROR(__xludf.DUMMYFUNCTION("""COMPUTED_VALUE"""),0.0)</f>
        <v>0</v>
      </c>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t="b">
        <f>IFERROR(__xludf.DUMMYFUNCTION("""COMPUTED_VALUE"""),FALSE)</f>
        <v>0</v>
      </c>
    </row>
    <row r="1246">
      <c r="A1246" s="1"/>
      <c r="B1246" s="1"/>
      <c r="C1246" s="1"/>
      <c r="D1246" s="1"/>
      <c r="E1246" s="1">
        <f>IFERROR(__xludf.DUMMYFUNCTION("""COMPUTED_VALUE"""),1.0)</f>
        <v>1</v>
      </c>
      <c r="F1246" s="2">
        <f>IFERROR(__xludf.DUMMYFUNCTION("""COMPUTED_VALUE"""),0.0)</f>
        <v>0</v>
      </c>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t="b">
        <f>IFERROR(__xludf.DUMMYFUNCTION("""COMPUTED_VALUE"""),FALSE)</f>
        <v>0</v>
      </c>
    </row>
    <row r="1247">
      <c r="A1247" s="1"/>
      <c r="B1247" s="1"/>
      <c r="C1247" s="1"/>
      <c r="D1247" s="1"/>
      <c r="E1247" s="1">
        <f>IFERROR(__xludf.DUMMYFUNCTION("""COMPUTED_VALUE"""),1.0)</f>
        <v>1</v>
      </c>
      <c r="F1247" s="2">
        <f>IFERROR(__xludf.DUMMYFUNCTION("""COMPUTED_VALUE"""),0.0)</f>
        <v>0</v>
      </c>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t="b">
        <f>IFERROR(__xludf.DUMMYFUNCTION("""COMPUTED_VALUE"""),FALSE)</f>
        <v>0</v>
      </c>
    </row>
    <row r="1248">
      <c r="A1248" s="1"/>
      <c r="B1248" s="1"/>
      <c r="C1248" s="1"/>
      <c r="D1248" s="1"/>
      <c r="E1248" s="1">
        <f>IFERROR(__xludf.DUMMYFUNCTION("""COMPUTED_VALUE"""),1.0)</f>
        <v>1</v>
      </c>
      <c r="F1248" s="2">
        <f>IFERROR(__xludf.DUMMYFUNCTION("""COMPUTED_VALUE"""),0.0)</f>
        <v>0</v>
      </c>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t="b">
        <f>IFERROR(__xludf.DUMMYFUNCTION("""COMPUTED_VALUE"""),FALSE)</f>
        <v>0</v>
      </c>
    </row>
    <row r="1249">
      <c r="A1249" s="1"/>
      <c r="B1249" s="1"/>
      <c r="C1249" s="1"/>
      <c r="D1249" s="1"/>
      <c r="E1249" s="1">
        <f>IFERROR(__xludf.DUMMYFUNCTION("""COMPUTED_VALUE"""),1.0)</f>
        <v>1</v>
      </c>
      <c r="F1249" s="2">
        <f>IFERROR(__xludf.DUMMYFUNCTION("""COMPUTED_VALUE"""),0.0)</f>
        <v>0</v>
      </c>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t="b">
        <f>IFERROR(__xludf.DUMMYFUNCTION("""COMPUTED_VALUE"""),FALSE)</f>
        <v>0</v>
      </c>
    </row>
    <row r="1250">
      <c r="A1250" s="1"/>
      <c r="B1250" s="1"/>
      <c r="C1250" s="1"/>
      <c r="D1250" s="1"/>
      <c r="E1250" s="1">
        <f>IFERROR(__xludf.DUMMYFUNCTION("""COMPUTED_VALUE"""),1.0)</f>
        <v>1</v>
      </c>
      <c r="F1250" s="2">
        <f>IFERROR(__xludf.DUMMYFUNCTION("""COMPUTED_VALUE"""),0.0)</f>
        <v>0</v>
      </c>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t="b">
        <f>IFERROR(__xludf.DUMMYFUNCTION("""COMPUTED_VALUE"""),FALSE)</f>
        <v>0</v>
      </c>
    </row>
    <row r="1251">
      <c r="A1251" s="1"/>
      <c r="B1251" s="1"/>
      <c r="C1251" s="1"/>
      <c r="D1251" s="1"/>
      <c r="E1251" s="1">
        <f>IFERROR(__xludf.DUMMYFUNCTION("""COMPUTED_VALUE"""),1.0)</f>
        <v>1</v>
      </c>
      <c r="F1251" s="2">
        <f>IFERROR(__xludf.DUMMYFUNCTION("""COMPUTED_VALUE"""),0.0)</f>
        <v>0</v>
      </c>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t="b">
        <f>IFERROR(__xludf.DUMMYFUNCTION("""COMPUTED_VALUE"""),FALSE)</f>
        <v>0</v>
      </c>
    </row>
    <row r="1252">
      <c r="A1252" s="1"/>
      <c r="B1252" s="1"/>
      <c r="C1252" s="1"/>
      <c r="D1252" s="1"/>
      <c r="E1252" s="1">
        <f>IFERROR(__xludf.DUMMYFUNCTION("""COMPUTED_VALUE"""),1.0)</f>
        <v>1</v>
      </c>
      <c r="F1252" s="2">
        <f>IFERROR(__xludf.DUMMYFUNCTION("""COMPUTED_VALUE"""),0.0)</f>
        <v>0</v>
      </c>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t="b">
        <f>IFERROR(__xludf.DUMMYFUNCTION("""COMPUTED_VALUE"""),FALSE)</f>
        <v>0</v>
      </c>
    </row>
    <row r="1253">
      <c r="A1253" s="1"/>
      <c r="B1253" s="1"/>
      <c r="C1253" s="1"/>
      <c r="D1253" s="1"/>
      <c r="E1253" s="1">
        <f>IFERROR(__xludf.DUMMYFUNCTION("""COMPUTED_VALUE"""),1.0)</f>
        <v>1</v>
      </c>
      <c r="F1253" s="2">
        <f>IFERROR(__xludf.DUMMYFUNCTION("""COMPUTED_VALUE"""),0.0)</f>
        <v>0</v>
      </c>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t="b">
        <f>IFERROR(__xludf.DUMMYFUNCTION("""COMPUTED_VALUE"""),FALSE)</f>
        <v>0</v>
      </c>
    </row>
    <row r="1254">
      <c r="A1254" s="1"/>
      <c r="B1254" s="1"/>
      <c r="C1254" s="1"/>
      <c r="D1254" s="1"/>
      <c r="E1254" s="1">
        <f>IFERROR(__xludf.DUMMYFUNCTION("""COMPUTED_VALUE"""),1.0)</f>
        <v>1</v>
      </c>
      <c r="F1254" s="2">
        <f>IFERROR(__xludf.DUMMYFUNCTION("""COMPUTED_VALUE"""),0.0)</f>
        <v>0</v>
      </c>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t="b">
        <f>IFERROR(__xludf.DUMMYFUNCTION("""COMPUTED_VALUE"""),FALSE)</f>
        <v>0</v>
      </c>
    </row>
    <row r="1255">
      <c r="A1255" s="1"/>
      <c r="B1255" s="1"/>
      <c r="C1255" s="1"/>
      <c r="D1255" s="1"/>
      <c r="E1255" s="1">
        <f>IFERROR(__xludf.DUMMYFUNCTION("""COMPUTED_VALUE"""),1.0)</f>
        <v>1</v>
      </c>
      <c r="F1255" s="2">
        <f>IFERROR(__xludf.DUMMYFUNCTION("""COMPUTED_VALUE"""),0.0)</f>
        <v>0</v>
      </c>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t="b">
        <f>IFERROR(__xludf.DUMMYFUNCTION("""COMPUTED_VALUE"""),FALSE)</f>
        <v>0</v>
      </c>
    </row>
    <row r="1256">
      <c r="A1256" s="1"/>
      <c r="B1256" s="1"/>
      <c r="C1256" s="1"/>
      <c r="D1256" s="1"/>
      <c r="E1256" s="1">
        <f>IFERROR(__xludf.DUMMYFUNCTION("""COMPUTED_VALUE"""),1.0)</f>
        <v>1</v>
      </c>
      <c r="F1256" s="2">
        <f>IFERROR(__xludf.DUMMYFUNCTION("""COMPUTED_VALUE"""),0.0)</f>
        <v>0</v>
      </c>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t="b">
        <f>IFERROR(__xludf.DUMMYFUNCTION("""COMPUTED_VALUE"""),FALSE)</f>
        <v>0</v>
      </c>
    </row>
    <row r="1257">
      <c r="A1257" s="1"/>
      <c r="B1257" s="1"/>
      <c r="C1257" s="1"/>
      <c r="D1257" s="1"/>
      <c r="E1257" s="1">
        <f>IFERROR(__xludf.DUMMYFUNCTION("""COMPUTED_VALUE"""),1.0)</f>
        <v>1</v>
      </c>
      <c r="F1257" s="2">
        <f>IFERROR(__xludf.DUMMYFUNCTION("""COMPUTED_VALUE"""),0.0)</f>
        <v>0</v>
      </c>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t="b">
        <f>IFERROR(__xludf.DUMMYFUNCTION("""COMPUTED_VALUE"""),FALSE)</f>
        <v>0</v>
      </c>
    </row>
    <row r="1258">
      <c r="A1258" s="1"/>
      <c r="B1258" s="1"/>
      <c r="C1258" s="1"/>
      <c r="D1258" s="1"/>
      <c r="E1258" s="1">
        <f>IFERROR(__xludf.DUMMYFUNCTION("""COMPUTED_VALUE"""),1.0)</f>
        <v>1</v>
      </c>
      <c r="F1258" s="2">
        <f>IFERROR(__xludf.DUMMYFUNCTION("""COMPUTED_VALUE"""),0.0)</f>
        <v>0</v>
      </c>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t="b">
        <f>IFERROR(__xludf.DUMMYFUNCTION("""COMPUTED_VALUE"""),FALSE)</f>
        <v>0</v>
      </c>
    </row>
    <row r="1259">
      <c r="A1259" s="1"/>
      <c r="B1259" s="1"/>
      <c r="C1259" s="1"/>
      <c r="D1259" s="1"/>
      <c r="E1259" s="1">
        <f>IFERROR(__xludf.DUMMYFUNCTION("""COMPUTED_VALUE"""),1.0)</f>
        <v>1</v>
      </c>
      <c r="F1259" s="2">
        <f>IFERROR(__xludf.DUMMYFUNCTION("""COMPUTED_VALUE"""),0.0)</f>
        <v>0</v>
      </c>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t="b">
        <f>IFERROR(__xludf.DUMMYFUNCTION("""COMPUTED_VALUE"""),FALSE)</f>
        <v>0</v>
      </c>
    </row>
    <row r="1260">
      <c r="A1260" s="1"/>
      <c r="B1260" s="1"/>
      <c r="C1260" s="1"/>
      <c r="D1260" s="1"/>
      <c r="E1260" s="1">
        <f>IFERROR(__xludf.DUMMYFUNCTION("""COMPUTED_VALUE"""),1.0)</f>
        <v>1</v>
      </c>
      <c r="F1260" s="2">
        <f>IFERROR(__xludf.DUMMYFUNCTION("""COMPUTED_VALUE"""),0.0)</f>
        <v>0</v>
      </c>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t="b">
        <f>IFERROR(__xludf.DUMMYFUNCTION("""COMPUTED_VALUE"""),FALSE)</f>
        <v>0</v>
      </c>
    </row>
    <row r="1261">
      <c r="A1261" s="1"/>
      <c r="B1261" s="1"/>
      <c r="C1261" s="1"/>
      <c r="D1261" s="1"/>
      <c r="E1261" s="1">
        <f>IFERROR(__xludf.DUMMYFUNCTION("""COMPUTED_VALUE"""),1.0)</f>
        <v>1</v>
      </c>
      <c r="F1261" s="2">
        <f>IFERROR(__xludf.DUMMYFUNCTION("""COMPUTED_VALUE"""),0.0)</f>
        <v>0</v>
      </c>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t="b">
        <f>IFERROR(__xludf.DUMMYFUNCTION("""COMPUTED_VALUE"""),FALSE)</f>
        <v>0</v>
      </c>
    </row>
    <row r="1262">
      <c r="A1262" s="1"/>
      <c r="B1262" s="1"/>
      <c r="C1262" s="1"/>
      <c r="D1262" s="1"/>
      <c r="E1262" s="1">
        <f>IFERROR(__xludf.DUMMYFUNCTION("""COMPUTED_VALUE"""),1.0)</f>
        <v>1</v>
      </c>
      <c r="F1262" s="2">
        <f>IFERROR(__xludf.DUMMYFUNCTION("""COMPUTED_VALUE"""),0.0)</f>
        <v>0</v>
      </c>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t="b">
        <f>IFERROR(__xludf.DUMMYFUNCTION("""COMPUTED_VALUE"""),FALSE)</f>
        <v>0</v>
      </c>
    </row>
    <row r="1263">
      <c r="A1263" s="1"/>
      <c r="B1263" s="1"/>
      <c r="C1263" s="1"/>
      <c r="D1263" s="1"/>
      <c r="E1263" s="1">
        <f>IFERROR(__xludf.DUMMYFUNCTION("""COMPUTED_VALUE"""),1.0)</f>
        <v>1</v>
      </c>
      <c r="F1263" s="2">
        <f>IFERROR(__xludf.DUMMYFUNCTION("""COMPUTED_VALUE"""),0.0)</f>
        <v>0</v>
      </c>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t="b">
        <f>IFERROR(__xludf.DUMMYFUNCTION("""COMPUTED_VALUE"""),FALSE)</f>
        <v>0</v>
      </c>
    </row>
    <row r="1264">
      <c r="A1264" s="1"/>
      <c r="B1264" s="1"/>
      <c r="C1264" s="1"/>
      <c r="D1264" s="1"/>
      <c r="E1264" s="1">
        <f>IFERROR(__xludf.DUMMYFUNCTION("""COMPUTED_VALUE"""),1.0)</f>
        <v>1</v>
      </c>
      <c r="F1264" s="2">
        <f>IFERROR(__xludf.DUMMYFUNCTION("""COMPUTED_VALUE"""),0.0)</f>
        <v>0</v>
      </c>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t="b">
        <f>IFERROR(__xludf.DUMMYFUNCTION("""COMPUTED_VALUE"""),FALSE)</f>
        <v>0</v>
      </c>
    </row>
    <row r="1265">
      <c r="A1265" s="1"/>
      <c r="B1265" s="1"/>
      <c r="C1265" s="1"/>
      <c r="D1265" s="1"/>
      <c r="E1265" s="1">
        <f>IFERROR(__xludf.DUMMYFUNCTION("""COMPUTED_VALUE"""),1.0)</f>
        <v>1</v>
      </c>
      <c r="F1265" s="2">
        <f>IFERROR(__xludf.DUMMYFUNCTION("""COMPUTED_VALUE"""),0.0)</f>
        <v>0</v>
      </c>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t="b">
        <f>IFERROR(__xludf.DUMMYFUNCTION("""COMPUTED_VALUE"""),FALSE)</f>
        <v>0</v>
      </c>
    </row>
    <row r="1266">
      <c r="A1266" s="1"/>
      <c r="B1266" s="1"/>
      <c r="C1266" s="1"/>
      <c r="D1266" s="1"/>
      <c r="E1266" s="1">
        <f>IFERROR(__xludf.DUMMYFUNCTION("""COMPUTED_VALUE"""),1.0)</f>
        <v>1</v>
      </c>
      <c r="F1266" s="2">
        <f>IFERROR(__xludf.DUMMYFUNCTION("""COMPUTED_VALUE"""),0.0)</f>
        <v>0</v>
      </c>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t="b">
        <f>IFERROR(__xludf.DUMMYFUNCTION("""COMPUTED_VALUE"""),FALSE)</f>
        <v>0</v>
      </c>
    </row>
    <row r="1267">
      <c r="A1267" s="1"/>
      <c r="B1267" s="1"/>
      <c r="C1267" s="1"/>
      <c r="D1267" s="1"/>
      <c r="E1267" s="1">
        <f>IFERROR(__xludf.DUMMYFUNCTION("""COMPUTED_VALUE"""),1.0)</f>
        <v>1</v>
      </c>
      <c r="F1267" s="2">
        <f>IFERROR(__xludf.DUMMYFUNCTION("""COMPUTED_VALUE"""),0.0)</f>
        <v>0</v>
      </c>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t="b">
        <f>IFERROR(__xludf.DUMMYFUNCTION("""COMPUTED_VALUE"""),FALSE)</f>
        <v>0</v>
      </c>
    </row>
    <row r="1268">
      <c r="A1268" s="1"/>
      <c r="B1268" s="1"/>
      <c r="C1268" s="1"/>
      <c r="D1268" s="1"/>
      <c r="E1268" s="1">
        <f>IFERROR(__xludf.DUMMYFUNCTION("""COMPUTED_VALUE"""),1.0)</f>
        <v>1</v>
      </c>
      <c r="F1268" s="2">
        <f>IFERROR(__xludf.DUMMYFUNCTION("""COMPUTED_VALUE"""),0.0)</f>
        <v>0</v>
      </c>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t="b">
        <f>IFERROR(__xludf.DUMMYFUNCTION("""COMPUTED_VALUE"""),FALSE)</f>
        <v>0</v>
      </c>
    </row>
    <row r="1269">
      <c r="A1269" s="1"/>
      <c r="B1269" s="1"/>
      <c r="C1269" s="1"/>
      <c r="D1269" s="1"/>
      <c r="E1269" s="1">
        <f>IFERROR(__xludf.DUMMYFUNCTION("""COMPUTED_VALUE"""),1.0)</f>
        <v>1</v>
      </c>
      <c r="F1269" s="2">
        <f>IFERROR(__xludf.DUMMYFUNCTION("""COMPUTED_VALUE"""),0.0)</f>
        <v>0</v>
      </c>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t="b">
        <f>IFERROR(__xludf.DUMMYFUNCTION("""COMPUTED_VALUE"""),FALSE)</f>
        <v>0</v>
      </c>
    </row>
    <row r="1270">
      <c r="A1270" s="1"/>
      <c r="B1270" s="1"/>
      <c r="C1270" s="1"/>
      <c r="D1270" s="1"/>
      <c r="E1270" s="1">
        <f>IFERROR(__xludf.DUMMYFUNCTION("""COMPUTED_VALUE"""),1.0)</f>
        <v>1</v>
      </c>
      <c r="F1270" s="2">
        <f>IFERROR(__xludf.DUMMYFUNCTION("""COMPUTED_VALUE"""),0.0)</f>
        <v>0</v>
      </c>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t="b">
        <f>IFERROR(__xludf.DUMMYFUNCTION("""COMPUTED_VALUE"""),FALSE)</f>
        <v>0</v>
      </c>
    </row>
    <row r="1271">
      <c r="A1271" s="1"/>
      <c r="B1271" s="1"/>
      <c r="C1271" s="1"/>
      <c r="D1271" s="1"/>
      <c r="E1271" s="1">
        <f>IFERROR(__xludf.DUMMYFUNCTION("""COMPUTED_VALUE"""),1.0)</f>
        <v>1</v>
      </c>
      <c r="F1271" s="2">
        <f>IFERROR(__xludf.DUMMYFUNCTION("""COMPUTED_VALUE"""),0.0)</f>
        <v>0</v>
      </c>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t="b">
        <f>IFERROR(__xludf.DUMMYFUNCTION("""COMPUTED_VALUE"""),FALSE)</f>
        <v>0</v>
      </c>
    </row>
    <row r="1272">
      <c r="A1272" s="1"/>
      <c r="B1272" s="1"/>
      <c r="C1272" s="1"/>
      <c r="D1272" s="1"/>
      <c r="E1272" s="1">
        <f>IFERROR(__xludf.DUMMYFUNCTION("""COMPUTED_VALUE"""),1.0)</f>
        <v>1</v>
      </c>
      <c r="F1272" s="2">
        <f>IFERROR(__xludf.DUMMYFUNCTION("""COMPUTED_VALUE"""),0.0)</f>
        <v>0</v>
      </c>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t="b">
        <f>IFERROR(__xludf.DUMMYFUNCTION("""COMPUTED_VALUE"""),FALSE)</f>
        <v>0</v>
      </c>
    </row>
    <row r="1273">
      <c r="A1273" s="1"/>
      <c r="B1273" s="1"/>
      <c r="C1273" s="1"/>
      <c r="D1273" s="1"/>
      <c r="E1273" s="1">
        <f>IFERROR(__xludf.DUMMYFUNCTION("""COMPUTED_VALUE"""),1.0)</f>
        <v>1</v>
      </c>
      <c r="F1273" s="2">
        <f>IFERROR(__xludf.DUMMYFUNCTION("""COMPUTED_VALUE"""),0.0)</f>
        <v>0</v>
      </c>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t="b">
        <f>IFERROR(__xludf.DUMMYFUNCTION("""COMPUTED_VALUE"""),FALSE)</f>
        <v>0</v>
      </c>
    </row>
    <row r="1274">
      <c r="A1274" s="1"/>
      <c r="B1274" s="1"/>
      <c r="C1274" s="1"/>
      <c r="D1274" s="1"/>
      <c r="E1274" s="1">
        <f>IFERROR(__xludf.DUMMYFUNCTION("""COMPUTED_VALUE"""),1.0)</f>
        <v>1</v>
      </c>
      <c r="F1274" s="2">
        <f>IFERROR(__xludf.DUMMYFUNCTION("""COMPUTED_VALUE"""),0.0)</f>
        <v>0</v>
      </c>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t="b">
        <f>IFERROR(__xludf.DUMMYFUNCTION("""COMPUTED_VALUE"""),FALSE)</f>
        <v>0</v>
      </c>
    </row>
    <row r="1275">
      <c r="A1275" s="1"/>
      <c r="B1275" s="1"/>
      <c r="C1275" s="1"/>
      <c r="D1275" s="1"/>
      <c r="E1275" s="1">
        <f>IFERROR(__xludf.DUMMYFUNCTION("""COMPUTED_VALUE"""),1.0)</f>
        <v>1</v>
      </c>
      <c r="F1275" s="2">
        <f>IFERROR(__xludf.DUMMYFUNCTION("""COMPUTED_VALUE"""),0.0)</f>
        <v>0</v>
      </c>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t="b">
        <f>IFERROR(__xludf.DUMMYFUNCTION("""COMPUTED_VALUE"""),FALSE)</f>
        <v>0</v>
      </c>
    </row>
    <row r="1276">
      <c r="A1276" s="1"/>
      <c r="B1276" s="1"/>
      <c r="C1276" s="1"/>
      <c r="D1276" s="1"/>
      <c r="E1276" s="1">
        <f>IFERROR(__xludf.DUMMYFUNCTION("""COMPUTED_VALUE"""),1.0)</f>
        <v>1</v>
      </c>
      <c r="F1276" s="2">
        <f>IFERROR(__xludf.DUMMYFUNCTION("""COMPUTED_VALUE"""),0.0)</f>
        <v>0</v>
      </c>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t="b">
        <f>IFERROR(__xludf.DUMMYFUNCTION("""COMPUTED_VALUE"""),FALSE)</f>
        <v>0</v>
      </c>
    </row>
    <row r="1277">
      <c r="A1277" s="1"/>
      <c r="B1277" s="1"/>
      <c r="C1277" s="1"/>
      <c r="D1277" s="1"/>
      <c r="E1277" s="1">
        <f>IFERROR(__xludf.DUMMYFUNCTION("""COMPUTED_VALUE"""),1.0)</f>
        <v>1</v>
      </c>
      <c r="F1277" s="2">
        <f>IFERROR(__xludf.DUMMYFUNCTION("""COMPUTED_VALUE"""),0.0)</f>
        <v>0</v>
      </c>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t="b">
        <f>IFERROR(__xludf.DUMMYFUNCTION("""COMPUTED_VALUE"""),FALSE)</f>
        <v>0</v>
      </c>
    </row>
    <row r="1278">
      <c r="A1278" s="1"/>
      <c r="B1278" s="1"/>
      <c r="C1278" s="1"/>
      <c r="D1278" s="1"/>
      <c r="E1278" s="1">
        <f>IFERROR(__xludf.DUMMYFUNCTION("""COMPUTED_VALUE"""),1.0)</f>
        <v>1</v>
      </c>
      <c r="F1278" s="2">
        <f>IFERROR(__xludf.DUMMYFUNCTION("""COMPUTED_VALUE"""),0.0)</f>
        <v>0</v>
      </c>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t="b">
        <f>IFERROR(__xludf.DUMMYFUNCTION("""COMPUTED_VALUE"""),FALSE)</f>
        <v>0</v>
      </c>
    </row>
    <row r="1279">
      <c r="A1279" s="1"/>
      <c r="B1279" s="1"/>
      <c r="C1279" s="1"/>
      <c r="D1279" s="1"/>
      <c r="E1279" s="1">
        <f>IFERROR(__xludf.DUMMYFUNCTION("""COMPUTED_VALUE"""),1.0)</f>
        <v>1</v>
      </c>
      <c r="F1279" s="2">
        <f>IFERROR(__xludf.DUMMYFUNCTION("""COMPUTED_VALUE"""),0.0)</f>
        <v>0</v>
      </c>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t="b">
        <f>IFERROR(__xludf.DUMMYFUNCTION("""COMPUTED_VALUE"""),FALSE)</f>
        <v>0</v>
      </c>
    </row>
    <row r="1280">
      <c r="A1280" s="1"/>
      <c r="B1280" s="1"/>
      <c r="C1280" s="1"/>
      <c r="D1280" s="1"/>
      <c r="E1280" s="1">
        <f>IFERROR(__xludf.DUMMYFUNCTION("""COMPUTED_VALUE"""),1.0)</f>
        <v>1</v>
      </c>
      <c r="F1280" s="2">
        <f>IFERROR(__xludf.DUMMYFUNCTION("""COMPUTED_VALUE"""),0.0)</f>
        <v>0</v>
      </c>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t="b">
        <f>IFERROR(__xludf.DUMMYFUNCTION("""COMPUTED_VALUE"""),FALSE)</f>
        <v>0</v>
      </c>
    </row>
    <row r="1281">
      <c r="A1281" s="1"/>
      <c r="B1281" s="1"/>
      <c r="C1281" s="1"/>
      <c r="D1281" s="1"/>
      <c r="E1281" s="1">
        <f>IFERROR(__xludf.DUMMYFUNCTION("""COMPUTED_VALUE"""),1.0)</f>
        <v>1</v>
      </c>
      <c r="F1281" s="2">
        <f>IFERROR(__xludf.DUMMYFUNCTION("""COMPUTED_VALUE"""),0.0)</f>
        <v>0</v>
      </c>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t="b">
        <f>IFERROR(__xludf.DUMMYFUNCTION("""COMPUTED_VALUE"""),FALSE)</f>
        <v>0</v>
      </c>
    </row>
    <row r="1282">
      <c r="A1282" s="1"/>
      <c r="B1282" s="1"/>
      <c r="C1282" s="1"/>
      <c r="D1282" s="1"/>
      <c r="E1282" s="1">
        <f>IFERROR(__xludf.DUMMYFUNCTION("""COMPUTED_VALUE"""),1.0)</f>
        <v>1</v>
      </c>
      <c r="F1282" s="2">
        <f>IFERROR(__xludf.DUMMYFUNCTION("""COMPUTED_VALUE"""),0.0)</f>
        <v>0</v>
      </c>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t="b">
        <f>IFERROR(__xludf.DUMMYFUNCTION("""COMPUTED_VALUE"""),FALSE)</f>
        <v>0</v>
      </c>
    </row>
    <row r="1283">
      <c r="A1283" s="1"/>
      <c r="B1283" s="1"/>
      <c r="C1283" s="1"/>
      <c r="D1283" s="1"/>
      <c r="E1283" s="1">
        <f>IFERROR(__xludf.DUMMYFUNCTION("""COMPUTED_VALUE"""),1.0)</f>
        <v>1</v>
      </c>
      <c r="F1283" s="2">
        <f>IFERROR(__xludf.DUMMYFUNCTION("""COMPUTED_VALUE"""),0.0)</f>
        <v>0</v>
      </c>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t="b">
        <f>IFERROR(__xludf.DUMMYFUNCTION("""COMPUTED_VALUE"""),FALSE)</f>
        <v>0</v>
      </c>
    </row>
    <row r="1284">
      <c r="A1284" s="1"/>
      <c r="B1284" s="1"/>
      <c r="C1284" s="1"/>
      <c r="D1284" s="1"/>
      <c r="E1284" s="1">
        <f>IFERROR(__xludf.DUMMYFUNCTION("""COMPUTED_VALUE"""),1.0)</f>
        <v>1</v>
      </c>
      <c r="F1284" s="2">
        <f>IFERROR(__xludf.DUMMYFUNCTION("""COMPUTED_VALUE"""),0.0)</f>
        <v>0</v>
      </c>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t="b">
        <f>IFERROR(__xludf.DUMMYFUNCTION("""COMPUTED_VALUE"""),FALSE)</f>
        <v>0</v>
      </c>
    </row>
    <row r="1285">
      <c r="A1285" s="1"/>
      <c r="B1285" s="1"/>
      <c r="C1285" s="1"/>
      <c r="D1285" s="1"/>
      <c r="E1285" s="1">
        <f>IFERROR(__xludf.DUMMYFUNCTION("""COMPUTED_VALUE"""),1.0)</f>
        <v>1</v>
      </c>
      <c r="F1285" s="2">
        <f>IFERROR(__xludf.DUMMYFUNCTION("""COMPUTED_VALUE"""),0.0)</f>
        <v>0</v>
      </c>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t="b">
        <f>IFERROR(__xludf.DUMMYFUNCTION("""COMPUTED_VALUE"""),FALSE)</f>
        <v>0</v>
      </c>
    </row>
    <row r="1286">
      <c r="A1286" s="1"/>
      <c r="B1286" s="1"/>
      <c r="C1286" s="1"/>
      <c r="D1286" s="1"/>
      <c r="E1286" s="1">
        <f>IFERROR(__xludf.DUMMYFUNCTION("""COMPUTED_VALUE"""),1.0)</f>
        <v>1</v>
      </c>
      <c r="F1286" s="2">
        <f>IFERROR(__xludf.DUMMYFUNCTION("""COMPUTED_VALUE"""),0.0)</f>
        <v>0</v>
      </c>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t="b">
        <f>IFERROR(__xludf.DUMMYFUNCTION("""COMPUTED_VALUE"""),FALSE)</f>
        <v>0</v>
      </c>
    </row>
    <row r="1287">
      <c r="A1287" s="1"/>
      <c r="B1287" s="1"/>
      <c r="C1287" s="1"/>
      <c r="D1287" s="1"/>
      <c r="E1287" s="1">
        <f>IFERROR(__xludf.DUMMYFUNCTION("""COMPUTED_VALUE"""),1.0)</f>
        <v>1</v>
      </c>
      <c r="F1287" s="2">
        <f>IFERROR(__xludf.DUMMYFUNCTION("""COMPUTED_VALUE"""),0.0)</f>
        <v>0</v>
      </c>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t="b">
        <f>IFERROR(__xludf.DUMMYFUNCTION("""COMPUTED_VALUE"""),FALSE)</f>
        <v>0</v>
      </c>
    </row>
    <row r="1288">
      <c r="A1288" s="1"/>
      <c r="B1288" s="1"/>
      <c r="C1288" s="1"/>
      <c r="D1288" s="1"/>
      <c r="E1288" s="1">
        <f>IFERROR(__xludf.DUMMYFUNCTION("""COMPUTED_VALUE"""),1.0)</f>
        <v>1</v>
      </c>
      <c r="F1288" s="2">
        <f>IFERROR(__xludf.DUMMYFUNCTION("""COMPUTED_VALUE"""),0.0)</f>
        <v>0</v>
      </c>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t="b">
        <f>IFERROR(__xludf.DUMMYFUNCTION("""COMPUTED_VALUE"""),FALSE)</f>
        <v>0</v>
      </c>
    </row>
    <row r="1289">
      <c r="A1289" s="1"/>
      <c r="B1289" s="1"/>
      <c r="C1289" s="1"/>
      <c r="D1289" s="1"/>
      <c r="E1289" s="1">
        <f>IFERROR(__xludf.DUMMYFUNCTION("""COMPUTED_VALUE"""),1.0)</f>
        <v>1</v>
      </c>
      <c r="F1289" s="2">
        <f>IFERROR(__xludf.DUMMYFUNCTION("""COMPUTED_VALUE"""),0.0)</f>
        <v>0</v>
      </c>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t="b">
        <f>IFERROR(__xludf.DUMMYFUNCTION("""COMPUTED_VALUE"""),FALSE)</f>
        <v>0</v>
      </c>
    </row>
    <row r="1290">
      <c r="A1290" s="1"/>
      <c r="B1290" s="1"/>
      <c r="C1290" s="1"/>
      <c r="D1290" s="1"/>
      <c r="E1290" s="1">
        <f>IFERROR(__xludf.DUMMYFUNCTION("""COMPUTED_VALUE"""),1.0)</f>
        <v>1</v>
      </c>
      <c r="F1290" s="2">
        <f>IFERROR(__xludf.DUMMYFUNCTION("""COMPUTED_VALUE"""),0.0)</f>
        <v>0</v>
      </c>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t="b">
        <f>IFERROR(__xludf.DUMMYFUNCTION("""COMPUTED_VALUE"""),FALSE)</f>
        <v>0</v>
      </c>
    </row>
    <row r="1291">
      <c r="A1291" s="1"/>
      <c r="B1291" s="1"/>
      <c r="C1291" s="1"/>
      <c r="D1291" s="1"/>
      <c r="E1291" s="1">
        <f>IFERROR(__xludf.DUMMYFUNCTION("""COMPUTED_VALUE"""),1.0)</f>
        <v>1</v>
      </c>
      <c r="F1291" s="2">
        <f>IFERROR(__xludf.DUMMYFUNCTION("""COMPUTED_VALUE"""),0.0)</f>
        <v>0</v>
      </c>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t="b">
        <f>IFERROR(__xludf.DUMMYFUNCTION("""COMPUTED_VALUE"""),FALSE)</f>
        <v>0</v>
      </c>
    </row>
    <row r="1292">
      <c r="A1292" s="1"/>
      <c r="B1292" s="1"/>
      <c r="C1292" s="1"/>
      <c r="D1292" s="1"/>
      <c r="E1292" s="1">
        <f>IFERROR(__xludf.DUMMYFUNCTION("""COMPUTED_VALUE"""),1.0)</f>
        <v>1</v>
      </c>
      <c r="F1292" s="2">
        <f>IFERROR(__xludf.DUMMYFUNCTION("""COMPUTED_VALUE"""),0.0)</f>
        <v>0</v>
      </c>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t="b">
        <f>IFERROR(__xludf.DUMMYFUNCTION("""COMPUTED_VALUE"""),FALSE)</f>
        <v>0</v>
      </c>
    </row>
    <row r="1293">
      <c r="A1293" s="1"/>
      <c r="B1293" s="1"/>
      <c r="C1293" s="1"/>
      <c r="D1293" s="1"/>
      <c r="E1293" s="1">
        <f>IFERROR(__xludf.DUMMYFUNCTION("""COMPUTED_VALUE"""),1.0)</f>
        <v>1</v>
      </c>
      <c r="F1293" s="2">
        <f>IFERROR(__xludf.DUMMYFUNCTION("""COMPUTED_VALUE"""),0.0)</f>
        <v>0</v>
      </c>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t="b">
        <f>IFERROR(__xludf.DUMMYFUNCTION("""COMPUTED_VALUE"""),FALSE)</f>
        <v>0</v>
      </c>
    </row>
    <row r="1294">
      <c r="A1294" s="1"/>
      <c r="B1294" s="1"/>
      <c r="C1294" s="1"/>
      <c r="D1294" s="1"/>
      <c r="E1294" s="1">
        <f>IFERROR(__xludf.DUMMYFUNCTION("""COMPUTED_VALUE"""),1.0)</f>
        <v>1</v>
      </c>
      <c r="F1294" s="2">
        <f>IFERROR(__xludf.DUMMYFUNCTION("""COMPUTED_VALUE"""),0.0)</f>
        <v>0</v>
      </c>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t="b">
        <f>IFERROR(__xludf.DUMMYFUNCTION("""COMPUTED_VALUE"""),FALSE)</f>
        <v>0</v>
      </c>
    </row>
    <row r="1295">
      <c r="A1295" s="1"/>
      <c r="B1295" s="1"/>
      <c r="C1295" s="1"/>
      <c r="D1295" s="1"/>
      <c r="E1295" s="1">
        <f>IFERROR(__xludf.DUMMYFUNCTION("""COMPUTED_VALUE"""),1.0)</f>
        <v>1</v>
      </c>
      <c r="F1295" s="2">
        <f>IFERROR(__xludf.DUMMYFUNCTION("""COMPUTED_VALUE"""),0.0)</f>
        <v>0</v>
      </c>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t="b">
        <f>IFERROR(__xludf.DUMMYFUNCTION("""COMPUTED_VALUE"""),FALSE)</f>
        <v>0</v>
      </c>
    </row>
    <row r="1296">
      <c r="A1296" s="1"/>
      <c r="B1296" s="1"/>
      <c r="C1296" s="1"/>
      <c r="D1296" s="1"/>
      <c r="E1296" s="1">
        <f>IFERROR(__xludf.DUMMYFUNCTION("""COMPUTED_VALUE"""),1.0)</f>
        <v>1</v>
      </c>
      <c r="F1296" s="2">
        <f>IFERROR(__xludf.DUMMYFUNCTION("""COMPUTED_VALUE"""),0.0)</f>
        <v>0</v>
      </c>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t="b">
        <f>IFERROR(__xludf.DUMMYFUNCTION("""COMPUTED_VALUE"""),FALSE)</f>
        <v>0</v>
      </c>
    </row>
    <row r="1297">
      <c r="A1297" s="1"/>
      <c r="B1297" s="1"/>
      <c r="C1297" s="1"/>
      <c r="D1297" s="1"/>
      <c r="E1297" s="1">
        <f>IFERROR(__xludf.DUMMYFUNCTION("""COMPUTED_VALUE"""),1.0)</f>
        <v>1</v>
      </c>
      <c r="F1297" s="2">
        <f>IFERROR(__xludf.DUMMYFUNCTION("""COMPUTED_VALUE"""),0.0)</f>
        <v>0</v>
      </c>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t="b">
        <f>IFERROR(__xludf.DUMMYFUNCTION("""COMPUTED_VALUE"""),FALSE)</f>
        <v>0</v>
      </c>
    </row>
    <row r="1298">
      <c r="A1298" s="1"/>
      <c r="B1298" s="1"/>
      <c r="C1298" s="1"/>
      <c r="D1298" s="1"/>
      <c r="E1298" s="1">
        <f>IFERROR(__xludf.DUMMYFUNCTION("""COMPUTED_VALUE"""),1.0)</f>
        <v>1</v>
      </c>
      <c r="F1298" s="2">
        <f>IFERROR(__xludf.DUMMYFUNCTION("""COMPUTED_VALUE"""),0.0)</f>
        <v>0</v>
      </c>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t="b">
        <f>IFERROR(__xludf.DUMMYFUNCTION("""COMPUTED_VALUE"""),FALSE)</f>
        <v>0</v>
      </c>
    </row>
    <row r="1299">
      <c r="A1299" s="1"/>
      <c r="B1299" s="1"/>
      <c r="C1299" s="1"/>
      <c r="D1299" s="1"/>
      <c r="E1299" s="1">
        <f>IFERROR(__xludf.DUMMYFUNCTION("""COMPUTED_VALUE"""),1.0)</f>
        <v>1</v>
      </c>
      <c r="F1299" s="2">
        <f>IFERROR(__xludf.DUMMYFUNCTION("""COMPUTED_VALUE"""),0.0)</f>
        <v>0</v>
      </c>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t="b">
        <f>IFERROR(__xludf.DUMMYFUNCTION("""COMPUTED_VALUE"""),FALSE)</f>
        <v>0</v>
      </c>
    </row>
    <row r="1300">
      <c r="A1300" s="1"/>
      <c r="B1300" s="1"/>
      <c r="C1300" s="1"/>
      <c r="D1300" s="1"/>
      <c r="E1300" s="1">
        <f>IFERROR(__xludf.DUMMYFUNCTION("""COMPUTED_VALUE"""),1.0)</f>
        <v>1</v>
      </c>
      <c r="F1300" s="2">
        <f>IFERROR(__xludf.DUMMYFUNCTION("""COMPUTED_VALUE"""),0.0)</f>
        <v>0</v>
      </c>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t="b">
        <f>IFERROR(__xludf.DUMMYFUNCTION("""COMPUTED_VALUE"""),FALSE)</f>
        <v>0</v>
      </c>
    </row>
    <row r="1301">
      <c r="A1301" s="1"/>
      <c r="B1301" s="1"/>
      <c r="C1301" s="1"/>
      <c r="D1301" s="1"/>
      <c r="E1301" s="1">
        <f>IFERROR(__xludf.DUMMYFUNCTION("""COMPUTED_VALUE"""),1.0)</f>
        <v>1</v>
      </c>
      <c r="F1301" s="2">
        <f>IFERROR(__xludf.DUMMYFUNCTION("""COMPUTED_VALUE"""),0.0)</f>
        <v>0</v>
      </c>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t="b">
        <f>IFERROR(__xludf.DUMMYFUNCTION("""COMPUTED_VALUE"""),FALSE)</f>
        <v>0</v>
      </c>
    </row>
    <row r="1302">
      <c r="A1302" s="1"/>
      <c r="B1302" s="1"/>
      <c r="C1302" s="1"/>
      <c r="D1302" s="1"/>
      <c r="E1302" s="1">
        <f>IFERROR(__xludf.DUMMYFUNCTION("""COMPUTED_VALUE"""),1.0)</f>
        <v>1</v>
      </c>
      <c r="F1302" s="2">
        <f>IFERROR(__xludf.DUMMYFUNCTION("""COMPUTED_VALUE"""),0.0)</f>
        <v>0</v>
      </c>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t="b">
        <f>IFERROR(__xludf.DUMMYFUNCTION("""COMPUTED_VALUE"""),FALSE)</f>
        <v>0</v>
      </c>
    </row>
    <row r="1303">
      <c r="A1303" s="1"/>
      <c r="B1303" s="1"/>
      <c r="C1303" s="1"/>
      <c r="D1303" s="1"/>
      <c r="E1303" s="1">
        <f>IFERROR(__xludf.DUMMYFUNCTION("""COMPUTED_VALUE"""),1.0)</f>
        <v>1</v>
      </c>
      <c r="F1303" s="2">
        <f>IFERROR(__xludf.DUMMYFUNCTION("""COMPUTED_VALUE"""),0.0)</f>
        <v>0</v>
      </c>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t="b">
        <f>IFERROR(__xludf.DUMMYFUNCTION("""COMPUTED_VALUE"""),FALSE)</f>
        <v>0</v>
      </c>
    </row>
    <row r="1304">
      <c r="A1304" s="1"/>
      <c r="B1304" s="1"/>
      <c r="C1304" s="1"/>
      <c r="D1304" s="1"/>
      <c r="E1304" s="1">
        <f>IFERROR(__xludf.DUMMYFUNCTION("""COMPUTED_VALUE"""),1.0)</f>
        <v>1</v>
      </c>
      <c r="F1304" s="2">
        <f>IFERROR(__xludf.DUMMYFUNCTION("""COMPUTED_VALUE"""),0.0)</f>
        <v>0</v>
      </c>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t="b">
        <f>IFERROR(__xludf.DUMMYFUNCTION("""COMPUTED_VALUE"""),FALSE)</f>
        <v>0</v>
      </c>
    </row>
    <row r="1305">
      <c r="A1305" s="1"/>
      <c r="B1305" s="1"/>
      <c r="C1305" s="1"/>
      <c r="D1305" s="1"/>
      <c r="E1305" s="1">
        <f>IFERROR(__xludf.DUMMYFUNCTION("""COMPUTED_VALUE"""),1.0)</f>
        <v>1</v>
      </c>
      <c r="F1305" s="2">
        <f>IFERROR(__xludf.DUMMYFUNCTION("""COMPUTED_VALUE"""),0.0)</f>
        <v>0</v>
      </c>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t="b">
        <f>IFERROR(__xludf.DUMMYFUNCTION("""COMPUTED_VALUE"""),FALSE)</f>
        <v>0</v>
      </c>
    </row>
    <row r="1306">
      <c r="A1306" s="1"/>
      <c r="B1306" s="1"/>
      <c r="C1306" s="1"/>
      <c r="D1306" s="1"/>
      <c r="E1306" s="1">
        <f>IFERROR(__xludf.DUMMYFUNCTION("""COMPUTED_VALUE"""),1.0)</f>
        <v>1</v>
      </c>
      <c r="F1306" s="2">
        <f>IFERROR(__xludf.DUMMYFUNCTION("""COMPUTED_VALUE"""),0.0)</f>
        <v>0</v>
      </c>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t="b">
        <f>IFERROR(__xludf.DUMMYFUNCTION("""COMPUTED_VALUE"""),FALSE)</f>
        <v>0</v>
      </c>
    </row>
    <row r="1307">
      <c r="A1307" s="1"/>
      <c r="B1307" s="1"/>
      <c r="C1307" s="1"/>
      <c r="D1307" s="1"/>
      <c r="E1307" s="1">
        <f>IFERROR(__xludf.DUMMYFUNCTION("""COMPUTED_VALUE"""),1.0)</f>
        <v>1</v>
      </c>
      <c r="F1307" s="2">
        <f>IFERROR(__xludf.DUMMYFUNCTION("""COMPUTED_VALUE"""),0.0)</f>
        <v>0</v>
      </c>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t="b">
        <f>IFERROR(__xludf.DUMMYFUNCTION("""COMPUTED_VALUE"""),FALSE)</f>
        <v>0</v>
      </c>
    </row>
    <row r="1308">
      <c r="A1308" s="1"/>
      <c r="B1308" s="1"/>
      <c r="C1308" s="1"/>
      <c r="D1308" s="1"/>
      <c r="E1308" s="1">
        <f>IFERROR(__xludf.DUMMYFUNCTION("""COMPUTED_VALUE"""),1.0)</f>
        <v>1</v>
      </c>
      <c r="F1308" s="2">
        <f>IFERROR(__xludf.DUMMYFUNCTION("""COMPUTED_VALUE"""),0.0)</f>
        <v>0</v>
      </c>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t="b">
        <f>IFERROR(__xludf.DUMMYFUNCTION("""COMPUTED_VALUE"""),FALSE)</f>
        <v>0</v>
      </c>
    </row>
    <row r="1309">
      <c r="A1309" s="1"/>
      <c r="B1309" s="1"/>
      <c r="C1309" s="1"/>
      <c r="D1309" s="1"/>
      <c r="E1309" s="1">
        <f>IFERROR(__xludf.DUMMYFUNCTION("""COMPUTED_VALUE"""),1.0)</f>
        <v>1</v>
      </c>
      <c r="F1309" s="2">
        <f>IFERROR(__xludf.DUMMYFUNCTION("""COMPUTED_VALUE"""),0.0)</f>
        <v>0</v>
      </c>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t="b">
        <f>IFERROR(__xludf.DUMMYFUNCTION("""COMPUTED_VALUE"""),FALSE)</f>
        <v>0</v>
      </c>
    </row>
    <row r="1310">
      <c r="A1310" s="1"/>
      <c r="B1310" s="1"/>
      <c r="C1310" s="1"/>
      <c r="D1310" s="1"/>
      <c r="E1310" s="1">
        <f>IFERROR(__xludf.DUMMYFUNCTION("""COMPUTED_VALUE"""),1.0)</f>
        <v>1</v>
      </c>
      <c r="F1310" s="2">
        <f>IFERROR(__xludf.DUMMYFUNCTION("""COMPUTED_VALUE"""),0.0)</f>
        <v>0</v>
      </c>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t="b">
        <f>IFERROR(__xludf.DUMMYFUNCTION("""COMPUTED_VALUE"""),FALSE)</f>
        <v>0</v>
      </c>
    </row>
    <row r="1311">
      <c r="A1311" s="1"/>
      <c r="B1311" s="1"/>
      <c r="C1311" s="1"/>
      <c r="D1311" s="1"/>
      <c r="E1311" s="1">
        <f>IFERROR(__xludf.DUMMYFUNCTION("""COMPUTED_VALUE"""),1.0)</f>
        <v>1</v>
      </c>
      <c r="F1311" s="2">
        <f>IFERROR(__xludf.DUMMYFUNCTION("""COMPUTED_VALUE"""),0.0)</f>
        <v>0</v>
      </c>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t="b">
        <f>IFERROR(__xludf.DUMMYFUNCTION("""COMPUTED_VALUE"""),FALSE)</f>
        <v>0</v>
      </c>
    </row>
    <row r="1312">
      <c r="A1312" s="1"/>
      <c r="B1312" s="1"/>
      <c r="C1312" s="1"/>
      <c r="D1312" s="1"/>
      <c r="E1312" s="1">
        <f>IFERROR(__xludf.DUMMYFUNCTION("""COMPUTED_VALUE"""),1.0)</f>
        <v>1</v>
      </c>
      <c r="F1312" s="2">
        <f>IFERROR(__xludf.DUMMYFUNCTION("""COMPUTED_VALUE"""),0.0)</f>
        <v>0</v>
      </c>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t="b">
        <f>IFERROR(__xludf.DUMMYFUNCTION("""COMPUTED_VALUE"""),FALSE)</f>
        <v>0</v>
      </c>
    </row>
    <row r="1313">
      <c r="A1313" s="1"/>
      <c r="B1313" s="1"/>
      <c r="C1313" s="1"/>
      <c r="D1313" s="1"/>
      <c r="E1313" s="1">
        <f>IFERROR(__xludf.DUMMYFUNCTION("""COMPUTED_VALUE"""),1.0)</f>
        <v>1</v>
      </c>
      <c r="F1313" s="2">
        <f>IFERROR(__xludf.DUMMYFUNCTION("""COMPUTED_VALUE"""),0.0)</f>
        <v>0</v>
      </c>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t="b">
        <f>IFERROR(__xludf.DUMMYFUNCTION("""COMPUTED_VALUE"""),FALSE)</f>
        <v>0</v>
      </c>
    </row>
    <row r="1314">
      <c r="A1314" s="1"/>
      <c r="B1314" s="1"/>
      <c r="C1314" s="1"/>
      <c r="D1314" s="1"/>
      <c r="E1314" s="1">
        <f>IFERROR(__xludf.DUMMYFUNCTION("""COMPUTED_VALUE"""),1.0)</f>
        <v>1</v>
      </c>
      <c r="F1314" s="2">
        <f>IFERROR(__xludf.DUMMYFUNCTION("""COMPUTED_VALUE"""),0.0)</f>
        <v>0</v>
      </c>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t="b">
        <f>IFERROR(__xludf.DUMMYFUNCTION("""COMPUTED_VALUE"""),FALSE)</f>
        <v>0</v>
      </c>
    </row>
    <row r="1315">
      <c r="A1315" s="1"/>
      <c r="B1315" s="1"/>
      <c r="C1315" s="1"/>
      <c r="D1315" s="1"/>
      <c r="E1315" s="1">
        <f>IFERROR(__xludf.DUMMYFUNCTION("""COMPUTED_VALUE"""),1.0)</f>
        <v>1</v>
      </c>
      <c r="F1315" s="2">
        <f>IFERROR(__xludf.DUMMYFUNCTION("""COMPUTED_VALUE"""),0.0)</f>
        <v>0</v>
      </c>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t="b">
        <f>IFERROR(__xludf.DUMMYFUNCTION("""COMPUTED_VALUE"""),FALSE)</f>
        <v>0</v>
      </c>
    </row>
    <row r="1316">
      <c r="A1316" s="1"/>
      <c r="B1316" s="1"/>
      <c r="C1316" s="1"/>
      <c r="D1316" s="1"/>
      <c r="E1316" s="1">
        <f>IFERROR(__xludf.DUMMYFUNCTION("""COMPUTED_VALUE"""),1.0)</f>
        <v>1</v>
      </c>
      <c r="F1316" s="2">
        <f>IFERROR(__xludf.DUMMYFUNCTION("""COMPUTED_VALUE"""),0.0)</f>
        <v>0</v>
      </c>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t="b">
        <f>IFERROR(__xludf.DUMMYFUNCTION("""COMPUTED_VALUE"""),FALSE)</f>
        <v>0</v>
      </c>
    </row>
    <row r="1317">
      <c r="A1317" s="1"/>
      <c r="B1317" s="1"/>
      <c r="C1317" s="1"/>
      <c r="D1317" s="1"/>
      <c r="E1317" s="1">
        <f>IFERROR(__xludf.DUMMYFUNCTION("""COMPUTED_VALUE"""),1.0)</f>
        <v>1</v>
      </c>
      <c r="F1317" s="2">
        <f>IFERROR(__xludf.DUMMYFUNCTION("""COMPUTED_VALUE"""),0.0)</f>
        <v>0</v>
      </c>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t="b">
        <f>IFERROR(__xludf.DUMMYFUNCTION("""COMPUTED_VALUE"""),FALSE)</f>
        <v>0</v>
      </c>
    </row>
    <row r="1318">
      <c r="A1318" s="1"/>
      <c r="B1318" s="1"/>
      <c r="C1318" s="1"/>
      <c r="D1318" s="1"/>
      <c r="E1318" s="1">
        <f>IFERROR(__xludf.DUMMYFUNCTION("""COMPUTED_VALUE"""),1.0)</f>
        <v>1</v>
      </c>
      <c r="F1318" s="2">
        <f>IFERROR(__xludf.DUMMYFUNCTION("""COMPUTED_VALUE"""),0.0)</f>
        <v>0</v>
      </c>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t="b">
        <f>IFERROR(__xludf.DUMMYFUNCTION("""COMPUTED_VALUE"""),FALSE)</f>
        <v>0</v>
      </c>
    </row>
    <row r="1319">
      <c r="A1319" s="1"/>
      <c r="B1319" s="1"/>
      <c r="C1319" s="1"/>
      <c r="D1319" s="1"/>
      <c r="E1319" s="1">
        <f>IFERROR(__xludf.DUMMYFUNCTION("""COMPUTED_VALUE"""),1.0)</f>
        <v>1</v>
      </c>
      <c r="F1319" s="2">
        <f>IFERROR(__xludf.DUMMYFUNCTION("""COMPUTED_VALUE"""),0.0)</f>
        <v>0</v>
      </c>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t="b">
        <f>IFERROR(__xludf.DUMMYFUNCTION("""COMPUTED_VALUE"""),FALSE)</f>
        <v>0</v>
      </c>
    </row>
    <row r="1320">
      <c r="A1320" s="1"/>
      <c r="B1320" s="1"/>
      <c r="C1320" s="1"/>
      <c r="D1320" s="1"/>
      <c r="E1320" s="1">
        <f>IFERROR(__xludf.DUMMYFUNCTION("""COMPUTED_VALUE"""),1.0)</f>
        <v>1</v>
      </c>
      <c r="F1320" s="2">
        <f>IFERROR(__xludf.DUMMYFUNCTION("""COMPUTED_VALUE"""),0.0)</f>
        <v>0</v>
      </c>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t="b">
        <f>IFERROR(__xludf.DUMMYFUNCTION("""COMPUTED_VALUE"""),FALSE)</f>
        <v>0</v>
      </c>
    </row>
    <row r="1321">
      <c r="A1321" s="1"/>
      <c r="B1321" s="1"/>
      <c r="C1321" s="1"/>
      <c r="D1321" s="1"/>
      <c r="E1321" s="1">
        <f>IFERROR(__xludf.DUMMYFUNCTION("""COMPUTED_VALUE"""),1.0)</f>
        <v>1</v>
      </c>
      <c r="F1321" s="2">
        <f>IFERROR(__xludf.DUMMYFUNCTION("""COMPUTED_VALUE"""),0.0)</f>
        <v>0</v>
      </c>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t="b">
        <f>IFERROR(__xludf.DUMMYFUNCTION("""COMPUTED_VALUE"""),FALSE)</f>
        <v>0</v>
      </c>
    </row>
    <row r="1322">
      <c r="A1322" s="1"/>
      <c r="B1322" s="1"/>
      <c r="C1322" s="1"/>
      <c r="D1322" s="1"/>
      <c r="E1322" s="1">
        <f>IFERROR(__xludf.DUMMYFUNCTION("""COMPUTED_VALUE"""),1.0)</f>
        <v>1</v>
      </c>
      <c r="F1322" s="2">
        <f>IFERROR(__xludf.DUMMYFUNCTION("""COMPUTED_VALUE"""),0.0)</f>
        <v>0</v>
      </c>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t="b">
        <f>IFERROR(__xludf.DUMMYFUNCTION("""COMPUTED_VALUE"""),FALSE)</f>
        <v>0</v>
      </c>
    </row>
    <row r="1323">
      <c r="A1323" s="1"/>
      <c r="B1323" s="1"/>
      <c r="C1323" s="1"/>
      <c r="D1323" s="1"/>
      <c r="E1323" s="1">
        <f>IFERROR(__xludf.DUMMYFUNCTION("""COMPUTED_VALUE"""),1.0)</f>
        <v>1</v>
      </c>
      <c r="F1323" s="2">
        <f>IFERROR(__xludf.DUMMYFUNCTION("""COMPUTED_VALUE"""),0.0)</f>
        <v>0</v>
      </c>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t="b">
        <f>IFERROR(__xludf.DUMMYFUNCTION("""COMPUTED_VALUE"""),FALSE)</f>
        <v>0</v>
      </c>
    </row>
    <row r="1324">
      <c r="A1324" s="1"/>
      <c r="B1324" s="1"/>
      <c r="C1324" s="1"/>
      <c r="D1324" s="1"/>
      <c r="E1324" s="1">
        <f>IFERROR(__xludf.DUMMYFUNCTION("""COMPUTED_VALUE"""),1.0)</f>
        <v>1</v>
      </c>
      <c r="F1324" s="2">
        <f>IFERROR(__xludf.DUMMYFUNCTION("""COMPUTED_VALUE"""),0.0)</f>
        <v>0</v>
      </c>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t="b">
        <f>IFERROR(__xludf.DUMMYFUNCTION("""COMPUTED_VALUE"""),FALSE)</f>
        <v>0</v>
      </c>
    </row>
    <row r="1325">
      <c r="A1325" s="1"/>
      <c r="B1325" s="1"/>
      <c r="C1325" s="1"/>
      <c r="D1325" s="1"/>
      <c r="E1325" s="1">
        <f>IFERROR(__xludf.DUMMYFUNCTION("""COMPUTED_VALUE"""),1.0)</f>
        <v>1</v>
      </c>
      <c r="F1325" s="2">
        <f>IFERROR(__xludf.DUMMYFUNCTION("""COMPUTED_VALUE"""),0.0)</f>
        <v>0</v>
      </c>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t="b">
        <f>IFERROR(__xludf.DUMMYFUNCTION("""COMPUTED_VALUE"""),FALSE)</f>
        <v>0</v>
      </c>
    </row>
    <row r="1326">
      <c r="A1326" s="1"/>
      <c r="B1326" s="1"/>
      <c r="C1326" s="1"/>
      <c r="D1326" s="1"/>
      <c r="E1326" s="1">
        <f>IFERROR(__xludf.DUMMYFUNCTION("""COMPUTED_VALUE"""),1.0)</f>
        <v>1</v>
      </c>
      <c r="F1326" s="2">
        <f>IFERROR(__xludf.DUMMYFUNCTION("""COMPUTED_VALUE"""),0.0)</f>
        <v>0</v>
      </c>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t="b">
        <f>IFERROR(__xludf.DUMMYFUNCTION("""COMPUTED_VALUE"""),FALSE)</f>
        <v>0</v>
      </c>
    </row>
    <row r="1327">
      <c r="A1327" s="1"/>
      <c r="B1327" s="1"/>
      <c r="C1327" s="1"/>
      <c r="D1327" s="1"/>
      <c r="E1327" s="1">
        <f>IFERROR(__xludf.DUMMYFUNCTION("""COMPUTED_VALUE"""),1.0)</f>
        <v>1</v>
      </c>
      <c r="F1327" s="2">
        <f>IFERROR(__xludf.DUMMYFUNCTION("""COMPUTED_VALUE"""),0.0)</f>
        <v>0</v>
      </c>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t="b">
        <f>IFERROR(__xludf.DUMMYFUNCTION("""COMPUTED_VALUE"""),FALSE)</f>
        <v>0</v>
      </c>
    </row>
    <row r="1328">
      <c r="A1328" s="1"/>
      <c r="B1328" s="1"/>
      <c r="C1328" s="1"/>
      <c r="D1328" s="1"/>
      <c r="E1328" s="1">
        <f>IFERROR(__xludf.DUMMYFUNCTION("""COMPUTED_VALUE"""),1.0)</f>
        <v>1</v>
      </c>
      <c r="F1328" s="2">
        <f>IFERROR(__xludf.DUMMYFUNCTION("""COMPUTED_VALUE"""),0.0)</f>
        <v>0</v>
      </c>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t="b">
        <f>IFERROR(__xludf.DUMMYFUNCTION("""COMPUTED_VALUE"""),FALSE)</f>
        <v>0</v>
      </c>
    </row>
    <row r="1329">
      <c r="A1329" s="1"/>
      <c r="B1329" s="1"/>
      <c r="C1329" s="1"/>
      <c r="D1329" s="1"/>
      <c r="E1329" s="1">
        <f>IFERROR(__xludf.DUMMYFUNCTION("""COMPUTED_VALUE"""),1.0)</f>
        <v>1</v>
      </c>
      <c r="F1329" s="2">
        <f>IFERROR(__xludf.DUMMYFUNCTION("""COMPUTED_VALUE"""),0.0)</f>
        <v>0</v>
      </c>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t="b">
        <f>IFERROR(__xludf.DUMMYFUNCTION("""COMPUTED_VALUE"""),FALSE)</f>
        <v>0</v>
      </c>
    </row>
    <row r="1330">
      <c r="A1330" s="1"/>
      <c r="B1330" s="1"/>
      <c r="C1330" s="1"/>
      <c r="D1330" s="1"/>
      <c r="E1330" s="1">
        <f>IFERROR(__xludf.DUMMYFUNCTION("""COMPUTED_VALUE"""),1.0)</f>
        <v>1</v>
      </c>
      <c r="F1330" s="2">
        <f>IFERROR(__xludf.DUMMYFUNCTION("""COMPUTED_VALUE"""),0.0)</f>
        <v>0</v>
      </c>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t="b">
        <f>IFERROR(__xludf.DUMMYFUNCTION("""COMPUTED_VALUE"""),FALSE)</f>
        <v>0</v>
      </c>
    </row>
    <row r="1331">
      <c r="A1331" s="1"/>
      <c r="B1331" s="1"/>
      <c r="C1331" s="1"/>
      <c r="D1331" s="1"/>
      <c r="E1331" s="1">
        <f>IFERROR(__xludf.DUMMYFUNCTION("""COMPUTED_VALUE"""),1.0)</f>
        <v>1</v>
      </c>
      <c r="F1331" s="2">
        <f>IFERROR(__xludf.DUMMYFUNCTION("""COMPUTED_VALUE"""),0.0)</f>
        <v>0</v>
      </c>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t="b">
        <f>IFERROR(__xludf.DUMMYFUNCTION("""COMPUTED_VALUE"""),FALSE)</f>
        <v>0</v>
      </c>
    </row>
    <row r="1332">
      <c r="A1332" s="1"/>
      <c r="B1332" s="1"/>
      <c r="C1332" s="1"/>
      <c r="D1332" s="1"/>
      <c r="E1332" s="1">
        <f>IFERROR(__xludf.DUMMYFUNCTION("""COMPUTED_VALUE"""),1.0)</f>
        <v>1</v>
      </c>
      <c r="F1332" s="2">
        <f>IFERROR(__xludf.DUMMYFUNCTION("""COMPUTED_VALUE"""),0.0)</f>
        <v>0</v>
      </c>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t="b">
        <f>IFERROR(__xludf.DUMMYFUNCTION("""COMPUTED_VALUE"""),FALSE)</f>
        <v>0</v>
      </c>
    </row>
    <row r="1333">
      <c r="A1333" s="1"/>
      <c r="B1333" s="1"/>
      <c r="C1333" s="1"/>
      <c r="D1333" s="1"/>
      <c r="E1333" s="1">
        <f>IFERROR(__xludf.DUMMYFUNCTION("""COMPUTED_VALUE"""),1.0)</f>
        <v>1</v>
      </c>
      <c r="F1333" s="2">
        <f>IFERROR(__xludf.DUMMYFUNCTION("""COMPUTED_VALUE"""),0.0)</f>
        <v>0</v>
      </c>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t="b">
        <f>IFERROR(__xludf.DUMMYFUNCTION("""COMPUTED_VALUE"""),FALSE)</f>
        <v>0</v>
      </c>
    </row>
    <row r="1334">
      <c r="A1334" s="1"/>
      <c r="B1334" s="1"/>
      <c r="C1334" s="1"/>
      <c r="D1334" s="1"/>
      <c r="E1334" s="1">
        <f>IFERROR(__xludf.DUMMYFUNCTION("""COMPUTED_VALUE"""),1.0)</f>
        <v>1</v>
      </c>
      <c r="F1334" s="2">
        <f>IFERROR(__xludf.DUMMYFUNCTION("""COMPUTED_VALUE"""),0.0)</f>
        <v>0</v>
      </c>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t="b">
        <f>IFERROR(__xludf.DUMMYFUNCTION("""COMPUTED_VALUE"""),FALSE)</f>
        <v>0</v>
      </c>
    </row>
    <row r="1335">
      <c r="A1335" s="1"/>
      <c r="B1335" s="1"/>
      <c r="C1335" s="1"/>
      <c r="D1335" s="1"/>
      <c r="E1335" s="1">
        <f>IFERROR(__xludf.DUMMYFUNCTION("""COMPUTED_VALUE"""),1.0)</f>
        <v>1</v>
      </c>
      <c r="F1335" s="2">
        <f>IFERROR(__xludf.DUMMYFUNCTION("""COMPUTED_VALUE"""),0.0)</f>
        <v>0</v>
      </c>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t="b">
        <f>IFERROR(__xludf.DUMMYFUNCTION("""COMPUTED_VALUE"""),FALSE)</f>
        <v>0</v>
      </c>
    </row>
    <row r="1336">
      <c r="A1336" s="1"/>
      <c r="B1336" s="1"/>
      <c r="C1336" s="1"/>
      <c r="D1336" s="1"/>
      <c r="E1336" s="1">
        <f>IFERROR(__xludf.DUMMYFUNCTION("""COMPUTED_VALUE"""),1.0)</f>
        <v>1</v>
      </c>
      <c r="F1336" s="2">
        <f>IFERROR(__xludf.DUMMYFUNCTION("""COMPUTED_VALUE"""),0.0)</f>
        <v>0</v>
      </c>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t="b">
        <f>IFERROR(__xludf.DUMMYFUNCTION("""COMPUTED_VALUE"""),FALSE)</f>
        <v>0</v>
      </c>
    </row>
    <row r="1337">
      <c r="A1337" s="1"/>
      <c r="B1337" s="1"/>
      <c r="C1337" s="1"/>
      <c r="D1337" s="1"/>
      <c r="E1337" s="1">
        <f>IFERROR(__xludf.DUMMYFUNCTION("""COMPUTED_VALUE"""),1.0)</f>
        <v>1</v>
      </c>
      <c r="F1337" s="2">
        <f>IFERROR(__xludf.DUMMYFUNCTION("""COMPUTED_VALUE"""),0.0)</f>
        <v>0</v>
      </c>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t="b">
        <f>IFERROR(__xludf.DUMMYFUNCTION("""COMPUTED_VALUE"""),FALSE)</f>
        <v>0</v>
      </c>
    </row>
    <row r="1338">
      <c r="A1338" s="1"/>
      <c r="B1338" s="1"/>
      <c r="C1338" s="1"/>
      <c r="D1338" s="1"/>
      <c r="E1338" s="1">
        <f>IFERROR(__xludf.DUMMYFUNCTION("""COMPUTED_VALUE"""),1.0)</f>
        <v>1</v>
      </c>
      <c r="F1338" s="2">
        <f>IFERROR(__xludf.DUMMYFUNCTION("""COMPUTED_VALUE"""),0.0)</f>
        <v>0</v>
      </c>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t="b">
        <f>IFERROR(__xludf.DUMMYFUNCTION("""COMPUTED_VALUE"""),FALSE)</f>
        <v>0</v>
      </c>
    </row>
    <row r="1339">
      <c r="A1339" s="1"/>
      <c r="B1339" s="1"/>
      <c r="C1339" s="1"/>
      <c r="D1339" s="1"/>
      <c r="E1339" s="1">
        <f>IFERROR(__xludf.DUMMYFUNCTION("""COMPUTED_VALUE"""),1.0)</f>
        <v>1</v>
      </c>
      <c r="F1339" s="2">
        <f>IFERROR(__xludf.DUMMYFUNCTION("""COMPUTED_VALUE"""),0.0)</f>
        <v>0</v>
      </c>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t="b">
        <f>IFERROR(__xludf.DUMMYFUNCTION("""COMPUTED_VALUE"""),FALSE)</f>
        <v>0</v>
      </c>
    </row>
    <row r="1340">
      <c r="A1340" s="1"/>
      <c r="B1340" s="1"/>
      <c r="C1340" s="1"/>
      <c r="D1340" s="1"/>
      <c r="E1340" s="1">
        <f>IFERROR(__xludf.DUMMYFUNCTION("""COMPUTED_VALUE"""),1.0)</f>
        <v>1</v>
      </c>
      <c r="F1340" s="2">
        <f>IFERROR(__xludf.DUMMYFUNCTION("""COMPUTED_VALUE"""),0.0)</f>
        <v>0</v>
      </c>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t="b">
        <f>IFERROR(__xludf.DUMMYFUNCTION("""COMPUTED_VALUE"""),FALSE)</f>
        <v>0</v>
      </c>
    </row>
    <row r="1341">
      <c r="A1341" s="1"/>
      <c r="B1341" s="1"/>
      <c r="C1341" s="1"/>
      <c r="D1341" s="1"/>
      <c r="E1341" s="1">
        <f>IFERROR(__xludf.DUMMYFUNCTION("""COMPUTED_VALUE"""),1.0)</f>
        <v>1</v>
      </c>
      <c r="F1341" s="2">
        <f>IFERROR(__xludf.DUMMYFUNCTION("""COMPUTED_VALUE"""),0.0)</f>
        <v>0</v>
      </c>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t="b">
        <f>IFERROR(__xludf.DUMMYFUNCTION("""COMPUTED_VALUE"""),FALSE)</f>
        <v>0</v>
      </c>
    </row>
    <row r="1342">
      <c r="A1342" s="1"/>
      <c r="B1342" s="1"/>
      <c r="C1342" s="1"/>
      <c r="D1342" s="1"/>
      <c r="E1342" s="1">
        <f>IFERROR(__xludf.DUMMYFUNCTION("""COMPUTED_VALUE"""),1.0)</f>
        <v>1</v>
      </c>
      <c r="F1342" s="2">
        <f>IFERROR(__xludf.DUMMYFUNCTION("""COMPUTED_VALUE"""),0.0)</f>
        <v>0</v>
      </c>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t="b">
        <f>IFERROR(__xludf.DUMMYFUNCTION("""COMPUTED_VALUE"""),FALSE)</f>
        <v>0</v>
      </c>
    </row>
    <row r="1343">
      <c r="A1343" s="1"/>
      <c r="B1343" s="1"/>
      <c r="C1343" s="1"/>
      <c r="D1343" s="1"/>
      <c r="E1343" s="1">
        <f>IFERROR(__xludf.DUMMYFUNCTION("""COMPUTED_VALUE"""),1.0)</f>
        <v>1</v>
      </c>
      <c r="F1343" s="2">
        <f>IFERROR(__xludf.DUMMYFUNCTION("""COMPUTED_VALUE"""),0.0)</f>
        <v>0</v>
      </c>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t="b">
        <f>IFERROR(__xludf.DUMMYFUNCTION("""COMPUTED_VALUE"""),FALSE)</f>
        <v>0</v>
      </c>
    </row>
    <row r="1344">
      <c r="A1344" s="1"/>
      <c r="B1344" s="1"/>
      <c r="C1344" s="1"/>
      <c r="D1344" s="1"/>
      <c r="E1344" s="1">
        <f>IFERROR(__xludf.DUMMYFUNCTION("""COMPUTED_VALUE"""),1.0)</f>
        <v>1</v>
      </c>
      <c r="F1344" s="2">
        <f>IFERROR(__xludf.DUMMYFUNCTION("""COMPUTED_VALUE"""),0.0)</f>
        <v>0</v>
      </c>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t="b">
        <f>IFERROR(__xludf.DUMMYFUNCTION("""COMPUTED_VALUE"""),FALSE)</f>
        <v>0</v>
      </c>
    </row>
    <row r="1345">
      <c r="A1345" s="1"/>
      <c r="B1345" s="1"/>
      <c r="C1345" s="1"/>
      <c r="D1345" s="1"/>
      <c r="E1345" s="1">
        <f>IFERROR(__xludf.DUMMYFUNCTION("""COMPUTED_VALUE"""),1.0)</f>
        <v>1</v>
      </c>
      <c r="F1345" s="2">
        <f>IFERROR(__xludf.DUMMYFUNCTION("""COMPUTED_VALUE"""),0.0)</f>
        <v>0</v>
      </c>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t="b">
        <f>IFERROR(__xludf.DUMMYFUNCTION("""COMPUTED_VALUE"""),FALSE)</f>
        <v>0</v>
      </c>
    </row>
    <row r="1346">
      <c r="A1346" s="1"/>
      <c r="B1346" s="1"/>
      <c r="C1346" s="1"/>
      <c r="D1346" s="1"/>
      <c r="E1346" s="1">
        <f>IFERROR(__xludf.DUMMYFUNCTION("""COMPUTED_VALUE"""),1.0)</f>
        <v>1</v>
      </c>
      <c r="F1346" s="2">
        <f>IFERROR(__xludf.DUMMYFUNCTION("""COMPUTED_VALUE"""),0.0)</f>
        <v>0</v>
      </c>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t="b">
        <f>IFERROR(__xludf.DUMMYFUNCTION("""COMPUTED_VALUE"""),FALSE)</f>
        <v>0</v>
      </c>
    </row>
    <row r="1347">
      <c r="A1347" s="1"/>
      <c r="B1347" s="1"/>
      <c r="C1347" s="1"/>
      <c r="D1347" s="1"/>
      <c r="E1347" s="1">
        <f>IFERROR(__xludf.DUMMYFUNCTION("""COMPUTED_VALUE"""),1.0)</f>
        <v>1</v>
      </c>
      <c r="F1347" s="2">
        <f>IFERROR(__xludf.DUMMYFUNCTION("""COMPUTED_VALUE"""),0.0)</f>
        <v>0</v>
      </c>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t="b">
        <f>IFERROR(__xludf.DUMMYFUNCTION("""COMPUTED_VALUE"""),FALSE)</f>
        <v>0</v>
      </c>
    </row>
    <row r="1348">
      <c r="A1348" s="1"/>
      <c r="B1348" s="1"/>
      <c r="C1348" s="1"/>
      <c r="D1348" s="1"/>
      <c r="E1348" s="1">
        <f>IFERROR(__xludf.DUMMYFUNCTION("""COMPUTED_VALUE"""),1.0)</f>
        <v>1</v>
      </c>
      <c r="F1348" s="2">
        <f>IFERROR(__xludf.DUMMYFUNCTION("""COMPUTED_VALUE"""),0.0)</f>
        <v>0</v>
      </c>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t="b">
        <f>IFERROR(__xludf.DUMMYFUNCTION("""COMPUTED_VALUE"""),FALSE)</f>
        <v>0</v>
      </c>
    </row>
    <row r="1349">
      <c r="A1349" s="1"/>
      <c r="B1349" s="1"/>
      <c r="C1349" s="1"/>
      <c r="D1349" s="1"/>
      <c r="E1349" s="1">
        <f>IFERROR(__xludf.DUMMYFUNCTION("""COMPUTED_VALUE"""),1.0)</f>
        <v>1</v>
      </c>
      <c r="F1349" s="2">
        <f>IFERROR(__xludf.DUMMYFUNCTION("""COMPUTED_VALUE"""),0.0)</f>
        <v>0</v>
      </c>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t="b">
        <f>IFERROR(__xludf.DUMMYFUNCTION("""COMPUTED_VALUE"""),FALSE)</f>
        <v>0</v>
      </c>
    </row>
    <row r="1350">
      <c r="A1350" s="1"/>
      <c r="B1350" s="1"/>
      <c r="C1350" s="1"/>
      <c r="D1350" s="1"/>
      <c r="E1350" s="1">
        <f>IFERROR(__xludf.DUMMYFUNCTION("""COMPUTED_VALUE"""),1.0)</f>
        <v>1</v>
      </c>
      <c r="F1350" s="2">
        <f>IFERROR(__xludf.DUMMYFUNCTION("""COMPUTED_VALUE"""),0.0)</f>
        <v>0</v>
      </c>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t="b">
        <f>IFERROR(__xludf.DUMMYFUNCTION("""COMPUTED_VALUE"""),FALSE)</f>
        <v>0</v>
      </c>
    </row>
    <row r="1351">
      <c r="A1351" s="1"/>
      <c r="B1351" s="1"/>
      <c r="C1351" s="1"/>
      <c r="D1351" s="1"/>
      <c r="E1351" s="1">
        <f>IFERROR(__xludf.DUMMYFUNCTION("""COMPUTED_VALUE"""),1.0)</f>
        <v>1</v>
      </c>
      <c r="F1351" s="2">
        <f>IFERROR(__xludf.DUMMYFUNCTION("""COMPUTED_VALUE"""),0.0)</f>
        <v>0</v>
      </c>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t="b">
        <f>IFERROR(__xludf.DUMMYFUNCTION("""COMPUTED_VALUE"""),FALSE)</f>
        <v>0</v>
      </c>
    </row>
    <row r="1352">
      <c r="A1352" s="1"/>
      <c r="B1352" s="1"/>
      <c r="C1352" s="1"/>
      <c r="D1352" s="1"/>
      <c r="E1352" s="1">
        <f>IFERROR(__xludf.DUMMYFUNCTION("""COMPUTED_VALUE"""),1.0)</f>
        <v>1</v>
      </c>
      <c r="F1352" s="2">
        <f>IFERROR(__xludf.DUMMYFUNCTION("""COMPUTED_VALUE"""),0.0)</f>
        <v>0</v>
      </c>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t="b">
        <f>IFERROR(__xludf.DUMMYFUNCTION("""COMPUTED_VALUE"""),FALSE)</f>
        <v>0</v>
      </c>
    </row>
    <row r="1353">
      <c r="A1353" s="1"/>
      <c r="B1353" s="1"/>
      <c r="C1353" s="1"/>
      <c r="D1353" s="1"/>
      <c r="E1353" s="1">
        <f>IFERROR(__xludf.DUMMYFUNCTION("""COMPUTED_VALUE"""),1.0)</f>
        <v>1</v>
      </c>
      <c r="F1353" s="2">
        <f>IFERROR(__xludf.DUMMYFUNCTION("""COMPUTED_VALUE"""),0.0)</f>
        <v>0</v>
      </c>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t="b">
        <f>IFERROR(__xludf.DUMMYFUNCTION("""COMPUTED_VALUE"""),FALSE)</f>
        <v>0</v>
      </c>
    </row>
    <row r="1354">
      <c r="A1354" s="1"/>
      <c r="B1354" s="1"/>
      <c r="C1354" s="1"/>
      <c r="D1354" s="1"/>
      <c r="E1354" s="1">
        <f>IFERROR(__xludf.DUMMYFUNCTION("""COMPUTED_VALUE"""),1.0)</f>
        <v>1</v>
      </c>
      <c r="F1354" s="2">
        <f>IFERROR(__xludf.DUMMYFUNCTION("""COMPUTED_VALUE"""),0.0)</f>
        <v>0</v>
      </c>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t="b">
        <f>IFERROR(__xludf.DUMMYFUNCTION("""COMPUTED_VALUE"""),FALSE)</f>
        <v>0</v>
      </c>
    </row>
    <row r="1355">
      <c r="A1355" s="1"/>
      <c r="B1355" s="1"/>
      <c r="C1355" s="1"/>
      <c r="D1355" s="1"/>
      <c r="E1355" s="1">
        <f>IFERROR(__xludf.DUMMYFUNCTION("""COMPUTED_VALUE"""),1.0)</f>
        <v>1</v>
      </c>
      <c r="F1355" s="2">
        <f>IFERROR(__xludf.DUMMYFUNCTION("""COMPUTED_VALUE"""),0.0)</f>
        <v>0</v>
      </c>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t="b">
        <f>IFERROR(__xludf.DUMMYFUNCTION("""COMPUTED_VALUE"""),FALSE)</f>
        <v>0</v>
      </c>
    </row>
    <row r="1356">
      <c r="A1356" s="1"/>
      <c r="B1356" s="1"/>
      <c r="C1356" s="1"/>
      <c r="D1356" s="1"/>
      <c r="E1356" s="1">
        <f>IFERROR(__xludf.DUMMYFUNCTION("""COMPUTED_VALUE"""),1.0)</f>
        <v>1</v>
      </c>
      <c r="F1356" s="2">
        <f>IFERROR(__xludf.DUMMYFUNCTION("""COMPUTED_VALUE"""),0.0)</f>
        <v>0</v>
      </c>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t="b">
        <f>IFERROR(__xludf.DUMMYFUNCTION("""COMPUTED_VALUE"""),FALSE)</f>
        <v>0</v>
      </c>
    </row>
    <row r="1357">
      <c r="A1357" s="1"/>
      <c r="B1357" s="1"/>
      <c r="C1357" s="1"/>
      <c r="D1357" s="1"/>
      <c r="E1357" s="1">
        <f>IFERROR(__xludf.DUMMYFUNCTION("""COMPUTED_VALUE"""),1.0)</f>
        <v>1</v>
      </c>
      <c r="F1357" s="2">
        <f>IFERROR(__xludf.DUMMYFUNCTION("""COMPUTED_VALUE"""),0.0)</f>
        <v>0</v>
      </c>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t="b">
        <f>IFERROR(__xludf.DUMMYFUNCTION("""COMPUTED_VALUE"""),FALSE)</f>
        <v>0</v>
      </c>
    </row>
    <row r="1358">
      <c r="A1358" s="1"/>
      <c r="B1358" s="1"/>
      <c r="C1358" s="1"/>
      <c r="D1358" s="1"/>
      <c r="E1358" s="1">
        <f>IFERROR(__xludf.DUMMYFUNCTION("""COMPUTED_VALUE"""),1.0)</f>
        <v>1</v>
      </c>
      <c r="F1358" s="2">
        <f>IFERROR(__xludf.DUMMYFUNCTION("""COMPUTED_VALUE"""),0.0)</f>
        <v>0</v>
      </c>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t="b">
        <f>IFERROR(__xludf.DUMMYFUNCTION("""COMPUTED_VALUE"""),FALSE)</f>
        <v>0</v>
      </c>
    </row>
    <row r="1359">
      <c r="A1359" s="1"/>
      <c r="B1359" s="1"/>
      <c r="C1359" s="1"/>
      <c r="D1359" s="1"/>
      <c r="E1359" s="1">
        <f>IFERROR(__xludf.DUMMYFUNCTION("""COMPUTED_VALUE"""),1.0)</f>
        <v>1</v>
      </c>
      <c r="F1359" s="2">
        <f>IFERROR(__xludf.DUMMYFUNCTION("""COMPUTED_VALUE"""),0.0)</f>
        <v>0</v>
      </c>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t="b">
        <f>IFERROR(__xludf.DUMMYFUNCTION("""COMPUTED_VALUE"""),FALSE)</f>
        <v>0</v>
      </c>
    </row>
    <row r="1360">
      <c r="A1360" s="1"/>
      <c r="B1360" s="1"/>
      <c r="C1360" s="1"/>
      <c r="D1360" s="1"/>
      <c r="E1360" s="1">
        <f>IFERROR(__xludf.DUMMYFUNCTION("""COMPUTED_VALUE"""),1.0)</f>
        <v>1</v>
      </c>
      <c r="F1360" s="2">
        <f>IFERROR(__xludf.DUMMYFUNCTION("""COMPUTED_VALUE"""),0.0)</f>
        <v>0</v>
      </c>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t="b">
        <f>IFERROR(__xludf.DUMMYFUNCTION("""COMPUTED_VALUE"""),FALSE)</f>
        <v>0</v>
      </c>
    </row>
    <row r="1361">
      <c r="A1361" s="1"/>
      <c r="B1361" s="1"/>
      <c r="C1361" s="1"/>
      <c r="D1361" s="1"/>
      <c r="E1361" s="1">
        <f>IFERROR(__xludf.DUMMYFUNCTION("""COMPUTED_VALUE"""),1.0)</f>
        <v>1</v>
      </c>
      <c r="F1361" s="2">
        <f>IFERROR(__xludf.DUMMYFUNCTION("""COMPUTED_VALUE"""),0.0)</f>
        <v>0</v>
      </c>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t="b">
        <f>IFERROR(__xludf.DUMMYFUNCTION("""COMPUTED_VALUE"""),FALSE)</f>
        <v>0</v>
      </c>
    </row>
    <row r="1362">
      <c r="A1362" s="1"/>
      <c r="B1362" s="1"/>
      <c r="C1362" s="1"/>
      <c r="D1362" s="1"/>
      <c r="E1362" s="1">
        <f>IFERROR(__xludf.DUMMYFUNCTION("""COMPUTED_VALUE"""),1.0)</f>
        <v>1</v>
      </c>
      <c r="F1362" s="2">
        <f>IFERROR(__xludf.DUMMYFUNCTION("""COMPUTED_VALUE"""),0.0)</f>
        <v>0</v>
      </c>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t="b">
        <f>IFERROR(__xludf.DUMMYFUNCTION("""COMPUTED_VALUE"""),FALSE)</f>
        <v>0</v>
      </c>
    </row>
    <row r="1363">
      <c r="A1363" s="1"/>
      <c r="B1363" s="1"/>
      <c r="C1363" s="1"/>
      <c r="D1363" s="1"/>
      <c r="E1363" s="1">
        <f>IFERROR(__xludf.DUMMYFUNCTION("""COMPUTED_VALUE"""),1.0)</f>
        <v>1</v>
      </c>
      <c r="F1363" s="2">
        <f>IFERROR(__xludf.DUMMYFUNCTION("""COMPUTED_VALUE"""),0.0)</f>
        <v>0</v>
      </c>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t="b">
        <f>IFERROR(__xludf.DUMMYFUNCTION("""COMPUTED_VALUE"""),FALSE)</f>
        <v>0</v>
      </c>
    </row>
    <row r="1364">
      <c r="A1364" s="1"/>
      <c r="B1364" s="1"/>
      <c r="C1364" s="1"/>
      <c r="D1364" s="1"/>
      <c r="E1364" s="1">
        <f>IFERROR(__xludf.DUMMYFUNCTION("""COMPUTED_VALUE"""),1.0)</f>
        <v>1</v>
      </c>
      <c r="F1364" s="2">
        <f>IFERROR(__xludf.DUMMYFUNCTION("""COMPUTED_VALUE"""),0.0)</f>
        <v>0</v>
      </c>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t="b">
        <f>IFERROR(__xludf.DUMMYFUNCTION("""COMPUTED_VALUE"""),FALSE)</f>
        <v>0</v>
      </c>
    </row>
    <row r="1365">
      <c r="A1365" s="1"/>
      <c r="B1365" s="1"/>
      <c r="C1365" s="1"/>
      <c r="D1365" s="1"/>
      <c r="E1365" s="1">
        <f>IFERROR(__xludf.DUMMYFUNCTION("""COMPUTED_VALUE"""),1.0)</f>
        <v>1</v>
      </c>
      <c r="F1365" s="2">
        <f>IFERROR(__xludf.DUMMYFUNCTION("""COMPUTED_VALUE"""),0.0)</f>
        <v>0</v>
      </c>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t="b">
        <f>IFERROR(__xludf.DUMMYFUNCTION("""COMPUTED_VALUE"""),FALSE)</f>
        <v>0</v>
      </c>
    </row>
    <row r="1366">
      <c r="A1366" s="1"/>
      <c r="B1366" s="1"/>
      <c r="C1366" s="1"/>
      <c r="D1366" s="1"/>
      <c r="E1366" s="1">
        <f>IFERROR(__xludf.DUMMYFUNCTION("""COMPUTED_VALUE"""),1.0)</f>
        <v>1</v>
      </c>
      <c r="F1366" s="2">
        <f>IFERROR(__xludf.DUMMYFUNCTION("""COMPUTED_VALUE"""),0.0)</f>
        <v>0</v>
      </c>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t="b">
        <f>IFERROR(__xludf.DUMMYFUNCTION("""COMPUTED_VALUE"""),FALSE)</f>
        <v>0</v>
      </c>
    </row>
    <row r="1367">
      <c r="A1367" s="1"/>
      <c r="B1367" s="1"/>
      <c r="C1367" s="1"/>
      <c r="D1367" s="1"/>
      <c r="E1367" s="1">
        <f>IFERROR(__xludf.DUMMYFUNCTION("""COMPUTED_VALUE"""),1.0)</f>
        <v>1</v>
      </c>
      <c r="F1367" s="2">
        <f>IFERROR(__xludf.DUMMYFUNCTION("""COMPUTED_VALUE"""),0.0)</f>
        <v>0</v>
      </c>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t="b">
        <f>IFERROR(__xludf.DUMMYFUNCTION("""COMPUTED_VALUE"""),FALSE)</f>
        <v>0</v>
      </c>
    </row>
    <row r="1368">
      <c r="A1368" s="1"/>
      <c r="B1368" s="1"/>
      <c r="C1368" s="1"/>
      <c r="D1368" s="1"/>
      <c r="E1368" s="1">
        <f>IFERROR(__xludf.DUMMYFUNCTION("""COMPUTED_VALUE"""),1.0)</f>
        <v>1</v>
      </c>
      <c r="F1368" s="2">
        <f>IFERROR(__xludf.DUMMYFUNCTION("""COMPUTED_VALUE"""),0.0)</f>
        <v>0</v>
      </c>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t="b">
        <f>IFERROR(__xludf.DUMMYFUNCTION("""COMPUTED_VALUE"""),FALSE)</f>
        <v>0</v>
      </c>
    </row>
    <row r="1369">
      <c r="A1369" s="1"/>
      <c r="B1369" s="1"/>
      <c r="C1369" s="1"/>
      <c r="D1369" s="1"/>
      <c r="E1369" s="1">
        <f>IFERROR(__xludf.DUMMYFUNCTION("""COMPUTED_VALUE"""),1.0)</f>
        <v>1</v>
      </c>
      <c r="F1369" s="2">
        <f>IFERROR(__xludf.DUMMYFUNCTION("""COMPUTED_VALUE"""),0.0)</f>
        <v>0</v>
      </c>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t="b">
        <f>IFERROR(__xludf.DUMMYFUNCTION("""COMPUTED_VALUE"""),FALSE)</f>
        <v>0</v>
      </c>
    </row>
    <row r="1370">
      <c r="A1370" s="1"/>
      <c r="B1370" s="1"/>
      <c r="C1370" s="1"/>
      <c r="D1370" s="1"/>
      <c r="E1370" s="1">
        <f>IFERROR(__xludf.DUMMYFUNCTION("""COMPUTED_VALUE"""),1.0)</f>
        <v>1</v>
      </c>
      <c r="F1370" s="2">
        <f>IFERROR(__xludf.DUMMYFUNCTION("""COMPUTED_VALUE"""),0.0)</f>
        <v>0</v>
      </c>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t="b">
        <f>IFERROR(__xludf.DUMMYFUNCTION("""COMPUTED_VALUE"""),FALSE)</f>
        <v>0</v>
      </c>
    </row>
    <row r="1371">
      <c r="A1371" s="1"/>
      <c r="B1371" s="1"/>
      <c r="C1371" s="1"/>
      <c r="D1371" s="1"/>
      <c r="E1371" s="1">
        <f>IFERROR(__xludf.DUMMYFUNCTION("""COMPUTED_VALUE"""),1.0)</f>
        <v>1</v>
      </c>
      <c r="F1371" s="2">
        <f>IFERROR(__xludf.DUMMYFUNCTION("""COMPUTED_VALUE"""),0.0)</f>
        <v>0</v>
      </c>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t="b">
        <f>IFERROR(__xludf.DUMMYFUNCTION("""COMPUTED_VALUE"""),FALSE)</f>
        <v>0</v>
      </c>
    </row>
    <row r="1372">
      <c r="A1372" s="1"/>
      <c r="B1372" s="1"/>
      <c r="C1372" s="1"/>
      <c r="D1372" s="1"/>
      <c r="E1372" s="1">
        <f>IFERROR(__xludf.DUMMYFUNCTION("""COMPUTED_VALUE"""),1.0)</f>
        <v>1</v>
      </c>
      <c r="F1372" s="2">
        <f>IFERROR(__xludf.DUMMYFUNCTION("""COMPUTED_VALUE"""),0.0)</f>
        <v>0</v>
      </c>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t="b">
        <f>IFERROR(__xludf.DUMMYFUNCTION("""COMPUTED_VALUE"""),FALSE)</f>
        <v>0</v>
      </c>
    </row>
    <row r="1373">
      <c r="A1373" s="1"/>
      <c r="B1373" s="1"/>
      <c r="C1373" s="1"/>
      <c r="D1373" s="1"/>
      <c r="E1373" s="1">
        <f>IFERROR(__xludf.DUMMYFUNCTION("""COMPUTED_VALUE"""),1.0)</f>
        <v>1</v>
      </c>
      <c r="F1373" s="2">
        <f>IFERROR(__xludf.DUMMYFUNCTION("""COMPUTED_VALUE"""),0.0)</f>
        <v>0</v>
      </c>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t="b">
        <f>IFERROR(__xludf.DUMMYFUNCTION("""COMPUTED_VALUE"""),FALSE)</f>
        <v>0</v>
      </c>
    </row>
    <row r="1374">
      <c r="A1374" s="1"/>
      <c r="B1374" s="1"/>
      <c r="C1374" s="1"/>
      <c r="D1374" s="1"/>
      <c r="E1374" s="1">
        <f>IFERROR(__xludf.DUMMYFUNCTION("""COMPUTED_VALUE"""),1.0)</f>
        <v>1</v>
      </c>
      <c r="F1374" s="2">
        <f>IFERROR(__xludf.DUMMYFUNCTION("""COMPUTED_VALUE"""),0.0)</f>
        <v>0</v>
      </c>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t="b">
        <f>IFERROR(__xludf.DUMMYFUNCTION("""COMPUTED_VALUE"""),FALSE)</f>
        <v>0</v>
      </c>
    </row>
    <row r="1375">
      <c r="A1375" s="1"/>
      <c r="B1375" s="1"/>
      <c r="C1375" s="1"/>
      <c r="D1375" s="1"/>
      <c r="E1375" s="1">
        <f>IFERROR(__xludf.DUMMYFUNCTION("""COMPUTED_VALUE"""),1.0)</f>
        <v>1</v>
      </c>
      <c r="F1375" s="2">
        <f>IFERROR(__xludf.DUMMYFUNCTION("""COMPUTED_VALUE"""),0.0)</f>
        <v>0</v>
      </c>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t="b">
        <f>IFERROR(__xludf.DUMMYFUNCTION("""COMPUTED_VALUE"""),FALSE)</f>
        <v>0</v>
      </c>
    </row>
    <row r="1376">
      <c r="A1376" s="1"/>
      <c r="B1376" s="1"/>
      <c r="C1376" s="1"/>
      <c r="D1376" s="1"/>
      <c r="E1376" s="1">
        <f>IFERROR(__xludf.DUMMYFUNCTION("""COMPUTED_VALUE"""),1.0)</f>
        <v>1</v>
      </c>
      <c r="F1376" s="2">
        <f>IFERROR(__xludf.DUMMYFUNCTION("""COMPUTED_VALUE"""),0.0)</f>
        <v>0</v>
      </c>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t="b">
        <f>IFERROR(__xludf.DUMMYFUNCTION("""COMPUTED_VALUE"""),FALSE)</f>
        <v>0</v>
      </c>
    </row>
    <row r="1377">
      <c r="A1377" s="1"/>
      <c r="B1377" s="1"/>
      <c r="C1377" s="1"/>
      <c r="D1377" s="1"/>
      <c r="E1377" s="1">
        <f>IFERROR(__xludf.DUMMYFUNCTION("""COMPUTED_VALUE"""),1.0)</f>
        <v>1</v>
      </c>
      <c r="F1377" s="2">
        <f>IFERROR(__xludf.DUMMYFUNCTION("""COMPUTED_VALUE"""),0.0)</f>
        <v>0</v>
      </c>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t="b">
        <f>IFERROR(__xludf.DUMMYFUNCTION("""COMPUTED_VALUE"""),FALSE)</f>
        <v>0</v>
      </c>
    </row>
    <row r="1378">
      <c r="A1378" s="1"/>
      <c r="B1378" s="1"/>
      <c r="C1378" s="1"/>
      <c r="D1378" s="1"/>
      <c r="E1378" s="1">
        <f>IFERROR(__xludf.DUMMYFUNCTION("""COMPUTED_VALUE"""),1.0)</f>
        <v>1</v>
      </c>
      <c r="F1378" s="2">
        <f>IFERROR(__xludf.DUMMYFUNCTION("""COMPUTED_VALUE"""),0.0)</f>
        <v>0</v>
      </c>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t="b">
        <f>IFERROR(__xludf.DUMMYFUNCTION("""COMPUTED_VALUE"""),FALSE)</f>
        <v>0</v>
      </c>
    </row>
    <row r="1379">
      <c r="A1379" s="1"/>
      <c r="B1379" s="1"/>
      <c r="C1379" s="1"/>
      <c r="D1379" s="1"/>
      <c r="E1379" s="1">
        <f>IFERROR(__xludf.DUMMYFUNCTION("""COMPUTED_VALUE"""),1.0)</f>
        <v>1</v>
      </c>
      <c r="F1379" s="2">
        <f>IFERROR(__xludf.DUMMYFUNCTION("""COMPUTED_VALUE"""),0.0)</f>
        <v>0</v>
      </c>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t="b">
        <f>IFERROR(__xludf.DUMMYFUNCTION("""COMPUTED_VALUE"""),FALSE)</f>
        <v>0</v>
      </c>
    </row>
    <row r="1380">
      <c r="A1380" s="1"/>
      <c r="B1380" s="1"/>
      <c r="C1380" s="1"/>
      <c r="D1380" s="1"/>
      <c r="E1380" s="1">
        <f>IFERROR(__xludf.DUMMYFUNCTION("""COMPUTED_VALUE"""),1.0)</f>
        <v>1</v>
      </c>
      <c r="F1380" s="2">
        <f>IFERROR(__xludf.DUMMYFUNCTION("""COMPUTED_VALUE"""),0.0)</f>
        <v>0</v>
      </c>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t="b">
        <f>IFERROR(__xludf.DUMMYFUNCTION("""COMPUTED_VALUE"""),FALSE)</f>
        <v>0</v>
      </c>
    </row>
    <row r="1381">
      <c r="A1381" s="1"/>
      <c r="B1381" s="1"/>
      <c r="C1381" s="1"/>
      <c r="D1381" s="1"/>
      <c r="E1381" s="1">
        <f>IFERROR(__xludf.DUMMYFUNCTION("""COMPUTED_VALUE"""),1.0)</f>
        <v>1</v>
      </c>
      <c r="F1381" s="2">
        <f>IFERROR(__xludf.DUMMYFUNCTION("""COMPUTED_VALUE"""),0.0)</f>
        <v>0</v>
      </c>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t="b">
        <f>IFERROR(__xludf.DUMMYFUNCTION("""COMPUTED_VALUE"""),FALSE)</f>
        <v>0</v>
      </c>
    </row>
    <row r="1382">
      <c r="A1382" s="1"/>
      <c r="B1382" s="1"/>
      <c r="C1382" s="1"/>
      <c r="D1382" s="1"/>
      <c r="E1382" s="1">
        <f>IFERROR(__xludf.DUMMYFUNCTION("""COMPUTED_VALUE"""),1.0)</f>
        <v>1</v>
      </c>
      <c r="F1382" s="2">
        <f>IFERROR(__xludf.DUMMYFUNCTION("""COMPUTED_VALUE"""),0.0)</f>
        <v>0</v>
      </c>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t="b">
        <f>IFERROR(__xludf.DUMMYFUNCTION("""COMPUTED_VALUE"""),FALSE)</f>
        <v>0</v>
      </c>
    </row>
    <row r="1383">
      <c r="A1383" s="1"/>
      <c r="B1383" s="1"/>
      <c r="C1383" s="1"/>
      <c r="D1383" s="1"/>
      <c r="E1383" s="1">
        <f>IFERROR(__xludf.DUMMYFUNCTION("""COMPUTED_VALUE"""),1.0)</f>
        <v>1</v>
      </c>
      <c r="F1383" s="2">
        <f>IFERROR(__xludf.DUMMYFUNCTION("""COMPUTED_VALUE"""),0.0)</f>
        <v>0</v>
      </c>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t="b">
        <f>IFERROR(__xludf.DUMMYFUNCTION("""COMPUTED_VALUE"""),FALSE)</f>
        <v>0</v>
      </c>
    </row>
    <row r="1384">
      <c r="A1384" s="1"/>
      <c r="B1384" s="1"/>
      <c r="C1384" s="1"/>
      <c r="D1384" s="1"/>
      <c r="E1384" s="1">
        <f>IFERROR(__xludf.DUMMYFUNCTION("""COMPUTED_VALUE"""),1.0)</f>
        <v>1</v>
      </c>
      <c r="F1384" s="2">
        <f>IFERROR(__xludf.DUMMYFUNCTION("""COMPUTED_VALUE"""),0.0)</f>
        <v>0</v>
      </c>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t="b">
        <f>IFERROR(__xludf.DUMMYFUNCTION("""COMPUTED_VALUE"""),FALSE)</f>
        <v>0</v>
      </c>
    </row>
    <row r="1385">
      <c r="A1385" s="1"/>
      <c r="B1385" s="1"/>
      <c r="C1385" s="1"/>
      <c r="D1385" s="1"/>
      <c r="E1385" s="1">
        <f>IFERROR(__xludf.DUMMYFUNCTION("""COMPUTED_VALUE"""),1.0)</f>
        <v>1</v>
      </c>
      <c r="F1385" s="2">
        <f>IFERROR(__xludf.DUMMYFUNCTION("""COMPUTED_VALUE"""),0.0)</f>
        <v>0</v>
      </c>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t="b">
        <f>IFERROR(__xludf.DUMMYFUNCTION("""COMPUTED_VALUE"""),FALSE)</f>
        <v>0</v>
      </c>
    </row>
    <row r="1386">
      <c r="A1386" s="1"/>
      <c r="B1386" s="1"/>
      <c r="C1386" s="1"/>
      <c r="D1386" s="1"/>
      <c r="E1386" s="1">
        <f>IFERROR(__xludf.DUMMYFUNCTION("""COMPUTED_VALUE"""),1.0)</f>
        <v>1</v>
      </c>
      <c r="F1386" s="2">
        <f>IFERROR(__xludf.DUMMYFUNCTION("""COMPUTED_VALUE"""),0.0)</f>
        <v>0</v>
      </c>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t="b">
        <f>IFERROR(__xludf.DUMMYFUNCTION("""COMPUTED_VALUE"""),FALSE)</f>
        <v>0</v>
      </c>
    </row>
    <row r="1387">
      <c r="A1387" s="1"/>
      <c r="B1387" s="1"/>
      <c r="C1387" s="1"/>
      <c r="D1387" s="1"/>
      <c r="E1387" s="1">
        <f>IFERROR(__xludf.DUMMYFUNCTION("""COMPUTED_VALUE"""),1.0)</f>
        <v>1</v>
      </c>
      <c r="F1387" s="2">
        <f>IFERROR(__xludf.DUMMYFUNCTION("""COMPUTED_VALUE"""),0.0)</f>
        <v>0</v>
      </c>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t="b">
        <f>IFERROR(__xludf.DUMMYFUNCTION("""COMPUTED_VALUE"""),FALSE)</f>
        <v>0</v>
      </c>
    </row>
    <row r="1388">
      <c r="A1388" s="1"/>
      <c r="B1388" s="1"/>
      <c r="C1388" s="1"/>
      <c r="D1388" s="1"/>
      <c r="E1388" s="1">
        <f>IFERROR(__xludf.DUMMYFUNCTION("""COMPUTED_VALUE"""),1.0)</f>
        <v>1</v>
      </c>
      <c r="F1388" s="2">
        <f>IFERROR(__xludf.DUMMYFUNCTION("""COMPUTED_VALUE"""),0.0)</f>
        <v>0</v>
      </c>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t="b">
        <f>IFERROR(__xludf.DUMMYFUNCTION("""COMPUTED_VALUE"""),FALSE)</f>
        <v>0</v>
      </c>
    </row>
    <row r="1389">
      <c r="A1389" s="1"/>
      <c r="B1389" s="1"/>
      <c r="C1389" s="1"/>
      <c r="D1389" s="1"/>
      <c r="E1389" s="1">
        <f>IFERROR(__xludf.DUMMYFUNCTION("""COMPUTED_VALUE"""),1.0)</f>
        <v>1</v>
      </c>
      <c r="F1389" s="2">
        <f>IFERROR(__xludf.DUMMYFUNCTION("""COMPUTED_VALUE"""),0.0)</f>
        <v>0</v>
      </c>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t="b">
        <f>IFERROR(__xludf.DUMMYFUNCTION("""COMPUTED_VALUE"""),FALSE)</f>
        <v>0</v>
      </c>
    </row>
    <row r="1390">
      <c r="A1390" s="1"/>
      <c r="B1390" s="1"/>
      <c r="C1390" s="1"/>
      <c r="D1390" s="1"/>
      <c r="E1390" s="1">
        <f>IFERROR(__xludf.DUMMYFUNCTION("""COMPUTED_VALUE"""),1.0)</f>
        <v>1</v>
      </c>
      <c r="F1390" s="2">
        <f>IFERROR(__xludf.DUMMYFUNCTION("""COMPUTED_VALUE"""),0.0)</f>
        <v>0</v>
      </c>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t="b">
        <f>IFERROR(__xludf.DUMMYFUNCTION("""COMPUTED_VALUE"""),FALSE)</f>
        <v>0</v>
      </c>
    </row>
    <row r="1391">
      <c r="A1391" s="1"/>
      <c r="B1391" s="1"/>
      <c r="C1391" s="1"/>
      <c r="D1391" s="1"/>
      <c r="E1391" s="1">
        <f>IFERROR(__xludf.DUMMYFUNCTION("""COMPUTED_VALUE"""),1.0)</f>
        <v>1</v>
      </c>
      <c r="F1391" s="2">
        <f>IFERROR(__xludf.DUMMYFUNCTION("""COMPUTED_VALUE"""),0.0)</f>
        <v>0</v>
      </c>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t="b">
        <f>IFERROR(__xludf.DUMMYFUNCTION("""COMPUTED_VALUE"""),FALSE)</f>
        <v>0</v>
      </c>
    </row>
    <row r="1392">
      <c r="A1392" s="1"/>
      <c r="B1392" s="1"/>
      <c r="C1392" s="1"/>
      <c r="D1392" s="1"/>
      <c r="E1392" s="1">
        <f>IFERROR(__xludf.DUMMYFUNCTION("""COMPUTED_VALUE"""),1.0)</f>
        <v>1</v>
      </c>
      <c r="F1392" s="2">
        <f>IFERROR(__xludf.DUMMYFUNCTION("""COMPUTED_VALUE"""),0.0)</f>
        <v>0</v>
      </c>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t="b">
        <f>IFERROR(__xludf.DUMMYFUNCTION("""COMPUTED_VALUE"""),FALSE)</f>
        <v>0</v>
      </c>
    </row>
    <row r="1393">
      <c r="A1393" s="1"/>
      <c r="B1393" s="1"/>
      <c r="C1393" s="1"/>
      <c r="D1393" s="1"/>
      <c r="E1393" s="1">
        <f>IFERROR(__xludf.DUMMYFUNCTION("""COMPUTED_VALUE"""),1.0)</f>
        <v>1</v>
      </c>
      <c r="F1393" s="2">
        <f>IFERROR(__xludf.DUMMYFUNCTION("""COMPUTED_VALUE"""),0.0)</f>
        <v>0</v>
      </c>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t="b">
        <f>IFERROR(__xludf.DUMMYFUNCTION("""COMPUTED_VALUE"""),FALSE)</f>
        <v>0</v>
      </c>
    </row>
    <row r="1394">
      <c r="A1394" s="1"/>
      <c r="B1394" s="1"/>
      <c r="C1394" s="1"/>
      <c r="D1394" s="1"/>
      <c r="E1394" s="1">
        <f>IFERROR(__xludf.DUMMYFUNCTION("""COMPUTED_VALUE"""),1.0)</f>
        <v>1</v>
      </c>
      <c r="F1394" s="2">
        <f>IFERROR(__xludf.DUMMYFUNCTION("""COMPUTED_VALUE"""),0.0)</f>
        <v>0</v>
      </c>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t="b">
        <f>IFERROR(__xludf.DUMMYFUNCTION("""COMPUTED_VALUE"""),FALSE)</f>
        <v>0</v>
      </c>
    </row>
    <row r="1395">
      <c r="A1395" s="1"/>
      <c r="B1395" s="1"/>
      <c r="C1395" s="1"/>
      <c r="D1395" s="1"/>
      <c r="E1395" s="1">
        <f>IFERROR(__xludf.DUMMYFUNCTION("""COMPUTED_VALUE"""),1.0)</f>
        <v>1</v>
      </c>
      <c r="F1395" s="2">
        <f>IFERROR(__xludf.DUMMYFUNCTION("""COMPUTED_VALUE"""),0.0)</f>
        <v>0</v>
      </c>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t="b">
        <f>IFERROR(__xludf.DUMMYFUNCTION("""COMPUTED_VALUE"""),FALSE)</f>
        <v>0</v>
      </c>
    </row>
    <row r="1396">
      <c r="A1396" s="1"/>
      <c r="B1396" s="1"/>
      <c r="C1396" s="1"/>
      <c r="D1396" s="1"/>
      <c r="E1396" s="1">
        <f>IFERROR(__xludf.DUMMYFUNCTION("""COMPUTED_VALUE"""),1.0)</f>
        <v>1</v>
      </c>
      <c r="F1396" s="2">
        <f>IFERROR(__xludf.DUMMYFUNCTION("""COMPUTED_VALUE"""),0.0)</f>
        <v>0</v>
      </c>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t="b">
        <f>IFERROR(__xludf.DUMMYFUNCTION("""COMPUTED_VALUE"""),FALSE)</f>
        <v>0</v>
      </c>
    </row>
    <row r="1397">
      <c r="A1397" s="1"/>
      <c r="B1397" s="1"/>
      <c r="C1397" s="1"/>
      <c r="D1397" s="1"/>
      <c r="E1397" s="1">
        <f>IFERROR(__xludf.DUMMYFUNCTION("""COMPUTED_VALUE"""),1.0)</f>
        <v>1</v>
      </c>
      <c r="F1397" s="2">
        <f>IFERROR(__xludf.DUMMYFUNCTION("""COMPUTED_VALUE"""),0.0)</f>
        <v>0</v>
      </c>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t="b">
        <f>IFERROR(__xludf.DUMMYFUNCTION("""COMPUTED_VALUE"""),FALSE)</f>
        <v>0</v>
      </c>
    </row>
    <row r="1398">
      <c r="A1398" s="1"/>
      <c r="B1398" s="1"/>
      <c r="C1398" s="1"/>
      <c r="D1398" s="1"/>
      <c r="E1398" s="1">
        <f>IFERROR(__xludf.DUMMYFUNCTION("""COMPUTED_VALUE"""),1.0)</f>
        <v>1</v>
      </c>
      <c r="F1398" s="2">
        <f>IFERROR(__xludf.DUMMYFUNCTION("""COMPUTED_VALUE"""),0.0)</f>
        <v>0</v>
      </c>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t="b">
        <f>IFERROR(__xludf.DUMMYFUNCTION("""COMPUTED_VALUE"""),FALSE)</f>
        <v>0</v>
      </c>
    </row>
    <row r="1399">
      <c r="A1399" s="1"/>
      <c r="B1399" s="1"/>
      <c r="C1399" s="1"/>
      <c r="D1399" s="1"/>
      <c r="E1399" s="1">
        <f>IFERROR(__xludf.DUMMYFUNCTION("""COMPUTED_VALUE"""),1.0)</f>
        <v>1</v>
      </c>
      <c r="F1399" s="2">
        <f>IFERROR(__xludf.DUMMYFUNCTION("""COMPUTED_VALUE"""),0.0)</f>
        <v>0</v>
      </c>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t="b">
        <f>IFERROR(__xludf.DUMMYFUNCTION("""COMPUTED_VALUE"""),FALSE)</f>
        <v>0</v>
      </c>
    </row>
    <row r="1400">
      <c r="A1400" s="1"/>
      <c r="B1400" s="1"/>
      <c r="C1400" s="1"/>
      <c r="D1400" s="1"/>
      <c r="E1400" s="1">
        <f>IFERROR(__xludf.DUMMYFUNCTION("""COMPUTED_VALUE"""),1.0)</f>
        <v>1</v>
      </c>
      <c r="F1400" s="2">
        <f>IFERROR(__xludf.DUMMYFUNCTION("""COMPUTED_VALUE"""),0.0)</f>
        <v>0</v>
      </c>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t="b">
        <f>IFERROR(__xludf.DUMMYFUNCTION("""COMPUTED_VALUE"""),FALSE)</f>
        <v>0</v>
      </c>
    </row>
    <row r="1401">
      <c r="A1401" s="1"/>
      <c r="B1401" s="1"/>
      <c r="C1401" s="1"/>
      <c r="D1401" s="1"/>
      <c r="E1401" s="1">
        <f>IFERROR(__xludf.DUMMYFUNCTION("""COMPUTED_VALUE"""),1.0)</f>
        <v>1</v>
      </c>
      <c r="F1401" s="2">
        <f>IFERROR(__xludf.DUMMYFUNCTION("""COMPUTED_VALUE"""),0.0)</f>
        <v>0</v>
      </c>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t="b">
        <f>IFERROR(__xludf.DUMMYFUNCTION("""COMPUTED_VALUE"""),FALSE)</f>
        <v>0</v>
      </c>
    </row>
    <row r="1402">
      <c r="A1402" s="1"/>
      <c r="B1402" s="1"/>
      <c r="C1402" s="1"/>
      <c r="D1402" s="1"/>
      <c r="E1402" s="1">
        <f>IFERROR(__xludf.DUMMYFUNCTION("""COMPUTED_VALUE"""),1.0)</f>
        <v>1</v>
      </c>
      <c r="F1402" s="2">
        <f>IFERROR(__xludf.DUMMYFUNCTION("""COMPUTED_VALUE"""),0.0)</f>
        <v>0</v>
      </c>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t="b">
        <f>IFERROR(__xludf.DUMMYFUNCTION("""COMPUTED_VALUE"""),FALSE)</f>
        <v>0</v>
      </c>
    </row>
    <row r="1403">
      <c r="A1403" s="1"/>
      <c r="B1403" s="1"/>
      <c r="C1403" s="1"/>
      <c r="D1403" s="1"/>
      <c r="E1403" s="1">
        <f>IFERROR(__xludf.DUMMYFUNCTION("""COMPUTED_VALUE"""),1.0)</f>
        <v>1</v>
      </c>
      <c r="F1403" s="2">
        <f>IFERROR(__xludf.DUMMYFUNCTION("""COMPUTED_VALUE"""),0.0)</f>
        <v>0</v>
      </c>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t="b">
        <f>IFERROR(__xludf.DUMMYFUNCTION("""COMPUTED_VALUE"""),FALSE)</f>
        <v>0</v>
      </c>
    </row>
    <row r="1404">
      <c r="A1404" s="1"/>
      <c r="B1404" s="1"/>
      <c r="C1404" s="1"/>
      <c r="D1404" s="1"/>
      <c r="E1404" s="1">
        <f>IFERROR(__xludf.DUMMYFUNCTION("""COMPUTED_VALUE"""),1.0)</f>
        <v>1</v>
      </c>
      <c r="F1404" s="2">
        <f>IFERROR(__xludf.DUMMYFUNCTION("""COMPUTED_VALUE"""),0.0)</f>
        <v>0</v>
      </c>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t="b">
        <f>IFERROR(__xludf.DUMMYFUNCTION("""COMPUTED_VALUE"""),FALSE)</f>
        <v>0</v>
      </c>
    </row>
    <row r="1405">
      <c r="A1405" s="1"/>
      <c r="B1405" s="1"/>
      <c r="C1405" s="1"/>
      <c r="D1405" s="1"/>
      <c r="E1405" s="1">
        <f>IFERROR(__xludf.DUMMYFUNCTION("""COMPUTED_VALUE"""),1.0)</f>
        <v>1</v>
      </c>
      <c r="F1405" s="2">
        <f>IFERROR(__xludf.DUMMYFUNCTION("""COMPUTED_VALUE"""),0.0)</f>
        <v>0</v>
      </c>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t="b">
        <f>IFERROR(__xludf.DUMMYFUNCTION("""COMPUTED_VALUE"""),FALSE)</f>
        <v>0</v>
      </c>
    </row>
    <row r="1406">
      <c r="A1406" s="1"/>
      <c r="B1406" s="1"/>
      <c r="C1406" s="1"/>
      <c r="D1406" s="1"/>
      <c r="E1406" s="1">
        <f>IFERROR(__xludf.DUMMYFUNCTION("""COMPUTED_VALUE"""),1.0)</f>
        <v>1</v>
      </c>
      <c r="F1406" s="2">
        <f>IFERROR(__xludf.DUMMYFUNCTION("""COMPUTED_VALUE"""),0.0)</f>
        <v>0</v>
      </c>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t="b">
        <f>IFERROR(__xludf.DUMMYFUNCTION("""COMPUTED_VALUE"""),FALSE)</f>
        <v>0</v>
      </c>
    </row>
    <row r="1407">
      <c r="A1407" s="1"/>
      <c r="B1407" s="1"/>
      <c r="C1407" s="1"/>
      <c r="D1407" s="1"/>
      <c r="E1407" s="1">
        <f>IFERROR(__xludf.DUMMYFUNCTION("""COMPUTED_VALUE"""),1.0)</f>
        <v>1</v>
      </c>
      <c r="F1407" s="2">
        <f>IFERROR(__xludf.DUMMYFUNCTION("""COMPUTED_VALUE"""),0.0)</f>
        <v>0</v>
      </c>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t="b">
        <f>IFERROR(__xludf.DUMMYFUNCTION("""COMPUTED_VALUE"""),FALSE)</f>
        <v>0</v>
      </c>
    </row>
    <row r="1408">
      <c r="A1408" s="1"/>
      <c r="B1408" s="1"/>
      <c r="C1408" s="1"/>
      <c r="D1408" s="1"/>
      <c r="E1408" s="1">
        <f>IFERROR(__xludf.DUMMYFUNCTION("""COMPUTED_VALUE"""),1.0)</f>
        <v>1</v>
      </c>
      <c r="F1408" s="2">
        <f>IFERROR(__xludf.DUMMYFUNCTION("""COMPUTED_VALUE"""),0.0)</f>
        <v>0</v>
      </c>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t="b">
        <f>IFERROR(__xludf.DUMMYFUNCTION("""COMPUTED_VALUE"""),FALSE)</f>
        <v>0</v>
      </c>
    </row>
    <row r="1409">
      <c r="A1409" s="1"/>
      <c r="B1409" s="1"/>
      <c r="C1409" s="1"/>
      <c r="D1409" s="1"/>
      <c r="E1409" s="1">
        <f>IFERROR(__xludf.DUMMYFUNCTION("""COMPUTED_VALUE"""),1.0)</f>
        <v>1</v>
      </c>
      <c r="F1409" s="2">
        <f>IFERROR(__xludf.DUMMYFUNCTION("""COMPUTED_VALUE"""),0.0)</f>
        <v>0</v>
      </c>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t="b">
        <f>IFERROR(__xludf.DUMMYFUNCTION("""COMPUTED_VALUE"""),FALSE)</f>
        <v>0</v>
      </c>
    </row>
    <row r="1410">
      <c r="A1410" s="1"/>
      <c r="B1410" s="1"/>
      <c r="C1410" s="1"/>
      <c r="D1410" s="1"/>
      <c r="E1410" s="1">
        <f>IFERROR(__xludf.DUMMYFUNCTION("""COMPUTED_VALUE"""),1.0)</f>
        <v>1</v>
      </c>
      <c r="F1410" s="2">
        <f>IFERROR(__xludf.DUMMYFUNCTION("""COMPUTED_VALUE"""),0.0)</f>
        <v>0</v>
      </c>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t="b">
        <f>IFERROR(__xludf.DUMMYFUNCTION("""COMPUTED_VALUE"""),FALSE)</f>
        <v>0</v>
      </c>
    </row>
    <row r="1411">
      <c r="A1411" s="1"/>
      <c r="B1411" s="1"/>
      <c r="C1411" s="1"/>
      <c r="D1411" s="1"/>
      <c r="E1411" s="1">
        <f>IFERROR(__xludf.DUMMYFUNCTION("""COMPUTED_VALUE"""),1.0)</f>
        <v>1</v>
      </c>
      <c r="F1411" s="2">
        <f>IFERROR(__xludf.DUMMYFUNCTION("""COMPUTED_VALUE"""),0.0)</f>
        <v>0</v>
      </c>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t="b">
        <f>IFERROR(__xludf.DUMMYFUNCTION("""COMPUTED_VALUE"""),FALSE)</f>
        <v>0</v>
      </c>
    </row>
    <row r="1412">
      <c r="A1412" s="1"/>
      <c r="B1412" s="1"/>
      <c r="C1412" s="1"/>
      <c r="D1412" s="1"/>
      <c r="E1412" s="1">
        <f>IFERROR(__xludf.DUMMYFUNCTION("""COMPUTED_VALUE"""),1.0)</f>
        <v>1</v>
      </c>
      <c r="F1412" s="2">
        <f>IFERROR(__xludf.DUMMYFUNCTION("""COMPUTED_VALUE"""),0.0)</f>
        <v>0</v>
      </c>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t="b">
        <f>IFERROR(__xludf.DUMMYFUNCTION("""COMPUTED_VALUE"""),FALSE)</f>
        <v>0</v>
      </c>
    </row>
    <row r="1413">
      <c r="A1413" s="1"/>
      <c r="B1413" s="1"/>
      <c r="C1413" s="1"/>
      <c r="D1413" s="1"/>
      <c r="E1413" s="1">
        <f>IFERROR(__xludf.DUMMYFUNCTION("""COMPUTED_VALUE"""),1.0)</f>
        <v>1</v>
      </c>
      <c r="F1413" s="2">
        <f>IFERROR(__xludf.DUMMYFUNCTION("""COMPUTED_VALUE"""),0.0)</f>
        <v>0</v>
      </c>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t="b">
        <f>IFERROR(__xludf.DUMMYFUNCTION("""COMPUTED_VALUE"""),FALSE)</f>
        <v>0</v>
      </c>
    </row>
    <row r="1414">
      <c r="A1414" s="1"/>
      <c r="B1414" s="1"/>
      <c r="C1414" s="1"/>
      <c r="D1414" s="1"/>
      <c r="E1414" s="1">
        <f>IFERROR(__xludf.DUMMYFUNCTION("""COMPUTED_VALUE"""),1.0)</f>
        <v>1</v>
      </c>
      <c r="F1414" s="2">
        <f>IFERROR(__xludf.DUMMYFUNCTION("""COMPUTED_VALUE"""),0.0)</f>
        <v>0</v>
      </c>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t="b">
        <f>IFERROR(__xludf.DUMMYFUNCTION("""COMPUTED_VALUE"""),FALSE)</f>
        <v>0</v>
      </c>
    </row>
    <row r="1415">
      <c r="A1415" s="1"/>
      <c r="B1415" s="1"/>
      <c r="C1415" s="1"/>
      <c r="D1415" s="1"/>
      <c r="E1415" s="1">
        <f>IFERROR(__xludf.DUMMYFUNCTION("""COMPUTED_VALUE"""),1.0)</f>
        <v>1</v>
      </c>
      <c r="F1415" s="2">
        <f>IFERROR(__xludf.DUMMYFUNCTION("""COMPUTED_VALUE"""),0.0)</f>
        <v>0</v>
      </c>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t="b">
        <f>IFERROR(__xludf.DUMMYFUNCTION("""COMPUTED_VALUE"""),FALSE)</f>
        <v>0</v>
      </c>
    </row>
    <row r="1416">
      <c r="A1416" s="1"/>
      <c r="B1416" s="1"/>
      <c r="C1416" s="1"/>
      <c r="D1416" s="1"/>
      <c r="E1416" s="1">
        <f>IFERROR(__xludf.DUMMYFUNCTION("""COMPUTED_VALUE"""),1.0)</f>
        <v>1</v>
      </c>
      <c r="F1416" s="2">
        <f>IFERROR(__xludf.DUMMYFUNCTION("""COMPUTED_VALUE"""),0.0)</f>
        <v>0</v>
      </c>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t="b">
        <f>IFERROR(__xludf.DUMMYFUNCTION("""COMPUTED_VALUE"""),FALSE)</f>
        <v>0</v>
      </c>
    </row>
    <row r="1417">
      <c r="A1417" s="1"/>
      <c r="B1417" s="1"/>
      <c r="C1417" s="1"/>
      <c r="D1417" s="1"/>
      <c r="E1417" s="1">
        <f>IFERROR(__xludf.DUMMYFUNCTION("""COMPUTED_VALUE"""),1.0)</f>
        <v>1</v>
      </c>
      <c r="F1417" s="2">
        <f>IFERROR(__xludf.DUMMYFUNCTION("""COMPUTED_VALUE"""),0.0)</f>
        <v>0</v>
      </c>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t="b">
        <f>IFERROR(__xludf.DUMMYFUNCTION("""COMPUTED_VALUE"""),FALSE)</f>
        <v>0</v>
      </c>
    </row>
    <row r="1418">
      <c r="A1418" s="1"/>
      <c r="B1418" s="1"/>
      <c r="C1418" s="1"/>
      <c r="D1418" s="1"/>
      <c r="E1418" s="1">
        <f>IFERROR(__xludf.DUMMYFUNCTION("""COMPUTED_VALUE"""),1.0)</f>
        <v>1</v>
      </c>
      <c r="F1418" s="2">
        <f>IFERROR(__xludf.DUMMYFUNCTION("""COMPUTED_VALUE"""),0.0)</f>
        <v>0</v>
      </c>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t="b">
        <f>IFERROR(__xludf.DUMMYFUNCTION("""COMPUTED_VALUE"""),FALSE)</f>
        <v>0</v>
      </c>
    </row>
    <row r="1419">
      <c r="A1419" s="1"/>
      <c r="B1419" s="1"/>
      <c r="C1419" s="1"/>
      <c r="D1419" s="1"/>
      <c r="E1419" s="1">
        <f>IFERROR(__xludf.DUMMYFUNCTION("""COMPUTED_VALUE"""),1.0)</f>
        <v>1</v>
      </c>
      <c r="F1419" s="2">
        <f>IFERROR(__xludf.DUMMYFUNCTION("""COMPUTED_VALUE"""),0.0)</f>
        <v>0</v>
      </c>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t="b">
        <f>IFERROR(__xludf.DUMMYFUNCTION("""COMPUTED_VALUE"""),FALSE)</f>
        <v>0</v>
      </c>
    </row>
    <row r="1420">
      <c r="A1420" s="1"/>
      <c r="B1420" s="1"/>
      <c r="C1420" s="1"/>
      <c r="D1420" s="1"/>
      <c r="E1420" s="1">
        <f>IFERROR(__xludf.DUMMYFUNCTION("""COMPUTED_VALUE"""),1.0)</f>
        <v>1</v>
      </c>
      <c r="F1420" s="2">
        <f>IFERROR(__xludf.DUMMYFUNCTION("""COMPUTED_VALUE"""),0.0)</f>
        <v>0</v>
      </c>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t="b">
        <f>IFERROR(__xludf.DUMMYFUNCTION("""COMPUTED_VALUE"""),FALSE)</f>
        <v>0</v>
      </c>
    </row>
    <row r="1421">
      <c r="A1421" s="1"/>
      <c r="B1421" s="1"/>
      <c r="C1421" s="1"/>
      <c r="D1421" s="1"/>
      <c r="E1421" s="1">
        <f>IFERROR(__xludf.DUMMYFUNCTION("""COMPUTED_VALUE"""),1.0)</f>
        <v>1</v>
      </c>
      <c r="F1421" s="2">
        <f>IFERROR(__xludf.DUMMYFUNCTION("""COMPUTED_VALUE"""),0.0)</f>
        <v>0</v>
      </c>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t="b">
        <f>IFERROR(__xludf.DUMMYFUNCTION("""COMPUTED_VALUE"""),FALSE)</f>
        <v>0</v>
      </c>
    </row>
    <row r="1422">
      <c r="A1422" s="1"/>
      <c r="B1422" s="1"/>
      <c r="C1422" s="1"/>
      <c r="D1422" s="1"/>
      <c r="E1422" s="1">
        <f>IFERROR(__xludf.DUMMYFUNCTION("""COMPUTED_VALUE"""),1.0)</f>
        <v>1</v>
      </c>
      <c r="F1422" s="2">
        <f>IFERROR(__xludf.DUMMYFUNCTION("""COMPUTED_VALUE"""),0.0)</f>
        <v>0</v>
      </c>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t="b">
        <f>IFERROR(__xludf.DUMMYFUNCTION("""COMPUTED_VALUE"""),FALSE)</f>
        <v>0</v>
      </c>
    </row>
    <row r="1423">
      <c r="A1423" s="1"/>
      <c r="B1423" s="1"/>
      <c r="C1423" s="1"/>
      <c r="D1423" s="1"/>
      <c r="E1423" s="1">
        <f>IFERROR(__xludf.DUMMYFUNCTION("""COMPUTED_VALUE"""),1.0)</f>
        <v>1</v>
      </c>
      <c r="F1423" s="2">
        <f>IFERROR(__xludf.DUMMYFUNCTION("""COMPUTED_VALUE"""),0.0)</f>
        <v>0</v>
      </c>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t="b">
        <f>IFERROR(__xludf.DUMMYFUNCTION("""COMPUTED_VALUE"""),FALSE)</f>
        <v>0</v>
      </c>
    </row>
    <row r="1424">
      <c r="A1424" s="1"/>
      <c r="B1424" s="1"/>
      <c r="C1424" s="1"/>
      <c r="D1424" s="1"/>
      <c r="E1424" s="1">
        <f>IFERROR(__xludf.DUMMYFUNCTION("""COMPUTED_VALUE"""),1.0)</f>
        <v>1</v>
      </c>
      <c r="F1424" s="2">
        <f>IFERROR(__xludf.DUMMYFUNCTION("""COMPUTED_VALUE"""),0.0)</f>
        <v>0</v>
      </c>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t="b">
        <f>IFERROR(__xludf.DUMMYFUNCTION("""COMPUTED_VALUE"""),FALSE)</f>
        <v>0</v>
      </c>
    </row>
    <row r="1425">
      <c r="A1425" s="1"/>
      <c r="B1425" s="1"/>
      <c r="C1425" s="1"/>
      <c r="D1425" s="1"/>
      <c r="E1425" s="1">
        <f>IFERROR(__xludf.DUMMYFUNCTION("""COMPUTED_VALUE"""),1.0)</f>
        <v>1</v>
      </c>
      <c r="F1425" s="2">
        <f>IFERROR(__xludf.DUMMYFUNCTION("""COMPUTED_VALUE"""),0.0)</f>
        <v>0</v>
      </c>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t="b">
        <f>IFERROR(__xludf.DUMMYFUNCTION("""COMPUTED_VALUE"""),FALSE)</f>
        <v>0</v>
      </c>
    </row>
    <row r="1426">
      <c r="A1426" s="1"/>
      <c r="B1426" s="1"/>
      <c r="C1426" s="1"/>
      <c r="D1426" s="1"/>
      <c r="E1426" s="1">
        <f>IFERROR(__xludf.DUMMYFUNCTION("""COMPUTED_VALUE"""),1.0)</f>
        <v>1</v>
      </c>
      <c r="F1426" s="2">
        <f>IFERROR(__xludf.DUMMYFUNCTION("""COMPUTED_VALUE"""),0.0)</f>
        <v>0</v>
      </c>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t="b">
        <f>IFERROR(__xludf.DUMMYFUNCTION("""COMPUTED_VALUE"""),FALSE)</f>
        <v>0</v>
      </c>
    </row>
    <row r="1427">
      <c r="A1427" s="1"/>
      <c r="B1427" s="1"/>
      <c r="C1427" s="1"/>
      <c r="D1427" s="1"/>
      <c r="E1427" s="1">
        <f>IFERROR(__xludf.DUMMYFUNCTION("""COMPUTED_VALUE"""),1.0)</f>
        <v>1</v>
      </c>
      <c r="F1427" s="2">
        <f>IFERROR(__xludf.DUMMYFUNCTION("""COMPUTED_VALUE"""),0.0)</f>
        <v>0</v>
      </c>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t="b">
        <f>IFERROR(__xludf.DUMMYFUNCTION("""COMPUTED_VALUE"""),FALSE)</f>
        <v>0</v>
      </c>
    </row>
    <row r="1428">
      <c r="A1428" s="1"/>
      <c r="B1428" s="1"/>
      <c r="C1428" s="1"/>
      <c r="D1428" s="1"/>
      <c r="E1428" s="1">
        <f>IFERROR(__xludf.DUMMYFUNCTION("""COMPUTED_VALUE"""),1.0)</f>
        <v>1</v>
      </c>
      <c r="F1428" s="2">
        <f>IFERROR(__xludf.DUMMYFUNCTION("""COMPUTED_VALUE"""),0.0)</f>
        <v>0</v>
      </c>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t="b">
        <f>IFERROR(__xludf.DUMMYFUNCTION("""COMPUTED_VALUE"""),FALSE)</f>
        <v>0</v>
      </c>
    </row>
    <row r="1429">
      <c r="A1429" s="1"/>
      <c r="B1429" s="1"/>
      <c r="C1429" s="1"/>
      <c r="D1429" s="1"/>
      <c r="E1429" s="1">
        <f>IFERROR(__xludf.DUMMYFUNCTION("""COMPUTED_VALUE"""),1.0)</f>
        <v>1</v>
      </c>
      <c r="F1429" s="2">
        <f>IFERROR(__xludf.DUMMYFUNCTION("""COMPUTED_VALUE"""),0.0)</f>
        <v>0</v>
      </c>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t="b">
        <f>IFERROR(__xludf.DUMMYFUNCTION("""COMPUTED_VALUE"""),FALSE)</f>
        <v>0</v>
      </c>
    </row>
    <row r="1430">
      <c r="A1430" s="1"/>
      <c r="B1430" s="1"/>
      <c r="C1430" s="1"/>
      <c r="D1430" s="1"/>
      <c r="E1430" s="1">
        <f>IFERROR(__xludf.DUMMYFUNCTION("""COMPUTED_VALUE"""),1.0)</f>
        <v>1</v>
      </c>
      <c r="F1430" s="2">
        <f>IFERROR(__xludf.DUMMYFUNCTION("""COMPUTED_VALUE"""),0.0)</f>
        <v>0</v>
      </c>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t="b">
        <f>IFERROR(__xludf.DUMMYFUNCTION("""COMPUTED_VALUE"""),FALSE)</f>
        <v>0</v>
      </c>
    </row>
    <row r="1431">
      <c r="A1431" s="1"/>
      <c r="B1431" s="1"/>
      <c r="C1431" s="1"/>
      <c r="D1431" s="1"/>
      <c r="E1431" s="1">
        <f>IFERROR(__xludf.DUMMYFUNCTION("""COMPUTED_VALUE"""),1.0)</f>
        <v>1</v>
      </c>
      <c r="F1431" s="2">
        <f>IFERROR(__xludf.DUMMYFUNCTION("""COMPUTED_VALUE"""),0.0)</f>
        <v>0</v>
      </c>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t="b">
        <f>IFERROR(__xludf.DUMMYFUNCTION("""COMPUTED_VALUE"""),FALSE)</f>
        <v>0</v>
      </c>
    </row>
    <row r="1432">
      <c r="A1432" s="1"/>
      <c r="B1432" s="1"/>
      <c r="C1432" s="1"/>
      <c r="D1432" s="1"/>
      <c r="E1432" s="1">
        <f>IFERROR(__xludf.DUMMYFUNCTION("""COMPUTED_VALUE"""),1.0)</f>
        <v>1</v>
      </c>
      <c r="F1432" s="2">
        <f>IFERROR(__xludf.DUMMYFUNCTION("""COMPUTED_VALUE"""),0.0)</f>
        <v>0</v>
      </c>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t="b">
        <f>IFERROR(__xludf.DUMMYFUNCTION("""COMPUTED_VALUE"""),FALSE)</f>
        <v>0</v>
      </c>
    </row>
    <row r="1433">
      <c r="A1433" s="1"/>
      <c r="B1433" s="1"/>
      <c r="C1433" s="1"/>
      <c r="D1433" s="1"/>
      <c r="E1433" s="1">
        <f>IFERROR(__xludf.DUMMYFUNCTION("""COMPUTED_VALUE"""),1.0)</f>
        <v>1</v>
      </c>
      <c r="F1433" s="2">
        <f>IFERROR(__xludf.DUMMYFUNCTION("""COMPUTED_VALUE"""),0.0)</f>
        <v>0</v>
      </c>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t="b">
        <f>IFERROR(__xludf.DUMMYFUNCTION("""COMPUTED_VALUE"""),FALSE)</f>
        <v>0</v>
      </c>
    </row>
    <row r="1434">
      <c r="A1434" s="1"/>
      <c r="B1434" s="1"/>
      <c r="C1434" s="1"/>
      <c r="D1434" s="1"/>
      <c r="E1434" s="1">
        <f>IFERROR(__xludf.DUMMYFUNCTION("""COMPUTED_VALUE"""),1.0)</f>
        <v>1</v>
      </c>
      <c r="F1434" s="2">
        <f>IFERROR(__xludf.DUMMYFUNCTION("""COMPUTED_VALUE"""),0.0)</f>
        <v>0</v>
      </c>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t="b">
        <f>IFERROR(__xludf.DUMMYFUNCTION("""COMPUTED_VALUE"""),FALSE)</f>
        <v>0</v>
      </c>
    </row>
    <row r="1435">
      <c r="A1435" s="1"/>
      <c r="B1435" s="1"/>
      <c r="C1435" s="1"/>
      <c r="D1435" s="1"/>
      <c r="E1435" s="1">
        <f>IFERROR(__xludf.DUMMYFUNCTION("""COMPUTED_VALUE"""),1.0)</f>
        <v>1</v>
      </c>
      <c r="F1435" s="2">
        <f>IFERROR(__xludf.DUMMYFUNCTION("""COMPUTED_VALUE"""),0.0)</f>
        <v>0</v>
      </c>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t="b">
        <f>IFERROR(__xludf.DUMMYFUNCTION("""COMPUTED_VALUE"""),FALSE)</f>
        <v>0</v>
      </c>
    </row>
    <row r="1436">
      <c r="A1436" s="1"/>
      <c r="B1436" s="1"/>
      <c r="C1436" s="1"/>
      <c r="D1436" s="1"/>
      <c r="E1436" s="1">
        <f>IFERROR(__xludf.DUMMYFUNCTION("""COMPUTED_VALUE"""),1.0)</f>
        <v>1</v>
      </c>
      <c r="F1436" s="2">
        <f>IFERROR(__xludf.DUMMYFUNCTION("""COMPUTED_VALUE"""),0.0)</f>
        <v>0</v>
      </c>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t="b">
        <f>IFERROR(__xludf.DUMMYFUNCTION("""COMPUTED_VALUE"""),FALSE)</f>
        <v>0</v>
      </c>
    </row>
    <row r="1437">
      <c r="A1437" s="1"/>
      <c r="B1437" s="1"/>
      <c r="C1437" s="1"/>
      <c r="D1437" s="1"/>
      <c r="E1437" s="1">
        <f>IFERROR(__xludf.DUMMYFUNCTION("""COMPUTED_VALUE"""),1.0)</f>
        <v>1</v>
      </c>
      <c r="F1437" s="2">
        <f>IFERROR(__xludf.DUMMYFUNCTION("""COMPUTED_VALUE"""),0.0)</f>
        <v>0</v>
      </c>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t="b">
        <f>IFERROR(__xludf.DUMMYFUNCTION("""COMPUTED_VALUE"""),FALSE)</f>
        <v>0</v>
      </c>
    </row>
    <row r="1438">
      <c r="A1438" s="1"/>
      <c r="B1438" s="1"/>
      <c r="C1438" s="1"/>
      <c r="D1438" s="1"/>
      <c r="E1438" s="1">
        <f>IFERROR(__xludf.DUMMYFUNCTION("""COMPUTED_VALUE"""),1.0)</f>
        <v>1</v>
      </c>
      <c r="F1438" s="2">
        <f>IFERROR(__xludf.DUMMYFUNCTION("""COMPUTED_VALUE"""),0.0)</f>
        <v>0</v>
      </c>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t="b">
        <f>IFERROR(__xludf.DUMMYFUNCTION("""COMPUTED_VALUE"""),FALSE)</f>
        <v>0</v>
      </c>
    </row>
    <row r="1439">
      <c r="A1439" s="1"/>
      <c r="B1439" s="1"/>
      <c r="C1439" s="1"/>
      <c r="D1439" s="1"/>
      <c r="E1439" s="1">
        <f>IFERROR(__xludf.DUMMYFUNCTION("""COMPUTED_VALUE"""),1.0)</f>
        <v>1</v>
      </c>
      <c r="F1439" s="2">
        <f>IFERROR(__xludf.DUMMYFUNCTION("""COMPUTED_VALUE"""),0.0)</f>
        <v>0</v>
      </c>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t="b">
        <f>IFERROR(__xludf.DUMMYFUNCTION("""COMPUTED_VALUE"""),FALSE)</f>
        <v>0</v>
      </c>
    </row>
    <row r="1440">
      <c r="A1440" s="1"/>
      <c r="B1440" s="1"/>
      <c r="C1440" s="1"/>
      <c r="D1440" s="1"/>
      <c r="E1440" s="1">
        <f>IFERROR(__xludf.DUMMYFUNCTION("""COMPUTED_VALUE"""),1.0)</f>
        <v>1</v>
      </c>
      <c r="F1440" s="2">
        <f>IFERROR(__xludf.DUMMYFUNCTION("""COMPUTED_VALUE"""),0.0)</f>
        <v>0</v>
      </c>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t="b">
        <f>IFERROR(__xludf.DUMMYFUNCTION("""COMPUTED_VALUE"""),FALSE)</f>
        <v>0</v>
      </c>
    </row>
    <row r="1441">
      <c r="A1441" s="1"/>
      <c r="B1441" s="1"/>
      <c r="C1441" s="1"/>
      <c r="D1441" s="1"/>
      <c r="E1441" s="1">
        <f>IFERROR(__xludf.DUMMYFUNCTION("""COMPUTED_VALUE"""),1.0)</f>
        <v>1</v>
      </c>
      <c r="F1441" s="2">
        <f>IFERROR(__xludf.DUMMYFUNCTION("""COMPUTED_VALUE"""),0.0)</f>
        <v>0</v>
      </c>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t="b">
        <f>IFERROR(__xludf.DUMMYFUNCTION("""COMPUTED_VALUE"""),FALSE)</f>
        <v>0</v>
      </c>
    </row>
    <row r="1442">
      <c r="A1442" s="1"/>
      <c r="B1442" s="1"/>
      <c r="C1442" s="1"/>
      <c r="D1442" s="1"/>
      <c r="E1442" s="1">
        <f>IFERROR(__xludf.DUMMYFUNCTION("""COMPUTED_VALUE"""),1.0)</f>
        <v>1</v>
      </c>
      <c r="F1442" s="2">
        <f>IFERROR(__xludf.DUMMYFUNCTION("""COMPUTED_VALUE"""),0.0)</f>
        <v>0</v>
      </c>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t="b">
        <f>IFERROR(__xludf.DUMMYFUNCTION("""COMPUTED_VALUE"""),FALSE)</f>
        <v>0</v>
      </c>
    </row>
    <row r="1443">
      <c r="A1443" s="1"/>
      <c r="B1443" s="1"/>
      <c r="C1443" s="1"/>
      <c r="D1443" s="1"/>
      <c r="E1443" s="1">
        <f>IFERROR(__xludf.DUMMYFUNCTION("""COMPUTED_VALUE"""),1.0)</f>
        <v>1</v>
      </c>
      <c r="F1443" s="2">
        <f>IFERROR(__xludf.DUMMYFUNCTION("""COMPUTED_VALUE"""),0.0)</f>
        <v>0</v>
      </c>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t="b">
        <f>IFERROR(__xludf.DUMMYFUNCTION("""COMPUTED_VALUE"""),FALSE)</f>
        <v>0</v>
      </c>
    </row>
    <row r="1444">
      <c r="A1444" s="1"/>
      <c r="B1444" s="1"/>
      <c r="C1444" s="1"/>
      <c r="D1444" s="1"/>
      <c r="E1444" s="1">
        <f>IFERROR(__xludf.DUMMYFUNCTION("""COMPUTED_VALUE"""),1.0)</f>
        <v>1</v>
      </c>
      <c r="F1444" s="2">
        <f>IFERROR(__xludf.DUMMYFUNCTION("""COMPUTED_VALUE"""),0.0)</f>
        <v>0</v>
      </c>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t="b">
        <f>IFERROR(__xludf.DUMMYFUNCTION("""COMPUTED_VALUE"""),FALSE)</f>
        <v>0</v>
      </c>
    </row>
    <row r="1445">
      <c r="A1445" s="1"/>
      <c r="B1445" s="1"/>
      <c r="C1445" s="1"/>
      <c r="D1445" s="1"/>
      <c r="E1445" s="1">
        <f>IFERROR(__xludf.DUMMYFUNCTION("""COMPUTED_VALUE"""),1.0)</f>
        <v>1</v>
      </c>
      <c r="F1445" s="2">
        <f>IFERROR(__xludf.DUMMYFUNCTION("""COMPUTED_VALUE"""),0.0)</f>
        <v>0</v>
      </c>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t="b">
        <f>IFERROR(__xludf.DUMMYFUNCTION("""COMPUTED_VALUE"""),FALSE)</f>
        <v>0</v>
      </c>
    </row>
    <row r="1446">
      <c r="A1446" s="1"/>
      <c r="B1446" s="1"/>
      <c r="C1446" s="1"/>
      <c r="D1446" s="1"/>
      <c r="E1446" s="1">
        <f>IFERROR(__xludf.DUMMYFUNCTION("""COMPUTED_VALUE"""),1.0)</f>
        <v>1</v>
      </c>
      <c r="F1446" s="2">
        <f>IFERROR(__xludf.DUMMYFUNCTION("""COMPUTED_VALUE"""),0.0)</f>
        <v>0</v>
      </c>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t="b">
        <f>IFERROR(__xludf.DUMMYFUNCTION("""COMPUTED_VALUE"""),FALSE)</f>
        <v>0</v>
      </c>
    </row>
    <row r="1447">
      <c r="A1447" s="1"/>
      <c r="B1447" s="1"/>
      <c r="C1447" s="1"/>
      <c r="D1447" s="1"/>
      <c r="E1447" s="1">
        <f>IFERROR(__xludf.DUMMYFUNCTION("""COMPUTED_VALUE"""),1.0)</f>
        <v>1</v>
      </c>
      <c r="F1447" s="2">
        <f>IFERROR(__xludf.DUMMYFUNCTION("""COMPUTED_VALUE"""),0.0)</f>
        <v>0</v>
      </c>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t="b">
        <f>IFERROR(__xludf.DUMMYFUNCTION("""COMPUTED_VALUE"""),FALSE)</f>
        <v>0</v>
      </c>
    </row>
    <row r="1448">
      <c r="A1448" s="1"/>
      <c r="B1448" s="1"/>
      <c r="C1448" s="1"/>
      <c r="D1448" s="1"/>
      <c r="E1448" s="1">
        <f>IFERROR(__xludf.DUMMYFUNCTION("""COMPUTED_VALUE"""),1.0)</f>
        <v>1</v>
      </c>
      <c r="F1448" s="2">
        <f>IFERROR(__xludf.DUMMYFUNCTION("""COMPUTED_VALUE"""),0.0)</f>
        <v>0</v>
      </c>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t="b">
        <f>IFERROR(__xludf.DUMMYFUNCTION("""COMPUTED_VALUE"""),FALSE)</f>
        <v>0</v>
      </c>
    </row>
    <row r="1449">
      <c r="A1449" s="1"/>
      <c r="B1449" s="1"/>
      <c r="C1449" s="1"/>
      <c r="D1449" s="1"/>
      <c r="E1449" s="1">
        <f>IFERROR(__xludf.DUMMYFUNCTION("""COMPUTED_VALUE"""),1.0)</f>
        <v>1</v>
      </c>
      <c r="F1449" s="2">
        <f>IFERROR(__xludf.DUMMYFUNCTION("""COMPUTED_VALUE"""),0.0)</f>
        <v>0</v>
      </c>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t="b">
        <f>IFERROR(__xludf.DUMMYFUNCTION("""COMPUTED_VALUE"""),FALSE)</f>
        <v>0</v>
      </c>
    </row>
    <row r="1450">
      <c r="A1450" s="1"/>
      <c r="B1450" s="1"/>
      <c r="C1450" s="1"/>
      <c r="D1450" s="1"/>
      <c r="E1450" s="1">
        <f>IFERROR(__xludf.DUMMYFUNCTION("""COMPUTED_VALUE"""),1.0)</f>
        <v>1</v>
      </c>
      <c r="F1450" s="2">
        <f>IFERROR(__xludf.DUMMYFUNCTION("""COMPUTED_VALUE"""),0.0)</f>
        <v>0</v>
      </c>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t="b">
        <f>IFERROR(__xludf.DUMMYFUNCTION("""COMPUTED_VALUE"""),FALSE)</f>
        <v>0</v>
      </c>
    </row>
    <row r="1451">
      <c r="A1451" s="1"/>
      <c r="B1451" s="1"/>
      <c r="C1451" s="1"/>
      <c r="D1451" s="1"/>
      <c r="E1451" s="1">
        <f>IFERROR(__xludf.DUMMYFUNCTION("""COMPUTED_VALUE"""),1.0)</f>
        <v>1</v>
      </c>
      <c r="F1451" s="2">
        <f>IFERROR(__xludf.DUMMYFUNCTION("""COMPUTED_VALUE"""),0.0)</f>
        <v>0</v>
      </c>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t="b">
        <f>IFERROR(__xludf.DUMMYFUNCTION("""COMPUTED_VALUE"""),FALSE)</f>
        <v>0</v>
      </c>
    </row>
    <row r="1452">
      <c r="A1452" s="1"/>
      <c r="B1452" s="1"/>
      <c r="C1452" s="1"/>
      <c r="D1452" s="1"/>
      <c r="E1452" s="1">
        <f>IFERROR(__xludf.DUMMYFUNCTION("""COMPUTED_VALUE"""),1.0)</f>
        <v>1</v>
      </c>
      <c r="F1452" s="2">
        <f>IFERROR(__xludf.DUMMYFUNCTION("""COMPUTED_VALUE"""),0.0)</f>
        <v>0</v>
      </c>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t="b">
        <f>IFERROR(__xludf.DUMMYFUNCTION("""COMPUTED_VALUE"""),FALSE)</f>
        <v>0</v>
      </c>
    </row>
    <row r="1453">
      <c r="A1453" s="1"/>
      <c r="B1453" s="1"/>
      <c r="C1453" s="1"/>
      <c r="D1453" s="1"/>
      <c r="E1453" s="1">
        <f>IFERROR(__xludf.DUMMYFUNCTION("""COMPUTED_VALUE"""),1.0)</f>
        <v>1</v>
      </c>
      <c r="F1453" s="2">
        <f>IFERROR(__xludf.DUMMYFUNCTION("""COMPUTED_VALUE"""),0.0)</f>
        <v>0</v>
      </c>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t="b">
        <f>IFERROR(__xludf.DUMMYFUNCTION("""COMPUTED_VALUE"""),FALSE)</f>
        <v>0</v>
      </c>
    </row>
    <row r="1454">
      <c r="A1454" s="1"/>
      <c r="B1454" s="1"/>
      <c r="C1454" s="1"/>
      <c r="D1454" s="1"/>
      <c r="E1454" s="1">
        <f>IFERROR(__xludf.DUMMYFUNCTION("""COMPUTED_VALUE"""),1.0)</f>
        <v>1</v>
      </c>
      <c r="F1454" s="2">
        <f>IFERROR(__xludf.DUMMYFUNCTION("""COMPUTED_VALUE"""),0.0)</f>
        <v>0</v>
      </c>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t="b">
        <f>IFERROR(__xludf.DUMMYFUNCTION("""COMPUTED_VALUE"""),FALSE)</f>
        <v>0</v>
      </c>
    </row>
    <row r="1455">
      <c r="A1455" s="1"/>
      <c r="B1455" s="1"/>
      <c r="C1455" s="1"/>
      <c r="D1455" s="1"/>
      <c r="E1455" s="1">
        <f>IFERROR(__xludf.DUMMYFUNCTION("""COMPUTED_VALUE"""),1.0)</f>
        <v>1</v>
      </c>
      <c r="F1455" s="2">
        <f>IFERROR(__xludf.DUMMYFUNCTION("""COMPUTED_VALUE"""),0.0)</f>
        <v>0</v>
      </c>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t="b">
        <f>IFERROR(__xludf.DUMMYFUNCTION("""COMPUTED_VALUE"""),FALSE)</f>
        <v>0</v>
      </c>
    </row>
    <row r="1456">
      <c r="A1456" s="1"/>
      <c r="B1456" s="1"/>
      <c r="C1456" s="1"/>
      <c r="D1456" s="1"/>
      <c r="E1456" s="1">
        <f>IFERROR(__xludf.DUMMYFUNCTION("""COMPUTED_VALUE"""),1.0)</f>
        <v>1</v>
      </c>
      <c r="F1456" s="2">
        <f>IFERROR(__xludf.DUMMYFUNCTION("""COMPUTED_VALUE"""),0.0)</f>
        <v>0</v>
      </c>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t="b">
        <f>IFERROR(__xludf.DUMMYFUNCTION("""COMPUTED_VALUE"""),FALSE)</f>
        <v>0</v>
      </c>
    </row>
    <row r="1457">
      <c r="A1457" s="1"/>
      <c r="B1457" s="1"/>
      <c r="C1457" s="1"/>
      <c r="D1457" s="1"/>
      <c r="E1457" s="1">
        <f>IFERROR(__xludf.DUMMYFUNCTION("""COMPUTED_VALUE"""),1.0)</f>
        <v>1</v>
      </c>
      <c r="F1457" s="2">
        <f>IFERROR(__xludf.DUMMYFUNCTION("""COMPUTED_VALUE"""),0.0)</f>
        <v>0</v>
      </c>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t="b">
        <f>IFERROR(__xludf.DUMMYFUNCTION("""COMPUTED_VALUE"""),FALSE)</f>
        <v>0</v>
      </c>
    </row>
    <row r="1458">
      <c r="A1458" s="1"/>
      <c r="B1458" s="1"/>
      <c r="C1458" s="1"/>
      <c r="D1458" s="1"/>
      <c r="E1458" s="1">
        <f>IFERROR(__xludf.DUMMYFUNCTION("""COMPUTED_VALUE"""),1.0)</f>
        <v>1</v>
      </c>
      <c r="F1458" s="2">
        <f>IFERROR(__xludf.DUMMYFUNCTION("""COMPUTED_VALUE"""),0.0)</f>
        <v>0</v>
      </c>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t="b">
        <f>IFERROR(__xludf.DUMMYFUNCTION("""COMPUTED_VALUE"""),FALSE)</f>
        <v>0</v>
      </c>
    </row>
    <row r="1459">
      <c r="A1459" s="1"/>
      <c r="B1459" s="1"/>
      <c r="C1459" s="1"/>
      <c r="D1459" s="1"/>
      <c r="E1459" s="1">
        <f>IFERROR(__xludf.DUMMYFUNCTION("""COMPUTED_VALUE"""),1.0)</f>
        <v>1</v>
      </c>
      <c r="F1459" s="2">
        <f>IFERROR(__xludf.DUMMYFUNCTION("""COMPUTED_VALUE"""),0.0)</f>
        <v>0</v>
      </c>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t="b">
        <f>IFERROR(__xludf.DUMMYFUNCTION("""COMPUTED_VALUE"""),FALSE)</f>
        <v>0</v>
      </c>
    </row>
    <row r="1460">
      <c r="A1460" s="1"/>
      <c r="B1460" s="1"/>
      <c r="C1460" s="1"/>
      <c r="D1460" s="1"/>
      <c r="E1460" s="1">
        <f>IFERROR(__xludf.DUMMYFUNCTION("""COMPUTED_VALUE"""),1.0)</f>
        <v>1</v>
      </c>
      <c r="F1460" s="2">
        <f>IFERROR(__xludf.DUMMYFUNCTION("""COMPUTED_VALUE"""),0.0)</f>
        <v>0</v>
      </c>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t="b">
        <f>IFERROR(__xludf.DUMMYFUNCTION("""COMPUTED_VALUE"""),FALSE)</f>
        <v>0</v>
      </c>
    </row>
    <row r="1461">
      <c r="A1461" s="1"/>
      <c r="B1461" s="1"/>
      <c r="C1461" s="1"/>
      <c r="D1461" s="1"/>
      <c r="E1461" s="1">
        <f>IFERROR(__xludf.DUMMYFUNCTION("""COMPUTED_VALUE"""),1.0)</f>
        <v>1</v>
      </c>
      <c r="F1461" s="2">
        <f>IFERROR(__xludf.DUMMYFUNCTION("""COMPUTED_VALUE"""),0.0)</f>
        <v>0</v>
      </c>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t="b">
        <f>IFERROR(__xludf.DUMMYFUNCTION("""COMPUTED_VALUE"""),FALSE)</f>
        <v>0</v>
      </c>
    </row>
    <row r="1462">
      <c r="A1462" s="1"/>
      <c r="B1462" s="1"/>
      <c r="C1462" s="1"/>
      <c r="D1462" s="1"/>
      <c r="E1462" s="1">
        <f>IFERROR(__xludf.DUMMYFUNCTION("""COMPUTED_VALUE"""),1.0)</f>
        <v>1</v>
      </c>
      <c r="F1462" s="2">
        <f>IFERROR(__xludf.DUMMYFUNCTION("""COMPUTED_VALUE"""),0.0)</f>
        <v>0</v>
      </c>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t="b">
        <f>IFERROR(__xludf.DUMMYFUNCTION("""COMPUTED_VALUE"""),FALSE)</f>
        <v>0</v>
      </c>
    </row>
    <row r="1463">
      <c r="A1463" s="1"/>
      <c r="B1463" s="1"/>
      <c r="C1463" s="1"/>
      <c r="D1463" s="1"/>
      <c r="E1463" s="1">
        <f>IFERROR(__xludf.DUMMYFUNCTION("""COMPUTED_VALUE"""),1.0)</f>
        <v>1</v>
      </c>
      <c r="F1463" s="2">
        <f>IFERROR(__xludf.DUMMYFUNCTION("""COMPUTED_VALUE"""),0.0)</f>
        <v>0</v>
      </c>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t="b">
        <f>IFERROR(__xludf.DUMMYFUNCTION("""COMPUTED_VALUE"""),FALSE)</f>
        <v>0</v>
      </c>
    </row>
    <row r="1464">
      <c r="A1464" s="1"/>
      <c r="B1464" s="1"/>
      <c r="C1464" s="1"/>
      <c r="D1464" s="1"/>
      <c r="E1464" s="1">
        <f>IFERROR(__xludf.DUMMYFUNCTION("""COMPUTED_VALUE"""),1.0)</f>
        <v>1</v>
      </c>
      <c r="F1464" s="2">
        <f>IFERROR(__xludf.DUMMYFUNCTION("""COMPUTED_VALUE"""),0.0)</f>
        <v>0</v>
      </c>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t="b">
        <f>IFERROR(__xludf.DUMMYFUNCTION("""COMPUTED_VALUE"""),FALSE)</f>
        <v>0</v>
      </c>
    </row>
    <row r="1465">
      <c r="A1465" s="1"/>
      <c r="B1465" s="1"/>
      <c r="C1465" s="1"/>
      <c r="D1465" s="1"/>
      <c r="E1465" s="1">
        <f>IFERROR(__xludf.DUMMYFUNCTION("""COMPUTED_VALUE"""),1.0)</f>
        <v>1</v>
      </c>
      <c r="F1465" s="2">
        <f>IFERROR(__xludf.DUMMYFUNCTION("""COMPUTED_VALUE"""),0.0)</f>
        <v>0</v>
      </c>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t="b">
        <f>IFERROR(__xludf.DUMMYFUNCTION("""COMPUTED_VALUE"""),FALSE)</f>
        <v>0</v>
      </c>
    </row>
    <row r="1466">
      <c r="A1466" s="1"/>
      <c r="B1466" s="1"/>
      <c r="C1466" s="1"/>
      <c r="D1466" s="1"/>
      <c r="E1466" s="1">
        <f>IFERROR(__xludf.DUMMYFUNCTION("""COMPUTED_VALUE"""),1.0)</f>
        <v>1</v>
      </c>
      <c r="F1466" s="2">
        <f>IFERROR(__xludf.DUMMYFUNCTION("""COMPUTED_VALUE"""),0.0)</f>
        <v>0</v>
      </c>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t="b">
        <f>IFERROR(__xludf.DUMMYFUNCTION("""COMPUTED_VALUE"""),FALSE)</f>
        <v>0</v>
      </c>
    </row>
    <row r="1467">
      <c r="A1467" s="1"/>
      <c r="B1467" s="1"/>
      <c r="C1467" s="1"/>
      <c r="D1467" s="1"/>
      <c r="E1467" s="1">
        <f>IFERROR(__xludf.DUMMYFUNCTION("""COMPUTED_VALUE"""),1.0)</f>
        <v>1</v>
      </c>
      <c r="F1467" s="2">
        <f>IFERROR(__xludf.DUMMYFUNCTION("""COMPUTED_VALUE"""),0.0)</f>
        <v>0</v>
      </c>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t="b">
        <f>IFERROR(__xludf.DUMMYFUNCTION("""COMPUTED_VALUE"""),FALSE)</f>
        <v>0</v>
      </c>
    </row>
    <row r="1468">
      <c r="A1468" s="1"/>
      <c r="B1468" s="1"/>
      <c r="C1468" s="1"/>
      <c r="D1468" s="1"/>
      <c r="E1468" s="1">
        <f>IFERROR(__xludf.DUMMYFUNCTION("""COMPUTED_VALUE"""),1.0)</f>
        <v>1</v>
      </c>
      <c r="F1468" s="2">
        <f>IFERROR(__xludf.DUMMYFUNCTION("""COMPUTED_VALUE"""),0.0)</f>
        <v>0</v>
      </c>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t="b">
        <f>IFERROR(__xludf.DUMMYFUNCTION("""COMPUTED_VALUE"""),FALSE)</f>
        <v>0</v>
      </c>
    </row>
    <row r="1469">
      <c r="A1469" s="1"/>
      <c r="B1469" s="1"/>
      <c r="C1469" s="1"/>
      <c r="D1469" s="1"/>
      <c r="E1469" s="1">
        <f>IFERROR(__xludf.DUMMYFUNCTION("""COMPUTED_VALUE"""),1.0)</f>
        <v>1</v>
      </c>
      <c r="F1469" s="2">
        <f>IFERROR(__xludf.DUMMYFUNCTION("""COMPUTED_VALUE"""),0.0)</f>
        <v>0</v>
      </c>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t="b">
        <f>IFERROR(__xludf.DUMMYFUNCTION("""COMPUTED_VALUE"""),FALSE)</f>
        <v>0</v>
      </c>
    </row>
    <row r="1470">
      <c r="A1470" s="1"/>
      <c r="B1470" s="1"/>
      <c r="C1470" s="1"/>
      <c r="D1470" s="1"/>
      <c r="E1470" s="1">
        <f>IFERROR(__xludf.DUMMYFUNCTION("""COMPUTED_VALUE"""),1.0)</f>
        <v>1</v>
      </c>
      <c r="F1470" s="2">
        <f>IFERROR(__xludf.DUMMYFUNCTION("""COMPUTED_VALUE"""),0.0)</f>
        <v>0</v>
      </c>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t="b">
        <f>IFERROR(__xludf.DUMMYFUNCTION("""COMPUTED_VALUE"""),FALSE)</f>
        <v>0</v>
      </c>
    </row>
    <row r="1471">
      <c r="A1471" s="1"/>
      <c r="B1471" s="1"/>
      <c r="C1471" s="1"/>
      <c r="D1471" s="1"/>
      <c r="E1471" s="1">
        <f>IFERROR(__xludf.DUMMYFUNCTION("""COMPUTED_VALUE"""),1.0)</f>
        <v>1</v>
      </c>
      <c r="F1471" s="2">
        <f>IFERROR(__xludf.DUMMYFUNCTION("""COMPUTED_VALUE"""),0.0)</f>
        <v>0</v>
      </c>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t="b">
        <f>IFERROR(__xludf.DUMMYFUNCTION("""COMPUTED_VALUE"""),FALSE)</f>
        <v>0</v>
      </c>
    </row>
    <row r="1472">
      <c r="A1472" s="1"/>
      <c r="B1472" s="1"/>
      <c r="C1472" s="1"/>
      <c r="D1472" s="1"/>
      <c r="E1472" s="1">
        <f>IFERROR(__xludf.DUMMYFUNCTION("""COMPUTED_VALUE"""),1.0)</f>
        <v>1</v>
      </c>
      <c r="F1472" s="2">
        <f>IFERROR(__xludf.DUMMYFUNCTION("""COMPUTED_VALUE"""),0.0)</f>
        <v>0</v>
      </c>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t="b">
        <f>IFERROR(__xludf.DUMMYFUNCTION("""COMPUTED_VALUE"""),FALSE)</f>
        <v>0</v>
      </c>
    </row>
    <row r="1473">
      <c r="A1473" s="1"/>
      <c r="B1473" s="1"/>
      <c r="C1473" s="1"/>
      <c r="D1473" s="1"/>
      <c r="E1473" s="1">
        <f>IFERROR(__xludf.DUMMYFUNCTION("""COMPUTED_VALUE"""),1.0)</f>
        <v>1</v>
      </c>
      <c r="F1473" s="2">
        <f>IFERROR(__xludf.DUMMYFUNCTION("""COMPUTED_VALUE"""),0.0)</f>
        <v>0</v>
      </c>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t="b">
        <f>IFERROR(__xludf.DUMMYFUNCTION("""COMPUTED_VALUE"""),FALSE)</f>
        <v>0</v>
      </c>
    </row>
    <row r="1474">
      <c r="A1474" s="1"/>
      <c r="B1474" s="1"/>
      <c r="C1474" s="1"/>
      <c r="D1474" s="1"/>
      <c r="E1474" s="1">
        <f>IFERROR(__xludf.DUMMYFUNCTION("""COMPUTED_VALUE"""),1.0)</f>
        <v>1</v>
      </c>
      <c r="F1474" s="2">
        <f>IFERROR(__xludf.DUMMYFUNCTION("""COMPUTED_VALUE"""),0.0)</f>
        <v>0</v>
      </c>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t="b">
        <f>IFERROR(__xludf.DUMMYFUNCTION("""COMPUTED_VALUE"""),FALSE)</f>
        <v>0</v>
      </c>
    </row>
    <row r="1475">
      <c r="A1475" s="1"/>
      <c r="B1475" s="1"/>
      <c r="C1475" s="1"/>
      <c r="D1475" s="1"/>
      <c r="E1475" s="1">
        <f>IFERROR(__xludf.DUMMYFUNCTION("""COMPUTED_VALUE"""),1.0)</f>
        <v>1</v>
      </c>
      <c r="F1475" s="2">
        <f>IFERROR(__xludf.DUMMYFUNCTION("""COMPUTED_VALUE"""),0.0)</f>
        <v>0</v>
      </c>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t="b">
        <f>IFERROR(__xludf.DUMMYFUNCTION("""COMPUTED_VALUE"""),FALSE)</f>
        <v>0</v>
      </c>
    </row>
    <row r="1476">
      <c r="A1476" s="1"/>
      <c r="B1476" s="1"/>
      <c r="C1476" s="1"/>
      <c r="D1476" s="1"/>
      <c r="E1476" s="1">
        <f>IFERROR(__xludf.DUMMYFUNCTION("""COMPUTED_VALUE"""),1.0)</f>
        <v>1</v>
      </c>
      <c r="F1476" s="2">
        <f>IFERROR(__xludf.DUMMYFUNCTION("""COMPUTED_VALUE"""),0.0)</f>
        <v>0</v>
      </c>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t="b">
        <f>IFERROR(__xludf.DUMMYFUNCTION("""COMPUTED_VALUE"""),FALSE)</f>
        <v>0</v>
      </c>
    </row>
    <row r="1477">
      <c r="A1477" s="1"/>
      <c r="B1477" s="1"/>
      <c r="C1477" s="1"/>
      <c r="D1477" s="1"/>
      <c r="E1477" s="1">
        <f>IFERROR(__xludf.DUMMYFUNCTION("""COMPUTED_VALUE"""),1.0)</f>
        <v>1</v>
      </c>
      <c r="F1477" s="2">
        <f>IFERROR(__xludf.DUMMYFUNCTION("""COMPUTED_VALUE"""),0.0)</f>
        <v>0</v>
      </c>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t="b">
        <f>IFERROR(__xludf.DUMMYFUNCTION("""COMPUTED_VALUE"""),FALSE)</f>
        <v>0</v>
      </c>
    </row>
    <row r="1478">
      <c r="A1478" s="1"/>
      <c r="B1478" s="1"/>
      <c r="C1478" s="1"/>
      <c r="D1478" s="1"/>
      <c r="E1478" s="1">
        <f>IFERROR(__xludf.DUMMYFUNCTION("""COMPUTED_VALUE"""),1.0)</f>
        <v>1</v>
      </c>
      <c r="F1478" s="2">
        <f>IFERROR(__xludf.DUMMYFUNCTION("""COMPUTED_VALUE"""),0.0)</f>
        <v>0</v>
      </c>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t="b">
        <f>IFERROR(__xludf.DUMMYFUNCTION("""COMPUTED_VALUE"""),FALSE)</f>
        <v>0</v>
      </c>
    </row>
    <row r="1479">
      <c r="A1479" s="1"/>
      <c r="B1479" s="1"/>
      <c r="C1479" s="1"/>
      <c r="D1479" s="1"/>
      <c r="E1479" s="1">
        <f>IFERROR(__xludf.DUMMYFUNCTION("""COMPUTED_VALUE"""),1.0)</f>
        <v>1</v>
      </c>
      <c r="F1479" s="2">
        <f>IFERROR(__xludf.DUMMYFUNCTION("""COMPUTED_VALUE"""),0.0)</f>
        <v>0</v>
      </c>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t="b">
        <f>IFERROR(__xludf.DUMMYFUNCTION("""COMPUTED_VALUE"""),FALSE)</f>
        <v>0</v>
      </c>
    </row>
    <row r="1480">
      <c r="A1480" s="1"/>
      <c r="B1480" s="1"/>
      <c r="C1480" s="1"/>
      <c r="D1480" s="1"/>
      <c r="E1480" s="1">
        <f>IFERROR(__xludf.DUMMYFUNCTION("""COMPUTED_VALUE"""),1.0)</f>
        <v>1</v>
      </c>
      <c r="F1480" s="2">
        <f>IFERROR(__xludf.DUMMYFUNCTION("""COMPUTED_VALUE"""),0.0)</f>
        <v>0</v>
      </c>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t="b">
        <f>IFERROR(__xludf.DUMMYFUNCTION("""COMPUTED_VALUE"""),FALSE)</f>
        <v>0</v>
      </c>
    </row>
    <row r="1481">
      <c r="A1481" s="1"/>
      <c r="B1481" s="1"/>
      <c r="C1481" s="1"/>
      <c r="D1481" s="1"/>
      <c r="E1481" s="1">
        <f>IFERROR(__xludf.DUMMYFUNCTION("""COMPUTED_VALUE"""),1.0)</f>
        <v>1</v>
      </c>
      <c r="F1481" s="2">
        <f>IFERROR(__xludf.DUMMYFUNCTION("""COMPUTED_VALUE"""),0.0)</f>
        <v>0</v>
      </c>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t="b">
        <f>IFERROR(__xludf.DUMMYFUNCTION("""COMPUTED_VALUE"""),FALSE)</f>
        <v>0</v>
      </c>
    </row>
    <row r="1482">
      <c r="A1482" s="1"/>
      <c r="B1482" s="1"/>
      <c r="C1482" s="1"/>
      <c r="D1482" s="1"/>
      <c r="E1482" s="1">
        <f>IFERROR(__xludf.DUMMYFUNCTION("""COMPUTED_VALUE"""),1.0)</f>
        <v>1</v>
      </c>
      <c r="F1482" s="2">
        <f>IFERROR(__xludf.DUMMYFUNCTION("""COMPUTED_VALUE"""),0.0)</f>
        <v>0</v>
      </c>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t="b">
        <f>IFERROR(__xludf.DUMMYFUNCTION("""COMPUTED_VALUE"""),FALSE)</f>
        <v>0</v>
      </c>
    </row>
    <row r="1483">
      <c r="A1483" s="1"/>
      <c r="B1483" s="1"/>
      <c r="C1483" s="1"/>
      <c r="D1483" s="1"/>
      <c r="E1483" s="1">
        <f>IFERROR(__xludf.DUMMYFUNCTION("""COMPUTED_VALUE"""),1.0)</f>
        <v>1</v>
      </c>
      <c r="F1483" s="2">
        <f>IFERROR(__xludf.DUMMYFUNCTION("""COMPUTED_VALUE"""),0.0)</f>
        <v>0</v>
      </c>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t="b">
        <f>IFERROR(__xludf.DUMMYFUNCTION("""COMPUTED_VALUE"""),FALSE)</f>
        <v>0</v>
      </c>
    </row>
    <row r="1484">
      <c r="A1484" s="1"/>
      <c r="B1484" s="1"/>
      <c r="C1484" s="1"/>
      <c r="D1484" s="1"/>
      <c r="E1484" s="1">
        <f>IFERROR(__xludf.DUMMYFUNCTION("""COMPUTED_VALUE"""),1.0)</f>
        <v>1</v>
      </c>
      <c r="F1484" s="2">
        <f>IFERROR(__xludf.DUMMYFUNCTION("""COMPUTED_VALUE"""),0.0)</f>
        <v>0</v>
      </c>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t="b">
        <f>IFERROR(__xludf.DUMMYFUNCTION("""COMPUTED_VALUE"""),FALSE)</f>
        <v>0</v>
      </c>
    </row>
    <row r="1485">
      <c r="A1485" s="1"/>
      <c r="B1485" s="1"/>
      <c r="C1485" s="1"/>
      <c r="D1485" s="1"/>
      <c r="E1485" s="1">
        <f>IFERROR(__xludf.DUMMYFUNCTION("""COMPUTED_VALUE"""),1.0)</f>
        <v>1</v>
      </c>
      <c r="F1485" s="2">
        <f>IFERROR(__xludf.DUMMYFUNCTION("""COMPUTED_VALUE"""),0.0)</f>
        <v>0</v>
      </c>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t="b">
        <f>IFERROR(__xludf.DUMMYFUNCTION("""COMPUTED_VALUE"""),FALSE)</f>
        <v>0</v>
      </c>
    </row>
    <row r="1486">
      <c r="A1486" s="1"/>
      <c r="B1486" s="1"/>
      <c r="C1486" s="1"/>
      <c r="D1486" s="1"/>
      <c r="E1486" s="1">
        <f>IFERROR(__xludf.DUMMYFUNCTION("""COMPUTED_VALUE"""),1.0)</f>
        <v>1</v>
      </c>
      <c r="F1486" s="2">
        <f>IFERROR(__xludf.DUMMYFUNCTION("""COMPUTED_VALUE"""),0.0)</f>
        <v>0</v>
      </c>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t="b">
        <f>IFERROR(__xludf.DUMMYFUNCTION("""COMPUTED_VALUE"""),FALSE)</f>
        <v>0</v>
      </c>
    </row>
    <row r="1487">
      <c r="A1487" s="1"/>
      <c r="B1487" s="1"/>
      <c r="C1487" s="1"/>
      <c r="D1487" s="1"/>
      <c r="E1487" s="1">
        <f>IFERROR(__xludf.DUMMYFUNCTION("""COMPUTED_VALUE"""),1.0)</f>
        <v>1</v>
      </c>
      <c r="F1487" s="2">
        <f>IFERROR(__xludf.DUMMYFUNCTION("""COMPUTED_VALUE"""),0.0)</f>
        <v>0</v>
      </c>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t="b">
        <f>IFERROR(__xludf.DUMMYFUNCTION("""COMPUTED_VALUE"""),FALSE)</f>
        <v>0</v>
      </c>
    </row>
    <row r="1488">
      <c r="A1488" s="1"/>
      <c r="B1488" s="1"/>
      <c r="C1488" s="1"/>
      <c r="D1488" s="1"/>
      <c r="E1488" s="1">
        <f>IFERROR(__xludf.DUMMYFUNCTION("""COMPUTED_VALUE"""),1.0)</f>
        <v>1</v>
      </c>
      <c r="F1488" s="2">
        <f>IFERROR(__xludf.DUMMYFUNCTION("""COMPUTED_VALUE"""),0.0)</f>
        <v>0</v>
      </c>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t="b">
        <f>IFERROR(__xludf.DUMMYFUNCTION("""COMPUTED_VALUE"""),FALSE)</f>
        <v>0</v>
      </c>
    </row>
    <row r="1489">
      <c r="A1489" s="1"/>
      <c r="B1489" s="1"/>
      <c r="C1489" s="1"/>
      <c r="D1489" s="1"/>
      <c r="E1489" s="1">
        <f>IFERROR(__xludf.DUMMYFUNCTION("""COMPUTED_VALUE"""),1.0)</f>
        <v>1</v>
      </c>
      <c r="F1489" s="2">
        <f>IFERROR(__xludf.DUMMYFUNCTION("""COMPUTED_VALUE"""),0.0)</f>
        <v>0</v>
      </c>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t="b">
        <f>IFERROR(__xludf.DUMMYFUNCTION("""COMPUTED_VALUE"""),FALSE)</f>
        <v>0</v>
      </c>
    </row>
    <row r="1490">
      <c r="A1490" s="1"/>
      <c r="B1490" s="1"/>
      <c r="C1490" s="1"/>
      <c r="D1490" s="1"/>
      <c r="E1490" s="1">
        <f>IFERROR(__xludf.DUMMYFUNCTION("""COMPUTED_VALUE"""),1.0)</f>
        <v>1</v>
      </c>
      <c r="F1490" s="2">
        <f>IFERROR(__xludf.DUMMYFUNCTION("""COMPUTED_VALUE"""),0.0)</f>
        <v>0</v>
      </c>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t="b">
        <f>IFERROR(__xludf.DUMMYFUNCTION("""COMPUTED_VALUE"""),FALSE)</f>
        <v>0</v>
      </c>
    </row>
    <row r="1491">
      <c r="A1491" s="1"/>
      <c r="B1491" s="1"/>
      <c r="C1491" s="1"/>
      <c r="D1491" s="1"/>
      <c r="E1491" s="1">
        <f>IFERROR(__xludf.DUMMYFUNCTION("""COMPUTED_VALUE"""),1.0)</f>
        <v>1</v>
      </c>
      <c r="F1491" s="2">
        <f>IFERROR(__xludf.DUMMYFUNCTION("""COMPUTED_VALUE"""),0.0)</f>
        <v>0</v>
      </c>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t="b">
        <f>IFERROR(__xludf.DUMMYFUNCTION("""COMPUTED_VALUE"""),FALSE)</f>
        <v>0</v>
      </c>
    </row>
    <row r="1492">
      <c r="A1492" s="1"/>
      <c r="B1492" s="1"/>
      <c r="C1492" s="1"/>
      <c r="D1492" s="1"/>
      <c r="E1492" s="1">
        <f>IFERROR(__xludf.DUMMYFUNCTION("""COMPUTED_VALUE"""),1.0)</f>
        <v>1</v>
      </c>
      <c r="F1492" s="2">
        <f>IFERROR(__xludf.DUMMYFUNCTION("""COMPUTED_VALUE"""),0.0)</f>
        <v>0</v>
      </c>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t="b">
        <f>IFERROR(__xludf.DUMMYFUNCTION("""COMPUTED_VALUE"""),FALSE)</f>
        <v>0</v>
      </c>
    </row>
    <row r="1493">
      <c r="A1493" s="1"/>
      <c r="B1493" s="1"/>
      <c r="C1493" s="1"/>
      <c r="D1493" s="1"/>
      <c r="E1493" s="1">
        <f>IFERROR(__xludf.DUMMYFUNCTION("""COMPUTED_VALUE"""),1.0)</f>
        <v>1</v>
      </c>
      <c r="F1493" s="2">
        <f>IFERROR(__xludf.DUMMYFUNCTION("""COMPUTED_VALUE"""),0.0)</f>
        <v>0</v>
      </c>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t="b">
        <f>IFERROR(__xludf.DUMMYFUNCTION("""COMPUTED_VALUE"""),FALSE)</f>
        <v>0</v>
      </c>
    </row>
    <row r="1494">
      <c r="A1494" s="1"/>
      <c r="B1494" s="1"/>
      <c r="C1494" s="1"/>
      <c r="D1494" s="1"/>
      <c r="E1494" s="1">
        <f>IFERROR(__xludf.DUMMYFUNCTION("""COMPUTED_VALUE"""),1.0)</f>
        <v>1</v>
      </c>
      <c r="F1494" s="2">
        <f>IFERROR(__xludf.DUMMYFUNCTION("""COMPUTED_VALUE"""),0.0)</f>
        <v>0</v>
      </c>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t="b">
        <f>IFERROR(__xludf.DUMMYFUNCTION("""COMPUTED_VALUE"""),FALSE)</f>
        <v>0</v>
      </c>
    </row>
    <row r="1495">
      <c r="A1495" s="1"/>
      <c r="B1495" s="1"/>
      <c r="C1495" s="1"/>
      <c r="D1495" s="1"/>
      <c r="E1495" s="1">
        <f>IFERROR(__xludf.DUMMYFUNCTION("""COMPUTED_VALUE"""),1.0)</f>
        <v>1</v>
      </c>
      <c r="F1495" s="2">
        <f>IFERROR(__xludf.DUMMYFUNCTION("""COMPUTED_VALUE"""),0.0)</f>
        <v>0</v>
      </c>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t="b">
        <f>IFERROR(__xludf.DUMMYFUNCTION("""COMPUTED_VALUE"""),FALSE)</f>
        <v>0</v>
      </c>
    </row>
    <row r="1496">
      <c r="A1496" s="1"/>
      <c r="B1496" s="1"/>
      <c r="C1496" s="1"/>
      <c r="D1496" s="1"/>
      <c r="E1496" s="1">
        <f>IFERROR(__xludf.DUMMYFUNCTION("""COMPUTED_VALUE"""),1.0)</f>
        <v>1</v>
      </c>
      <c r="F1496" s="2">
        <f>IFERROR(__xludf.DUMMYFUNCTION("""COMPUTED_VALUE"""),0.0)</f>
        <v>0</v>
      </c>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t="b">
        <f>IFERROR(__xludf.DUMMYFUNCTION("""COMPUTED_VALUE"""),FALSE)</f>
        <v>0</v>
      </c>
    </row>
    <row r="1497">
      <c r="A1497" s="1"/>
      <c r="B1497" s="1"/>
      <c r="C1497" s="1"/>
      <c r="D1497" s="1"/>
      <c r="E1497" s="1">
        <f>IFERROR(__xludf.DUMMYFUNCTION("""COMPUTED_VALUE"""),1.0)</f>
        <v>1</v>
      </c>
      <c r="F1497" s="2">
        <f>IFERROR(__xludf.DUMMYFUNCTION("""COMPUTED_VALUE"""),0.0)</f>
        <v>0</v>
      </c>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t="b">
        <f>IFERROR(__xludf.DUMMYFUNCTION("""COMPUTED_VALUE"""),FALSE)</f>
        <v>0</v>
      </c>
    </row>
    <row r="1498">
      <c r="A1498" s="1"/>
      <c r="B1498" s="1"/>
      <c r="C1498" s="1"/>
      <c r="D1498" s="1"/>
      <c r="E1498" s="1">
        <f>IFERROR(__xludf.DUMMYFUNCTION("""COMPUTED_VALUE"""),1.0)</f>
        <v>1</v>
      </c>
      <c r="F1498" s="2">
        <f>IFERROR(__xludf.DUMMYFUNCTION("""COMPUTED_VALUE"""),0.0)</f>
        <v>0</v>
      </c>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t="b">
        <f>IFERROR(__xludf.DUMMYFUNCTION("""COMPUTED_VALUE"""),FALSE)</f>
        <v>0</v>
      </c>
    </row>
    <row r="1499">
      <c r="A1499" s="1"/>
      <c r="B1499" s="1"/>
      <c r="C1499" s="1"/>
      <c r="D1499" s="1"/>
      <c r="E1499" s="1">
        <f>IFERROR(__xludf.DUMMYFUNCTION("""COMPUTED_VALUE"""),1.0)</f>
        <v>1</v>
      </c>
      <c r="F1499" s="2">
        <f>IFERROR(__xludf.DUMMYFUNCTION("""COMPUTED_VALUE"""),0.0)</f>
        <v>0</v>
      </c>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t="b">
        <f>IFERROR(__xludf.DUMMYFUNCTION("""COMPUTED_VALUE"""),FALSE)</f>
        <v>0</v>
      </c>
    </row>
    <row r="1500">
      <c r="A1500" s="1"/>
      <c r="B1500" s="1"/>
      <c r="C1500" s="1"/>
      <c r="D1500" s="1"/>
      <c r="E1500" s="1">
        <f>IFERROR(__xludf.DUMMYFUNCTION("""COMPUTED_VALUE"""),1.0)</f>
        <v>1</v>
      </c>
      <c r="F1500" s="2">
        <f>IFERROR(__xludf.DUMMYFUNCTION("""COMPUTED_VALUE"""),0.0)</f>
        <v>0</v>
      </c>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t="b">
        <f>IFERROR(__xludf.DUMMYFUNCTION("""COMPUTED_VALUE"""),FALSE)</f>
        <v>0</v>
      </c>
    </row>
    <row r="1501">
      <c r="A1501" s="1"/>
      <c r="B1501" s="1"/>
      <c r="C1501" s="1"/>
      <c r="D1501" s="1"/>
      <c r="E1501" s="1">
        <f>IFERROR(__xludf.DUMMYFUNCTION("""COMPUTED_VALUE"""),1.0)</f>
        <v>1</v>
      </c>
      <c r="F1501" s="2">
        <f>IFERROR(__xludf.DUMMYFUNCTION("""COMPUTED_VALUE"""),0.0)</f>
        <v>0</v>
      </c>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t="b">
        <f>IFERROR(__xludf.DUMMYFUNCTION("""COMPUTED_VALUE"""),FALSE)</f>
        <v>0</v>
      </c>
    </row>
    <row r="1502">
      <c r="A1502" s="1"/>
      <c r="B1502" s="1"/>
      <c r="C1502" s="1"/>
      <c r="D1502" s="1"/>
      <c r="E1502" s="1">
        <f>IFERROR(__xludf.DUMMYFUNCTION("""COMPUTED_VALUE"""),1.0)</f>
        <v>1</v>
      </c>
      <c r="F1502" s="2">
        <f>IFERROR(__xludf.DUMMYFUNCTION("""COMPUTED_VALUE"""),0.0)</f>
        <v>0</v>
      </c>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t="b">
        <f>IFERROR(__xludf.DUMMYFUNCTION("""COMPUTED_VALUE"""),FALSE)</f>
        <v>0</v>
      </c>
    </row>
    <row r="1503">
      <c r="A1503" s="1"/>
      <c r="B1503" s="1"/>
      <c r="C1503" s="1"/>
      <c r="D1503" s="1"/>
      <c r="E1503" s="1">
        <f>IFERROR(__xludf.DUMMYFUNCTION("""COMPUTED_VALUE"""),1.0)</f>
        <v>1</v>
      </c>
      <c r="F1503" s="2">
        <f>IFERROR(__xludf.DUMMYFUNCTION("""COMPUTED_VALUE"""),0.0)</f>
        <v>0</v>
      </c>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t="b">
        <f>IFERROR(__xludf.DUMMYFUNCTION("""COMPUTED_VALUE"""),FALSE)</f>
        <v>0</v>
      </c>
    </row>
    <row r="1504">
      <c r="A1504" s="1"/>
      <c r="B1504" s="1"/>
      <c r="C1504" s="1"/>
      <c r="D1504" s="1"/>
      <c r="E1504" s="1">
        <f>IFERROR(__xludf.DUMMYFUNCTION("""COMPUTED_VALUE"""),1.0)</f>
        <v>1</v>
      </c>
      <c r="F1504" s="2">
        <f>IFERROR(__xludf.DUMMYFUNCTION("""COMPUTED_VALUE"""),0.0)</f>
        <v>0</v>
      </c>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t="b">
        <f>IFERROR(__xludf.DUMMYFUNCTION("""COMPUTED_VALUE"""),FALSE)</f>
        <v>0</v>
      </c>
    </row>
    <row r="1505">
      <c r="A1505" s="1"/>
      <c r="B1505" s="1"/>
      <c r="C1505" s="1"/>
      <c r="D1505" s="1"/>
      <c r="E1505" s="1">
        <f>IFERROR(__xludf.DUMMYFUNCTION("""COMPUTED_VALUE"""),1.0)</f>
        <v>1</v>
      </c>
      <c r="F1505" s="2">
        <f>IFERROR(__xludf.DUMMYFUNCTION("""COMPUTED_VALUE"""),0.0)</f>
        <v>0</v>
      </c>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t="b">
        <f>IFERROR(__xludf.DUMMYFUNCTION("""COMPUTED_VALUE"""),FALSE)</f>
        <v>0</v>
      </c>
    </row>
    <row r="1506">
      <c r="A1506" s="1"/>
      <c r="B1506" s="1"/>
      <c r="C1506" s="1"/>
      <c r="D1506" s="1"/>
      <c r="E1506" s="1">
        <f>IFERROR(__xludf.DUMMYFUNCTION("""COMPUTED_VALUE"""),1.0)</f>
        <v>1</v>
      </c>
      <c r="F1506" s="2">
        <f>IFERROR(__xludf.DUMMYFUNCTION("""COMPUTED_VALUE"""),0.0)</f>
        <v>0</v>
      </c>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t="b">
        <f>IFERROR(__xludf.DUMMYFUNCTION("""COMPUTED_VALUE"""),FALSE)</f>
        <v>0</v>
      </c>
    </row>
    <row r="1507">
      <c r="A1507" s="1"/>
      <c r="B1507" s="1"/>
      <c r="C1507" s="1"/>
      <c r="D1507" s="1"/>
      <c r="E1507" s="1">
        <f>IFERROR(__xludf.DUMMYFUNCTION("""COMPUTED_VALUE"""),1.0)</f>
        <v>1</v>
      </c>
      <c r="F1507" s="2">
        <f>IFERROR(__xludf.DUMMYFUNCTION("""COMPUTED_VALUE"""),0.0)</f>
        <v>0</v>
      </c>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t="b">
        <f>IFERROR(__xludf.DUMMYFUNCTION("""COMPUTED_VALUE"""),FALSE)</f>
        <v>0</v>
      </c>
    </row>
    <row r="1508">
      <c r="A1508" s="1"/>
      <c r="B1508" s="1"/>
      <c r="C1508" s="1"/>
      <c r="D1508" s="1"/>
      <c r="E1508" s="1">
        <f>IFERROR(__xludf.DUMMYFUNCTION("""COMPUTED_VALUE"""),1.0)</f>
        <v>1</v>
      </c>
      <c r="F1508" s="2">
        <f>IFERROR(__xludf.DUMMYFUNCTION("""COMPUTED_VALUE"""),0.0)</f>
        <v>0</v>
      </c>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t="b">
        <f>IFERROR(__xludf.DUMMYFUNCTION("""COMPUTED_VALUE"""),FALSE)</f>
        <v>0</v>
      </c>
    </row>
    <row r="1509">
      <c r="A1509" s="1"/>
      <c r="B1509" s="1"/>
      <c r="C1509" s="1"/>
      <c r="D1509" s="1"/>
      <c r="E1509" s="1">
        <f>IFERROR(__xludf.DUMMYFUNCTION("""COMPUTED_VALUE"""),1.0)</f>
        <v>1</v>
      </c>
      <c r="F1509" s="2">
        <f>IFERROR(__xludf.DUMMYFUNCTION("""COMPUTED_VALUE"""),0.0)</f>
        <v>0</v>
      </c>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t="b">
        <f>IFERROR(__xludf.DUMMYFUNCTION("""COMPUTED_VALUE"""),FALSE)</f>
        <v>0</v>
      </c>
    </row>
    <row r="1510">
      <c r="A1510" s="1"/>
      <c r="B1510" s="1"/>
      <c r="C1510" s="1"/>
      <c r="D1510" s="1"/>
      <c r="E1510" s="1">
        <f>IFERROR(__xludf.DUMMYFUNCTION("""COMPUTED_VALUE"""),1.0)</f>
        <v>1</v>
      </c>
      <c r="F1510" s="2">
        <f>IFERROR(__xludf.DUMMYFUNCTION("""COMPUTED_VALUE"""),0.0)</f>
        <v>0</v>
      </c>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t="b">
        <f>IFERROR(__xludf.DUMMYFUNCTION("""COMPUTED_VALUE"""),FALSE)</f>
        <v>0</v>
      </c>
    </row>
    <row r="1511">
      <c r="A1511" s="1"/>
      <c r="B1511" s="1"/>
      <c r="C1511" s="1"/>
      <c r="D1511" s="1"/>
      <c r="E1511" s="1">
        <f>IFERROR(__xludf.DUMMYFUNCTION("""COMPUTED_VALUE"""),1.0)</f>
        <v>1</v>
      </c>
      <c r="F1511" s="2">
        <f>IFERROR(__xludf.DUMMYFUNCTION("""COMPUTED_VALUE"""),0.0)</f>
        <v>0</v>
      </c>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t="b">
        <f>IFERROR(__xludf.DUMMYFUNCTION("""COMPUTED_VALUE"""),FALSE)</f>
        <v>0</v>
      </c>
    </row>
    <row r="1512">
      <c r="A1512" s="1"/>
      <c r="B1512" s="1"/>
      <c r="C1512" s="1"/>
      <c r="D1512" s="1"/>
      <c r="E1512" s="1">
        <f>IFERROR(__xludf.DUMMYFUNCTION("""COMPUTED_VALUE"""),1.0)</f>
        <v>1</v>
      </c>
      <c r="F1512" s="2">
        <f>IFERROR(__xludf.DUMMYFUNCTION("""COMPUTED_VALUE"""),0.0)</f>
        <v>0</v>
      </c>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t="b">
        <f>IFERROR(__xludf.DUMMYFUNCTION("""COMPUTED_VALUE"""),FALSE)</f>
        <v>0</v>
      </c>
    </row>
    <row r="1513">
      <c r="A1513" s="1"/>
      <c r="B1513" s="1"/>
      <c r="C1513" s="1"/>
      <c r="D1513" s="1"/>
      <c r="E1513" s="1">
        <f>IFERROR(__xludf.DUMMYFUNCTION("""COMPUTED_VALUE"""),1.0)</f>
        <v>1</v>
      </c>
      <c r="F1513" s="2">
        <f>IFERROR(__xludf.DUMMYFUNCTION("""COMPUTED_VALUE"""),0.0)</f>
        <v>0</v>
      </c>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t="b">
        <f>IFERROR(__xludf.DUMMYFUNCTION("""COMPUTED_VALUE"""),FALSE)</f>
        <v>0</v>
      </c>
    </row>
    <row r="1514">
      <c r="A1514" s="1"/>
      <c r="B1514" s="1"/>
      <c r="C1514" s="1"/>
      <c r="D1514" s="1"/>
      <c r="E1514" s="1">
        <f>IFERROR(__xludf.DUMMYFUNCTION("""COMPUTED_VALUE"""),1.0)</f>
        <v>1</v>
      </c>
      <c r="F1514" s="2">
        <f>IFERROR(__xludf.DUMMYFUNCTION("""COMPUTED_VALUE"""),0.0)</f>
        <v>0</v>
      </c>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t="b">
        <f>IFERROR(__xludf.DUMMYFUNCTION("""COMPUTED_VALUE"""),FALSE)</f>
        <v>0</v>
      </c>
    </row>
    <row r="1515">
      <c r="A1515" s="1"/>
      <c r="B1515" s="1"/>
      <c r="C1515" s="1"/>
      <c r="D1515" s="1"/>
      <c r="E1515" s="1">
        <f>IFERROR(__xludf.DUMMYFUNCTION("""COMPUTED_VALUE"""),1.0)</f>
        <v>1</v>
      </c>
      <c r="F1515" s="2">
        <f>IFERROR(__xludf.DUMMYFUNCTION("""COMPUTED_VALUE"""),0.0)</f>
        <v>0</v>
      </c>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t="b">
        <f>IFERROR(__xludf.DUMMYFUNCTION("""COMPUTED_VALUE"""),FALSE)</f>
        <v>0</v>
      </c>
    </row>
    <row r="1516">
      <c r="A1516" s="1"/>
      <c r="B1516" s="1"/>
      <c r="C1516" s="1"/>
      <c r="D1516" s="1"/>
      <c r="E1516" s="1">
        <f>IFERROR(__xludf.DUMMYFUNCTION("""COMPUTED_VALUE"""),1.0)</f>
        <v>1</v>
      </c>
      <c r="F1516" s="2">
        <f>IFERROR(__xludf.DUMMYFUNCTION("""COMPUTED_VALUE"""),0.0)</f>
        <v>0</v>
      </c>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t="b">
        <f>IFERROR(__xludf.DUMMYFUNCTION("""COMPUTED_VALUE"""),FALSE)</f>
        <v>0</v>
      </c>
    </row>
    <row r="1517">
      <c r="A1517" s="1"/>
      <c r="B1517" s="1"/>
      <c r="C1517" s="1"/>
      <c r="D1517" s="1"/>
      <c r="E1517" s="1">
        <f>IFERROR(__xludf.DUMMYFUNCTION("""COMPUTED_VALUE"""),1.0)</f>
        <v>1</v>
      </c>
      <c r="F1517" s="2">
        <f>IFERROR(__xludf.DUMMYFUNCTION("""COMPUTED_VALUE"""),0.0)</f>
        <v>0</v>
      </c>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t="b">
        <f>IFERROR(__xludf.DUMMYFUNCTION("""COMPUTED_VALUE"""),FALSE)</f>
        <v>0</v>
      </c>
    </row>
    <row r="1518">
      <c r="A1518" s="1"/>
      <c r="B1518" s="1"/>
      <c r="C1518" s="1"/>
      <c r="D1518" s="1"/>
      <c r="E1518" s="1">
        <f>IFERROR(__xludf.DUMMYFUNCTION("""COMPUTED_VALUE"""),1.0)</f>
        <v>1</v>
      </c>
      <c r="F1518" s="2">
        <f>IFERROR(__xludf.DUMMYFUNCTION("""COMPUTED_VALUE"""),0.0)</f>
        <v>0</v>
      </c>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t="b">
        <f>IFERROR(__xludf.DUMMYFUNCTION("""COMPUTED_VALUE"""),FALSE)</f>
        <v>0</v>
      </c>
    </row>
    <row r="1519">
      <c r="A1519" s="1"/>
      <c r="B1519" s="1"/>
      <c r="C1519" s="1"/>
      <c r="D1519" s="1"/>
      <c r="E1519" s="1">
        <f>IFERROR(__xludf.DUMMYFUNCTION("""COMPUTED_VALUE"""),1.0)</f>
        <v>1</v>
      </c>
      <c r="F1519" s="2">
        <f>IFERROR(__xludf.DUMMYFUNCTION("""COMPUTED_VALUE"""),0.0)</f>
        <v>0</v>
      </c>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t="b">
        <f>IFERROR(__xludf.DUMMYFUNCTION("""COMPUTED_VALUE"""),FALSE)</f>
        <v>0</v>
      </c>
    </row>
    <row r="1520">
      <c r="A1520" s="1"/>
      <c r="B1520" s="1"/>
      <c r="C1520" s="1"/>
      <c r="D1520" s="1"/>
      <c r="E1520" s="1">
        <f>IFERROR(__xludf.DUMMYFUNCTION("""COMPUTED_VALUE"""),1.0)</f>
        <v>1</v>
      </c>
      <c r="F1520" s="2">
        <f>IFERROR(__xludf.DUMMYFUNCTION("""COMPUTED_VALUE"""),0.0)</f>
        <v>0</v>
      </c>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t="b">
        <f>IFERROR(__xludf.DUMMYFUNCTION("""COMPUTED_VALUE"""),FALSE)</f>
        <v>0</v>
      </c>
    </row>
    <row r="1521">
      <c r="A1521" s="1"/>
      <c r="B1521" s="1"/>
      <c r="C1521" s="1"/>
      <c r="D1521" s="1"/>
      <c r="E1521" s="1">
        <f>IFERROR(__xludf.DUMMYFUNCTION("""COMPUTED_VALUE"""),1.0)</f>
        <v>1</v>
      </c>
      <c r="F1521" s="2">
        <f>IFERROR(__xludf.DUMMYFUNCTION("""COMPUTED_VALUE"""),0.0)</f>
        <v>0</v>
      </c>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t="b">
        <f>IFERROR(__xludf.DUMMYFUNCTION("""COMPUTED_VALUE"""),FALSE)</f>
        <v>0</v>
      </c>
    </row>
    <row r="1522">
      <c r="A1522" s="1"/>
      <c r="B1522" s="1"/>
      <c r="C1522" s="1"/>
      <c r="D1522" s="1"/>
      <c r="E1522" s="1">
        <f>IFERROR(__xludf.DUMMYFUNCTION("""COMPUTED_VALUE"""),1.0)</f>
        <v>1</v>
      </c>
      <c r="F1522" s="2">
        <f>IFERROR(__xludf.DUMMYFUNCTION("""COMPUTED_VALUE"""),0.0)</f>
        <v>0</v>
      </c>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t="b">
        <f>IFERROR(__xludf.DUMMYFUNCTION("""COMPUTED_VALUE"""),FALSE)</f>
        <v>0</v>
      </c>
    </row>
    <row r="1523">
      <c r="A1523" s="1"/>
      <c r="B1523" s="1"/>
      <c r="C1523" s="1"/>
      <c r="D1523" s="1"/>
      <c r="E1523" s="1">
        <f>IFERROR(__xludf.DUMMYFUNCTION("""COMPUTED_VALUE"""),1.0)</f>
        <v>1</v>
      </c>
      <c r="F1523" s="2">
        <f>IFERROR(__xludf.DUMMYFUNCTION("""COMPUTED_VALUE"""),0.0)</f>
        <v>0</v>
      </c>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t="b">
        <f>IFERROR(__xludf.DUMMYFUNCTION("""COMPUTED_VALUE"""),FALSE)</f>
        <v>0</v>
      </c>
    </row>
    <row r="1524">
      <c r="A1524" s="1"/>
      <c r="B1524" s="1"/>
      <c r="C1524" s="1"/>
      <c r="D1524" s="1"/>
      <c r="E1524" s="1">
        <f>IFERROR(__xludf.DUMMYFUNCTION("""COMPUTED_VALUE"""),1.0)</f>
        <v>1</v>
      </c>
      <c r="F1524" s="2">
        <f>IFERROR(__xludf.DUMMYFUNCTION("""COMPUTED_VALUE"""),0.0)</f>
        <v>0</v>
      </c>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t="b">
        <f>IFERROR(__xludf.DUMMYFUNCTION("""COMPUTED_VALUE"""),FALSE)</f>
        <v>0</v>
      </c>
    </row>
    <row r="1525">
      <c r="A1525" s="1"/>
      <c r="B1525" s="1"/>
      <c r="C1525" s="1"/>
      <c r="D1525" s="1"/>
      <c r="E1525" s="1">
        <f>IFERROR(__xludf.DUMMYFUNCTION("""COMPUTED_VALUE"""),1.0)</f>
        <v>1</v>
      </c>
      <c r="F1525" s="2">
        <f>IFERROR(__xludf.DUMMYFUNCTION("""COMPUTED_VALUE"""),0.0)</f>
        <v>0</v>
      </c>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t="b">
        <f>IFERROR(__xludf.DUMMYFUNCTION("""COMPUTED_VALUE"""),FALSE)</f>
        <v>0</v>
      </c>
    </row>
    <row r="1526">
      <c r="A1526" s="1"/>
      <c r="B1526" s="1"/>
      <c r="C1526" s="1"/>
      <c r="D1526" s="1"/>
      <c r="E1526" s="1">
        <f>IFERROR(__xludf.DUMMYFUNCTION("""COMPUTED_VALUE"""),1.0)</f>
        <v>1</v>
      </c>
      <c r="F1526" s="2">
        <f>IFERROR(__xludf.DUMMYFUNCTION("""COMPUTED_VALUE"""),0.0)</f>
        <v>0</v>
      </c>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t="b">
        <f>IFERROR(__xludf.DUMMYFUNCTION("""COMPUTED_VALUE"""),FALSE)</f>
        <v>0</v>
      </c>
    </row>
    <row r="1527">
      <c r="A1527" s="1"/>
      <c r="B1527" s="1"/>
      <c r="C1527" s="1"/>
      <c r="D1527" s="1"/>
      <c r="E1527" s="1">
        <f>IFERROR(__xludf.DUMMYFUNCTION("""COMPUTED_VALUE"""),1.0)</f>
        <v>1</v>
      </c>
      <c r="F1527" s="2">
        <f>IFERROR(__xludf.DUMMYFUNCTION("""COMPUTED_VALUE"""),0.0)</f>
        <v>0</v>
      </c>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t="b">
        <f>IFERROR(__xludf.DUMMYFUNCTION("""COMPUTED_VALUE"""),FALSE)</f>
        <v>0</v>
      </c>
    </row>
    <row r="1528">
      <c r="A1528" s="1"/>
      <c r="B1528" s="1"/>
      <c r="C1528" s="1"/>
      <c r="D1528" s="1"/>
      <c r="E1528" s="1">
        <f>IFERROR(__xludf.DUMMYFUNCTION("""COMPUTED_VALUE"""),1.0)</f>
        <v>1</v>
      </c>
      <c r="F1528" s="2">
        <f>IFERROR(__xludf.DUMMYFUNCTION("""COMPUTED_VALUE"""),0.0)</f>
        <v>0</v>
      </c>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t="b">
        <f>IFERROR(__xludf.DUMMYFUNCTION("""COMPUTED_VALUE"""),FALSE)</f>
        <v>0</v>
      </c>
    </row>
    <row r="1529">
      <c r="A1529" s="1"/>
      <c r="B1529" s="1"/>
      <c r="C1529" s="1"/>
      <c r="D1529" s="1"/>
      <c r="E1529" s="1">
        <f>IFERROR(__xludf.DUMMYFUNCTION("""COMPUTED_VALUE"""),1.0)</f>
        <v>1</v>
      </c>
      <c r="F1529" s="2">
        <f>IFERROR(__xludf.DUMMYFUNCTION("""COMPUTED_VALUE"""),0.0)</f>
        <v>0</v>
      </c>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t="b">
        <f>IFERROR(__xludf.DUMMYFUNCTION("""COMPUTED_VALUE"""),FALSE)</f>
        <v>0</v>
      </c>
    </row>
    <row r="1530">
      <c r="A1530" s="1"/>
      <c r="B1530" s="1"/>
      <c r="C1530" s="1"/>
      <c r="D1530" s="1"/>
      <c r="E1530" s="1">
        <f>IFERROR(__xludf.DUMMYFUNCTION("""COMPUTED_VALUE"""),1.0)</f>
        <v>1</v>
      </c>
      <c r="F1530" s="2">
        <f>IFERROR(__xludf.DUMMYFUNCTION("""COMPUTED_VALUE"""),0.0)</f>
        <v>0</v>
      </c>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t="b">
        <f>IFERROR(__xludf.DUMMYFUNCTION("""COMPUTED_VALUE"""),FALSE)</f>
        <v>0</v>
      </c>
    </row>
    <row r="1531">
      <c r="A1531" s="1"/>
      <c r="B1531" s="1"/>
      <c r="C1531" s="1"/>
      <c r="D1531" s="1"/>
      <c r="E1531" s="1">
        <f>IFERROR(__xludf.DUMMYFUNCTION("""COMPUTED_VALUE"""),1.0)</f>
        <v>1</v>
      </c>
      <c r="F1531" s="2">
        <f>IFERROR(__xludf.DUMMYFUNCTION("""COMPUTED_VALUE"""),0.0)</f>
        <v>0</v>
      </c>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t="b">
        <f>IFERROR(__xludf.DUMMYFUNCTION("""COMPUTED_VALUE"""),FALSE)</f>
        <v>0</v>
      </c>
    </row>
    <row r="1532">
      <c r="A1532" s="1"/>
      <c r="B1532" s="1"/>
      <c r="C1532" s="1"/>
      <c r="D1532" s="1"/>
      <c r="E1532" s="1">
        <f>IFERROR(__xludf.DUMMYFUNCTION("""COMPUTED_VALUE"""),1.0)</f>
        <v>1</v>
      </c>
      <c r="F1532" s="2">
        <f>IFERROR(__xludf.DUMMYFUNCTION("""COMPUTED_VALUE"""),0.0)</f>
        <v>0</v>
      </c>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t="b">
        <f>IFERROR(__xludf.DUMMYFUNCTION("""COMPUTED_VALUE"""),FALSE)</f>
        <v>0</v>
      </c>
    </row>
    <row r="1533">
      <c r="A1533" s="1"/>
      <c r="B1533" s="1"/>
      <c r="C1533" s="1"/>
      <c r="D1533" s="1"/>
      <c r="E1533" s="1">
        <f>IFERROR(__xludf.DUMMYFUNCTION("""COMPUTED_VALUE"""),1.0)</f>
        <v>1</v>
      </c>
      <c r="F1533" s="2">
        <f>IFERROR(__xludf.DUMMYFUNCTION("""COMPUTED_VALUE"""),0.0)</f>
        <v>0</v>
      </c>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t="b">
        <f>IFERROR(__xludf.DUMMYFUNCTION("""COMPUTED_VALUE"""),FALSE)</f>
        <v>0</v>
      </c>
    </row>
    <row r="1534">
      <c r="A1534" s="1"/>
      <c r="B1534" s="1"/>
      <c r="C1534" s="1"/>
      <c r="D1534" s="1"/>
      <c r="E1534" s="1">
        <f>IFERROR(__xludf.DUMMYFUNCTION("""COMPUTED_VALUE"""),1.0)</f>
        <v>1</v>
      </c>
      <c r="F1534" s="2">
        <f>IFERROR(__xludf.DUMMYFUNCTION("""COMPUTED_VALUE"""),0.0)</f>
        <v>0</v>
      </c>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t="b">
        <f>IFERROR(__xludf.DUMMYFUNCTION("""COMPUTED_VALUE"""),FALSE)</f>
        <v>0</v>
      </c>
    </row>
    <row r="1535">
      <c r="A1535" s="1"/>
      <c r="B1535" s="1"/>
      <c r="C1535" s="1"/>
      <c r="D1535" s="1"/>
      <c r="E1535" s="1">
        <f>IFERROR(__xludf.DUMMYFUNCTION("""COMPUTED_VALUE"""),1.0)</f>
        <v>1</v>
      </c>
      <c r="F1535" s="2">
        <f>IFERROR(__xludf.DUMMYFUNCTION("""COMPUTED_VALUE"""),0.0)</f>
        <v>0</v>
      </c>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t="b">
        <f>IFERROR(__xludf.DUMMYFUNCTION("""COMPUTED_VALUE"""),FALSE)</f>
        <v>0</v>
      </c>
    </row>
    <row r="1536">
      <c r="A1536" s="1"/>
      <c r="B1536" s="1"/>
      <c r="C1536" s="1"/>
      <c r="D1536" s="1"/>
      <c r="E1536" s="1">
        <f>IFERROR(__xludf.DUMMYFUNCTION("""COMPUTED_VALUE"""),1.0)</f>
        <v>1</v>
      </c>
      <c r="F1536" s="2">
        <f>IFERROR(__xludf.DUMMYFUNCTION("""COMPUTED_VALUE"""),0.0)</f>
        <v>0</v>
      </c>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t="b">
        <f>IFERROR(__xludf.DUMMYFUNCTION("""COMPUTED_VALUE"""),FALSE)</f>
        <v>0</v>
      </c>
    </row>
    <row r="1537">
      <c r="A1537" s="1"/>
      <c r="B1537" s="1"/>
      <c r="C1537" s="1"/>
      <c r="D1537" s="1"/>
      <c r="E1537" s="1">
        <f>IFERROR(__xludf.DUMMYFUNCTION("""COMPUTED_VALUE"""),1.0)</f>
        <v>1</v>
      </c>
      <c r="F1537" s="2">
        <f>IFERROR(__xludf.DUMMYFUNCTION("""COMPUTED_VALUE"""),0.0)</f>
        <v>0</v>
      </c>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t="b">
        <f>IFERROR(__xludf.DUMMYFUNCTION("""COMPUTED_VALUE"""),FALSE)</f>
        <v>0</v>
      </c>
    </row>
    <row r="1538">
      <c r="A1538" s="1"/>
      <c r="B1538" s="1"/>
      <c r="C1538" s="1"/>
      <c r="D1538" s="1"/>
      <c r="E1538" s="1">
        <f>IFERROR(__xludf.DUMMYFUNCTION("""COMPUTED_VALUE"""),1.0)</f>
        <v>1</v>
      </c>
      <c r="F1538" s="2">
        <f>IFERROR(__xludf.DUMMYFUNCTION("""COMPUTED_VALUE"""),0.0)</f>
        <v>0</v>
      </c>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t="b">
        <f>IFERROR(__xludf.DUMMYFUNCTION("""COMPUTED_VALUE"""),FALSE)</f>
        <v>0</v>
      </c>
    </row>
    <row r="1539">
      <c r="A1539" s="1"/>
      <c r="B1539" s="1"/>
      <c r="C1539" s="1"/>
      <c r="D1539" s="1"/>
      <c r="E1539" s="1">
        <f>IFERROR(__xludf.DUMMYFUNCTION("""COMPUTED_VALUE"""),1.0)</f>
        <v>1</v>
      </c>
      <c r="F1539" s="2">
        <f>IFERROR(__xludf.DUMMYFUNCTION("""COMPUTED_VALUE"""),0.0)</f>
        <v>0</v>
      </c>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t="b">
        <f>IFERROR(__xludf.DUMMYFUNCTION("""COMPUTED_VALUE"""),FALSE)</f>
        <v>0</v>
      </c>
    </row>
    <row r="1540">
      <c r="A1540" s="1"/>
      <c r="B1540" s="1"/>
      <c r="C1540" s="1"/>
      <c r="D1540" s="1"/>
      <c r="E1540" s="1">
        <f>IFERROR(__xludf.DUMMYFUNCTION("""COMPUTED_VALUE"""),1.0)</f>
        <v>1</v>
      </c>
      <c r="F1540" s="2">
        <f>IFERROR(__xludf.DUMMYFUNCTION("""COMPUTED_VALUE"""),0.0)</f>
        <v>0</v>
      </c>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t="b">
        <f>IFERROR(__xludf.DUMMYFUNCTION("""COMPUTED_VALUE"""),FALSE)</f>
        <v>0</v>
      </c>
    </row>
    <row r="1541">
      <c r="A1541" s="1"/>
      <c r="B1541" s="1"/>
      <c r="C1541" s="1"/>
      <c r="D1541" s="1"/>
      <c r="E1541" s="1">
        <f>IFERROR(__xludf.DUMMYFUNCTION("""COMPUTED_VALUE"""),1.0)</f>
        <v>1</v>
      </c>
      <c r="F1541" s="2">
        <f>IFERROR(__xludf.DUMMYFUNCTION("""COMPUTED_VALUE"""),0.0)</f>
        <v>0</v>
      </c>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t="b">
        <f>IFERROR(__xludf.DUMMYFUNCTION("""COMPUTED_VALUE"""),FALSE)</f>
        <v>0</v>
      </c>
    </row>
    <row r="1542">
      <c r="A1542" s="1"/>
      <c r="B1542" s="1"/>
      <c r="C1542" s="1"/>
      <c r="D1542" s="1"/>
      <c r="E1542" s="1">
        <f>IFERROR(__xludf.DUMMYFUNCTION("""COMPUTED_VALUE"""),1.0)</f>
        <v>1</v>
      </c>
      <c r="F1542" s="2">
        <f>IFERROR(__xludf.DUMMYFUNCTION("""COMPUTED_VALUE"""),0.0)</f>
        <v>0</v>
      </c>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t="b">
        <f>IFERROR(__xludf.DUMMYFUNCTION("""COMPUTED_VALUE"""),FALSE)</f>
        <v>0</v>
      </c>
    </row>
    <row r="1543">
      <c r="A1543" s="1"/>
      <c r="B1543" s="1"/>
      <c r="C1543" s="1"/>
      <c r="D1543" s="1"/>
      <c r="E1543" s="1">
        <f>IFERROR(__xludf.DUMMYFUNCTION("""COMPUTED_VALUE"""),1.0)</f>
        <v>1</v>
      </c>
      <c r="F1543" s="2">
        <f>IFERROR(__xludf.DUMMYFUNCTION("""COMPUTED_VALUE"""),0.0)</f>
        <v>0</v>
      </c>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t="b">
        <f>IFERROR(__xludf.DUMMYFUNCTION("""COMPUTED_VALUE"""),FALSE)</f>
        <v>0</v>
      </c>
    </row>
    <row r="1544">
      <c r="A1544" s="1"/>
      <c r="B1544" s="1"/>
      <c r="C1544" s="1"/>
      <c r="D1544" s="1"/>
      <c r="E1544" s="1">
        <f>IFERROR(__xludf.DUMMYFUNCTION("""COMPUTED_VALUE"""),1.0)</f>
        <v>1</v>
      </c>
      <c r="F1544" s="2">
        <f>IFERROR(__xludf.DUMMYFUNCTION("""COMPUTED_VALUE"""),0.0)</f>
        <v>0</v>
      </c>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t="b">
        <f>IFERROR(__xludf.DUMMYFUNCTION("""COMPUTED_VALUE"""),FALSE)</f>
        <v>0</v>
      </c>
    </row>
    <row r="1545">
      <c r="A1545" s="1"/>
      <c r="B1545" s="1"/>
      <c r="C1545" s="1"/>
      <c r="D1545" s="1"/>
      <c r="E1545" s="1">
        <f>IFERROR(__xludf.DUMMYFUNCTION("""COMPUTED_VALUE"""),1.0)</f>
        <v>1</v>
      </c>
      <c r="F1545" s="2">
        <f>IFERROR(__xludf.DUMMYFUNCTION("""COMPUTED_VALUE"""),0.0)</f>
        <v>0</v>
      </c>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t="b">
        <f>IFERROR(__xludf.DUMMYFUNCTION("""COMPUTED_VALUE"""),FALSE)</f>
        <v>0</v>
      </c>
    </row>
    <row r="1546">
      <c r="A1546" s="1"/>
      <c r="B1546" s="1"/>
      <c r="C1546" s="1"/>
      <c r="D1546" s="1"/>
      <c r="E1546" s="1">
        <f>IFERROR(__xludf.DUMMYFUNCTION("""COMPUTED_VALUE"""),1.0)</f>
        <v>1</v>
      </c>
      <c r="F1546" s="2">
        <f>IFERROR(__xludf.DUMMYFUNCTION("""COMPUTED_VALUE"""),0.0)</f>
        <v>0</v>
      </c>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t="b">
        <f>IFERROR(__xludf.DUMMYFUNCTION("""COMPUTED_VALUE"""),FALSE)</f>
        <v>0</v>
      </c>
    </row>
    <row r="1547">
      <c r="A1547" s="1"/>
      <c r="B1547" s="1"/>
      <c r="C1547" s="1"/>
      <c r="D1547" s="1"/>
      <c r="E1547" s="1">
        <f>IFERROR(__xludf.DUMMYFUNCTION("""COMPUTED_VALUE"""),1.0)</f>
        <v>1</v>
      </c>
      <c r="F1547" s="2">
        <f>IFERROR(__xludf.DUMMYFUNCTION("""COMPUTED_VALUE"""),0.0)</f>
        <v>0</v>
      </c>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t="b">
        <f>IFERROR(__xludf.DUMMYFUNCTION("""COMPUTED_VALUE"""),FALSE)</f>
        <v>0</v>
      </c>
    </row>
    <row r="1548">
      <c r="A1548" s="1"/>
      <c r="B1548" s="1"/>
      <c r="C1548" s="1"/>
      <c r="D1548" s="1"/>
      <c r="E1548" s="1">
        <f>IFERROR(__xludf.DUMMYFUNCTION("""COMPUTED_VALUE"""),1.0)</f>
        <v>1</v>
      </c>
      <c r="F1548" s="2">
        <f>IFERROR(__xludf.DUMMYFUNCTION("""COMPUTED_VALUE"""),0.0)</f>
        <v>0</v>
      </c>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t="b">
        <f>IFERROR(__xludf.DUMMYFUNCTION("""COMPUTED_VALUE"""),FALSE)</f>
        <v>0</v>
      </c>
    </row>
    <row r="1549">
      <c r="A1549" s="1"/>
      <c r="B1549" s="1"/>
      <c r="C1549" s="1"/>
      <c r="D1549" s="1"/>
      <c r="E1549" s="1">
        <f>IFERROR(__xludf.DUMMYFUNCTION("""COMPUTED_VALUE"""),1.0)</f>
        <v>1</v>
      </c>
      <c r="F1549" s="2">
        <f>IFERROR(__xludf.DUMMYFUNCTION("""COMPUTED_VALUE"""),0.0)</f>
        <v>0</v>
      </c>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t="b">
        <f>IFERROR(__xludf.DUMMYFUNCTION("""COMPUTED_VALUE"""),FALSE)</f>
        <v>0</v>
      </c>
    </row>
    <row r="1550">
      <c r="A1550" s="1"/>
      <c r="B1550" s="1"/>
      <c r="C1550" s="1"/>
      <c r="D1550" s="1"/>
      <c r="E1550" s="1">
        <f>IFERROR(__xludf.DUMMYFUNCTION("""COMPUTED_VALUE"""),1.0)</f>
        <v>1</v>
      </c>
      <c r="F1550" s="2">
        <f>IFERROR(__xludf.DUMMYFUNCTION("""COMPUTED_VALUE"""),0.0)</f>
        <v>0</v>
      </c>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t="b">
        <f>IFERROR(__xludf.DUMMYFUNCTION("""COMPUTED_VALUE"""),FALSE)</f>
        <v>0</v>
      </c>
    </row>
    <row r="1551">
      <c r="A1551" s="1"/>
      <c r="B1551" s="1"/>
      <c r="C1551" s="1"/>
      <c r="D1551" s="1"/>
      <c r="E1551" s="1">
        <f>IFERROR(__xludf.DUMMYFUNCTION("""COMPUTED_VALUE"""),1.0)</f>
        <v>1</v>
      </c>
      <c r="F1551" s="2">
        <f>IFERROR(__xludf.DUMMYFUNCTION("""COMPUTED_VALUE"""),0.0)</f>
        <v>0</v>
      </c>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t="b">
        <f>IFERROR(__xludf.DUMMYFUNCTION("""COMPUTED_VALUE"""),FALSE)</f>
        <v>0</v>
      </c>
    </row>
    <row r="1552">
      <c r="A1552" s="1"/>
      <c r="B1552" s="1"/>
      <c r="C1552" s="1"/>
      <c r="D1552" s="1"/>
      <c r="E1552" s="1">
        <f>IFERROR(__xludf.DUMMYFUNCTION("""COMPUTED_VALUE"""),1.0)</f>
        <v>1</v>
      </c>
      <c r="F1552" s="2">
        <f>IFERROR(__xludf.DUMMYFUNCTION("""COMPUTED_VALUE"""),0.0)</f>
        <v>0</v>
      </c>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t="b">
        <f>IFERROR(__xludf.DUMMYFUNCTION("""COMPUTED_VALUE"""),FALSE)</f>
        <v>0</v>
      </c>
    </row>
    <row r="1553">
      <c r="A1553" s="1"/>
      <c r="B1553" s="1"/>
      <c r="C1553" s="1"/>
      <c r="D1553" s="1"/>
      <c r="E1553" s="1">
        <f>IFERROR(__xludf.DUMMYFUNCTION("""COMPUTED_VALUE"""),1.0)</f>
        <v>1</v>
      </c>
      <c r="F1553" s="2">
        <f>IFERROR(__xludf.DUMMYFUNCTION("""COMPUTED_VALUE"""),0.0)</f>
        <v>0</v>
      </c>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t="b">
        <f>IFERROR(__xludf.DUMMYFUNCTION("""COMPUTED_VALUE"""),FALSE)</f>
        <v>0</v>
      </c>
    </row>
    <row r="1554">
      <c r="A1554" s="1"/>
      <c r="B1554" s="1"/>
      <c r="C1554" s="1"/>
      <c r="D1554" s="1"/>
      <c r="E1554" s="1">
        <f>IFERROR(__xludf.DUMMYFUNCTION("""COMPUTED_VALUE"""),1.0)</f>
        <v>1</v>
      </c>
      <c r="F1554" s="2">
        <f>IFERROR(__xludf.DUMMYFUNCTION("""COMPUTED_VALUE"""),0.0)</f>
        <v>0</v>
      </c>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t="b">
        <f>IFERROR(__xludf.DUMMYFUNCTION("""COMPUTED_VALUE"""),FALSE)</f>
        <v>0</v>
      </c>
    </row>
    <row r="1555">
      <c r="A1555" s="1"/>
      <c r="B1555" s="1"/>
      <c r="C1555" s="1"/>
      <c r="D1555" s="1"/>
      <c r="E1555" s="1">
        <f>IFERROR(__xludf.DUMMYFUNCTION("""COMPUTED_VALUE"""),1.0)</f>
        <v>1</v>
      </c>
      <c r="F1555" s="2">
        <f>IFERROR(__xludf.DUMMYFUNCTION("""COMPUTED_VALUE"""),0.0)</f>
        <v>0</v>
      </c>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t="b">
        <f>IFERROR(__xludf.DUMMYFUNCTION("""COMPUTED_VALUE"""),FALSE)</f>
        <v>0</v>
      </c>
    </row>
    <row r="1556">
      <c r="A1556" s="1"/>
      <c r="B1556" s="1"/>
      <c r="C1556" s="1"/>
      <c r="D1556" s="1"/>
      <c r="E1556" s="1">
        <f>IFERROR(__xludf.DUMMYFUNCTION("""COMPUTED_VALUE"""),1.0)</f>
        <v>1</v>
      </c>
      <c r="F1556" s="2">
        <f>IFERROR(__xludf.DUMMYFUNCTION("""COMPUTED_VALUE"""),0.0)</f>
        <v>0</v>
      </c>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t="b">
        <f>IFERROR(__xludf.DUMMYFUNCTION("""COMPUTED_VALUE"""),FALSE)</f>
        <v>0</v>
      </c>
    </row>
    <row r="1557">
      <c r="A1557" s="1"/>
      <c r="B1557" s="1"/>
      <c r="C1557" s="1"/>
      <c r="D1557" s="1"/>
      <c r="E1557" s="1">
        <f>IFERROR(__xludf.DUMMYFUNCTION("""COMPUTED_VALUE"""),1.0)</f>
        <v>1</v>
      </c>
      <c r="F1557" s="2">
        <f>IFERROR(__xludf.DUMMYFUNCTION("""COMPUTED_VALUE"""),0.0)</f>
        <v>0</v>
      </c>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t="b">
        <f>IFERROR(__xludf.DUMMYFUNCTION("""COMPUTED_VALUE"""),FALSE)</f>
        <v>0</v>
      </c>
    </row>
    <row r="1558">
      <c r="A1558" s="1"/>
      <c r="B1558" s="1"/>
      <c r="C1558" s="1"/>
      <c r="D1558" s="1"/>
      <c r="E1558" s="1">
        <f>IFERROR(__xludf.DUMMYFUNCTION("""COMPUTED_VALUE"""),1.0)</f>
        <v>1</v>
      </c>
      <c r="F1558" s="2">
        <f>IFERROR(__xludf.DUMMYFUNCTION("""COMPUTED_VALUE"""),0.0)</f>
        <v>0</v>
      </c>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t="b">
        <f>IFERROR(__xludf.DUMMYFUNCTION("""COMPUTED_VALUE"""),FALSE)</f>
        <v>0</v>
      </c>
    </row>
    <row r="1559">
      <c r="A1559" s="1"/>
      <c r="B1559" s="1"/>
      <c r="C1559" s="1"/>
      <c r="D1559" s="1"/>
      <c r="E1559" s="1">
        <f>IFERROR(__xludf.DUMMYFUNCTION("""COMPUTED_VALUE"""),1.0)</f>
        <v>1</v>
      </c>
      <c r="F1559" s="2">
        <f>IFERROR(__xludf.DUMMYFUNCTION("""COMPUTED_VALUE"""),0.0)</f>
        <v>0</v>
      </c>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t="b">
        <f>IFERROR(__xludf.DUMMYFUNCTION("""COMPUTED_VALUE"""),FALSE)</f>
        <v>0</v>
      </c>
    </row>
    <row r="1560">
      <c r="A1560" s="1"/>
      <c r="B1560" s="1"/>
      <c r="C1560" s="1"/>
      <c r="D1560" s="1"/>
      <c r="E1560" s="1">
        <f>IFERROR(__xludf.DUMMYFUNCTION("""COMPUTED_VALUE"""),1.0)</f>
        <v>1</v>
      </c>
      <c r="F1560" s="2">
        <f>IFERROR(__xludf.DUMMYFUNCTION("""COMPUTED_VALUE"""),0.0)</f>
        <v>0</v>
      </c>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t="b">
        <f>IFERROR(__xludf.DUMMYFUNCTION("""COMPUTED_VALUE"""),FALSE)</f>
        <v>0</v>
      </c>
    </row>
    <row r="1561">
      <c r="A1561" s="1"/>
      <c r="B1561" s="1"/>
      <c r="C1561" s="1"/>
      <c r="D1561" s="1"/>
      <c r="E1561" s="1">
        <f>IFERROR(__xludf.DUMMYFUNCTION("""COMPUTED_VALUE"""),1.0)</f>
        <v>1</v>
      </c>
      <c r="F1561" s="2">
        <f>IFERROR(__xludf.DUMMYFUNCTION("""COMPUTED_VALUE"""),0.0)</f>
        <v>0</v>
      </c>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t="b">
        <f>IFERROR(__xludf.DUMMYFUNCTION("""COMPUTED_VALUE"""),FALSE)</f>
        <v>0</v>
      </c>
    </row>
    <row r="1562">
      <c r="A1562" s="1"/>
      <c r="B1562" s="1"/>
      <c r="C1562" s="1"/>
      <c r="D1562" s="1"/>
      <c r="E1562" s="1">
        <f>IFERROR(__xludf.DUMMYFUNCTION("""COMPUTED_VALUE"""),1.0)</f>
        <v>1</v>
      </c>
      <c r="F1562" s="2">
        <f>IFERROR(__xludf.DUMMYFUNCTION("""COMPUTED_VALUE"""),0.0)</f>
        <v>0</v>
      </c>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t="b">
        <f>IFERROR(__xludf.DUMMYFUNCTION("""COMPUTED_VALUE"""),FALSE)</f>
        <v>0</v>
      </c>
    </row>
    <row r="1563">
      <c r="A1563" s="1"/>
      <c r="B1563" s="1"/>
      <c r="C1563" s="1"/>
      <c r="D1563" s="1"/>
      <c r="E1563" s="1">
        <f>IFERROR(__xludf.DUMMYFUNCTION("""COMPUTED_VALUE"""),1.0)</f>
        <v>1</v>
      </c>
      <c r="F1563" s="2">
        <f>IFERROR(__xludf.DUMMYFUNCTION("""COMPUTED_VALUE"""),0.0)</f>
        <v>0</v>
      </c>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t="b">
        <f>IFERROR(__xludf.DUMMYFUNCTION("""COMPUTED_VALUE"""),FALSE)</f>
        <v>0</v>
      </c>
    </row>
    <row r="1564">
      <c r="A1564" s="1"/>
      <c r="B1564" s="1"/>
      <c r="C1564" s="1"/>
      <c r="D1564" s="1"/>
      <c r="E1564" s="1">
        <f>IFERROR(__xludf.DUMMYFUNCTION("""COMPUTED_VALUE"""),1.0)</f>
        <v>1</v>
      </c>
      <c r="F1564" s="2">
        <f>IFERROR(__xludf.DUMMYFUNCTION("""COMPUTED_VALUE"""),0.0)</f>
        <v>0</v>
      </c>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t="b">
        <f>IFERROR(__xludf.DUMMYFUNCTION("""COMPUTED_VALUE"""),FALSE)</f>
        <v>0</v>
      </c>
    </row>
    <row r="1565">
      <c r="A1565" s="1"/>
      <c r="B1565" s="1"/>
      <c r="C1565" s="1"/>
      <c r="D1565" s="1"/>
      <c r="E1565" s="1">
        <f>IFERROR(__xludf.DUMMYFUNCTION("""COMPUTED_VALUE"""),1.0)</f>
        <v>1</v>
      </c>
      <c r="F1565" s="2">
        <f>IFERROR(__xludf.DUMMYFUNCTION("""COMPUTED_VALUE"""),0.0)</f>
        <v>0</v>
      </c>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t="b">
        <f>IFERROR(__xludf.DUMMYFUNCTION("""COMPUTED_VALUE"""),FALSE)</f>
        <v>0</v>
      </c>
    </row>
    <row r="1566">
      <c r="A1566" s="1"/>
      <c r="B1566" s="1"/>
      <c r="C1566" s="1"/>
      <c r="D1566" s="1"/>
      <c r="E1566" s="1">
        <f>IFERROR(__xludf.DUMMYFUNCTION("""COMPUTED_VALUE"""),1.0)</f>
        <v>1</v>
      </c>
      <c r="F1566" s="2">
        <f>IFERROR(__xludf.DUMMYFUNCTION("""COMPUTED_VALUE"""),0.0)</f>
        <v>0</v>
      </c>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t="b">
        <f>IFERROR(__xludf.DUMMYFUNCTION("""COMPUTED_VALUE"""),FALSE)</f>
        <v>0</v>
      </c>
    </row>
    <row r="1567">
      <c r="A1567" s="1"/>
      <c r="B1567" s="1"/>
      <c r="C1567" s="1"/>
      <c r="D1567" s="1"/>
      <c r="E1567" s="1">
        <f>IFERROR(__xludf.DUMMYFUNCTION("""COMPUTED_VALUE"""),1.0)</f>
        <v>1</v>
      </c>
      <c r="F1567" s="2">
        <f>IFERROR(__xludf.DUMMYFUNCTION("""COMPUTED_VALUE"""),0.0)</f>
        <v>0</v>
      </c>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t="b">
        <f>IFERROR(__xludf.DUMMYFUNCTION("""COMPUTED_VALUE"""),FALSE)</f>
        <v>0</v>
      </c>
    </row>
    <row r="1568">
      <c r="A1568" s="1"/>
      <c r="B1568" s="1"/>
      <c r="C1568" s="1"/>
      <c r="D1568" s="1"/>
      <c r="E1568" s="1">
        <f>IFERROR(__xludf.DUMMYFUNCTION("""COMPUTED_VALUE"""),1.0)</f>
        <v>1</v>
      </c>
      <c r="F1568" s="2">
        <f>IFERROR(__xludf.DUMMYFUNCTION("""COMPUTED_VALUE"""),0.0)</f>
        <v>0</v>
      </c>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t="b">
        <f>IFERROR(__xludf.DUMMYFUNCTION("""COMPUTED_VALUE"""),FALSE)</f>
        <v>0</v>
      </c>
    </row>
    <row r="1569">
      <c r="A1569" s="1"/>
      <c r="B1569" s="1"/>
      <c r="C1569" s="1"/>
      <c r="D1569" s="1"/>
      <c r="E1569" s="1">
        <f>IFERROR(__xludf.DUMMYFUNCTION("""COMPUTED_VALUE"""),1.0)</f>
        <v>1</v>
      </c>
      <c r="F1569" s="2">
        <f>IFERROR(__xludf.DUMMYFUNCTION("""COMPUTED_VALUE"""),0.0)</f>
        <v>0</v>
      </c>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t="b">
        <f>IFERROR(__xludf.DUMMYFUNCTION("""COMPUTED_VALUE"""),FALSE)</f>
        <v>0</v>
      </c>
    </row>
    <row r="1570">
      <c r="A1570" s="1"/>
      <c r="B1570" s="1"/>
      <c r="C1570" s="1"/>
      <c r="D1570" s="1"/>
      <c r="E1570" s="1">
        <f>IFERROR(__xludf.DUMMYFUNCTION("""COMPUTED_VALUE"""),1.0)</f>
        <v>1</v>
      </c>
      <c r="F1570" s="2">
        <f>IFERROR(__xludf.DUMMYFUNCTION("""COMPUTED_VALUE"""),0.0)</f>
        <v>0</v>
      </c>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t="b">
        <f>IFERROR(__xludf.DUMMYFUNCTION("""COMPUTED_VALUE"""),FALSE)</f>
        <v>0</v>
      </c>
    </row>
    <row r="1571">
      <c r="A1571" s="1"/>
      <c r="B1571" s="1"/>
      <c r="C1571" s="1"/>
      <c r="D1571" s="1"/>
      <c r="E1571" s="1">
        <f>IFERROR(__xludf.DUMMYFUNCTION("""COMPUTED_VALUE"""),1.0)</f>
        <v>1</v>
      </c>
      <c r="F1571" s="2">
        <f>IFERROR(__xludf.DUMMYFUNCTION("""COMPUTED_VALUE"""),0.0)</f>
        <v>0</v>
      </c>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t="b">
        <f>IFERROR(__xludf.DUMMYFUNCTION("""COMPUTED_VALUE"""),FALSE)</f>
        <v>0</v>
      </c>
    </row>
    <row r="1572">
      <c r="A1572" s="1"/>
      <c r="B1572" s="1"/>
      <c r="C1572" s="1"/>
      <c r="D1572" s="1"/>
      <c r="E1572" s="1">
        <f>IFERROR(__xludf.DUMMYFUNCTION("""COMPUTED_VALUE"""),1.0)</f>
        <v>1</v>
      </c>
      <c r="F1572" s="2">
        <f>IFERROR(__xludf.DUMMYFUNCTION("""COMPUTED_VALUE"""),0.0)</f>
        <v>0</v>
      </c>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t="b">
        <f>IFERROR(__xludf.DUMMYFUNCTION("""COMPUTED_VALUE"""),FALSE)</f>
        <v>0</v>
      </c>
    </row>
    <row r="1573">
      <c r="A1573" s="1"/>
      <c r="B1573" s="1"/>
      <c r="C1573" s="1"/>
      <c r="D1573" s="1"/>
      <c r="E1573" s="1">
        <f>IFERROR(__xludf.DUMMYFUNCTION("""COMPUTED_VALUE"""),1.0)</f>
        <v>1</v>
      </c>
      <c r="F1573" s="2">
        <f>IFERROR(__xludf.DUMMYFUNCTION("""COMPUTED_VALUE"""),0.0)</f>
        <v>0</v>
      </c>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t="b">
        <f>IFERROR(__xludf.DUMMYFUNCTION("""COMPUTED_VALUE"""),FALSE)</f>
        <v>0</v>
      </c>
    </row>
    <row r="1574">
      <c r="A1574" s="1"/>
      <c r="B1574" s="1"/>
      <c r="C1574" s="1"/>
      <c r="D1574" s="1"/>
      <c r="E1574" s="1">
        <f>IFERROR(__xludf.DUMMYFUNCTION("""COMPUTED_VALUE"""),1.0)</f>
        <v>1</v>
      </c>
      <c r="F1574" s="2">
        <f>IFERROR(__xludf.DUMMYFUNCTION("""COMPUTED_VALUE"""),0.0)</f>
        <v>0</v>
      </c>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t="b">
        <f>IFERROR(__xludf.DUMMYFUNCTION("""COMPUTED_VALUE"""),FALSE)</f>
        <v>0</v>
      </c>
    </row>
    <row r="1575">
      <c r="A1575" s="1"/>
      <c r="B1575" s="1"/>
      <c r="C1575" s="1"/>
      <c r="D1575" s="1"/>
      <c r="E1575" s="1">
        <f>IFERROR(__xludf.DUMMYFUNCTION("""COMPUTED_VALUE"""),1.0)</f>
        <v>1</v>
      </c>
      <c r="F1575" s="2">
        <f>IFERROR(__xludf.DUMMYFUNCTION("""COMPUTED_VALUE"""),0.0)</f>
        <v>0</v>
      </c>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t="b">
        <f>IFERROR(__xludf.DUMMYFUNCTION("""COMPUTED_VALUE"""),FALSE)</f>
        <v>0</v>
      </c>
    </row>
    <row r="1576">
      <c r="A1576" s="1"/>
      <c r="B1576" s="1"/>
      <c r="C1576" s="1"/>
      <c r="D1576" s="1"/>
      <c r="E1576" s="1">
        <f>IFERROR(__xludf.DUMMYFUNCTION("""COMPUTED_VALUE"""),1.0)</f>
        <v>1</v>
      </c>
      <c r="F1576" s="2">
        <f>IFERROR(__xludf.DUMMYFUNCTION("""COMPUTED_VALUE"""),0.0)</f>
        <v>0</v>
      </c>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t="b">
        <f>IFERROR(__xludf.DUMMYFUNCTION("""COMPUTED_VALUE"""),FALSE)</f>
        <v>0</v>
      </c>
    </row>
    <row r="1577">
      <c r="A1577" s="1"/>
      <c r="B1577" s="1"/>
      <c r="C1577" s="1"/>
      <c r="D1577" s="1"/>
      <c r="E1577" s="1">
        <f>IFERROR(__xludf.DUMMYFUNCTION("""COMPUTED_VALUE"""),1.0)</f>
        <v>1</v>
      </c>
      <c r="F1577" s="2">
        <f>IFERROR(__xludf.DUMMYFUNCTION("""COMPUTED_VALUE"""),0.0)</f>
        <v>0</v>
      </c>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t="b">
        <f>IFERROR(__xludf.DUMMYFUNCTION("""COMPUTED_VALUE"""),FALSE)</f>
        <v>0</v>
      </c>
    </row>
    <row r="1578">
      <c r="A1578" s="1"/>
      <c r="B1578" s="1"/>
      <c r="C1578" s="1"/>
      <c r="D1578" s="1"/>
      <c r="E1578" s="1">
        <f>IFERROR(__xludf.DUMMYFUNCTION("""COMPUTED_VALUE"""),1.0)</f>
        <v>1</v>
      </c>
      <c r="F1578" s="2">
        <f>IFERROR(__xludf.DUMMYFUNCTION("""COMPUTED_VALUE"""),0.0)</f>
        <v>0</v>
      </c>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t="b">
        <f>IFERROR(__xludf.DUMMYFUNCTION("""COMPUTED_VALUE"""),FALSE)</f>
        <v>0</v>
      </c>
    </row>
    <row r="1579">
      <c r="A1579" s="1"/>
      <c r="B1579" s="1"/>
      <c r="C1579" s="1"/>
      <c r="D1579" s="1"/>
      <c r="E1579" s="1">
        <f>IFERROR(__xludf.DUMMYFUNCTION("""COMPUTED_VALUE"""),1.0)</f>
        <v>1</v>
      </c>
      <c r="F1579" s="2">
        <f>IFERROR(__xludf.DUMMYFUNCTION("""COMPUTED_VALUE"""),0.0)</f>
        <v>0</v>
      </c>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t="b">
        <f>IFERROR(__xludf.DUMMYFUNCTION("""COMPUTED_VALUE"""),FALSE)</f>
        <v>0</v>
      </c>
    </row>
    <row r="1580">
      <c r="A1580" s="1"/>
      <c r="B1580" s="1"/>
      <c r="C1580" s="1"/>
      <c r="D1580" s="1"/>
      <c r="E1580" s="1">
        <f>IFERROR(__xludf.DUMMYFUNCTION("""COMPUTED_VALUE"""),1.0)</f>
        <v>1</v>
      </c>
      <c r="F1580" s="2">
        <f>IFERROR(__xludf.DUMMYFUNCTION("""COMPUTED_VALUE"""),0.0)</f>
        <v>0</v>
      </c>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t="b">
        <f>IFERROR(__xludf.DUMMYFUNCTION("""COMPUTED_VALUE"""),FALSE)</f>
        <v>0</v>
      </c>
    </row>
    <row r="1581">
      <c r="A1581" s="1"/>
      <c r="B1581" s="1"/>
      <c r="C1581" s="1"/>
      <c r="D1581" s="1"/>
      <c r="E1581" s="1">
        <f>IFERROR(__xludf.DUMMYFUNCTION("""COMPUTED_VALUE"""),1.0)</f>
        <v>1</v>
      </c>
      <c r="F1581" s="2">
        <f>IFERROR(__xludf.DUMMYFUNCTION("""COMPUTED_VALUE"""),0.0)</f>
        <v>0</v>
      </c>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t="b">
        <f>IFERROR(__xludf.DUMMYFUNCTION("""COMPUTED_VALUE"""),FALSE)</f>
        <v>0</v>
      </c>
    </row>
    <row r="1582">
      <c r="A1582" s="1"/>
      <c r="B1582" s="1"/>
      <c r="C1582" s="1"/>
      <c r="D1582" s="1"/>
      <c r="E1582" s="1">
        <f>IFERROR(__xludf.DUMMYFUNCTION("""COMPUTED_VALUE"""),1.0)</f>
        <v>1</v>
      </c>
      <c r="F1582" s="2">
        <f>IFERROR(__xludf.DUMMYFUNCTION("""COMPUTED_VALUE"""),0.0)</f>
        <v>0</v>
      </c>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t="b">
        <f>IFERROR(__xludf.DUMMYFUNCTION("""COMPUTED_VALUE"""),FALSE)</f>
        <v>0</v>
      </c>
    </row>
    <row r="1583">
      <c r="A1583" s="1"/>
      <c r="B1583" s="1"/>
      <c r="C1583" s="1"/>
      <c r="D1583" s="1"/>
      <c r="E1583" s="1">
        <f>IFERROR(__xludf.DUMMYFUNCTION("""COMPUTED_VALUE"""),1.0)</f>
        <v>1</v>
      </c>
      <c r="F1583" s="2">
        <f>IFERROR(__xludf.DUMMYFUNCTION("""COMPUTED_VALUE"""),0.0)</f>
        <v>0</v>
      </c>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t="b">
        <f>IFERROR(__xludf.DUMMYFUNCTION("""COMPUTED_VALUE"""),FALSE)</f>
        <v>0</v>
      </c>
    </row>
    <row r="1584">
      <c r="A1584" s="1"/>
      <c r="B1584" s="1"/>
      <c r="C1584" s="1"/>
      <c r="D1584" s="1"/>
      <c r="E1584" s="1">
        <f>IFERROR(__xludf.DUMMYFUNCTION("""COMPUTED_VALUE"""),1.0)</f>
        <v>1</v>
      </c>
      <c r="F1584" s="2">
        <f>IFERROR(__xludf.DUMMYFUNCTION("""COMPUTED_VALUE"""),0.0)</f>
        <v>0</v>
      </c>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t="b">
        <f>IFERROR(__xludf.DUMMYFUNCTION("""COMPUTED_VALUE"""),FALSE)</f>
        <v>0</v>
      </c>
    </row>
    <row r="1585">
      <c r="A1585" s="1"/>
      <c r="B1585" s="1"/>
      <c r="C1585" s="1"/>
      <c r="D1585" s="1"/>
      <c r="E1585" s="1">
        <f>IFERROR(__xludf.DUMMYFUNCTION("""COMPUTED_VALUE"""),1.0)</f>
        <v>1</v>
      </c>
      <c r="F1585" s="2">
        <f>IFERROR(__xludf.DUMMYFUNCTION("""COMPUTED_VALUE"""),0.0)</f>
        <v>0</v>
      </c>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t="b">
        <f>IFERROR(__xludf.DUMMYFUNCTION("""COMPUTED_VALUE"""),FALSE)</f>
        <v>0</v>
      </c>
    </row>
    <row r="1586">
      <c r="A1586" s="1"/>
      <c r="B1586" s="1"/>
      <c r="C1586" s="1"/>
      <c r="D1586" s="1"/>
      <c r="E1586" s="1">
        <f>IFERROR(__xludf.DUMMYFUNCTION("""COMPUTED_VALUE"""),1.0)</f>
        <v>1</v>
      </c>
      <c r="F1586" s="2">
        <f>IFERROR(__xludf.DUMMYFUNCTION("""COMPUTED_VALUE"""),0.0)</f>
        <v>0</v>
      </c>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t="b">
        <f>IFERROR(__xludf.DUMMYFUNCTION("""COMPUTED_VALUE"""),FALSE)</f>
        <v>0</v>
      </c>
    </row>
    <row r="1587">
      <c r="A1587" s="1"/>
      <c r="B1587" s="1"/>
      <c r="C1587" s="1"/>
      <c r="D1587" s="1"/>
      <c r="E1587" s="1">
        <f>IFERROR(__xludf.DUMMYFUNCTION("""COMPUTED_VALUE"""),1.0)</f>
        <v>1</v>
      </c>
      <c r="F1587" s="2">
        <f>IFERROR(__xludf.DUMMYFUNCTION("""COMPUTED_VALUE"""),0.0)</f>
        <v>0</v>
      </c>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t="b">
        <f>IFERROR(__xludf.DUMMYFUNCTION("""COMPUTED_VALUE"""),FALSE)</f>
        <v>0</v>
      </c>
    </row>
    <row r="1588">
      <c r="A1588" s="1"/>
      <c r="B1588" s="1"/>
      <c r="C1588" s="1"/>
      <c r="D1588" s="1"/>
      <c r="E1588" s="1">
        <f>IFERROR(__xludf.DUMMYFUNCTION("""COMPUTED_VALUE"""),1.0)</f>
        <v>1</v>
      </c>
      <c r="F1588" s="2">
        <f>IFERROR(__xludf.DUMMYFUNCTION("""COMPUTED_VALUE"""),0.0)</f>
        <v>0</v>
      </c>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t="b">
        <f>IFERROR(__xludf.DUMMYFUNCTION("""COMPUTED_VALUE"""),FALSE)</f>
        <v>0</v>
      </c>
    </row>
    <row r="1589">
      <c r="A1589" s="1"/>
      <c r="B1589" s="1"/>
      <c r="C1589" s="1"/>
      <c r="D1589" s="1"/>
      <c r="E1589" s="1">
        <f>IFERROR(__xludf.DUMMYFUNCTION("""COMPUTED_VALUE"""),1.0)</f>
        <v>1</v>
      </c>
      <c r="F1589" s="2">
        <f>IFERROR(__xludf.DUMMYFUNCTION("""COMPUTED_VALUE"""),0.0)</f>
        <v>0</v>
      </c>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t="b">
        <f>IFERROR(__xludf.DUMMYFUNCTION("""COMPUTED_VALUE"""),FALSE)</f>
        <v>0</v>
      </c>
    </row>
    <row r="1590">
      <c r="A1590" s="1"/>
      <c r="B1590" s="1"/>
      <c r="C1590" s="1"/>
      <c r="D1590" s="1"/>
      <c r="E1590" s="1">
        <f>IFERROR(__xludf.DUMMYFUNCTION("""COMPUTED_VALUE"""),1.0)</f>
        <v>1</v>
      </c>
      <c r="F1590" s="2">
        <f>IFERROR(__xludf.DUMMYFUNCTION("""COMPUTED_VALUE"""),0.0)</f>
        <v>0</v>
      </c>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t="b">
        <f>IFERROR(__xludf.DUMMYFUNCTION("""COMPUTED_VALUE"""),FALSE)</f>
        <v>0</v>
      </c>
    </row>
    <row r="1591">
      <c r="A1591" s="1"/>
      <c r="B1591" s="1"/>
      <c r="C1591" s="1"/>
      <c r="D1591" s="1"/>
      <c r="E1591" s="1">
        <f>IFERROR(__xludf.DUMMYFUNCTION("""COMPUTED_VALUE"""),1.0)</f>
        <v>1</v>
      </c>
      <c r="F1591" s="2">
        <f>IFERROR(__xludf.DUMMYFUNCTION("""COMPUTED_VALUE"""),0.0)</f>
        <v>0</v>
      </c>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t="b">
        <f>IFERROR(__xludf.DUMMYFUNCTION("""COMPUTED_VALUE"""),FALSE)</f>
        <v>0</v>
      </c>
    </row>
    <row r="1592">
      <c r="A1592" s="1"/>
      <c r="B1592" s="1"/>
      <c r="C1592" s="1"/>
      <c r="D1592" s="1"/>
      <c r="E1592" s="1">
        <f>IFERROR(__xludf.DUMMYFUNCTION("""COMPUTED_VALUE"""),1.0)</f>
        <v>1</v>
      </c>
      <c r="F1592" s="2">
        <f>IFERROR(__xludf.DUMMYFUNCTION("""COMPUTED_VALUE"""),0.0)</f>
        <v>0</v>
      </c>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t="b">
        <f>IFERROR(__xludf.DUMMYFUNCTION("""COMPUTED_VALUE"""),FALSE)</f>
        <v>0</v>
      </c>
    </row>
    <row r="1593">
      <c r="A1593" s="1"/>
      <c r="B1593" s="1"/>
      <c r="C1593" s="1"/>
      <c r="D1593" s="1"/>
      <c r="E1593" s="1">
        <f>IFERROR(__xludf.DUMMYFUNCTION("""COMPUTED_VALUE"""),1.0)</f>
        <v>1</v>
      </c>
      <c r="F1593" s="2">
        <f>IFERROR(__xludf.DUMMYFUNCTION("""COMPUTED_VALUE"""),0.0)</f>
        <v>0</v>
      </c>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t="b">
        <f>IFERROR(__xludf.DUMMYFUNCTION("""COMPUTED_VALUE"""),FALSE)</f>
        <v>0</v>
      </c>
    </row>
    <row r="1594">
      <c r="A1594" s="1"/>
      <c r="B1594" s="1"/>
      <c r="C1594" s="1"/>
      <c r="D1594" s="1"/>
      <c r="E1594" s="1">
        <f>IFERROR(__xludf.DUMMYFUNCTION("""COMPUTED_VALUE"""),1.0)</f>
        <v>1</v>
      </c>
      <c r="F1594" s="2">
        <f>IFERROR(__xludf.DUMMYFUNCTION("""COMPUTED_VALUE"""),0.0)</f>
        <v>0</v>
      </c>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t="b">
        <f>IFERROR(__xludf.DUMMYFUNCTION("""COMPUTED_VALUE"""),FALSE)</f>
        <v>0</v>
      </c>
    </row>
    <row r="1595">
      <c r="A1595" s="1"/>
      <c r="B1595" s="1"/>
      <c r="C1595" s="1"/>
      <c r="D1595" s="1"/>
      <c r="E1595" s="1">
        <f>IFERROR(__xludf.DUMMYFUNCTION("""COMPUTED_VALUE"""),1.0)</f>
        <v>1</v>
      </c>
      <c r="F1595" s="2">
        <f>IFERROR(__xludf.DUMMYFUNCTION("""COMPUTED_VALUE"""),0.0)</f>
        <v>0</v>
      </c>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t="b">
        <f>IFERROR(__xludf.DUMMYFUNCTION("""COMPUTED_VALUE"""),FALSE)</f>
        <v>0</v>
      </c>
    </row>
    <row r="1596">
      <c r="A1596" s="1"/>
      <c r="B1596" s="1"/>
      <c r="C1596" s="1"/>
      <c r="D1596" s="1"/>
      <c r="E1596" s="1">
        <f>IFERROR(__xludf.DUMMYFUNCTION("""COMPUTED_VALUE"""),1.0)</f>
        <v>1</v>
      </c>
      <c r="F1596" s="2">
        <f>IFERROR(__xludf.DUMMYFUNCTION("""COMPUTED_VALUE"""),0.0)</f>
        <v>0</v>
      </c>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t="b">
        <f>IFERROR(__xludf.DUMMYFUNCTION("""COMPUTED_VALUE"""),FALSE)</f>
        <v>0</v>
      </c>
    </row>
    <row r="1597">
      <c r="A1597" s="1"/>
      <c r="B1597" s="1"/>
      <c r="C1597" s="1"/>
      <c r="D1597" s="1"/>
      <c r="E1597" s="1">
        <f>IFERROR(__xludf.DUMMYFUNCTION("""COMPUTED_VALUE"""),1.0)</f>
        <v>1</v>
      </c>
      <c r="F1597" s="2">
        <f>IFERROR(__xludf.DUMMYFUNCTION("""COMPUTED_VALUE"""),0.0)</f>
        <v>0</v>
      </c>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t="b">
        <f>IFERROR(__xludf.DUMMYFUNCTION("""COMPUTED_VALUE"""),FALSE)</f>
        <v>0</v>
      </c>
    </row>
    <row r="1598">
      <c r="A1598" s="1"/>
      <c r="B1598" s="1"/>
      <c r="C1598" s="1"/>
      <c r="D1598" s="1"/>
      <c r="E1598" s="1">
        <f>IFERROR(__xludf.DUMMYFUNCTION("""COMPUTED_VALUE"""),1.0)</f>
        <v>1</v>
      </c>
      <c r="F1598" s="2">
        <f>IFERROR(__xludf.DUMMYFUNCTION("""COMPUTED_VALUE"""),0.0)</f>
        <v>0</v>
      </c>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t="b">
        <f>IFERROR(__xludf.DUMMYFUNCTION("""COMPUTED_VALUE"""),FALSE)</f>
        <v>0</v>
      </c>
    </row>
    <row r="1599">
      <c r="A1599" s="1"/>
      <c r="B1599" s="1"/>
      <c r="C1599" s="1"/>
      <c r="D1599" s="1"/>
      <c r="E1599" s="1">
        <f>IFERROR(__xludf.DUMMYFUNCTION("""COMPUTED_VALUE"""),1.0)</f>
        <v>1</v>
      </c>
      <c r="F1599" s="2">
        <f>IFERROR(__xludf.DUMMYFUNCTION("""COMPUTED_VALUE"""),0.0)</f>
        <v>0</v>
      </c>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t="b">
        <f>IFERROR(__xludf.DUMMYFUNCTION("""COMPUTED_VALUE"""),FALSE)</f>
        <v>0</v>
      </c>
    </row>
    <row r="1600">
      <c r="A1600" s="1"/>
      <c r="B1600" s="1"/>
      <c r="C1600" s="1"/>
      <c r="D1600" s="1"/>
      <c r="E1600" s="1">
        <f>IFERROR(__xludf.DUMMYFUNCTION("""COMPUTED_VALUE"""),1.0)</f>
        <v>1</v>
      </c>
      <c r="F1600" s="2">
        <f>IFERROR(__xludf.DUMMYFUNCTION("""COMPUTED_VALUE"""),0.0)</f>
        <v>0</v>
      </c>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t="b">
        <f>IFERROR(__xludf.DUMMYFUNCTION("""COMPUTED_VALUE"""),FALSE)</f>
        <v>0</v>
      </c>
    </row>
    <row r="1601">
      <c r="A1601" s="1"/>
      <c r="B1601" s="1"/>
      <c r="C1601" s="1"/>
      <c r="D1601" s="1"/>
      <c r="E1601" s="1">
        <f>IFERROR(__xludf.DUMMYFUNCTION("""COMPUTED_VALUE"""),1.0)</f>
        <v>1</v>
      </c>
      <c r="F1601" s="2">
        <f>IFERROR(__xludf.DUMMYFUNCTION("""COMPUTED_VALUE"""),0.0)</f>
        <v>0</v>
      </c>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t="b">
        <f>IFERROR(__xludf.DUMMYFUNCTION("""COMPUTED_VALUE"""),FALSE)</f>
        <v>0</v>
      </c>
    </row>
    <row r="1602">
      <c r="A1602" s="1"/>
      <c r="B1602" s="1"/>
      <c r="C1602" s="1"/>
      <c r="D1602" s="1"/>
      <c r="E1602" s="1">
        <f>IFERROR(__xludf.DUMMYFUNCTION("""COMPUTED_VALUE"""),1.0)</f>
        <v>1</v>
      </c>
      <c r="F1602" s="2">
        <f>IFERROR(__xludf.DUMMYFUNCTION("""COMPUTED_VALUE"""),0.0)</f>
        <v>0</v>
      </c>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t="b">
        <f>IFERROR(__xludf.DUMMYFUNCTION("""COMPUTED_VALUE"""),FALSE)</f>
        <v>0</v>
      </c>
    </row>
    <row r="1603">
      <c r="A1603" s="1"/>
      <c r="B1603" s="1"/>
      <c r="C1603" s="1"/>
      <c r="D1603" s="1"/>
      <c r="E1603" s="1">
        <f>IFERROR(__xludf.DUMMYFUNCTION("""COMPUTED_VALUE"""),1.0)</f>
        <v>1</v>
      </c>
      <c r="F1603" s="2">
        <f>IFERROR(__xludf.DUMMYFUNCTION("""COMPUTED_VALUE"""),0.0)</f>
        <v>0</v>
      </c>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t="b">
        <f>IFERROR(__xludf.DUMMYFUNCTION("""COMPUTED_VALUE"""),FALSE)</f>
        <v>0</v>
      </c>
    </row>
    <row r="1604">
      <c r="A1604" s="1"/>
      <c r="B1604" s="1"/>
      <c r="C1604" s="1"/>
      <c r="D1604" s="1"/>
      <c r="E1604" s="1">
        <f>IFERROR(__xludf.DUMMYFUNCTION("""COMPUTED_VALUE"""),1.0)</f>
        <v>1</v>
      </c>
      <c r="F1604" s="2">
        <f>IFERROR(__xludf.DUMMYFUNCTION("""COMPUTED_VALUE"""),0.0)</f>
        <v>0</v>
      </c>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t="b">
        <f>IFERROR(__xludf.DUMMYFUNCTION("""COMPUTED_VALUE"""),FALSE)</f>
        <v>0</v>
      </c>
    </row>
    <row r="1605">
      <c r="A1605" s="1"/>
      <c r="B1605" s="1"/>
      <c r="C1605" s="1"/>
      <c r="D1605" s="1"/>
      <c r="E1605" s="1">
        <f>IFERROR(__xludf.DUMMYFUNCTION("""COMPUTED_VALUE"""),1.0)</f>
        <v>1</v>
      </c>
      <c r="F1605" s="2">
        <f>IFERROR(__xludf.DUMMYFUNCTION("""COMPUTED_VALUE"""),0.0)</f>
        <v>0</v>
      </c>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t="b">
        <f>IFERROR(__xludf.DUMMYFUNCTION("""COMPUTED_VALUE"""),FALSE)</f>
        <v>0</v>
      </c>
    </row>
    <row r="1606">
      <c r="A1606" s="1"/>
      <c r="B1606" s="1"/>
      <c r="C1606" s="1"/>
      <c r="D1606" s="1"/>
      <c r="E1606" s="1">
        <f>IFERROR(__xludf.DUMMYFUNCTION("""COMPUTED_VALUE"""),1.0)</f>
        <v>1</v>
      </c>
      <c r="F1606" s="2">
        <f>IFERROR(__xludf.DUMMYFUNCTION("""COMPUTED_VALUE"""),0.0)</f>
        <v>0</v>
      </c>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t="b">
        <f>IFERROR(__xludf.DUMMYFUNCTION("""COMPUTED_VALUE"""),FALSE)</f>
        <v>0</v>
      </c>
    </row>
    <row r="1607">
      <c r="A1607" s="1"/>
      <c r="B1607" s="1"/>
      <c r="C1607" s="1"/>
      <c r="D1607" s="1"/>
      <c r="E1607" s="1">
        <f>IFERROR(__xludf.DUMMYFUNCTION("""COMPUTED_VALUE"""),1.0)</f>
        <v>1</v>
      </c>
      <c r="F1607" s="2">
        <f>IFERROR(__xludf.DUMMYFUNCTION("""COMPUTED_VALUE"""),0.0)</f>
        <v>0</v>
      </c>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t="b">
        <f>IFERROR(__xludf.DUMMYFUNCTION("""COMPUTED_VALUE"""),FALSE)</f>
        <v>0</v>
      </c>
    </row>
    <row r="1608">
      <c r="A1608" s="1"/>
      <c r="B1608" s="1"/>
      <c r="C1608" s="1"/>
      <c r="D1608" s="1"/>
      <c r="E1608" s="1">
        <f>IFERROR(__xludf.DUMMYFUNCTION("""COMPUTED_VALUE"""),1.0)</f>
        <v>1</v>
      </c>
      <c r="F1608" s="2">
        <f>IFERROR(__xludf.DUMMYFUNCTION("""COMPUTED_VALUE"""),0.0)</f>
        <v>0</v>
      </c>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t="b">
        <f>IFERROR(__xludf.DUMMYFUNCTION("""COMPUTED_VALUE"""),FALSE)</f>
        <v>0</v>
      </c>
    </row>
    <row r="1609">
      <c r="A1609" s="1"/>
      <c r="B1609" s="1"/>
      <c r="C1609" s="1"/>
      <c r="D1609" s="1"/>
      <c r="E1609" s="1">
        <f>IFERROR(__xludf.DUMMYFUNCTION("""COMPUTED_VALUE"""),1.0)</f>
        <v>1</v>
      </c>
      <c r="F1609" s="2">
        <f>IFERROR(__xludf.DUMMYFUNCTION("""COMPUTED_VALUE"""),0.0)</f>
        <v>0</v>
      </c>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t="b">
        <f>IFERROR(__xludf.DUMMYFUNCTION("""COMPUTED_VALUE"""),FALSE)</f>
        <v>0</v>
      </c>
    </row>
    <row r="1610">
      <c r="A1610" s="1"/>
      <c r="B1610" s="1"/>
      <c r="C1610" s="1"/>
      <c r="D1610" s="1"/>
      <c r="E1610" s="1">
        <f>IFERROR(__xludf.DUMMYFUNCTION("""COMPUTED_VALUE"""),1.0)</f>
        <v>1</v>
      </c>
      <c r="F1610" s="2">
        <f>IFERROR(__xludf.DUMMYFUNCTION("""COMPUTED_VALUE"""),0.0)</f>
        <v>0</v>
      </c>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t="b">
        <f>IFERROR(__xludf.DUMMYFUNCTION("""COMPUTED_VALUE"""),FALSE)</f>
        <v>0</v>
      </c>
    </row>
    <row r="1611">
      <c r="A1611" s="1"/>
      <c r="B1611" s="1"/>
      <c r="C1611" s="1"/>
      <c r="D1611" s="1"/>
      <c r="E1611" s="1">
        <f>IFERROR(__xludf.DUMMYFUNCTION("""COMPUTED_VALUE"""),1.0)</f>
        <v>1</v>
      </c>
      <c r="F1611" s="2">
        <f>IFERROR(__xludf.DUMMYFUNCTION("""COMPUTED_VALUE"""),0.0)</f>
        <v>0</v>
      </c>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t="b">
        <f>IFERROR(__xludf.DUMMYFUNCTION("""COMPUTED_VALUE"""),FALSE)</f>
        <v>0</v>
      </c>
    </row>
    <row r="1612">
      <c r="A1612" s="1"/>
      <c r="B1612" s="1"/>
      <c r="C1612" s="1"/>
      <c r="D1612" s="1"/>
      <c r="E1612" s="1">
        <f>IFERROR(__xludf.DUMMYFUNCTION("""COMPUTED_VALUE"""),1.0)</f>
        <v>1</v>
      </c>
      <c r="F1612" s="2">
        <f>IFERROR(__xludf.DUMMYFUNCTION("""COMPUTED_VALUE"""),0.0)</f>
        <v>0</v>
      </c>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t="b">
        <f>IFERROR(__xludf.DUMMYFUNCTION("""COMPUTED_VALUE"""),FALSE)</f>
        <v>0</v>
      </c>
    </row>
    <row r="1613">
      <c r="A1613" s="1"/>
      <c r="B1613" s="1"/>
      <c r="C1613" s="1"/>
      <c r="D1613" s="1"/>
      <c r="E1613" s="1">
        <f>IFERROR(__xludf.DUMMYFUNCTION("""COMPUTED_VALUE"""),1.0)</f>
        <v>1</v>
      </c>
      <c r="F1613" s="2">
        <f>IFERROR(__xludf.DUMMYFUNCTION("""COMPUTED_VALUE"""),0.0)</f>
        <v>0</v>
      </c>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t="b">
        <f>IFERROR(__xludf.DUMMYFUNCTION("""COMPUTED_VALUE"""),FALSE)</f>
        <v>0</v>
      </c>
    </row>
    <row r="1614">
      <c r="A1614" s="1"/>
      <c r="B1614" s="1"/>
      <c r="C1614" s="1"/>
      <c r="D1614" s="1"/>
      <c r="E1614" s="1">
        <f>IFERROR(__xludf.DUMMYFUNCTION("""COMPUTED_VALUE"""),1.0)</f>
        <v>1</v>
      </c>
      <c r="F1614" s="2">
        <f>IFERROR(__xludf.DUMMYFUNCTION("""COMPUTED_VALUE"""),0.0)</f>
        <v>0</v>
      </c>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t="b">
        <f>IFERROR(__xludf.DUMMYFUNCTION("""COMPUTED_VALUE"""),FALSE)</f>
        <v>0</v>
      </c>
    </row>
    <row r="1615">
      <c r="A1615" s="1"/>
      <c r="B1615" s="1"/>
      <c r="C1615" s="1"/>
      <c r="D1615" s="1"/>
      <c r="E1615" s="1">
        <f>IFERROR(__xludf.DUMMYFUNCTION("""COMPUTED_VALUE"""),1.0)</f>
        <v>1</v>
      </c>
      <c r="F1615" s="2">
        <f>IFERROR(__xludf.DUMMYFUNCTION("""COMPUTED_VALUE"""),0.0)</f>
        <v>0</v>
      </c>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t="b">
        <f>IFERROR(__xludf.DUMMYFUNCTION("""COMPUTED_VALUE"""),FALSE)</f>
        <v>0</v>
      </c>
    </row>
    <row r="1616">
      <c r="A1616" s="1"/>
      <c r="B1616" s="1"/>
      <c r="C1616" s="1"/>
      <c r="D1616" s="1"/>
      <c r="E1616" s="1">
        <f>IFERROR(__xludf.DUMMYFUNCTION("""COMPUTED_VALUE"""),1.0)</f>
        <v>1</v>
      </c>
      <c r="F1616" s="2">
        <f>IFERROR(__xludf.DUMMYFUNCTION("""COMPUTED_VALUE"""),0.0)</f>
        <v>0</v>
      </c>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t="b">
        <f>IFERROR(__xludf.DUMMYFUNCTION("""COMPUTED_VALUE"""),FALSE)</f>
        <v>0</v>
      </c>
    </row>
    <row r="1617">
      <c r="A1617" s="1"/>
      <c r="B1617" s="1"/>
      <c r="C1617" s="1"/>
      <c r="D1617" s="1"/>
      <c r="E1617" s="1">
        <f>IFERROR(__xludf.DUMMYFUNCTION("""COMPUTED_VALUE"""),1.0)</f>
        <v>1</v>
      </c>
      <c r="F1617" s="2">
        <f>IFERROR(__xludf.DUMMYFUNCTION("""COMPUTED_VALUE"""),0.0)</f>
        <v>0</v>
      </c>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t="b">
        <f>IFERROR(__xludf.DUMMYFUNCTION("""COMPUTED_VALUE"""),FALSE)</f>
        <v>0</v>
      </c>
    </row>
    <row r="1618">
      <c r="A1618" s="1"/>
      <c r="B1618" s="1"/>
      <c r="C1618" s="1"/>
      <c r="D1618" s="1"/>
      <c r="E1618" s="1">
        <f>IFERROR(__xludf.DUMMYFUNCTION("""COMPUTED_VALUE"""),1.0)</f>
        <v>1</v>
      </c>
      <c r="F1618" s="2">
        <f>IFERROR(__xludf.DUMMYFUNCTION("""COMPUTED_VALUE"""),0.0)</f>
        <v>0</v>
      </c>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t="b">
        <f>IFERROR(__xludf.DUMMYFUNCTION("""COMPUTED_VALUE"""),FALSE)</f>
        <v>0</v>
      </c>
    </row>
    <row r="1619">
      <c r="A1619" s="1"/>
      <c r="B1619" s="1"/>
      <c r="C1619" s="1"/>
      <c r="D1619" s="1"/>
      <c r="E1619" s="1">
        <f>IFERROR(__xludf.DUMMYFUNCTION("""COMPUTED_VALUE"""),1.0)</f>
        <v>1</v>
      </c>
      <c r="F1619" s="2">
        <f>IFERROR(__xludf.DUMMYFUNCTION("""COMPUTED_VALUE"""),0.0)</f>
        <v>0</v>
      </c>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t="b">
        <f>IFERROR(__xludf.DUMMYFUNCTION("""COMPUTED_VALUE"""),FALSE)</f>
        <v>0</v>
      </c>
    </row>
    <row r="1620">
      <c r="A1620" s="1"/>
      <c r="B1620" s="1"/>
      <c r="C1620" s="1"/>
      <c r="D1620" s="1"/>
      <c r="E1620" s="1">
        <f>IFERROR(__xludf.DUMMYFUNCTION("""COMPUTED_VALUE"""),1.0)</f>
        <v>1</v>
      </c>
      <c r="F1620" s="2">
        <f>IFERROR(__xludf.DUMMYFUNCTION("""COMPUTED_VALUE"""),0.0)</f>
        <v>0</v>
      </c>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t="b">
        <f>IFERROR(__xludf.DUMMYFUNCTION("""COMPUTED_VALUE"""),FALSE)</f>
        <v>0</v>
      </c>
    </row>
    <row r="1621">
      <c r="A1621" s="1"/>
      <c r="B1621" s="1"/>
      <c r="C1621" s="1"/>
      <c r="D1621" s="1"/>
      <c r="E1621" s="1">
        <f>IFERROR(__xludf.DUMMYFUNCTION("""COMPUTED_VALUE"""),1.0)</f>
        <v>1</v>
      </c>
      <c r="F1621" s="2">
        <f>IFERROR(__xludf.DUMMYFUNCTION("""COMPUTED_VALUE"""),0.0)</f>
        <v>0</v>
      </c>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t="b">
        <f>IFERROR(__xludf.DUMMYFUNCTION("""COMPUTED_VALUE"""),FALSE)</f>
        <v>0</v>
      </c>
    </row>
    <row r="1622">
      <c r="A1622" s="1"/>
      <c r="B1622" s="1"/>
      <c r="C1622" s="1"/>
      <c r="D1622" s="1"/>
      <c r="E1622" s="1">
        <f>IFERROR(__xludf.DUMMYFUNCTION("""COMPUTED_VALUE"""),1.0)</f>
        <v>1</v>
      </c>
      <c r="F1622" s="2">
        <f>IFERROR(__xludf.DUMMYFUNCTION("""COMPUTED_VALUE"""),0.0)</f>
        <v>0</v>
      </c>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t="b">
        <f>IFERROR(__xludf.DUMMYFUNCTION("""COMPUTED_VALUE"""),FALSE)</f>
        <v>0</v>
      </c>
    </row>
    <row r="1623">
      <c r="A1623" s="1"/>
      <c r="B1623" s="1"/>
      <c r="C1623" s="1"/>
      <c r="D1623" s="1"/>
      <c r="E1623" s="1">
        <f>IFERROR(__xludf.DUMMYFUNCTION("""COMPUTED_VALUE"""),1.0)</f>
        <v>1</v>
      </c>
      <c r="F1623" s="2">
        <f>IFERROR(__xludf.DUMMYFUNCTION("""COMPUTED_VALUE"""),0.0)</f>
        <v>0</v>
      </c>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t="b">
        <f>IFERROR(__xludf.DUMMYFUNCTION("""COMPUTED_VALUE"""),FALSE)</f>
        <v>0</v>
      </c>
    </row>
    <row r="1624">
      <c r="A1624" s="1"/>
      <c r="B1624" s="1"/>
      <c r="C1624" s="1"/>
      <c r="D1624" s="1"/>
      <c r="E1624" s="1">
        <f>IFERROR(__xludf.DUMMYFUNCTION("""COMPUTED_VALUE"""),1.0)</f>
        <v>1</v>
      </c>
      <c r="F1624" s="2">
        <f>IFERROR(__xludf.DUMMYFUNCTION("""COMPUTED_VALUE"""),0.0)</f>
        <v>0</v>
      </c>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t="b">
        <f>IFERROR(__xludf.DUMMYFUNCTION("""COMPUTED_VALUE"""),FALSE)</f>
        <v>0</v>
      </c>
    </row>
    <row r="1625">
      <c r="A1625" s="1"/>
      <c r="B1625" s="1"/>
      <c r="C1625" s="1"/>
      <c r="D1625" s="1"/>
      <c r="E1625" s="1">
        <f>IFERROR(__xludf.DUMMYFUNCTION("""COMPUTED_VALUE"""),1.0)</f>
        <v>1</v>
      </c>
      <c r="F1625" s="2">
        <f>IFERROR(__xludf.DUMMYFUNCTION("""COMPUTED_VALUE"""),0.0)</f>
        <v>0</v>
      </c>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t="b">
        <f>IFERROR(__xludf.DUMMYFUNCTION("""COMPUTED_VALUE"""),FALSE)</f>
        <v>0</v>
      </c>
    </row>
    <row r="1626">
      <c r="A1626" s="1"/>
      <c r="B1626" s="1"/>
      <c r="C1626" s="1"/>
      <c r="D1626" s="1"/>
      <c r="E1626" s="1">
        <f>IFERROR(__xludf.DUMMYFUNCTION("""COMPUTED_VALUE"""),1.0)</f>
        <v>1</v>
      </c>
      <c r="F1626" s="2">
        <f>IFERROR(__xludf.DUMMYFUNCTION("""COMPUTED_VALUE"""),0.0)</f>
        <v>0</v>
      </c>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t="b">
        <f>IFERROR(__xludf.DUMMYFUNCTION("""COMPUTED_VALUE"""),FALSE)</f>
        <v>0</v>
      </c>
    </row>
    <row r="1627">
      <c r="A1627" s="1"/>
      <c r="B1627" s="1"/>
      <c r="C1627" s="1"/>
      <c r="D1627" s="1"/>
      <c r="E1627" s="1">
        <f>IFERROR(__xludf.DUMMYFUNCTION("""COMPUTED_VALUE"""),1.0)</f>
        <v>1</v>
      </c>
      <c r="F1627" s="2">
        <f>IFERROR(__xludf.DUMMYFUNCTION("""COMPUTED_VALUE"""),0.0)</f>
        <v>0</v>
      </c>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t="b">
        <f>IFERROR(__xludf.DUMMYFUNCTION("""COMPUTED_VALUE"""),FALSE)</f>
        <v>0</v>
      </c>
    </row>
    <row r="1628">
      <c r="A1628" s="1"/>
      <c r="B1628" s="1"/>
      <c r="C1628" s="1"/>
      <c r="D1628" s="1"/>
      <c r="E1628" s="1">
        <f>IFERROR(__xludf.DUMMYFUNCTION("""COMPUTED_VALUE"""),1.0)</f>
        <v>1</v>
      </c>
      <c r="F1628" s="2">
        <f>IFERROR(__xludf.DUMMYFUNCTION("""COMPUTED_VALUE"""),0.0)</f>
        <v>0</v>
      </c>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t="b">
        <f>IFERROR(__xludf.DUMMYFUNCTION("""COMPUTED_VALUE"""),FALSE)</f>
        <v>0</v>
      </c>
    </row>
    <row r="1629">
      <c r="A1629" s="1"/>
      <c r="B1629" s="1"/>
      <c r="C1629" s="1"/>
      <c r="D1629" s="1"/>
      <c r="E1629" s="1">
        <f>IFERROR(__xludf.DUMMYFUNCTION("""COMPUTED_VALUE"""),1.0)</f>
        <v>1</v>
      </c>
      <c r="F1629" s="2">
        <f>IFERROR(__xludf.DUMMYFUNCTION("""COMPUTED_VALUE"""),0.0)</f>
        <v>0</v>
      </c>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t="b">
        <f>IFERROR(__xludf.DUMMYFUNCTION("""COMPUTED_VALUE"""),FALSE)</f>
        <v>0</v>
      </c>
    </row>
    <row r="1630">
      <c r="A1630" s="1"/>
      <c r="B1630" s="1"/>
      <c r="C1630" s="1"/>
      <c r="D1630" s="1"/>
      <c r="E1630" s="1">
        <f>IFERROR(__xludf.DUMMYFUNCTION("""COMPUTED_VALUE"""),1.0)</f>
        <v>1</v>
      </c>
      <c r="F1630" s="2">
        <f>IFERROR(__xludf.DUMMYFUNCTION("""COMPUTED_VALUE"""),0.0)</f>
        <v>0</v>
      </c>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t="b">
        <f>IFERROR(__xludf.DUMMYFUNCTION("""COMPUTED_VALUE"""),FALSE)</f>
        <v>0</v>
      </c>
    </row>
    <row r="1631">
      <c r="A1631" s="1"/>
      <c r="B1631" s="1"/>
      <c r="C1631" s="1"/>
      <c r="D1631" s="1"/>
      <c r="E1631" s="1">
        <f>IFERROR(__xludf.DUMMYFUNCTION("""COMPUTED_VALUE"""),1.0)</f>
        <v>1</v>
      </c>
      <c r="F1631" s="2">
        <f>IFERROR(__xludf.DUMMYFUNCTION("""COMPUTED_VALUE"""),0.0)</f>
        <v>0</v>
      </c>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t="b">
        <f>IFERROR(__xludf.DUMMYFUNCTION("""COMPUTED_VALUE"""),FALSE)</f>
        <v>0</v>
      </c>
    </row>
    <row r="1632">
      <c r="A1632" s="1"/>
      <c r="B1632" s="1"/>
      <c r="C1632" s="1"/>
      <c r="D1632" s="1"/>
      <c r="E1632" s="1">
        <f>IFERROR(__xludf.DUMMYFUNCTION("""COMPUTED_VALUE"""),1.0)</f>
        <v>1</v>
      </c>
      <c r="F1632" s="2">
        <f>IFERROR(__xludf.DUMMYFUNCTION("""COMPUTED_VALUE"""),0.0)</f>
        <v>0</v>
      </c>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t="b">
        <f>IFERROR(__xludf.DUMMYFUNCTION("""COMPUTED_VALUE"""),FALSE)</f>
        <v>0</v>
      </c>
    </row>
    <row r="1633">
      <c r="A1633" s="1"/>
      <c r="B1633" s="1"/>
      <c r="C1633" s="1"/>
      <c r="D1633" s="1"/>
      <c r="E1633" s="1">
        <f>IFERROR(__xludf.DUMMYFUNCTION("""COMPUTED_VALUE"""),1.0)</f>
        <v>1</v>
      </c>
      <c r="F1633" s="2">
        <f>IFERROR(__xludf.DUMMYFUNCTION("""COMPUTED_VALUE"""),0.0)</f>
        <v>0</v>
      </c>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t="b">
        <f>IFERROR(__xludf.DUMMYFUNCTION("""COMPUTED_VALUE"""),FALSE)</f>
        <v>0</v>
      </c>
    </row>
    <row r="1634">
      <c r="A1634" s="1"/>
      <c r="B1634" s="1"/>
      <c r="C1634" s="1"/>
      <c r="D1634" s="1"/>
      <c r="E1634" s="1">
        <f>IFERROR(__xludf.DUMMYFUNCTION("""COMPUTED_VALUE"""),1.0)</f>
        <v>1</v>
      </c>
      <c r="F1634" s="2">
        <f>IFERROR(__xludf.DUMMYFUNCTION("""COMPUTED_VALUE"""),0.0)</f>
        <v>0</v>
      </c>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t="b">
        <f>IFERROR(__xludf.DUMMYFUNCTION("""COMPUTED_VALUE"""),FALSE)</f>
        <v>0</v>
      </c>
    </row>
    <row r="1635">
      <c r="A1635" s="1"/>
      <c r="B1635" s="1"/>
      <c r="C1635" s="1"/>
      <c r="D1635" s="1"/>
      <c r="E1635" s="1">
        <f>IFERROR(__xludf.DUMMYFUNCTION("""COMPUTED_VALUE"""),1.0)</f>
        <v>1</v>
      </c>
      <c r="F1635" s="2">
        <f>IFERROR(__xludf.DUMMYFUNCTION("""COMPUTED_VALUE"""),0.0)</f>
        <v>0</v>
      </c>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t="b">
        <f>IFERROR(__xludf.DUMMYFUNCTION("""COMPUTED_VALUE"""),FALSE)</f>
        <v>0</v>
      </c>
    </row>
    <row r="1636">
      <c r="A1636" s="1"/>
      <c r="B1636" s="1"/>
      <c r="C1636" s="1"/>
      <c r="D1636" s="1"/>
      <c r="E1636" s="1">
        <f>IFERROR(__xludf.DUMMYFUNCTION("""COMPUTED_VALUE"""),1.0)</f>
        <v>1</v>
      </c>
      <c r="F1636" s="2">
        <f>IFERROR(__xludf.DUMMYFUNCTION("""COMPUTED_VALUE"""),0.0)</f>
        <v>0</v>
      </c>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t="b">
        <f>IFERROR(__xludf.DUMMYFUNCTION("""COMPUTED_VALUE"""),FALSE)</f>
        <v>0</v>
      </c>
    </row>
    <row r="1637">
      <c r="A1637" s="1"/>
      <c r="B1637" s="1"/>
      <c r="C1637" s="1"/>
      <c r="D1637" s="1"/>
      <c r="E1637" s="1">
        <f>IFERROR(__xludf.DUMMYFUNCTION("""COMPUTED_VALUE"""),1.0)</f>
        <v>1</v>
      </c>
      <c r="F1637" s="2">
        <f>IFERROR(__xludf.DUMMYFUNCTION("""COMPUTED_VALUE"""),0.0)</f>
        <v>0</v>
      </c>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t="b">
        <f>IFERROR(__xludf.DUMMYFUNCTION("""COMPUTED_VALUE"""),FALSE)</f>
        <v>0</v>
      </c>
    </row>
    <row r="1638">
      <c r="A1638" s="1"/>
      <c r="B1638" s="1"/>
      <c r="C1638" s="1"/>
      <c r="D1638" s="1"/>
      <c r="E1638" s="1">
        <f>IFERROR(__xludf.DUMMYFUNCTION("""COMPUTED_VALUE"""),1.0)</f>
        <v>1</v>
      </c>
      <c r="F1638" s="2">
        <f>IFERROR(__xludf.DUMMYFUNCTION("""COMPUTED_VALUE"""),0.0)</f>
        <v>0</v>
      </c>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t="b">
        <f>IFERROR(__xludf.DUMMYFUNCTION("""COMPUTED_VALUE"""),FALSE)</f>
        <v>0</v>
      </c>
    </row>
    <row r="1639">
      <c r="A1639" s="1"/>
      <c r="B1639" s="1"/>
      <c r="C1639" s="1"/>
      <c r="D1639" s="1"/>
      <c r="E1639" s="1">
        <f>IFERROR(__xludf.DUMMYFUNCTION("""COMPUTED_VALUE"""),1.0)</f>
        <v>1</v>
      </c>
      <c r="F1639" s="2">
        <f>IFERROR(__xludf.DUMMYFUNCTION("""COMPUTED_VALUE"""),0.0)</f>
        <v>0</v>
      </c>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t="b">
        <f>IFERROR(__xludf.DUMMYFUNCTION("""COMPUTED_VALUE"""),FALSE)</f>
        <v>0</v>
      </c>
    </row>
    <row r="1640">
      <c r="A1640" s="1"/>
      <c r="B1640" s="1"/>
      <c r="C1640" s="1"/>
      <c r="D1640" s="1"/>
      <c r="E1640" s="1">
        <f>IFERROR(__xludf.DUMMYFUNCTION("""COMPUTED_VALUE"""),1.0)</f>
        <v>1</v>
      </c>
      <c r="F1640" s="2">
        <f>IFERROR(__xludf.DUMMYFUNCTION("""COMPUTED_VALUE"""),0.0)</f>
        <v>0</v>
      </c>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t="b">
        <f>IFERROR(__xludf.DUMMYFUNCTION("""COMPUTED_VALUE"""),FALSE)</f>
        <v>0</v>
      </c>
    </row>
    <row r="1641">
      <c r="A1641" s="1"/>
      <c r="B1641" s="1"/>
      <c r="C1641" s="1"/>
      <c r="D1641" s="1"/>
      <c r="E1641" s="1">
        <f>IFERROR(__xludf.DUMMYFUNCTION("""COMPUTED_VALUE"""),1.0)</f>
        <v>1</v>
      </c>
      <c r="F1641" s="2">
        <f>IFERROR(__xludf.DUMMYFUNCTION("""COMPUTED_VALUE"""),0.0)</f>
        <v>0</v>
      </c>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t="b">
        <f>IFERROR(__xludf.DUMMYFUNCTION("""COMPUTED_VALUE"""),FALSE)</f>
        <v>0</v>
      </c>
    </row>
    <row r="1642">
      <c r="A1642" s="1"/>
      <c r="B1642" s="1"/>
      <c r="C1642" s="1"/>
      <c r="D1642" s="1"/>
      <c r="E1642" s="1">
        <f>IFERROR(__xludf.DUMMYFUNCTION("""COMPUTED_VALUE"""),1.0)</f>
        <v>1</v>
      </c>
      <c r="F1642" s="2">
        <f>IFERROR(__xludf.DUMMYFUNCTION("""COMPUTED_VALUE"""),0.0)</f>
        <v>0</v>
      </c>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t="b">
        <f>IFERROR(__xludf.DUMMYFUNCTION("""COMPUTED_VALUE"""),FALSE)</f>
        <v>0</v>
      </c>
    </row>
    <row r="1643">
      <c r="A1643" s="1"/>
      <c r="B1643" s="1"/>
      <c r="C1643" s="1"/>
      <c r="D1643" s="1"/>
      <c r="E1643" s="1">
        <f>IFERROR(__xludf.DUMMYFUNCTION("""COMPUTED_VALUE"""),1.0)</f>
        <v>1</v>
      </c>
      <c r="F1643" s="2">
        <f>IFERROR(__xludf.DUMMYFUNCTION("""COMPUTED_VALUE"""),0.0)</f>
        <v>0</v>
      </c>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t="b">
        <f>IFERROR(__xludf.DUMMYFUNCTION("""COMPUTED_VALUE"""),FALSE)</f>
        <v>0</v>
      </c>
    </row>
    <row r="1644">
      <c r="A1644" s="1"/>
      <c r="B1644" s="1"/>
      <c r="C1644" s="1"/>
      <c r="D1644" s="1"/>
      <c r="E1644" s="1">
        <f>IFERROR(__xludf.DUMMYFUNCTION("""COMPUTED_VALUE"""),1.0)</f>
        <v>1</v>
      </c>
      <c r="F1644" s="2">
        <f>IFERROR(__xludf.DUMMYFUNCTION("""COMPUTED_VALUE"""),0.0)</f>
        <v>0</v>
      </c>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t="b">
        <f>IFERROR(__xludf.DUMMYFUNCTION("""COMPUTED_VALUE"""),FALSE)</f>
        <v>0</v>
      </c>
    </row>
    <row r="1645">
      <c r="A1645" s="1"/>
      <c r="B1645" s="1"/>
      <c r="C1645" s="1"/>
      <c r="D1645" s="1"/>
      <c r="E1645" s="1">
        <f>IFERROR(__xludf.DUMMYFUNCTION("""COMPUTED_VALUE"""),1.0)</f>
        <v>1</v>
      </c>
      <c r="F1645" s="2">
        <f>IFERROR(__xludf.DUMMYFUNCTION("""COMPUTED_VALUE"""),0.0)</f>
        <v>0</v>
      </c>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t="b">
        <f>IFERROR(__xludf.DUMMYFUNCTION("""COMPUTED_VALUE"""),FALSE)</f>
        <v>0</v>
      </c>
    </row>
    <row r="1646">
      <c r="A1646" s="1"/>
      <c r="B1646" s="1"/>
      <c r="C1646" s="1"/>
      <c r="D1646" s="1"/>
      <c r="E1646" s="1">
        <f>IFERROR(__xludf.DUMMYFUNCTION("""COMPUTED_VALUE"""),1.0)</f>
        <v>1</v>
      </c>
      <c r="F1646" s="2">
        <f>IFERROR(__xludf.DUMMYFUNCTION("""COMPUTED_VALUE"""),0.0)</f>
        <v>0</v>
      </c>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t="b">
        <f>IFERROR(__xludf.DUMMYFUNCTION("""COMPUTED_VALUE"""),FALSE)</f>
        <v>0</v>
      </c>
    </row>
    <row r="1647">
      <c r="A1647" s="1"/>
      <c r="B1647" s="1"/>
      <c r="C1647" s="1"/>
      <c r="D1647" s="1"/>
      <c r="E1647" s="1">
        <f>IFERROR(__xludf.DUMMYFUNCTION("""COMPUTED_VALUE"""),1.0)</f>
        <v>1</v>
      </c>
      <c r="F1647" s="2">
        <f>IFERROR(__xludf.DUMMYFUNCTION("""COMPUTED_VALUE"""),0.0)</f>
        <v>0</v>
      </c>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t="b">
        <f>IFERROR(__xludf.DUMMYFUNCTION("""COMPUTED_VALUE"""),FALSE)</f>
        <v>0</v>
      </c>
    </row>
    <row r="1648">
      <c r="A1648" s="1"/>
      <c r="B1648" s="1"/>
      <c r="C1648" s="1"/>
      <c r="D1648" s="1"/>
      <c r="E1648" s="1">
        <f>IFERROR(__xludf.DUMMYFUNCTION("""COMPUTED_VALUE"""),1.0)</f>
        <v>1</v>
      </c>
      <c r="F1648" s="2">
        <f>IFERROR(__xludf.DUMMYFUNCTION("""COMPUTED_VALUE"""),0.0)</f>
        <v>0</v>
      </c>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t="b">
        <f>IFERROR(__xludf.DUMMYFUNCTION("""COMPUTED_VALUE"""),FALSE)</f>
        <v>0</v>
      </c>
    </row>
    <row r="1649">
      <c r="A1649" s="1"/>
      <c r="B1649" s="1"/>
      <c r="C1649" s="1"/>
      <c r="D1649" s="1"/>
      <c r="E1649" s="1">
        <f>IFERROR(__xludf.DUMMYFUNCTION("""COMPUTED_VALUE"""),1.0)</f>
        <v>1</v>
      </c>
      <c r="F1649" s="2">
        <f>IFERROR(__xludf.DUMMYFUNCTION("""COMPUTED_VALUE"""),0.0)</f>
        <v>0</v>
      </c>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t="b">
        <f>IFERROR(__xludf.DUMMYFUNCTION("""COMPUTED_VALUE"""),FALSE)</f>
        <v>0</v>
      </c>
    </row>
    <row r="1650">
      <c r="A1650" s="1"/>
      <c r="B1650" s="1"/>
      <c r="C1650" s="1"/>
      <c r="D1650" s="1"/>
      <c r="E1650" s="1">
        <f>IFERROR(__xludf.DUMMYFUNCTION("""COMPUTED_VALUE"""),1.0)</f>
        <v>1</v>
      </c>
      <c r="F1650" s="2">
        <f>IFERROR(__xludf.DUMMYFUNCTION("""COMPUTED_VALUE"""),0.0)</f>
        <v>0</v>
      </c>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t="b">
        <f>IFERROR(__xludf.DUMMYFUNCTION("""COMPUTED_VALUE"""),FALSE)</f>
        <v>0</v>
      </c>
    </row>
    <row r="1651">
      <c r="A1651" s="1"/>
      <c r="B1651" s="1"/>
      <c r="C1651" s="1"/>
      <c r="D1651" s="1"/>
      <c r="E1651" s="1">
        <f>IFERROR(__xludf.DUMMYFUNCTION("""COMPUTED_VALUE"""),1.0)</f>
        <v>1</v>
      </c>
      <c r="F1651" s="2">
        <f>IFERROR(__xludf.DUMMYFUNCTION("""COMPUTED_VALUE"""),0.0)</f>
        <v>0</v>
      </c>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t="b">
        <f>IFERROR(__xludf.DUMMYFUNCTION("""COMPUTED_VALUE"""),FALSE)</f>
        <v>0</v>
      </c>
    </row>
    <row r="1652">
      <c r="A1652" s="1"/>
      <c r="B1652" s="1"/>
      <c r="C1652" s="1"/>
      <c r="D1652" s="1"/>
      <c r="E1652" s="1">
        <f>IFERROR(__xludf.DUMMYFUNCTION("""COMPUTED_VALUE"""),1.0)</f>
        <v>1</v>
      </c>
      <c r="F1652" s="2">
        <f>IFERROR(__xludf.DUMMYFUNCTION("""COMPUTED_VALUE"""),0.0)</f>
        <v>0</v>
      </c>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t="b">
        <f>IFERROR(__xludf.DUMMYFUNCTION("""COMPUTED_VALUE"""),FALSE)</f>
        <v>0</v>
      </c>
    </row>
    <row r="1653">
      <c r="A1653" s="1"/>
      <c r="B1653" s="1"/>
      <c r="C1653" s="1"/>
      <c r="D1653" s="1"/>
      <c r="E1653" s="1">
        <f>IFERROR(__xludf.DUMMYFUNCTION("""COMPUTED_VALUE"""),1.0)</f>
        <v>1</v>
      </c>
      <c r="F1653" s="2">
        <f>IFERROR(__xludf.DUMMYFUNCTION("""COMPUTED_VALUE"""),0.0)</f>
        <v>0</v>
      </c>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t="b">
        <f>IFERROR(__xludf.DUMMYFUNCTION("""COMPUTED_VALUE"""),FALSE)</f>
        <v>0</v>
      </c>
    </row>
    <row r="1654">
      <c r="A1654" s="1"/>
      <c r="B1654" s="1"/>
      <c r="C1654" s="1"/>
      <c r="D1654" s="1"/>
      <c r="E1654" s="1">
        <f>IFERROR(__xludf.DUMMYFUNCTION("""COMPUTED_VALUE"""),1.0)</f>
        <v>1</v>
      </c>
      <c r="F1654" s="2">
        <f>IFERROR(__xludf.DUMMYFUNCTION("""COMPUTED_VALUE"""),0.0)</f>
        <v>0</v>
      </c>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t="b">
        <f>IFERROR(__xludf.DUMMYFUNCTION("""COMPUTED_VALUE"""),FALSE)</f>
        <v>0</v>
      </c>
    </row>
    <row r="1655">
      <c r="A1655" s="1"/>
      <c r="B1655" s="1"/>
      <c r="C1655" s="1"/>
      <c r="D1655" s="1"/>
      <c r="E1655" s="1">
        <f>IFERROR(__xludf.DUMMYFUNCTION("""COMPUTED_VALUE"""),1.0)</f>
        <v>1</v>
      </c>
      <c r="F1655" s="2">
        <f>IFERROR(__xludf.DUMMYFUNCTION("""COMPUTED_VALUE"""),0.0)</f>
        <v>0</v>
      </c>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t="b">
        <f>IFERROR(__xludf.DUMMYFUNCTION("""COMPUTED_VALUE"""),FALSE)</f>
        <v>0</v>
      </c>
    </row>
    <row r="1656">
      <c r="A1656" s="1"/>
      <c r="B1656" s="1"/>
      <c r="C1656" s="1"/>
      <c r="D1656" s="1"/>
      <c r="E1656" s="1">
        <f>IFERROR(__xludf.DUMMYFUNCTION("""COMPUTED_VALUE"""),1.0)</f>
        <v>1</v>
      </c>
      <c r="F1656" s="2">
        <f>IFERROR(__xludf.DUMMYFUNCTION("""COMPUTED_VALUE"""),0.0)</f>
        <v>0</v>
      </c>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t="b">
        <f>IFERROR(__xludf.DUMMYFUNCTION("""COMPUTED_VALUE"""),FALSE)</f>
        <v>0</v>
      </c>
    </row>
    <row r="1657">
      <c r="A1657" s="1"/>
      <c r="B1657" s="1"/>
      <c r="C1657" s="1"/>
      <c r="D1657" s="1"/>
      <c r="E1657" s="1">
        <f>IFERROR(__xludf.DUMMYFUNCTION("""COMPUTED_VALUE"""),1.0)</f>
        <v>1</v>
      </c>
      <c r="F1657" s="2">
        <f>IFERROR(__xludf.DUMMYFUNCTION("""COMPUTED_VALUE"""),0.0)</f>
        <v>0</v>
      </c>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t="b">
        <f>IFERROR(__xludf.DUMMYFUNCTION("""COMPUTED_VALUE"""),FALSE)</f>
        <v>0</v>
      </c>
    </row>
    <row r="1658">
      <c r="A1658" s="1"/>
      <c r="B1658" s="1"/>
      <c r="C1658" s="1"/>
      <c r="D1658" s="1"/>
      <c r="E1658" s="1">
        <f>IFERROR(__xludf.DUMMYFUNCTION("""COMPUTED_VALUE"""),1.0)</f>
        <v>1</v>
      </c>
      <c r="F1658" s="2">
        <f>IFERROR(__xludf.DUMMYFUNCTION("""COMPUTED_VALUE"""),0.0)</f>
        <v>0</v>
      </c>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t="b">
        <f>IFERROR(__xludf.DUMMYFUNCTION("""COMPUTED_VALUE"""),FALSE)</f>
        <v>0</v>
      </c>
    </row>
    <row r="1659">
      <c r="A1659" s="1"/>
      <c r="B1659" s="1"/>
      <c r="C1659" s="1"/>
      <c r="D1659" s="1"/>
      <c r="E1659" s="1">
        <f>IFERROR(__xludf.DUMMYFUNCTION("""COMPUTED_VALUE"""),1.0)</f>
        <v>1</v>
      </c>
      <c r="F1659" s="2">
        <f>IFERROR(__xludf.DUMMYFUNCTION("""COMPUTED_VALUE"""),0.0)</f>
        <v>0</v>
      </c>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t="b">
        <f>IFERROR(__xludf.DUMMYFUNCTION("""COMPUTED_VALUE"""),FALSE)</f>
        <v>0</v>
      </c>
    </row>
    <row r="1660">
      <c r="A1660" s="1"/>
      <c r="B1660" s="1"/>
      <c r="C1660" s="1"/>
      <c r="D1660" s="1"/>
      <c r="E1660" s="1">
        <f>IFERROR(__xludf.DUMMYFUNCTION("""COMPUTED_VALUE"""),1.0)</f>
        <v>1</v>
      </c>
      <c r="F1660" s="2">
        <f>IFERROR(__xludf.DUMMYFUNCTION("""COMPUTED_VALUE"""),0.0)</f>
        <v>0</v>
      </c>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t="b">
        <f>IFERROR(__xludf.DUMMYFUNCTION("""COMPUTED_VALUE"""),FALSE)</f>
        <v>0</v>
      </c>
    </row>
    <row r="1661">
      <c r="A1661" s="1"/>
      <c r="B1661" s="1"/>
      <c r="C1661" s="1"/>
      <c r="D1661" s="1"/>
      <c r="E1661" s="1">
        <f>IFERROR(__xludf.DUMMYFUNCTION("""COMPUTED_VALUE"""),1.0)</f>
        <v>1</v>
      </c>
      <c r="F1661" s="2">
        <f>IFERROR(__xludf.DUMMYFUNCTION("""COMPUTED_VALUE"""),0.0)</f>
        <v>0</v>
      </c>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t="b">
        <f>IFERROR(__xludf.DUMMYFUNCTION("""COMPUTED_VALUE"""),FALSE)</f>
        <v>0</v>
      </c>
    </row>
    <row r="1662">
      <c r="A1662" s="1"/>
      <c r="B1662" s="1"/>
      <c r="C1662" s="1"/>
      <c r="D1662" s="1"/>
      <c r="E1662" s="1">
        <f>IFERROR(__xludf.DUMMYFUNCTION("""COMPUTED_VALUE"""),1.0)</f>
        <v>1</v>
      </c>
      <c r="F1662" s="2">
        <f>IFERROR(__xludf.DUMMYFUNCTION("""COMPUTED_VALUE"""),0.0)</f>
        <v>0</v>
      </c>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t="b">
        <f>IFERROR(__xludf.DUMMYFUNCTION("""COMPUTED_VALUE"""),FALSE)</f>
        <v>0</v>
      </c>
    </row>
    <row r="1663">
      <c r="A1663" s="1"/>
      <c r="B1663" s="1"/>
      <c r="C1663" s="1"/>
      <c r="D1663" s="1"/>
      <c r="E1663" s="1">
        <f>IFERROR(__xludf.DUMMYFUNCTION("""COMPUTED_VALUE"""),1.0)</f>
        <v>1</v>
      </c>
      <c r="F1663" s="2">
        <f>IFERROR(__xludf.DUMMYFUNCTION("""COMPUTED_VALUE"""),0.0)</f>
        <v>0</v>
      </c>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t="b">
        <f>IFERROR(__xludf.DUMMYFUNCTION("""COMPUTED_VALUE"""),FALSE)</f>
        <v>0</v>
      </c>
    </row>
    <row r="1664">
      <c r="A1664" s="1"/>
      <c r="B1664" s="1"/>
      <c r="C1664" s="1"/>
      <c r="D1664" s="1"/>
      <c r="E1664" s="1">
        <f>IFERROR(__xludf.DUMMYFUNCTION("""COMPUTED_VALUE"""),1.0)</f>
        <v>1</v>
      </c>
      <c r="F1664" s="2">
        <f>IFERROR(__xludf.DUMMYFUNCTION("""COMPUTED_VALUE"""),0.0)</f>
        <v>0</v>
      </c>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t="b">
        <f>IFERROR(__xludf.DUMMYFUNCTION("""COMPUTED_VALUE"""),FALSE)</f>
        <v>0</v>
      </c>
    </row>
    <row r="1665">
      <c r="A1665" s="1"/>
      <c r="B1665" s="1"/>
      <c r="C1665" s="1"/>
      <c r="D1665" s="1"/>
      <c r="E1665" s="1">
        <f>IFERROR(__xludf.DUMMYFUNCTION("""COMPUTED_VALUE"""),1.0)</f>
        <v>1</v>
      </c>
      <c r="F1665" s="2">
        <f>IFERROR(__xludf.DUMMYFUNCTION("""COMPUTED_VALUE"""),0.0)</f>
        <v>0</v>
      </c>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t="b">
        <f>IFERROR(__xludf.DUMMYFUNCTION("""COMPUTED_VALUE"""),FALSE)</f>
        <v>0</v>
      </c>
    </row>
    <row r="1666">
      <c r="A1666" s="1"/>
      <c r="B1666" s="1"/>
      <c r="C1666" s="1"/>
      <c r="D1666" s="1"/>
      <c r="E1666" s="1">
        <f>IFERROR(__xludf.DUMMYFUNCTION("""COMPUTED_VALUE"""),1.0)</f>
        <v>1</v>
      </c>
      <c r="F1666" s="2">
        <f>IFERROR(__xludf.DUMMYFUNCTION("""COMPUTED_VALUE"""),0.0)</f>
        <v>0</v>
      </c>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t="b">
        <f>IFERROR(__xludf.DUMMYFUNCTION("""COMPUTED_VALUE"""),FALSE)</f>
        <v>0</v>
      </c>
    </row>
    <row r="1667">
      <c r="A1667" s="1"/>
      <c r="B1667" s="1"/>
      <c r="C1667" s="1"/>
      <c r="D1667" s="1"/>
      <c r="E1667" s="1">
        <f>IFERROR(__xludf.DUMMYFUNCTION("""COMPUTED_VALUE"""),1.0)</f>
        <v>1</v>
      </c>
      <c r="F1667" s="2">
        <f>IFERROR(__xludf.DUMMYFUNCTION("""COMPUTED_VALUE"""),0.0)</f>
        <v>0</v>
      </c>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t="b">
        <f>IFERROR(__xludf.DUMMYFUNCTION("""COMPUTED_VALUE"""),FALSE)</f>
        <v>0</v>
      </c>
    </row>
    <row r="1668">
      <c r="A1668" s="1"/>
      <c r="B1668" s="1"/>
      <c r="C1668" s="1"/>
      <c r="D1668" s="1"/>
      <c r="E1668" s="1">
        <f>IFERROR(__xludf.DUMMYFUNCTION("""COMPUTED_VALUE"""),1.0)</f>
        <v>1</v>
      </c>
      <c r="F1668" s="2">
        <f>IFERROR(__xludf.DUMMYFUNCTION("""COMPUTED_VALUE"""),0.0)</f>
        <v>0</v>
      </c>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t="b">
        <f>IFERROR(__xludf.DUMMYFUNCTION("""COMPUTED_VALUE"""),FALSE)</f>
        <v>0</v>
      </c>
    </row>
    <row r="1669">
      <c r="A1669" s="1"/>
      <c r="B1669" s="1"/>
      <c r="C1669" s="1"/>
      <c r="D1669" s="1"/>
      <c r="E1669" s="1">
        <f>IFERROR(__xludf.DUMMYFUNCTION("""COMPUTED_VALUE"""),1.0)</f>
        <v>1</v>
      </c>
      <c r="F1669" s="2">
        <f>IFERROR(__xludf.DUMMYFUNCTION("""COMPUTED_VALUE"""),0.0)</f>
        <v>0</v>
      </c>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t="b">
        <f>IFERROR(__xludf.DUMMYFUNCTION("""COMPUTED_VALUE"""),FALSE)</f>
        <v>0</v>
      </c>
    </row>
    <row r="1670">
      <c r="A1670" s="1"/>
      <c r="B1670" s="1"/>
      <c r="C1670" s="1"/>
      <c r="D1670" s="1"/>
      <c r="E1670" s="1">
        <f>IFERROR(__xludf.DUMMYFUNCTION("""COMPUTED_VALUE"""),1.0)</f>
        <v>1</v>
      </c>
      <c r="F1670" s="2">
        <f>IFERROR(__xludf.DUMMYFUNCTION("""COMPUTED_VALUE"""),0.0)</f>
        <v>0</v>
      </c>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t="b">
        <f>IFERROR(__xludf.DUMMYFUNCTION("""COMPUTED_VALUE"""),FALSE)</f>
        <v>0</v>
      </c>
    </row>
    <row r="1671">
      <c r="A1671" s="1"/>
      <c r="B1671" s="1"/>
      <c r="C1671" s="1"/>
      <c r="D1671" s="1"/>
      <c r="E1671" s="1">
        <f>IFERROR(__xludf.DUMMYFUNCTION("""COMPUTED_VALUE"""),1.0)</f>
        <v>1</v>
      </c>
      <c r="F1671" s="2">
        <f>IFERROR(__xludf.DUMMYFUNCTION("""COMPUTED_VALUE"""),0.0)</f>
        <v>0</v>
      </c>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t="b">
        <f>IFERROR(__xludf.DUMMYFUNCTION("""COMPUTED_VALUE"""),FALSE)</f>
        <v>0</v>
      </c>
    </row>
    <row r="1672">
      <c r="A1672" s="1"/>
      <c r="B1672" s="1"/>
      <c r="C1672" s="1"/>
      <c r="D1672" s="1"/>
      <c r="E1672" s="1">
        <f>IFERROR(__xludf.DUMMYFUNCTION("""COMPUTED_VALUE"""),1.0)</f>
        <v>1</v>
      </c>
      <c r="F1672" s="2">
        <f>IFERROR(__xludf.DUMMYFUNCTION("""COMPUTED_VALUE"""),0.0)</f>
        <v>0</v>
      </c>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t="b">
        <f>IFERROR(__xludf.DUMMYFUNCTION("""COMPUTED_VALUE"""),FALSE)</f>
        <v>0</v>
      </c>
    </row>
    <row r="1673">
      <c r="A1673" s="1"/>
      <c r="B1673" s="1"/>
      <c r="C1673" s="1"/>
      <c r="D1673" s="1"/>
      <c r="E1673" s="1">
        <f>IFERROR(__xludf.DUMMYFUNCTION("""COMPUTED_VALUE"""),1.0)</f>
        <v>1</v>
      </c>
      <c r="F1673" s="2">
        <f>IFERROR(__xludf.DUMMYFUNCTION("""COMPUTED_VALUE"""),0.0)</f>
        <v>0</v>
      </c>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t="b">
        <f>IFERROR(__xludf.DUMMYFUNCTION("""COMPUTED_VALUE"""),FALSE)</f>
        <v>0</v>
      </c>
    </row>
    <row r="1674">
      <c r="A1674" s="1"/>
      <c r="B1674" s="1"/>
      <c r="C1674" s="1"/>
      <c r="D1674" s="1"/>
      <c r="E1674" s="1">
        <f>IFERROR(__xludf.DUMMYFUNCTION("""COMPUTED_VALUE"""),1.0)</f>
        <v>1</v>
      </c>
      <c r="F1674" s="2">
        <f>IFERROR(__xludf.DUMMYFUNCTION("""COMPUTED_VALUE"""),0.0)</f>
        <v>0</v>
      </c>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t="b">
        <f>IFERROR(__xludf.DUMMYFUNCTION("""COMPUTED_VALUE"""),FALSE)</f>
        <v>0</v>
      </c>
    </row>
    <row r="1675">
      <c r="A1675" s="1"/>
      <c r="B1675" s="1"/>
      <c r="C1675" s="1"/>
      <c r="D1675" s="1"/>
      <c r="E1675" s="1">
        <f>IFERROR(__xludf.DUMMYFUNCTION("""COMPUTED_VALUE"""),1.0)</f>
        <v>1</v>
      </c>
      <c r="F1675" s="2">
        <f>IFERROR(__xludf.DUMMYFUNCTION("""COMPUTED_VALUE"""),0.0)</f>
        <v>0</v>
      </c>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t="b">
        <f>IFERROR(__xludf.DUMMYFUNCTION("""COMPUTED_VALUE"""),FALSE)</f>
        <v>0</v>
      </c>
    </row>
    <row r="1676">
      <c r="A1676" s="1"/>
      <c r="B1676" s="1"/>
      <c r="C1676" s="1"/>
      <c r="D1676" s="1"/>
      <c r="E1676" s="1">
        <f>IFERROR(__xludf.DUMMYFUNCTION("""COMPUTED_VALUE"""),1.0)</f>
        <v>1</v>
      </c>
      <c r="F1676" s="2">
        <f>IFERROR(__xludf.DUMMYFUNCTION("""COMPUTED_VALUE"""),0.0)</f>
        <v>0</v>
      </c>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t="b">
        <f>IFERROR(__xludf.DUMMYFUNCTION("""COMPUTED_VALUE"""),FALSE)</f>
        <v>0</v>
      </c>
    </row>
    <row r="1677">
      <c r="A1677" s="1"/>
      <c r="B1677" s="1"/>
      <c r="C1677" s="1"/>
      <c r="D1677" s="1"/>
      <c r="E1677" s="1">
        <f>IFERROR(__xludf.DUMMYFUNCTION("""COMPUTED_VALUE"""),1.0)</f>
        <v>1</v>
      </c>
      <c r="F1677" s="2">
        <f>IFERROR(__xludf.DUMMYFUNCTION("""COMPUTED_VALUE"""),0.0)</f>
        <v>0</v>
      </c>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t="b">
        <f>IFERROR(__xludf.DUMMYFUNCTION("""COMPUTED_VALUE"""),FALSE)</f>
        <v>0</v>
      </c>
    </row>
    <row r="1678">
      <c r="A1678" s="1"/>
      <c r="B1678" s="1"/>
      <c r="C1678" s="1"/>
      <c r="D1678" s="1"/>
      <c r="E1678" s="1">
        <f>IFERROR(__xludf.DUMMYFUNCTION("""COMPUTED_VALUE"""),1.0)</f>
        <v>1</v>
      </c>
      <c r="F1678" s="2">
        <f>IFERROR(__xludf.DUMMYFUNCTION("""COMPUTED_VALUE"""),0.0)</f>
        <v>0</v>
      </c>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t="b">
        <f>IFERROR(__xludf.DUMMYFUNCTION("""COMPUTED_VALUE"""),FALSE)</f>
        <v>0</v>
      </c>
    </row>
    <row r="1679">
      <c r="A1679" s="1"/>
      <c r="B1679" s="1"/>
      <c r="C1679" s="1"/>
      <c r="D1679" s="1"/>
      <c r="E1679" s="1">
        <f>IFERROR(__xludf.DUMMYFUNCTION("""COMPUTED_VALUE"""),1.0)</f>
        <v>1</v>
      </c>
      <c r="F1679" s="2">
        <f>IFERROR(__xludf.DUMMYFUNCTION("""COMPUTED_VALUE"""),0.0)</f>
        <v>0</v>
      </c>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t="b">
        <f>IFERROR(__xludf.DUMMYFUNCTION("""COMPUTED_VALUE"""),FALSE)</f>
        <v>0</v>
      </c>
    </row>
    <row r="1680">
      <c r="A1680" s="1"/>
      <c r="B1680" s="1"/>
      <c r="C1680" s="1"/>
      <c r="D1680" s="1"/>
      <c r="E1680" s="1">
        <f>IFERROR(__xludf.DUMMYFUNCTION("""COMPUTED_VALUE"""),1.0)</f>
        <v>1</v>
      </c>
      <c r="F1680" s="2">
        <f>IFERROR(__xludf.DUMMYFUNCTION("""COMPUTED_VALUE"""),0.0)</f>
        <v>0</v>
      </c>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t="b">
        <f>IFERROR(__xludf.DUMMYFUNCTION("""COMPUTED_VALUE"""),FALSE)</f>
        <v>0</v>
      </c>
    </row>
    <row r="1681">
      <c r="A1681" s="1"/>
      <c r="B1681" s="1"/>
      <c r="C1681" s="1"/>
      <c r="D1681" s="1"/>
      <c r="E1681" s="1">
        <f>IFERROR(__xludf.DUMMYFUNCTION("""COMPUTED_VALUE"""),1.0)</f>
        <v>1</v>
      </c>
      <c r="F1681" s="2">
        <f>IFERROR(__xludf.DUMMYFUNCTION("""COMPUTED_VALUE"""),0.0)</f>
        <v>0</v>
      </c>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t="b">
        <f>IFERROR(__xludf.DUMMYFUNCTION("""COMPUTED_VALUE"""),FALSE)</f>
        <v>0</v>
      </c>
    </row>
    <row r="1682">
      <c r="A1682" s="1"/>
      <c r="B1682" s="1"/>
      <c r="C1682" s="1"/>
      <c r="D1682" s="1"/>
      <c r="E1682" s="1">
        <f>IFERROR(__xludf.DUMMYFUNCTION("""COMPUTED_VALUE"""),1.0)</f>
        <v>1</v>
      </c>
      <c r="F1682" s="2">
        <f>IFERROR(__xludf.DUMMYFUNCTION("""COMPUTED_VALUE"""),0.0)</f>
        <v>0</v>
      </c>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t="b">
        <f>IFERROR(__xludf.DUMMYFUNCTION("""COMPUTED_VALUE"""),FALSE)</f>
        <v>0</v>
      </c>
    </row>
    <row r="1683">
      <c r="A1683" s="1"/>
      <c r="B1683" s="1"/>
      <c r="C1683" s="1"/>
      <c r="D1683" s="1"/>
      <c r="E1683" s="1">
        <f>IFERROR(__xludf.DUMMYFUNCTION("""COMPUTED_VALUE"""),1.0)</f>
        <v>1</v>
      </c>
      <c r="F1683" s="2">
        <f>IFERROR(__xludf.DUMMYFUNCTION("""COMPUTED_VALUE"""),0.0)</f>
        <v>0</v>
      </c>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t="b">
        <f>IFERROR(__xludf.DUMMYFUNCTION("""COMPUTED_VALUE"""),FALSE)</f>
        <v>0</v>
      </c>
    </row>
    <row r="1684">
      <c r="A1684" s="1"/>
      <c r="B1684" s="1"/>
      <c r="C1684" s="1"/>
      <c r="D1684" s="1"/>
      <c r="E1684" s="1">
        <f>IFERROR(__xludf.DUMMYFUNCTION("""COMPUTED_VALUE"""),1.0)</f>
        <v>1</v>
      </c>
      <c r="F1684" s="2">
        <f>IFERROR(__xludf.DUMMYFUNCTION("""COMPUTED_VALUE"""),0.0)</f>
        <v>0</v>
      </c>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t="b">
        <f>IFERROR(__xludf.DUMMYFUNCTION("""COMPUTED_VALUE"""),FALSE)</f>
        <v>0</v>
      </c>
    </row>
    <row r="1685">
      <c r="A1685" s="1"/>
      <c r="B1685" s="1"/>
      <c r="C1685" s="1"/>
      <c r="D1685" s="1"/>
      <c r="E1685" s="1">
        <f>IFERROR(__xludf.DUMMYFUNCTION("""COMPUTED_VALUE"""),1.0)</f>
        <v>1</v>
      </c>
      <c r="F1685" s="2">
        <f>IFERROR(__xludf.DUMMYFUNCTION("""COMPUTED_VALUE"""),0.0)</f>
        <v>0</v>
      </c>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t="b">
        <f>IFERROR(__xludf.DUMMYFUNCTION("""COMPUTED_VALUE"""),FALSE)</f>
        <v>0</v>
      </c>
    </row>
    <row r="1686">
      <c r="A1686" s="1"/>
      <c r="B1686" s="1"/>
      <c r="C1686" s="1"/>
      <c r="D1686" s="1"/>
      <c r="E1686" s="1">
        <f>IFERROR(__xludf.DUMMYFUNCTION("""COMPUTED_VALUE"""),1.0)</f>
        <v>1</v>
      </c>
      <c r="F1686" s="2">
        <f>IFERROR(__xludf.DUMMYFUNCTION("""COMPUTED_VALUE"""),0.0)</f>
        <v>0</v>
      </c>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t="b">
        <f>IFERROR(__xludf.DUMMYFUNCTION("""COMPUTED_VALUE"""),FALSE)</f>
        <v>0</v>
      </c>
    </row>
    <row r="1687">
      <c r="A1687" s="1"/>
      <c r="B1687" s="1"/>
      <c r="C1687" s="1"/>
      <c r="D1687" s="1"/>
      <c r="E1687" s="1">
        <f>IFERROR(__xludf.DUMMYFUNCTION("""COMPUTED_VALUE"""),1.0)</f>
        <v>1</v>
      </c>
      <c r="F1687" s="2">
        <f>IFERROR(__xludf.DUMMYFUNCTION("""COMPUTED_VALUE"""),0.0)</f>
        <v>0</v>
      </c>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t="b">
        <f>IFERROR(__xludf.DUMMYFUNCTION("""COMPUTED_VALUE"""),FALSE)</f>
        <v>0</v>
      </c>
    </row>
    <row r="1688">
      <c r="A1688" s="1"/>
      <c r="B1688" s="1"/>
      <c r="C1688" s="1"/>
      <c r="D1688" s="1"/>
      <c r="E1688" s="1">
        <f>IFERROR(__xludf.DUMMYFUNCTION("""COMPUTED_VALUE"""),1.0)</f>
        <v>1</v>
      </c>
      <c r="F1688" s="2">
        <f>IFERROR(__xludf.DUMMYFUNCTION("""COMPUTED_VALUE"""),0.0)</f>
        <v>0</v>
      </c>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t="b">
        <f>IFERROR(__xludf.DUMMYFUNCTION("""COMPUTED_VALUE"""),FALSE)</f>
        <v>0</v>
      </c>
    </row>
    <row r="1689">
      <c r="A1689" s="1"/>
      <c r="B1689" s="1"/>
      <c r="C1689" s="1"/>
      <c r="D1689" s="1"/>
      <c r="E1689" s="1">
        <f>IFERROR(__xludf.DUMMYFUNCTION("""COMPUTED_VALUE"""),1.0)</f>
        <v>1</v>
      </c>
      <c r="F1689" s="2">
        <f>IFERROR(__xludf.DUMMYFUNCTION("""COMPUTED_VALUE"""),0.0)</f>
        <v>0</v>
      </c>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t="b">
        <f>IFERROR(__xludf.DUMMYFUNCTION("""COMPUTED_VALUE"""),FALSE)</f>
        <v>0</v>
      </c>
    </row>
    <row r="1690">
      <c r="A1690" s="1"/>
      <c r="B1690" s="1"/>
      <c r="C1690" s="1"/>
      <c r="D1690" s="1"/>
      <c r="E1690" s="1">
        <f>IFERROR(__xludf.DUMMYFUNCTION("""COMPUTED_VALUE"""),1.0)</f>
        <v>1</v>
      </c>
      <c r="F1690" s="2">
        <f>IFERROR(__xludf.DUMMYFUNCTION("""COMPUTED_VALUE"""),0.0)</f>
        <v>0</v>
      </c>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t="b">
        <f>IFERROR(__xludf.DUMMYFUNCTION("""COMPUTED_VALUE"""),FALSE)</f>
        <v>0</v>
      </c>
    </row>
    <row r="1691">
      <c r="A1691" s="1"/>
      <c r="B1691" s="1"/>
      <c r="C1691" s="1"/>
      <c r="D1691" s="1"/>
      <c r="E1691" s="1">
        <f>IFERROR(__xludf.DUMMYFUNCTION("""COMPUTED_VALUE"""),1.0)</f>
        <v>1</v>
      </c>
      <c r="F1691" s="2">
        <f>IFERROR(__xludf.DUMMYFUNCTION("""COMPUTED_VALUE"""),0.0)</f>
        <v>0</v>
      </c>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t="b">
        <f>IFERROR(__xludf.DUMMYFUNCTION("""COMPUTED_VALUE"""),FALSE)</f>
        <v>0</v>
      </c>
    </row>
    <row r="1692">
      <c r="A1692" s="1"/>
      <c r="B1692" s="1"/>
      <c r="C1692" s="1"/>
      <c r="D1692" s="1"/>
      <c r="E1692" s="1">
        <f>IFERROR(__xludf.DUMMYFUNCTION("""COMPUTED_VALUE"""),1.0)</f>
        <v>1</v>
      </c>
      <c r="F1692" s="2">
        <f>IFERROR(__xludf.DUMMYFUNCTION("""COMPUTED_VALUE"""),0.0)</f>
        <v>0</v>
      </c>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t="b">
        <f>IFERROR(__xludf.DUMMYFUNCTION("""COMPUTED_VALUE"""),FALSE)</f>
        <v>0</v>
      </c>
    </row>
    <row r="1693">
      <c r="A1693" s="1"/>
      <c r="B1693" s="1"/>
      <c r="C1693" s="1"/>
      <c r="D1693" s="1"/>
      <c r="E1693" s="1">
        <f>IFERROR(__xludf.DUMMYFUNCTION("""COMPUTED_VALUE"""),1.0)</f>
        <v>1</v>
      </c>
      <c r="F1693" s="2">
        <f>IFERROR(__xludf.DUMMYFUNCTION("""COMPUTED_VALUE"""),0.0)</f>
        <v>0</v>
      </c>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t="b">
        <f>IFERROR(__xludf.DUMMYFUNCTION("""COMPUTED_VALUE"""),FALSE)</f>
        <v>0</v>
      </c>
    </row>
    <row r="1694">
      <c r="A1694" s="1"/>
      <c r="B1694" s="1"/>
      <c r="C1694" s="1"/>
      <c r="D1694" s="1"/>
      <c r="E1694" s="1">
        <f>IFERROR(__xludf.DUMMYFUNCTION("""COMPUTED_VALUE"""),1.0)</f>
        <v>1</v>
      </c>
      <c r="F1694" s="2">
        <f>IFERROR(__xludf.DUMMYFUNCTION("""COMPUTED_VALUE"""),0.0)</f>
        <v>0</v>
      </c>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t="b">
        <f>IFERROR(__xludf.DUMMYFUNCTION("""COMPUTED_VALUE"""),FALSE)</f>
        <v>0</v>
      </c>
    </row>
    <row r="1695">
      <c r="A1695" s="1"/>
      <c r="B1695" s="1"/>
      <c r="C1695" s="1"/>
      <c r="D1695" s="1"/>
      <c r="E1695" s="1">
        <f>IFERROR(__xludf.DUMMYFUNCTION("""COMPUTED_VALUE"""),1.0)</f>
        <v>1</v>
      </c>
      <c r="F1695" s="2">
        <f>IFERROR(__xludf.DUMMYFUNCTION("""COMPUTED_VALUE"""),0.0)</f>
        <v>0</v>
      </c>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t="b">
        <f>IFERROR(__xludf.DUMMYFUNCTION("""COMPUTED_VALUE"""),FALSE)</f>
        <v>0</v>
      </c>
    </row>
    <row r="1696">
      <c r="A1696" s="1"/>
      <c r="B1696" s="1"/>
      <c r="C1696" s="1"/>
      <c r="D1696" s="1"/>
      <c r="E1696" s="1">
        <f>IFERROR(__xludf.DUMMYFUNCTION("""COMPUTED_VALUE"""),1.0)</f>
        <v>1</v>
      </c>
      <c r="F1696" s="2">
        <f>IFERROR(__xludf.DUMMYFUNCTION("""COMPUTED_VALUE"""),0.0)</f>
        <v>0</v>
      </c>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t="b">
        <f>IFERROR(__xludf.DUMMYFUNCTION("""COMPUTED_VALUE"""),FALSE)</f>
        <v>0</v>
      </c>
    </row>
    <row r="1697">
      <c r="A1697" s="1"/>
      <c r="B1697" s="1"/>
      <c r="C1697" s="1"/>
      <c r="D1697" s="1"/>
      <c r="E1697" s="1">
        <f>IFERROR(__xludf.DUMMYFUNCTION("""COMPUTED_VALUE"""),1.0)</f>
        <v>1</v>
      </c>
      <c r="F1697" s="2">
        <f>IFERROR(__xludf.DUMMYFUNCTION("""COMPUTED_VALUE"""),0.0)</f>
        <v>0</v>
      </c>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t="b">
        <f>IFERROR(__xludf.DUMMYFUNCTION("""COMPUTED_VALUE"""),FALSE)</f>
        <v>0</v>
      </c>
    </row>
    <row r="1698">
      <c r="A1698" s="1"/>
      <c r="B1698" s="1"/>
      <c r="C1698" s="1"/>
      <c r="D1698" s="1"/>
      <c r="E1698" s="1">
        <f>IFERROR(__xludf.DUMMYFUNCTION("""COMPUTED_VALUE"""),1.0)</f>
        <v>1</v>
      </c>
      <c r="F1698" s="2">
        <f>IFERROR(__xludf.DUMMYFUNCTION("""COMPUTED_VALUE"""),0.0)</f>
        <v>0</v>
      </c>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t="b">
        <f>IFERROR(__xludf.DUMMYFUNCTION("""COMPUTED_VALUE"""),FALSE)</f>
        <v>0</v>
      </c>
    </row>
    <row r="1699">
      <c r="A1699" s="1"/>
      <c r="B1699" s="1"/>
      <c r="C1699" s="1"/>
      <c r="D1699" s="1"/>
      <c r="E1699" s="1">
        <f>IFERROR(__xludf.DUMMYFUNCTION("""COMPUTED_VALUE"""),1.0)</f>
        <v>1</v>
      </c>
      <c r="F1699" s="2">
        <f>IFERROR(__xludf.DUMMYFUNCTION("""COMPUTED_VALUE"""),0.0)</f>
        <v>0</v>
      </c>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t="b">
        <f>IFERROR(__xludf.DUMMYFUNCTION("""COMPUTED_VALUE"""),FALSE)</f>
        <v>0</v>
      </c>
    </row>
    <row r="1700">
      <c r="A1700" s="1"/>
      <c r="B1700" s="1"/>
      <c r="C1700" s="1"/>
      <c r="D1700" s="1"/>
      <c r="E1700" s="1">
        <f>IFERROR(__xludf.DUMMYFUNCTION("""COMPUTED_VALUE"""),1.0)</f>
        <v>1</v>
      </c>
      <c r="F1700" s="2">
        <f>IFERROR(__xludf.DUMMYFUNCTION("""COMPUTED_VALUE"""),0.0)</f>
        <v>0</v>
      </c>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t="b">
        <f>IFERROR(__xludf.DUMMYFUNCTION("""COMPUTED_VALUE"""),FALSE)</f>
        <v>0</v>
      </c>
    </row>
    <row r="1701">
      <c r="A1701" s="1"/>
      <c r="B1701" s="1"/>
      <c r="C1701" s="1"/>
      <c r="D1701" s="1"/>
      <c r="E1701" s="1">
        <f>IFERROR(__xludf.DUMMYFUNCTION("""COMPUTED_VALUE"""),1.0)</f>
        <v>1</v>
      </c>
      <c r="F1701" s="2">
        <f>IFERROR(__xludf.DUMMYFUNCTION("""COMPUTED_VALUE"""),0.0)</f>
        <v>0</v>
      </c>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t="b">
        <f>IFERROR(__xludf.DUMMYFUNCTION("""COMPUTED_VALUE"""),FALSE)</f>
        <v>0</v>
      </c>
    </row>
    <row r="1702">
      <c r="A1702" s="1"/>
      <c r="B1702" s="1"/>
      <c r="C1702" s="1"/>
      <c r="D1702" s="1"/>
      <c r="E1702" s="1">
        <f>IFERROR(__xludf.DUMMYFUNCTION("""COMPUTED_VALUE"""),1.0)</f>
        <v>1</v>
      </c>
      <c r="F1702" s="2">
        <f>IFERROR(__xludf.DUMMYFUNCTION("""COMPUTED_VALUE"""),0.0)</f>
        <v>0</v>
      </c>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t="b">
        <f>IFERROR(__xludf.DUMMYFUNCTION("""COMPUTED_VALUE"""),FALSE)</f>
        <v>0</v>
      </c>
    </row>
    <row r="1703">
      <c r="A1703" s="1"/>
      <c r="B1703" s="1"/>
      <c r="C1703" s="1"/>
      <c r="D1703" s="1"/>
      <c r="E1703" s="1">
        <f>IFERROR(__xludf.DUMMYFUNCTION("""COMPUTED_VALUE"""),1.0)</f>
        <v>1</v>
      </c>
      <c r="F1703" s="2">
        <f>IFERROR(__xludf.DUMMYFUNCTION("""COMPUTED_VALUE"""),0.0)</f>
        <v>0</v>
      </c>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t="b">
        <f>IFERROR(__xludf.DUMMYFUNCTION("""COMPUTED_VALUE"""),FALSE)</f>
        <v>0</v>
      </c>
    </row>
    <row r="1704">
      <c r="A1704" s="1"/>
      <c r="B1704" s="1"/>
      <c r="C1704" s="1"/>
      <c r="D1704" s="1"/>
      <c r="E1704" s="1">
        <f>IFERROR(__xludf.DUMMYFUNCTION("""COMPUTED_VALUE"""),1.0)</f>
        <v>1</v>
      </c>
      <c r="F1704" s="2">
        <f>IFERROR(__xludf.DUMMYFUNCTION("""COMPUTED_VALUE"""),0.0)</f>
        <v>0</v>
      </c>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t="b">
        <f>IFERROR(__xludf.DUMMYFUNCTION("""COMPUTED_VALUE"""),FALSE)</f>
        <v>0</v>
      </c>
    </row>
    <row r="1705">
      <c r="A1705" s="1"/>
      <c r="B1705" s="1"/>
      <c r="C1705" s="1"/>
      <c r="D1705" s="1"/>
      <c r="E1705" s="1">
        <f>IFERROR(__xludf.DUMMYFUNCTION("""COMPUTED_VALUE"""),1.0)</f>
        <v>1</v>
      </c>
      <c r="F1705" s="2">
        <f>IFERROR(__xludf.DUMMYFUNCTION("""COMPUTED_VALUE"""),0.0)</f>
        <v>0</v>
      </c>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t="b">
        <f>IFERROR(__xludf.DUMMYFUNCTION("""COMPUTED_VALUE"""),FALSE)</f>
        <v>0</v>
      </c>
    </row>
    <row r="1706">
      <c r="A1706" s="1"/>
      <c r="B1706" s="1"/>
      <c r="C1706" s="1"/>
      <c r="D1706" s="1"/>
      <c r="E1706" s="1">
        <f>IFERROR(__xludf.DUMMYFUNCTION("""COMPUTED_VALUE"""),1.0)</f>
        <v>1</v>
      </c>
      <c r="F1706" s="2">
        <f>IFERROR(__xludf.DUMMYFUNCTION("""COMPUTED_VALUE"""),0.0)</f>
        <v>0</v>
      </c>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t="b">
        <f>IFERROR(__xludf.DUMMYFUNCTION("""COMPUTED_VALUE"""),FALSE)</f>
        <v>0</v>
      </c>
    </row>
    <row r="1707">
      <c r="A1707" s="1"/>
      <c r="B1707" s="1"/>
      <c r="C1707" s="1"/>
      <c r="D1707" s="1"/>
      <c r="E1707" s="1">
        <f>IFERROR(__xludf.DUMMYFUNCTION("""COMPUTED_VALUE"""),1.0)</f>
        <v>1</v>
      </c>
      <c r="F1707" s="2">
        <f>IFERROR(__xludf.DUMMYFUNCTION("""COMPUTED_VALUE"""),0.0)</f>
        <v>0</v>
      </c>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t="b">
        <f>IFERROR(__xludf.DUMMYFUNCTION("""COMPUTED_VALUE"""),FALSE)</f>
        <v>0</v>
      </c>
    </row>
    <row r="1708">
      <c r="A1708" s="1"/>
      <c r="B1708" s="1"/>
      <c r="C1708" s="1"/>
      <c r="D1708" s="1"/>
      <c r="E1708" s="1">
        <f>IFERROR(__xludf.DUMMYFUNCTION("""COMPUTED_VALUE"""),1.0)</f>
        <v>1</v>
      </c>
      <c r="F1708" s="2">
        <f>IFERROR(__xludf.DUMMYFUNCTION("""COMPUTED_VALUE"""),0.0)</f>
        <v>0</v>
      </c>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t="b">
        <f>IFERROR(__xludf.DUMMYFUNCTION("""COMPUTED_VALUE"""),FALSE)</f>
        <v>0</v>
      </c>
    </row>
    <row r="1709">
      <c r="A1709" s="1"/>
      <c r="B1709" s="1"/>
      <c r="C1709" s="1"/>
      <c r="D1709" s="1"/>
      <c r="E1709" s="1">
        <f>IFERROR(__xludf.DUMMYFUNCTION("""COMPUTED_VALUE"""),1.0)</f>
        <v>1</v>
      </c>
      <c r="F1709" s="2">
        <f>IFERROR(__xludf.DUMMYFUNCTION("""COMPUTED_VALUE"""),0.0)</f>
        <v>0</v>
      </c>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t="b">
        <f>IFERROR(__xludf.DUMMYFUNCTION("""COMPUTED_VALUE"""),FALSE)</f>
        <v>0</v>
      </c>
    </row>
    <row r="1710">
      <c r="A1710" s="1"/>
      <c r="B1710" s="1"/>
      <c r="C1710" s="1"/>
      <c r="D1710" s="1"/>
      <c r="E1710" s="1">
        <f>IFERROR(__xludf.DUMMYFUNCTION("""COMPUTED_VALUE"""),1.0)</f>
        <v>1</v>
      </c>
      <c r="F1710" s="2">
        <f>IFERROR(__xludf.DUMMYFUNCTION("""COMPUTED_VALUE"""),0.0)</f>
        <v>0</v>
      </c>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t="b">
        <f>IFERROR(__xludf.DUMMYFUNCTION("""COMPUTED_VALUE"""),FALSE)</f>
        <v>0</v>
      </c>
    </row>
    <row r="1711">
      <c r="A1711" s="1"/>
      <c r="B1711" s="1"/>
      <c r="C1711" s="1"/>
      <c r="D1711" s="1"/>
      <c r="E1711" s="1">
        <f>IFERROR(__xludf.DUMMYFUNCTION("""COMPUTED_VALUE"""),1.0)</f>
        <v>1</v>
      </c>
      <c r="F1711" s="2">
        <f>IFERROR(__xludf.DUMMYFUNCTION("""COMPUTED_VALUE"""),0.0)</f>
        <v>0</v>
      </c>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t="b">
        <f>IFERROR(__xludf.DUMMYFUNCTION("""COMPUTED_VALUE"""),FALSE)</f>
        <v>0</v>
      </c>
    </row>
    <row r="1712">
      <c r="A1712" s="1"/>
      <c r="B1712" s="1"/>
      <c r="C1712" s="1"/>
      <c r="D1712" s="1"/>
      <c r="E1712" s="1">
        <f>IFERROR(__xludf.DUMMYFUNCTION("""COMPUTED_VALUE"""),1.0)</f>
        <v>1</v>
      </c>
      <c r="F1712" s="2">
        <f>IFERROR(__xludf.DUMMYFUNCTION("""COMPUTED_VALUE"""),0.0)</f>
        <v>0</v>
      </c>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t="b">
        <f>IFERROR(__xludf.DUMMYFUNCTION("""COMPUTED_VALUE"""),FALSE)</f>
        <v>0</v>
      </c>
    </row>
    <row r="1713">
      <c r="A1713" s="1"/>
      <c r="B1713" s="1"/>
      <c r="C1713" s="1"/>
      <c r="D1713" s="1"/>
      <c r="E1713" s="1">
        <f>IFERROR(__xludf.DUMMYFUNCTION("""COMPUTED_VALUE"""),1.0)</f>
        <v>1</v>
      </c>
      <c r="F1713" s="2">
        <f>IFERROR(__xludf.DUMMYFUNCTION("""COMPUTED_VALUE"""),0.0)</f>
        <v>0</v>
      </c>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t="b">
        <f>IFERROR(__xludf.DUMMYFUNCTION("""COMPUTED_VALUE"""),FALSE)</f>
        <v>0</v>
      </c>
    </row>
    <row r="1714">
      <c r="A1714" s="1"/>
      <c r="B1714" s="1"/>
      <c r="C1714" s="1"/>
      <c r="D1714" s="1"/>
      <c r="E1714" s="1">
        <f>IFERROR(__xludf.DUMMYFUNCTION("""COMPUTED_VALUE"""),1.0)</f>
        <v>1</v>
      </c>
      <c r="F1714" s="2">
        <f>IFERROR(__xludf.DUMMYFUNCTION("""COMPUTED_VALUE"""),0.0)</f>
        <v>0</v>
      </c>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t="b">
        <f>IFERROR(__xludf.DUMMYFUNCTION("""COMPUTED_VALUE"""),FALSE)</f>
        <v>0</v>
      </c>
    </row>
    <row r="1715">
      <c r="A1715" s="1"/>
      <c r="B1715" s="1"/>
      <c r="C1715" s="1"/>
      <c r="D1715" s="1"/>
      <c r="E1715" s="1">
        <f>IFERROR(__xludf.DUMMYFUNCTION("""COMPUTED_VALUE"""),1.0)</f>
        <v>1</v>
      </c>
      <c r="F1715" s="2">
        <f>IFERROR(__xludf.DUMMYFUNCTION("""COMPUTED_VALUE"""),0.0)</f>
        <v>0</v>
      </c>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t="b">
        <f>IFERROR(__xludf.DUMMYFUNCTION("""COMPUTED_VALUE"""),FALSE)</f>
        <v>0</v>
      </c>
    </row>
    <row r="1716">
      <c r="A1716" s="1"/>
      <c r="B1716" s="1"/>
      <c r="C1716" s="1"/>
      <c r="D1716" s="1"/>
      <c r="E1716" s="1">
        <f>IFERROR(__xludf.DUMMYFUNCTION("""COMPUTED_VALUE"""),1.0)</f>
        <v>1</v>
      </c>
      <c r="F1716" s="2">
        <f>IFERROR(__xludf.DUMMYFUNCTION("""COMPUTED_VALUE"""),0.0)</f>
        <v>0</v>
      </c>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t="b">
        <f>IFERROR(__xludf.DUMMYFUNCTION("""COMPUTED_VALUE"""),FALSE)</f>
        <v>0</v>
      </c>
    </row>
    <row r="1717">
      <c r="A1717" s="1"/>
      <c r="B1717" s="1"/>
      <c r="C1717" s="1"/>
      <c r="D1717" s="1"/>
      <c r="E1717" s="1">
        <f>IFERROR(__xludf.DUMMYFUNCTION("""COMPUTED_VALUE"""),1.0)</f>
        <v>1</v>
      </c>
      <c r="F1717" s="2">
        <f>IFERROR(__xludf.DUMMYFUNCTION("""COMPUTED_VALUE"""),0.0)</f>
        <v>0</v>
      </c>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t="b">
        <f>IFERROR(__xludf.DUMMYFUNCTION("""COMPUTED_VALUE"""),FALSE)</f>
        <v>0</v>
      </c>
    </row>
    <row r="1718">
      <c r="A1718" s="1"/>
      <c r="B1718" s="1"/>
      <c r="C1718" s="1"/>
      <c r="D1718" s="1"/>
      <c r="E1718" s="1">
        <f>IFERROR(__xludf.DUMMYFUNCTION("""COMPUTED_VALUE"""),1.0)</f>
        <v>1</v>
      </c>
      <c r="F1718" s="2">
        <f>IFERROR(__xludf.DUMMYFUNCTION("""COMPUTED_VALUE"""),0.0)</f>
        <v>0</v>
      </c>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t="b">
        <f>IFERROR(__xludf.DUMMYFUNCTION("""COMPUTED_VALUE"""),FALSE)</f>
        <v>0</v>
      </c>
    </row>
    <row r="1719">
      <c r="A1719" s="1"/>
      <c r="B1719" s="1"/>
      <c r="C1719" s="1"/>
      <c r="D1719" s="1"/>
      <c r="E1719" s="1">
        <f>IFERROR(__xludf.DUMMYFUNCTION("""COMPUTED_VALUE"""),1.0)</f>
        <v>1</v>
      </c>
      <c r="F1719" s="2">
        <f>IFERROR(__xludf.DUMMYFUNCTION("""COMPUTED_VALUE"""),0.0)</f>
        <v>0</v>
      </c>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t="b">
        <f>IFERROR(__xludf.DUMMYFUNCTION("""COMPUTED_VALUE"""),FALSE)</f>
        <v>0</v>
      </c>
    </row>
    <row r="1720">
      <c r="A1720" s="1"/>
      <c r="B1720" s="1"/>
      <c r="C1720" s="1"/>
      <c r="D1720" s="1"/>
      <c r="E1720" s="1">
        <f>IFERROR(__xludf.DUMMYFUNCTION("""COMPUTED_VALUE"""),1.0)</f>
        <v>1</v>
      </c>
      <c r="F1720" s="2">
        <f>IFERROR(__xludf.DUMMYFUNCTION("""COMPUTED_VALUE"""),0.0)</f>
        <v>0</v>
      </c>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t="b">
        <f>IFERROR(__xludf.DUMMYFUNCTION("""COMPUTED_VALUE"""),FALSE)</f>
        <v>0</v>
      </c>
    </row>
    <row r="1721">
      <c r="A1721" s="1"/>
      <c r="B1721" s="1"/>
      <c r="C1721" s="1"/>
      <c r="D1721" s="1"/>
      <c r="E1721" s="1">
        <f>IFERROR(__xludf.DUMMYFUNCTION("""COMPUTED_VALUE"""),1.0)</f>
        <v>1</v>
      </c>
      <c r="F1721" s="2">
        <f>IFERROR(__xludf.DUMMYFUNCTION("""COMPUTED_VALUE"""),0.0)</f>
        <v>0</v>
      </c>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t="b">
        <f>IFERROR(__xludf.DUMMYFUNCTION("""COMPUTED_VALUE"""),FALSE)</f>
        <v>0</v>
      </c>
    </row>
    <row r="1722">
      <c r="A1722" s="1"/>
      <c r="B1722" s="1"/>
      <c r="C1722" s="1"/>
      <c r="D1722" s="1"/>
      <c r="E1722" s="1">
        <f>IFERROR(__xludf.DUMMYFUNCTION("""COMPUTED_VALUE"""),1.0)</f>
        <v>1</v>
      </c>
      <c r="F1722" s="2">
        <f>IFERROR(__xludf.DUMMYFUNCTION("""COMPUTED_VALUE"""),0.0)</f>
        <v>0</v>
      </c>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t="b">
        <f>IFERROR(__xludf.DUMMYFUNCTION("""COMPUTED_VALUE"""),FALSE)</f>
        <v>0</v>
      </c>
    </row>
    <row r="1723">
      <c r="A1723" s="1"/>
      <c r="B1723" s="1"/>
      <c r="C1723" s="1"/>
      <c r="D1723" s="1"/>
      <c r="E1723" s="1">
        <f>IFERROR(__xludf.DUMMYFUNCTION("""COMPUTED_VALUE"""),1.0)</f>
        <v>1</v>
      </c>
      <c r="F1723" s="2">
        <f>IFERROR(__xludf.DUMMYFUNCTION("""COMPUTED_VALUE"""),0.0)</f>
        <v>0</v>
      </c>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t="b">
        <f>IFERROR(__xludf.DUMMYFUNCTION("""COMPUTED_VALUE"""),FALSE)</f>
        <v>0</v>
      </c>
    </row>
    <row r="1724">
      <c r="A1724" s="1"/>
      <c r="B1724" s="1"/>
      <c r="C1724" s="1"/>
      <c r="D1724" s="1"/>
      <c r="E1724" s="1">
        <f>IFERROR(__xludf.DUMMYFUNCTION("""COMPUTED_VALUE"""),1.0)</f>
        <v>1</v>
      </c>
      <c r="F1724" s="2">
        <f>IFERROR(__xludf.DUMMYFUNCTION("""COMPUTED_VALUE"""),0.0)</f>
        <v>0</v>
      </c>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t="b">
        <f>IFERROR(__xludf.DUMMYFUNCTION("""COMPUTED_VALUE"""),FALSE)</f>
        <v>0</v>
      </c>
    </row>
    <row r="1725">
      <c r="A1725" s="1"/>
      <c r="B1725" s="1"/>
      <c r="C1725" s="1"/>
      <c r="D1725" s="1"/>
      <c r="E1725" s="1">
        <f>IFERROR(__xludf.DUMMYFUNCTION("""COMPUTED_VALUE"""),1.0)</f>
        <v>1</v>
      </c>
      <c r="F1725" s="2">
        <f>IFERROR(__xludf.DUMMYFUNCTION("""COMPUTED_VALUE"""),0.0)</f>
        <v>0</v>
      </c>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t="b">
        <f>IFERROR(__xludf.DUMMYFUNCTION("""COMPUTED_VALUE"""),FALSE)</f>
        <v>0</v>
      </c>
    </row>
    <row r="1726">
      <c r="A1726" s="1"/>
      <c r="B1726" s="1"/>
      <c r="C1726" s="1"/>
      <c r="D1726" s="1"/>
      <c r="E1726" s="1">
        <f>IFERROR(__xludf.DUMMYFUNCTION("""COMPUTED_VALUE"""),1.0)</f>
        <v>1</v>
      </c>
      <c r="F1726" s="2">
        <f>IFERROR(__xludf.DUMMYFUNCTION("""COMPUTED_VALUE"""),0.0)</f>
        <v>0</v>
      </c>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t="b">
        <f>IFERROR(__xludf.DUMMYFUNCTION("""COMPUTED_VALUE"""),FALSE)</f>
        <v>0</v>
      </c>
    </row>
    <row r="1727">
      <c r="A1727" s="1"/>
      <c r="B1727" s="1"/>
      <c r="C1727" s="1"/>
      <c r="D1727" s="1"/>
      <c r="E1727" s="1">
        <f>IFERROR(__xludf.DUMMYFUNCTION("""COMPUTED_VALUE"""),1.0)</f>
        <v>1</v>
      </c>
      <c r="F1727" s="2">
        <f>IFERROR(__xludf.DUMMYFUNCTION("""COMPUTED_VALUE"""),0.0)</f>
        <v>0</v>
      </c>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t="b">
        <f>IFERROR(__xludf.DUMMYFUNCTION("""COMPUTED_VALUE"""),FALSE)</f>
        <v>0</v>
      </c>
    </row>
    <row r="1728">
      <c r="A1728" s="1"/>
      <c r="B1728" s="1"/>
      <c r="C1728" s="1"/>
      <c r="D1728" s="1"/>
      <c r="E1728" s="1">
        <f>IFERROR(__xludf.DUMMYFUNCTION("""COMPUTED_VALUE"""),1.0)</f>
        <v>1</v>
      </c>
      <c r="F1728" s="2">
        <f>IFERROR(__xludf.DUMMYFUNCTION("""COMPUTED_VALUE"""),0.0)</f>
        <v>0</v>
      </c>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t="b">
        <f>IFERROR(__xludf.DUMMYFUNCTION("""COMPUTED_VALUE"""),FALSE)</f>
        <v>0</v>
      </c>
    </row>
    <row r="1729">
      <c r="A1729" s="1"/>
      <c r="B1729" s="1"/>
      <c r="C1729" s="1"/>
      <c r="D1729" s="1"/>
      <c r="E1729" s="1">
        <f>IFERROR(__xludf.DUMMYFUNCTION("""COMPUTED_VALUE"""),1.0)</f>
        <v>1</v>
      </c>
      <c r="F1729" s="2">
        <f>IFERROR(__xludf.DUMMYFUNCTION("""COMPUTED_VALUE"""),0.0)</f>
        <v>0</v>
      </c>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t="b">
        <f>IFERROR(__xludf.DUMMYFUNCTION("""COMPUTED_VALUE"""),FALSE)</f>
        <v>0</v>
      </c>
    </row>
    <row r="1730">
      <c r="A1730" s="1"/>
      <c r="B1730" s="1"/>
      <c r="C1730" s="1"/>
      <c r="D1730" s="1"/>
      <c r="E1730" s="1">
        <f>IFERROR(__xludf.DUMMYFUNCTION("""COMPUTED_VALUE"""),1.0)</f>
        <v>1</v>
      </c>
      <c r="F1730" s="2">
        <f>IFERROR(__xludf.DUMMYFUNCTION("""COMPUTED_VALUE"""),0.0)</f>
        <v>0</v>
      </c>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t="b">
        <f>IFERROR(__xludf.DUMMYFUNCTION("""COMPUTED_VALUE"""),FALSE)</f>
        <v>0</v>
      </c>
    </row>
    <row r="1731">
      <c r="A1731" s="1"/>
      <c r="B1731" s="1"/>
      <c r="C1731" s="1"/>
      <c r="D1731" s="1"/>
      <c r="E1731" s="1">
        <f>IFERROR(__xludf.DUMMYFUNCTION("""COMPUTED_VALUE"""),1.0)</f>
        <v>1</v>
      </c>
      <c r="F1731" s="2">
        <f>IFERROR(__xludf.DUMMYFUNCTION("""COMPUTED_VALUE"""),0.0)</f>
        <v>0</v>
      </c>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t="b">
        <f>IFERROR(__xludf.DUMMYFUNCTION("""COMPUTED_VALUE"""),FALSE)</f>
        <v>0</v>
      </c>
    </row>
    <row r="1732">
      <c r="A1732" s="1"/>
      <c r="B1732" s="1"/>
      <c r="C1732" s="1"/>
      <c r="D1732" s="1"/>
      <c r="E1732" s="1">
        <f>IFERROR(__xludf.DUMMYFUNCTION("""COMPUTED_VALUE"""),1.0)</f>
        <v>1</v>
      </c>
      <c r="F1732" s="2">
        <f>IFERROR(__xludf.DUMMYFUNCTION("""COMPUTED_VALUE"""),0.0)</f>
        <v>0</v>
      </c>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t="b">
        <f>IFERROR(__xludf.DUMMYFUNCTION("""COMPUTED_VALUE"""),FALSE)</f>
        <v>0</v>
      </c>
    </row>
    <row r="1733">
      <c r="A1733" s="1"/>
      <c r="B1733" s="1"/>
      <c r="C1733" s="1"/>
      <c r="D1733" s="1"/>
      <c r="E1733" s="1">
        <f>IFERROR(__xludf.DUMMYFUNCTION("""COMPUTED_VALUE"""),1.0)</f>
        <v>1</v>
      </c>
      <c r="F1733" s="2">
        <f>IFERROR(__xludf.DUMMYFUNCTION("""COMPUTED_VALUE"""),0.0)</f>
        <v>0</v>
      </c>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t="b">
        <f>IFERROR(__xludf.DUMMYFUNCTION("""COMPUTED_VALUE"""),FALSE)</f>
        <v>0</v>
      </c>
    </row>
    <row r="1734">
      <c r="A1734" s="1"/>
      <c r="B1734" s="1"/>
      <c r="C1734" s="1"/>
      <c r="D1734" s="1"/>
      <c r="E1734" s="1">
        <f>IFERROR(__xludf.DUMMYFUNCTION("""COMPUTED_VALUE"""),1.0)</f>
        <v>1</v>
      </c>
      <c r="F1734" s="2">
        <f>IFERROR(__xludf.DUMMYFUNCTION("""COMPUTED_VALUE"""),0.0)</f>
        <v>0</v>
      </c>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t="b">
        <f>IFERROR(__xludf.DUMMYFUNCTION("""COMPUTED_VALUE"""),FALSE)</f>
        <v>0</v>
      </c>
    </row>
    <row r="1735">
      <c r="A1735" s="1"/>
      <c r="B1735" s="1"/>
      <c r="C1735" s="1"/>
      <c r="D1735" s="1"/>
      <c r="E1735" s="1">
        <f>IFERROR(__xludf.DUMMYFUNCTION("""COMPUTED_VALUE"""),1.0)</f>
        <v>1</v>
      </c>
      <c r="F1735" s="2">
        <f>IFERROR(__xludf.DUMMYFUNCTION("""COMPUTED_VALUE"""),0.0)</f>
        <v>0</v>
      </c>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t="b">
        <f>IFERROR(__xludf.DUMMYFUNCTION("""COMPUTED_VALUE"""),FALSE)</f>
        <v>0</v>
      </c>
    </row>
    <row r="1736">
      <c r="A1736" s="1"/>
      <c r="B1736" s="1"/>
      <c r="C1736" s="1"/>
      <c r="D1736" s="1"/>
      <c r="E1736" s="1">
        <f>IFERROR(__xludf.DUMMYFUNCTION("""COMPUTED_VALUE"""),1.0)</f>
        <v>1</v>
      </c>
      <c r="F1736" s="2">
        <f>IFERROR(__xludf.DUMMYFUNCTION("""COMPUTED_VALUE"""),0.0)</f>
        <v>0</v>
      </c>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t="b">
        <f>IFERROR(__xludf.DUMMYFUNCTION("""COMPUTED_VALUE"""),FALSE)</f>
        <v>0</v>
      </c>
    </row>
    <row r="1737">
      <c r="A1737" s="1"/>
      <c r="B1737" s="1"/>
      <c r="C1737" s="1"/>
      <c r="D1737" s="1"/>
      <c r="E1737" s="1">
        <f>IFERROR(__xludf.DUMMYFUNCTION("""COMPUTED_VALUE"""),1.0)</f>
        <v>1</v>
      </c>
      <c r="F1737" s="2">
        <f>IFERROR(__xludf.DUMMYFUNCTION("""COMPUTED_VALUE"""),0.0)</f>
        <v>0</v>
      </c>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t="b">
        <f>IFERROR(__xludf.DUMMYFUNCTION("""COMPUTED_VALUE"""),FALSE)</f>
        <v>0</v>
      </c>
    </row>
    <row r="1738">
      <c r="A1738" s="1"/>
      <c r="B1738" s="1"/>
      <c r="C1738" s="1"/>
      <c r="D1738" s="1"/>
      <c r="E1738" s="1">
        <f>IFERROR(__xludf.DUMMYFUNCTION("""COMPUTED_VALUE"""),1.0)</f>
        <v>1</v>
      </c>
      <c r="F1738" s="2">
        <f>IFERROR(__xludf.DUMMYFUNCTION("""COMPUTED_VALUE"""),0.0)</f>
        <v>0</v>
      </c>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t="b">
        <f>IFERROR(__xludf.DUMMYFUNCTION("""COMPUTED_VALUE"""),FALSE)</f>
        <v>0</v>
      </c>
    </row>
    <row r="1739">
      <c r="A1739" s="1"/>
      <c r="B1739" s="1"/>
      <c r="C1739" s="1"/>
      <c r="D1739" s="1"/>
      <c r="E1739" s="1">
        <f>IFERROR(__xludf.DUMMYFUNCTION("""COMPUTED_VALUE"""),1.0)</f>
        <v>1</v>
      </c>
      <c r="F1739" s="2">
        <f>IFERROR(__xludf.DUMMYFUNCTION("""COMPUTED_VALUE"""),0.0)</f>
        <v>0</v>
      </c>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t="b">
        <f>IFERROR(__xludf.DUMMYFUNCTION("""COMPUTED_VALUE"""),FALSE)</f>
        <v>0</v>
      </c>
    </row>
    <row r="1740">
      <c r="A1740" s="1"/>
      <c r="B1740" s="1"/>
      <c r="C1740" s="1"/>
      <c r="D1740" s="1"/>
      <c r="E1740" s="1">
        <f>IFERROR(__xludf.DUMMYFUNCTION("""COMPUTED_VALUE"""),1.0)</f>
        <v>1</v>
      </c>
      <c r="F1740" s="2">
        <f>IFERROR(__xludf.DUMMYFUNCTION("""COMPUTED_VALUE"""),0.0)</f>
        <v>0</v>
      </c>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t="b">
        <f>IFERROR(__xludf.DUMMYFUNCTION("""COMPUTED_VALUE"""),FALSE)</f>
        <v>0</v>
      </c>
    </row>
    <row r="1741">
      <c r="A1741" s="1"/>
      <c r="B1741" s="1"/>
      <c r="C1741" s="1"/>
      <c r="D1741" s="1"/>
      <c r="E1741" s="1">
        <f>IFERROR(__xludf.DUMMYFUNCTION("""COMPUTED_VALUE"""),1.0)</f>
        <v>1</v>
      </c>
      <c r="F1741" s="2">
        <f>IFERROR(__xludf.DUMMYFUNCTION("""COMPUTED_VALUE"""),0.0)</f>
        <v>0</v>
      </c>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t="b">
        <f>IFERROR(__xludf.DUMMYFUNCTION("""COMPUTED_VALUE"""),FALSE)</f>
        <v>0</v>
      </c>
    </row>
    <row r="1742">
      <c r="A1742" s="1"/>
      <c r="B1742" s="1"/>
      <c r="C1742" s="1"/>
      <c r="D1742" s="1"/>
      <c r="E1742" s="1">
        <f>IFERROR(__xludf.DUMMYFUNCTION("""COMPUTED_VALUE"""),1.0)</f>
        <v>1</v>
      </c>
      <c r="F1742" s="2">
        <f>IFERROR(__xludf.DUMMYFUNCTION("""COMPUTED_VALUE"""),0.0)</f>
        <v>0</v>
      </c>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t="b">
        <f>IFERROR(__xludf.DUMMYFUNCTION("""COMPUTED_VALUE"""),FALSE)</f>
        <v>0</v>
      </c>
    </row>
    <row r="1743">
      <c r="A1743" s="1"/>
      <c r="B1743" s="1"/>
      <c r="C1743" s="1"/>
      <c r="D1743" s="1"/>
      <c r="E1743" s="1">
        <f>IFERROR(__xludf.DUMMYFUNCTION("""COMPUTED_VALUE"""),1.0)</f>
        <v>1</v>
      </c>
      <c r="F1743" s="2">
        <f>IFERROR(__xludf.DUMMYFUNCTION("""COMPUTED_VALUE"""),0.0)</f>
        <v>0</v>
      </c>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t="b">
        <f>IFERROR(__xludf.DUMMYFUNCTION("""COMPUTED_VALUE"""),FALSE)</f>
        <v>0</v>
      </c>
    </row>
    <row r="1744">
      <c r="A1744" s="1"/>
      <c r="B1744" s="1"/>
      <c r="C1744" s="1"/>
      <c r="D1744" s="1"/>
      <c r="E1744" s="1">
        <f>IFERROR(__xludf.DUMMYFUNCTION("""COMPUTED_VALUE"""),1.0)</f>
        <v>1</v>
      </c>
      <c r="F1744" s="2">
        <f>IFERROR(__xludf.DUMMYFUNCTION("""COMPUTED_VALUE"""),0.0)</f>
        <v>0</v>
      </c>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t="b">
        <f>IFERROR(__xludf.DUMMYFUNCTION("""COMPUTED_VALUE"""),FALSE)</f>
        <v>0</v>
      </c>
    </row>
    <row r="1745">
      <c r="A1745" s="1"/>
      <c r="B1745" s="1"/>
      <c r="C1745" s="1"/>
      <c r="D1745" s="1"/>
      <c r="E1745" s="1">
        <f>IFERROR(__xludf.DUMMYFUNCTION("""COMPUTED_VALUE"""),1.0)</f>
        <v>1</v>
      </c>
      <c r="F1745" s="2">
        <f>IFERROR(__xludf.DUMMYFUNCTION("""COMPUTED_VALUE"""),0.0)</f>
        <v>0</v>
      </c>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t="b">
        <f>IFERROR(__xludf.DUMMYFUNCTION("""COMPUTED_VALUE"""),FALSE)</f>
        <v>0</v>
      </c>
    </row>
    <row r="1746">
      <c r="A1746" s="1"/>
      <c r="B1746" s="1"/>
      <c r="C1746" s="1"/>
      <c r="D1746" s="1"/>
      <c r="E1746" s="1">
        <f>IFERROR(__xludf.DUMMYFUNCTION("""COMPUTED_VALUE"""),1.0)</f>
        <v>1</v>
      </c>
      <c r="F1746" s="2">
        <f>IFERROR(__xludf.DUMMYFUNCTION("""COMPUTED_VALUE"""),0.0)</f>
        <v>0</v>
      </c>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t="b">
        <f>IFERROR(__xludf.DUMMYFUNCTION("""COMPUTED_VALUE"""),FALSE)</f>
        <v>0</v>
      </c>
    </row>
    <row r="1747">
      <c r="A1747" s="1"/>
      <c r="B1747" s="1"/>
      <c r="C1747" s="1"/>
      <c r="D1747" s="1"/>
      <c r="E1747" s="1">
        <f>IFERROR(__xludf.DUMMYFUNCTION("""COMPUTED_VALUE"""),1.0)</f>
        <v>1</v>
      </c>
      <c r="F1747" s="2">
        <f>IFERROR(__xludf.DUMMYFUNCTION("""COMPUTED_VALUE"""),0.0)</f>
        <v>0</v>
      </c>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t="b">
        <f>IFERROR(__xludf.DUMMYFUNCTION("""COMPUTED_VALUE"""),FALSE)</f>
        <v>0</v>
      </c>
    </row>
    <row r="1748">
      <c r="A1748" s="1"/>
      <c r="B1748" s="1"/>
      <c r="C1748" s="1"/>
      <c r="D1748" s="1"/>
      <c r="E1748" s="1">
        <f>IFERROR(__xludf.DUMMYFUNCTION("""COMPUTED_VALUE"""),1.0)</f>
        <v>1</v>
      </c>
      <c r="F1748" s="2">
        <f>IFERROR(__xludf.DUMMYFUNCTION("""COMPUTED_VALUE"""),0.0)</f>
        <v>0</v>
      </c>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t="b">
        <f>IFERROR(__xludf.DUMMYFUNCTION("""COMPUTED_VALUE"""),FALSE)</f>
        <v>0</v>
      </c>
    </row>
    <row r="1749">
      <c r="A1749" s="1"/>
      <c r="B1749" s="1"/>
      <c r="C1749" s="1"/>
      <c r="D1749" s="1"/>
      <c r="E1749" s="1">
        <f>IFERROR(__xludf.DUMMYFUNCTION("""COMPUTED_VALUE"""),1.0)</f>
        <v>1</v>
      </c>
      <c r="F1749" s="2">
        <f>IFERROR(__xludf.DUMMYFUNCTION("""COMPUTED_VALUE"""),0.0)</f>
        <v>0</v>
      </c>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t="b">
        <f>IFERROR(__xludf.DUMMYFUNCTION("""COMPUTED_VALUE"""),FALSE)</f>
        <v>0</v>
      </c>
    </row>
    <row r="1750">
      <c r="A1750" s="1"/>
      <c r="B1750" s="1"/>
      <c r="C1750" s="1"/>
      <c r="D1750" s="1"/>
      <c r="E1750" s="1">
        <f>IFERROR(__xludf.DUMMYFUNCTION("""COMPUTED_VALUE"""),1.0)</f>
        <v>1</v>
      </c>
      <c r="F1750" s="2">
        <f>IFERROR(__xludf.DUMMYFUNCTION("""COMPUTED_VALUE"""),0.0)</f>
        <v>0</v>
      </c>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t="b">
        <f>IFERROR(__xludf.DUMMYFUNCTION("""COMPUTED_VALUE"""),FALSE)</f>
        <v>0</v>
      </c>
    </row>
    <row r="1751">
      <c r="A1751" s="1"/>
      <c r="B1751" s="1"/>
      <c r="C1751" s="1"/>
      <c r="D1751" s="1"/>
      <c r="E1751" s="1">
        <f>IFERROR(__xludf.DUMMYFUNCTION("""COMPUTED_VALUE"""),1.0)</f>
        <v>1</v>
      </c>
      <c r="F1751" s="2">
        <f>IFERROR(__xludf.DUMMYFUNCTION("""COMPUTED_VALUE"""),0.0)</f>
        <v>0</v>
      </c>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t="b">
        <f>IFERROR(__xludf.DUMMYFUNCTION("""COMPUTED_VALUE"""),FALSE)</f>
        <v>0</v>
      </c>
    </row>
    <row r="1752">
      <c r="A1752" s="1"/>
      <c r="B1752" s="1"/>
      <c r="C1752" s="1"/>
      <c r="D1752" s="1"/>
      <c r="E1752" s="1">
        <f>IFERROR(__xludf.DUMMYFUNCTION("""COMPUTED_VALUE"""),1.0)</f>
        <v>1</v>
      </c>
      <c r="F1752" s="2">
        <f>IFERROR(__xludf.DUMMYFUNCTION("""COMPUTED_VALUE"""),0.0)</f>
        <v>0</v>
      </c>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t="b">
        <f>IFERROR(__xludf.DUMMYFUNCTION("""COMPUTED_VALUE"""),FALSE)</f>
        <v>0</v>
      </c>
    </row>
    <row r="1753">
      <c r="A1753" s="1"/>
      <c r="B1753" s="1"/>
      <c r="C1753" s="1"/>
      <c r="D1753" s="1"/>
      <c r="E1753" s="1">
        <f>IFERROR(__xludf.DUMMYFUNCTION("""COMPUTED_VALUE"""),1.0)</f>
        <v>1</v>
      </c>
      <c r="F1753" s="2">
        <f>IFERROR(__xludf.DUMMYFUNCTION("""COMPUTED_VALUE"""),0.0)</f>
        <v>0</v>
      </c>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t="b">
        <f>IFERROR(__xludf.DUMMYFUNCTION("""COMPUTED_VALUE"""),FALSE)</f>
        <v>0</v>
      </c>
    </row>
    <row r="1754">
      <c r="A1754" s="1"/>
      <c r="B1754" s="1"/>
      <c r="C1754" s="1"/>
      <c r="D1754" s="1"/>
      <c r="E1754" s="1">
        <f>IFERROR(__xludf.DUMMYFUNCTION("""COMPUTED_VALUE"""),1.0)</f>
        <v>1</v>
      </c>
      <c r="F1754" s="2">
        <f>IFERROR(__xludf.DUMMYFUNCTION("""COMPUTED_VALUE"""),0.0)</f>
        <v>0</v>
      </c>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t="b">
        <f>IFERROR(__xludf.DUMMYFUNCTION("""COMPUTED_VALUE"""),FALSE)</f>
        <v>0</v>
      </c>
    </row>
    <row r="1755">
      <c r="A1755" s="1"/>
      <c r="B1755" s="1"/>
      <c r="C1755" s="1"/>
      <c r="D1755" s="1"/>
      <c r="E1755" s="1">
        <f>IFERROR(__xludf.DUMMYFUNCTION("""COMPUTED_VALUE"""),1.0)</f>
        <v>1</v>
      </c>
      <c r="F1755" s="2">
        <f>IFERROR(__xludf.DUMMYFUNCTION("""COMPUTED_VALUE"""),0.0)</f>
        <v>0</v>
      </c>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t="b">
        <f>IFERROR(__xludf.DUMMYFUNCTION("""COMPUTED_VALUE"""),FALSE)</f>
        <v>0</v>
      </c>
    </row>
    <row r="1756">
      <c r="A1756" s="1"/>
      <c r="B1756" s="1"/>
      <c r="C1756" s="1"/>
      <c r="D1756" s="1"/>
      <c r="E1756" s="1">
        <f>IFERROR(__xludf.DUMMYFUNCTION("""COMPUTED_VALUE"""),1.0)</f>
        <v>1</v>
      </c>
      <c r="F1756" s="2">
        <f>IFERROR(__xludf.DUMMYFUNCTION("""COMPUTED_VALUE"""),0.0)</f>
        <v>0</v>
      </c>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t="b">
        <f>IFERROR(__xludf.DUMMYFUNCTION("""COMPUTED_VALUE"""),FALSE)</f>
        <v>0</v>
      </c>
    </row>
    <row r="1757">
      <c r="A1757" s="1"/>
      <c r="B1757" s="1"/>
      <c r="C1757" s="1"/>
      <c r="D1757" s="1"/>
      <c r="E1757" s="1">
        <f>IFERROR(__xludf.DUMMYFUNCTION("""COMPUTED_VALUE"""),1.0)</f>
        <v>1</v>
      </c>
      <c r="F1757" s="2">
        <f>IFERROR(__xludf.DUMMYFUNCTION("""COMPUTED_VALUE"""),0.0)</f>
        <v>0</v>
      </c>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t="b">
        <f>IFERROR(__xludf.DUMMYFUNCTION("""COMPUTED_VALUE"""),FALSE)</f>
        <v>0</v>
      </c>
    </row>
    <row r="1758">
      <c r="A1758" s="1"/>
      <c r="B1758" s="1"/>
      <c r="C1758" s="1"/>
      <c r="D1758" s="1"/>
      <c r="E1758" s="1">
        <f>IFERROR(__xludf.DUMMYFUNCTION("""COMPUTED_VALUE"""),1.0)</f>
        <v>1</v>
      </c>
      <c r="F1758" s="2">
        <f>IFERROR(__xludf.DUMMYFUNCTION("""COMPUTED_VALUE"""),0.0)</f>
        <v>0</v>
      </c>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t="b">
        <f>IFERROR(__xludf.DUMMYFUNCTION("""COMPUTED_VALUE"""),FALSE)</f>
        <v>0</v>
      </c>
    </row>
    <row r="1759">
      <c r="A1759" s="1"/>
      <c r="B1759" s="1"/>
      <c r="C1759" s="1"/>
      <c r="D1759" s="1"/>
      <c r="E1759" s="1">
        <f>IFERROR(__xludf.DUMMYFUNCTION("""COMPUTED_VALUE"""),1.0)</f>
        <v>1</v>
      </c>
      <c r="F1759" s="2">
        <f>IFERROR(__xludf.DUMMYFUNCTION("""COMPUTED_VALUE"""),0.0)</f>
        <v>0</v>
      </c>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t="b">
        <f>IFERROR(__xludf.DUMMYFUNCTION("""COMPUTED_VALUE"""),FALSE)</f>
        <v>0</v>
      </c>
    </row>
    <row r="1760">
      <c r="A1760" s="1"/>
      <c r="B1760" s="1"/>
      <c r="C1760" s="1"/>
      <c r="D1760" s="1"/>
      <c r="E1760" s="1">
        <f>IFERROR(__xludf.DUMMYFUNCTION("""COMPUTED_VALUE"""),1.0)</f>
        <v>1</v>
      </c>
      <c r="F1760" s="2">
        <f>IFERROR(__xludf.DUMMYFUNCTION("""COMPUTED_VALUE"""),0.0)</f>
        <v>0</v>
      </c>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t="b">
        <f>IFERROR(__xludf.DUMMYFUNCTION("""COMPUTED_VALUE"""),FALSE)</f>
        <v>0</v>
      </c>
    </row>
    <row r="1761">
      <c r="A1761" s="1"/>
      <c r="B1761" s="1"/>
      <c r="C1761" s="1"/>
      <c r="D1761" s="1"/>
      <c r="E1761" s="1">
        <f>IFERROR(__xludf.DUMMYFUNCTION("""COMPUTED_VALUE"""),1.0)</f>
        <v>1</v>
      </c>
      <c r="F1761" s="2">
        <f>IFERROR(__xludf.DUMMYFUNCTION("""COMPUTED_VALUE"""),0.0)</f>
        <v>0</v>
      </c>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t="b">
        <f>IFERROR(__xludf.DUMMYFUNCTION("""COMPUTED_VALUE"""),FALSE)</f>
        <v>0</v>
      </c>
    </row>
    <row r="1762">
      <c r="A1762" s="1"/>
      <c r="B1762" s="1"/>
      <c r="C1762" s="1"/>
      <c r="D1762" s="1"/>
      <c r="E1762" s="1">
        <f>IFERROR(__xludf.DUMMYFUNCTION("""COMPUTED_VALUE"""),1.0)</f>
        <v>1</v>
      </c>
      <c r="F1762" s="2">
        <f>IFERROR(__xludf.DUMMYFUNCTION("""COMPUTED_VALUE"""),0.0)</f>
        <v>0</v>
      </c>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t="b">
        <f>IFERROR(__xludf.DUMMYFUNCTION("""COMPUTED_VALUE"""),FALSE)</f>
        <v>0</v>
      </c>
    </row>
    <row r="1763">
      <c r="A1763" s="1"/>
      <c r="B1763" s="1"/>
      <c r="C1763" s="1"/>
      <c r="D1763" s="1"/>
      <c r="E1763" s="1">
        <f>IFERROR(__xludf.DUMMYFUNCTION("""COMPUTED_VALUE"""),1.0)</f>
        <v>1</v>
      </c>
      <c r="F1763" s="2">
        <f>IFERROR(__xludf.DUMMYFUNCTION("""COMPUTED_VALUE"""),0.0)</f>
        <v>0</v>
      </c>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t="b">
        <f>IFERROR(__xludf.DUMMYFUNCTION("""COMPUTED_VALUE"""),FALSE)</f>
        <v>0</v>
      </c>
    </row>
    <row r="1764">
      <c r="A1764" s="1"/>
      <c r="B1764" s="1"/>
      <c r="C1764" s="1"/>
      <c r="D1764" s="1"/>
      <c r="E1764" s="1">
        <f>IFERROR(__xludf.DUMMYFUNCTION("""COMPUTED_VALUE"""),1.0)</f>
        <v>1</v>
      </c>
      <c r="F1764" s="2">
        <f>IFERROR(__xludf.DUMMYFUNCTION("""COMPUTED_VALUE"""),0.0)</f>
        <v>0</v>
      </c>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t="b">
        <f>IFERROR(__xludf.DUMMYFUNCTION("""COMPUTED_VALUE"""),FALSE)</f>
        <v>0</v>
      </c>
    </row>
    <row r="1765">
      <c r="A1765" s="1"/>
      <c r="B1765" s="1"/>
      <c r="C1765" s="1"/>
      <c r="D1765" s="1"/>
      <c r="E1765" s="1">
        <f>IFERROR(__xludf.DUMMYFUNCTION("""COMPUTED_VALUE"""),1.0)</f>
        <v>1</v>
      </c>
      <c r="F1765" s="2">
        <f>IFERROR(__xludf.DUMMYFUNCTION("""COMPUTED_VALUE"""),0.0)</f>
        <v>0</v>
      </c>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t="b">
        <f>IFERROR(__xludf.DUMMYFUNCTION("""COMPUTED_VALUE"""),FALSE)</f>
        <v>0</v>
      </c>
    </row>
    <row r="1766">
      <c r="A1766" s="1"/>
      <c r="B1766" s="1"/>
      <c r="C1766" s="1"/>
      <c r="D1766" s="1"/>
      <c r="E1766" s="1">
        <f>IFERROR(__xludf.DUMMYFUNCTION("""COMPUTED_VALUE"""),1.0)</f>
        <v>1</v>
      </c>
      <c r="F1766" s="2">
        <f>IFERROR(__xludf.DUMMYFUNCTION("""COMPUTED_VALUE"""),0.0)</f>
        <v>0</v>
      </c>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t="b">
        <f>IFERROR(__xludf.DUMMYFUNCTION("""COMPUTED_VALUE"""),FALSE)</f>
        <v>0</v>
      </c>
    </row>
    <row r="1767">
      <c r="A1767" s="1"/>
      <c r="B1767" s="1"/>
      <c r="C1767" s="1"/>
      <c r="D1767" s="1"/>
      <c r="E1767" s="1">
        <f>IFERROR(__xludf.DUMMYFUNCTION("""COMPUTED_VALUE"""),1.0)</f>
        <v>1</v>
      </c>
      <c r="F1767" s="2">
        <f>IFERROR(__xludf.DUMMYFUNCTION("""COMPUTED_VALUE"""),0.0)</f>
        <v>0</v>
      </c>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t="b">
        <f>IFERROR(__xludf.DUMMYFUNCTION("""COMPUTED_VALUE"""),FALSE)</f>
        <v>0</v>
      </c>
    </row>
    <row r="1768">
      <c r="A1768" s="1"/>
      <c r="B1768" s="1"/>
      <c r="C1768" s="1"/>
      <c r="D1768" s="1"/>
      <c r="E1768" s="1">
        <f>IFERROR(__xludf.DUMMYFUNCTION("""COMPUTED_VALUE"""),1.0)</f>
        <v>1</v>
      </c>
      <c r="F1768" s="2">
        <f>IFERROR(__xludf.DUMMYFUNCTION("""COMPUTED_VALUE"""),0.0)</f>
        <v>0</v>
      </c>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t="b">
        <f>IFERROR(__xludf.DUMMYFUNCTION("""COMPUTED_VALUE"""),FALSE)</f>
        <v>0</v>
      </c>
    </row>
    <row r="1769">
      <c r="A1769" s="1"/>
      <c r="B1769" s="1"/>
      <c r="C1769" s="1"/>
      <c r="D1769" s="1"/>
      <c r="E1769" s="1">
        <f>IFERROR(__xludf.DUMMYFUNCTION("""COMPUTED_VALUE"""),1.0)</f>
        <v>1</v>
      </c>
      <c r="F1769" s="2">
        <f>IFERROR(__xludf.DUMMYFUNCTION("""COMPUTED_VALUE"""),0.0)</f>
        <v>0</v>
      </c>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t="b">
        <f>IFERROR(__xludf.DUMMYFUNCTION("""COMPUTED_VALUE"""),FALSE)</f>
        <v>0</v>
      </c>
    </row>
    <row r="1770">
      <c r="A1770" s="1"/>
      <c r="B1770" s="1"/>
      <c r="C1770" s="1"/>
      <c r="D1770" s="1"/>
      <c r="E1770" s="1">
        <f>IFERROR(__xludf.DUMMYFUNCTION("""COMPUTED_VALUE"""),1.0)</f>
        <v>1</v>
      </c>
      <c r="F1770" s="2">
        <f>IFERROR(__xludf.DUMMYFUNCTION("""COMPUTED_VALUE"""),0.0)</f>
        <v>0</v>
      </c>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t="b">
        <f>IFERROR(__xludf.DUMMYFUNCTION("""COMPUTED_VALUE"""),FALSE)</f>
        <v>0</v>
      </c>
    </row>
    <row r="1771">
      <c r="A1771" s="1"/>
      <c r="B1771" s="1"/>
      <c r="C1771" s="1"/>
      <c r="D1771" s="1"/>
      <c r="E1771" s="1">
        <f>IFERROR(__xludf.DUMMYFUNCTION("""COMPUTED_VALUE"""),1.0)</f>
        <v>1</v>
      </c>
      <c r="F1771" s="2">
        <f>IFERROR(__xludf.DUMMYFUNCTION("""COMPUTED_VALUE"""),0.0)</f>
        <v>0</v>
      </c>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t="b">
        <f>IFERROR(__xludf.DUMMYFUNCTION("""COMPUTED_VALUE"""),FALSE)</f>
        <v>0</v>
      </c>
    </row>
    <row r="1772">
      <c r="A1772" s="1"/>
      <c r="B1772" s="1"/>
      <c r="C1772" s="1"/>
      <c r="D1772" s="1"/>
      <c r="E1772" s="1">
        <f>IFERROR(__xludf.DUMMYFUNCTION("""COMPUTED_VALUE"""),1.0)</f>
        <v>1</v>
      </c>
      <c r="F1772" s="2">
        <f>IFERROR(__xludf.DUMMYFUNCTION("""COMPUTED_VALUE"""),0.0)</f>
        <v>0</v>
      </c>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t="b">
        <f>IFERROR(__xludf.DUMMYFUNCTION("""COMPUTED_VALUE"""),FALSE)</f>
        <v>0</v>
      </c>
    </row>
    <row r="1773">
      <c r="A1773" s="1"/>
      <c r="B1773" s="1"/>
      <c r="C1773" s="1"/>
      <c r="D1773" s="1"/>
      <c r="E1773" s="1">
        <f>IFERROR(__xludf.DUMMYFUNCTION("""COMPUTED_VALUE"""),1.0)</f>
        <v>1</v>
      </c>
      <c r="F1773" s="2">
        <f>IFERROR(__xludf.DUMMYFUNCTION("""COMPUTED_VALUE"""),0.0)</f>
        <v>0</v>
      </c>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t="b">
        <f>IFERROR(__xludf.DUMMYFUNCTION("""COMPUTED_VALUE"""),FALSE)</f>
        <v>0</v>
      </c>
    </row>
    <row r="1774">
      <c r="A1774" s="1"/>
      <c r="B1774" s="1"/>
      <c r="C1774" s="1"/>
      <c r="D1774" s="1"/>
      <c r="E1774" s="1">
        <f>IFERROR(__xludf.DUMMYFUNCTION("""COMPUTED_VALUE"""),1.0)</f>
        <v>1</v>
      </c>
      <c r="F1774" s="2">
        <f>IFERROR(__xludf.DUMMYFUNCTION("""COMPUTED_VALUE"""),0.0)</f>
        <v>0</v>
      </c>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t="b">
        <f>IFERROR(__xludf.DUMMYFUNCTION("""COMPUTED_VALUE"""),FALSE)</f>
        <v>0</v>
      </c>
    </row>
    <row r="1775">
      <c r="A1775" s="1"/>
      <c r="B1775" s="1"/>
      <c r="C1775" s="1"/>
      <c r="D1775" s="1"/>
      <c r="E1775" s="1">
        <f>IFERROR(__xludf.DUMMYFUNCTION("""COMPUTED_VALUE"""),1.0)</f>
        <v>1</v>
      </c>
      <c r="F1775" s="2">
        <f>IFERROR(__xludf.DUMMYFUNCTION("""COMPUTED_VALUE"""),0.0)</f>
        <v>0</v>
      </c>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t="b">
        <f>IFERROR(__xludf.DUMMYFUNCTION("""COMPUTED_VALUE"""),FALSE)</f>
        <v>0</v>
      </c>
    </row>
    <row r="1776">
      <c r="A1776" s="1"/>
      <c r="B1776" s="1"/>
      <c r="C1776" s="1"/>
      <c r="D1776" s="1"/>
      <c r="E1776" s="1">
        <f>IFERROR(__xludf.DUMMYFUNCTION("""COMPUTED_VALUE"""),1.0)</f>
        <v>1</v>
      </c>
      <c r="F1776" s="2">
        <f>IFERROR(__xludf.DUMMYFUNCTION("""COMPUTED_VALUE"""),0.0)</f>
        <v>0</v>
      </c>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t="b">
        <f>IFERROR(__xludf.DUMMYFUNCTION("""COMPUTED_VALUE"""),FALSE)</f>
        <v>0</v>
      </c>
    </row>
    <row r="1777">
      <c r="A1777" s="1"/>
      <c r="B1777" s="1"/>
      <c r="C1777" s="1"/>
      <c r="D1777" s="1"/>
      <c r="E1777" s="1">
        <f>IFERROR(__xludf.DUMMYFUNCTION("""COMPUTED_VALUE"""),1.0)</f>
        <v>1</v>
      </c>
      <c r="F1777" s="2">
        <f>IFERROR(__xludf.DUMMYFUNCTION("""COMPUTED_VALUE"""),0.0)</f>
        <v>0</v>
      </c>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t="b">
        <f>IFERROR(__xludf.DUMMYFUNCTION("""COMPUTED_VALUE"""),FALSE)</f>
        <v>0</v>
      </c>
    </row>
    <row r="1778">
      <c r="A1778" s="1"/>
      <c r="B1778" s="1"/>
      <c r="C1778" s="1"/>
      <c r="D1778" s="1"/>
      <c r="E1778" s="1">
        <f>IFERROR(__xludf.DUMMYFUNCTION("""COMPUTED_VALUE"""),1.0)</f>
        <v>1</v>
      </c>
      <c r="F1778" s="2">
        <f>IFERROR(__xludf.DUMMYFUNCTION("""COMPUTED_VALUE"""),0.0)</f>
        <v>0</v>
      </c>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t="b">
        <f>IFERROR(__xludf.DUMMYFUNCTION("""COMPUTED_VALUE"""),FALSE)</f>
        <v>0</v>
      </c>
    </row>
    <row r="1779">
      <c r="A1779" s="1"/>
      <c r="B1779" s="1"/>
      <c r="C1779" s="1"/>
      <c r="D1779" s="1"/>
      <c r="E1779" s="1">
        <f>IFERROR(__xludf.DUMMYFUNCTION("""COMPUTED_VALUE"""),1.0)</f>
        <v>1</v>
      </c>
      <c r="F1779" s="2">
        <f>IFERROR(__xludf.DUMMYFUNCTION("""COMPUTED_VALUE"""),0.0)</f>
        <v>0</v>
      </c>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t="b">
        <f>IFERROR(__xludf.DUMMYFUNCTION("""COMPUTED_VALUE"""),FALSE)</f>
        <v>0</v>
      </c>
    </row>
    <row r="1780">
      <c r="A1780" s="1"/>
      <c r="B1780" s="1"/>
      <c r="C1780" s="1"/>
      <c r="D1780" s="1"/>
      <c r="E1780" s="1">
        <f>IFERROR(__xludf.DUMMYFUNCTION("""COMPUTED_VALUE"""),1.0)</f>
        <v>1</v>
      </c>
      <c r="F1780" s="2">
        <f>IFERROR(__xludf.DUMMYFUNCTION("""COMPUTED_VALUE"""),0.0)</f>
        <v>0</v>
      </c>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t="b">
        <f>IFERROR(__xludf.DUMMYFUNCTION("""COMPUTED_VALUE"""),FALSE)</f>
        <v>0</v>
      </c>
    </row>
    <row r="1781">
      <c r="A1781" s="1"/>
      <c r="B1781" s="1"/>
      <c r="C1781" s="1"/>
      <c r="D1781" s="1"/>
      <c r="E1781" s="1">
        <f>IFERROR(__xludf.DUMMYFUNCTION("""COMPUTED_VALUE"""),1.0)</f>
        <v>1</v>
      </c>
      <c r="F1781" s="2">
        <f>IFERROR(__xludf.DUMMYFUNCTION("""COMPUTED_VALUE"""),0.0)</f>
        <v>0</v>
      </c>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t="b">
        <f>IFERROR(__xludf.DUMMYFUNCTION("""COMPUTED_VALUE"""),FALSE)</f>
        <v>0</v>
      </c>
    </row>
    <row r="1782">
      <c r="A1782" s="1"/>
      <c r="B1782" s="1"/>
      <c r="C1782" s="1"/>
      <c r="D1782" s="1"/>
      <c r="E1782" s="1">
        <f>IFERROR(__xludf.DUMMYFUNCTION("""COMPUTED_VALUE"""),1.0)</f>
        <v>1</v>
      </c>
      <c r="F1782" s="2">
        <f>IFERROR(__xludf.DUMMYFUNCTION("""COMPUTED_VALUE"""),0.0)</f>
        <v>0</v>
      </c>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t="b">
        <f>IFERROR(__xludf.DUMMYFUNCTION("""COMPUTED_VALUE"""),FALSE)</f>
        <v>0</v>
      </c>
    </row>
    <row r="1783">
      <c r="A1783" s="1"/>
      <c r="B1783" s="1"/>
      <c r="C1783" s="1"/>
      <c r="D1783" s="1"/>
      <c r="E1783" s="1">
        <f>IFERROR(__xludf.DUMMYFUNCTION("""COMPUTED_VALUE"""),1.0)</f>
        <v>1</v>
      </c>
      <c r="F1783" s="2">
        <f>IFERROR(__xludf.DUMMYFUNCTION("""COMPUTED_VALUE"""),0.0)</f>
        <v>0</v>
      </c>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t="b">
        <f>IFERROR(__xludf.DUMMYFUNCTION("""COMPUTED_VALUE"""),FALSE)</f>
        <v>0</v>
      </c>
    </row>
    <row r="1784">
      <c r="A1784" s="1"/>
      <c r="B1784" s="1"/>
      <c r="C1784" s="1"/>
      <c r="D1784" s="1"/>
      <c r="E1784" s="1">
        <f>IFERROR(__xludf.DUMMYFUNCTION("""COMPUTED_VALUE"""),1.0)</f>
        <v>1</v>
      </c>
      <c r="F1784" s="2">
        <f>IFERROR(__xludf.DUMMYFUNCTION("""COMPUTED_VALUE"""),0.0)</f>
        <v>0</v>
      </c>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t="b">
        <f>IFERROR(__xludf.DUMMYFUNCTION("""COMPUTED_VALUE"""),FALSE)</f>
        <v>0</v>
      </c>
    </row>
    <row r="1785">
      <c r="A1785" s="1"/>
      <c r="B1785" s="1"/>
      <c r="C1785" s="1"/>
      <c r="D1785" s="1"/>
      <c r="E1785" s="1">
        <f>IFERROR(__xludf.DUMMYFUNCTION("""COMPUTED_VALUE"""),1.0)</f>
        <v>1</v>
      </c>
      <c r="F1785" s="2">
        <f>IFERROR(__xludf.DUMMYFUNCTION("""COMPUTED_VALUE"""),0.0)</f>
        <v>0</v>
      </c>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t="b">
        <f>IFERROR(__xludf.DUMMYFUNCTION("""COMPUTED_VALUE"""),FALSE)</f>
        <v>0</v>
      </c>
    </row>
    <row r="1786">
      <c r="A1786" s="1"/>
      <c r="B1786" s="1"/>
      <c r="C1786" s="1"/>
      <c r="D1786" s="1"/>
      <c r="E1786" s="1">
        <f>IFERROR(__xludf.DUMMYFUNCTION("""COMPUTED_VALUE"""),1.0)</f>
        <v>1</v>
      </c>
      <c r="F1786" s="2">
        <f>IFERROR(__xludf.DUMMYFUNCTION("""COMPUTED_VALUE"""),0.0)</f>
        <v>0</v>
      </c>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t="b">
        <f>IFERROR(__xludf.DUMMYFUNCTION("""COMPUTED_VALUE"""),FALSE)</f>
        <v>0</v>
      </c>
    </row>
    <row r="1787">
      <c r="A1787" s="1"/>
      <c r="B1787" s="1"/>
      <c r="C1787" s="1"/>
      <c r="D1787" s="1"/>
      <c r="E1787" s="1">
        <f>IFERROR(__xludf.DUMMYFUNCTION("""COMPUTED_VALUE"""),1.0)</f>
        <v>1</v>
      </c>
      <c r="F1787" s="2">
        <f>IFERROR(__xludf.DUMMYFUNCTION("""COMPUTED_VALUE"""),0.0)</f>
        <v>0</v>
      </c>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t="b">
        <f>IFERROR(__xludf.DUMMYFUNCTION("""COMPUTED_VALUE"""),FALSE)</f>
        <v>0</v>
      </c>
    </row>
    <row r="1788">
      <c r="A1788" s="1"/>
      <c r="B1788" s="1"/>
      <c r="C1788" s="1"/>
      <c r="D1788" s="1"/>
      <c r="E1788" s="1">
        <f>IFERROR(__xludf.DUMMYFUNCTION("""COMPUTED_VALUE"""),1.0)</f>
        <v>1</v>
      </c>
      <c r="F1788" s="2">
        <f>IFERROR(__xludf.DUMMYFUNCTION("""COMPUTED_VALUE"""),0.0)</f>
        <v>0</v>
      </c>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t="b">
        <f>IFERROR(__xludf.DUMMYFUNCTION("""COMPUTED_VALUE"""),FALSE)</f>
        <v>0</v>
      </c>
    </row>
    <row r="1789">
      <c r="A1789" s="1"/>
      <c r="B1789" s="1"/>
      <c r="C1789" s="1"/>
      <c r="D1789" s="1"/>
      <c r="E1789" s="1">
        <f>IFERROR(__xludf.DUMMYFUNCTION("""COMPUTED_VALUE"""),1.0)</f>
        <v>1</v>
      </c>
      <c r="F1789" s="2">
        <f>IFERROR(__xludf.DUMMYFUNCTION("""COMPUTED_VALUE"""),0.0)</f>
        <v>0</v>
      </c>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t="b">
        <f>IFERROR(__xludf.DUMMYFUNCTION("""COMPUTED_VALUE"""),FALSE)</f>
        <v>0</v>
      </c>
    </row>
    <row r="1790">
      <c r="A1790" s="1"/>
      <c r="B1790" s="1"/>
      <c r="C1790" s="1"/>
      <c r="D1790" s="1"/>
      <c r="E1790" s="1">
        <f>IFERROR(__xludf.DUMMYFUNCTION("""COMPUTED_VALUE"""),1.0)</f>
        <v>1</v>
      </c>
      <c r="F1790" s="2">
        <f>IFERROR(__xludf.DUMMYFUNCTION("""COMPUTED_VALUE"""),0.0)</f>
        <v>0</v>
      </c>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t="b">
        <f>IFERROR(__xludf.DUMMYFUNCTION("""COMPUTED_VALUE"""),FALSE)</f>
        <v>0</v>
      </c>
    </row>
    <row r="1791">
      <c r="A1791" s="1"/>
      <c r="B1791" s="1"/>
      <c r="C1791" s="1"/>
      <c r="D1791" s="1"/>
      <c r="E1791" s="1">
        <f>IFERROR(__xludf.DUMMYFUNCTION("""COMPUTED_VALUE"""),1.0)</f>
        <v>1</v>
      </c>
      <c r="F1791" s="2">
        <f>IFERROR(__xludf.DUMMYFUNCTION("""COMPUTED_VALUE"""),0.0)</f>
        <v>0</v>
      </c>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t="b">
        <f>IFERROR(__xludf.DUMMYFUNCTION("""COMPUTED_VALUE"""),FALSE)</f>
        <v>0</v>
      </c>
    </row>
    <row r="1792">
      <c r="A1792" s="1"/>
      <c r="B1792" s="1"/>
      <c r="C1792" s="1"/>
      <c r="D1792" s="1"/>
      <c r="E1792" s="1">
        <f>IFERROR(__xludf.DUMMYFUNCTION("""COMPUTED_VALUE"""),1.0)</f>
        <v>1</v>
      </c>
      <c r="F1792" s="2">
        <f>IFERROR(__xludf.DUMMYFUNCTION("""COMPUTED_VALUE"""),0.0)</f>
        <v>0</v>
      </c>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t="b">
        <f>IFERROR(__xludf.DUMMYFUNCTION("""COMPUTED_VALUE"""),FALSE)</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37.25"/>
    <col customWidth="1" min="5" max="5" width="15.25"/>
    <col customWidth="1" min="7" max="7" width="19.38"/>
  </cols>
  <sheetData>
    <row r="1">
      <c r="A1" s="4"/>
      <c r="B1" s="4" t="s">
        <v>0</v>
      </c>
      <c r="D1" s="5" t="s">
        <v>1</v>
      </c>
      <c r="G1" s="4" t="s">
        <v>2</v>
      </c>
    </row>
    <row r="2">
      <c r="A2" s="4">
        <v>1.0</v>
      </c>
      <c r="B2" s="6">
        <v>1000.0</v>
      </c>
      <c r="C2" s="6">
        <v>1000000.0</v>
      </c>
      <c r="D2" s="7" t="s">
        <v>3</v>
      </c>
      <c r="E2" s="8">
        <v>2.0</v>
      </c>
      <c r="G2" s="4" t="s">
        <v>4</v>
      </c>
    </row>
    <row r="3">
      <c r="A3" s="4">
        <v>2.0</v>
      </c>
      <c r="B3" s="6">
        <v>1000.0</v>
      </c>
      <c r="C3" s="6">
        <v>2000000.0</v>
      </c>
      <c r="D3" s="7" t="s">
        <v>5</v>
      </c>
      <c r="E3" s="8">
        <v>4.0</v>
      </c>
      <c r="G3" s="1"/>
    </row>
    <row r="4">
      <c r="A4" s="4">
        <v>3.0</v>
      </c>
      <c r="B4" s="6">
        <v>1000.0</v>
      </c>
      <c r="C4" s="6">
        <v>3000000.0</v>
      </c>
      <c r="D4" s="7" t="s">
        <v>6</v>
      </c>
      <c r="E4" s="8">
        <v>6.0</v>
      </c>
      <c r="G4" s="1"/>
    </row>
    <row r="5">
      <c r="A5" s="4">
        <v>4.0</v>
      </c>
      <c r="B5" s="6">
        <v>1000.0</v>
      </c>
      <c r="C5" s="6">
        <v>4000000.0</v>
      </c>
      <c r="D5" s="7" t="s">
        <v>7</v>
      </c>
      <c r="E5" s="8">
        <v>8.0</v>
      </c>
      <c r="G5" s="1"/>
    </row>
    <row r="6">
      <c r="A6" s="4">
        <v>5.0</v>
      </c>
      <c r="B6" s="6">
        <v>1000.0</v>
      </c>
      <c r="C6" s="6">
        <v>5000000.0</v>
      </c>
      <c r="D6" s="7" t="s">
        <v>8</v>
      </c>
      <c r="E6" s="8">
        <v>10.0</v>
      </c>
      <c r="G6" s="1"/>
    </row>
    <row r="7">
      <c r="A7" s="4">
        <v>6.0</v>
      </c>
      <c r="B7" s="6">
        <v>1000.0</v>
      </c>
      <c r="C7" s="6">
        <v>6000000.0</v>
      </c>
      <c r="D7" s="7" t="s">
        <v>9</v>
      </c>
      <c r="E7" s="8">
        <v>12.0</v>
      </c>
      <c r="G7" s="1"/>
    </row>
    <row r="8">
      <c r="A8" s="4">
        <v>7.0</v>
      </c>
      <c r="B8" s="6">
        <v>1000.0</v>
      </c>
      <c r="C8" s="6">
        <v>7000000.0</v>
      </c>
      <c r="D8" s="7" t="s">
        <v>10</v>
      </c>
      <c r="E8" s="8">
        <v>14.0</v>
      </c>
      <c r="G8" s="1"/>
    </row>
    <row r="9">
      <c r="A9" s="4">
        <v>8.0</v>
      </c>
      <c r="B9" s="6">
        <v>1000.0</v>
      </c>
      <c r="C9" s="6">
        <v>8000000.0</v>
      </c>
      <c r="D9" s="7" t="s">
        <v>11</v>
      </c>
      <c r="E9" s="8">
        <v>16.0</v>
      </c>
      <c r="G9" s="1"/>
    </row>
    <row r="10">
      <c r="A10" s="4">
        <v>9.0</v>
      </c>
      <c r="B10" s="6">
        <v>1000.0</v>
      </c>
      <c r="C10" s="6">
        <v>9000000.0</v>
      </c>
      <c r="D10" s="7" t="s">
        <v>12</v>
      </c>
      <c r="E10" s="8">
        <v>18.0</v>
      </c>
      <c r="G10" s="1"/>
    </row>
    <row r="11">
      <c r="A11" s="4">
        <v>10.0</v>
      </c>
      <c r="B11" s="6">
        <v>1000.0</v>
      </c>
      <c r="C11" s="6">
        <v>1.0E7</v>
      </c>
      <c r="D11" s="7" t="s">
        <v>13</v>
      </c>
      <c r="E11" s="8">
        <v>20.0</v>
      </c>
      <c r="G11" s="1"/>
    </row>
    <row r="14">
      <c r="A14" s="9" t="s">
        <v>14</v>
      </c>
      <c r="B14" s="4">
        <v>2.0</v>
      </c>
      <c r="C14" s="10" t="s">
        <v>15</v>
      </c>
      <c r="D14" s="4" t="b">
        <v>0</v>
      </c>
    </row>
    <row r="16">
      <c r="B16" s="10" t="s">
        <v>16</v>
      </c>
      <c r="C16" s="11">
        <f>IF(B14&gt;0, RANDBETWEEN(VLOOKUP($B$14,$A$2:$C$11,2,FALSE),VLOOKUP($B$14,$A$2:$C$11,3,FALSE)),"")</f>
        <v>574678</v>
      </c>
    </row>
    <row r="17">
      <c r="A17" s="12" t="s">
        <v>17</v>
      </c>
      <c r="B17" s="13" t="s">
        <v>18</v>
      </c>
      <c r="C17" s="13" t="s">
        <v>19</v>
      </c>
      <c r="D17" s="12" t="s">
        <v>20</v>
      </c>
      <c r="E17" s="13" t="s">
        <v>21</v>
      </c>
      <c r="F17" s="13" t="s">
        <v>22</v>
      </c>
      <c r="G17" s="13" t="s">
        <v>23</v>
      </c>
      <c r="H17" s="13" t="s">
        <v>24</v>
      </c>
    </row>
    <row r="18">
      <c r="A18" s="14" t="s">
        <v>25</v>
      </c>
      <c r="B18" s="1" t="str">
        <f t="array" ref="B18:I18">if($B$14&gt;0,INDEX(Combine!$A:$H,RANDBETWEEN(1,COUNTA(Combine!$A:$A))),"")</f>
        <v>False Helmet</v>
      </c>
      <c r="C18" s="1"/>
      <c r="D18" s="1"/>
      <c r="E18" s="1" t="s">
        <v>26</v>
      </c>
      <c r="F18" s="1">
        <v>1.0</v>
      </c>
      <c r="G18" s="1" t="s">
        <v>27</v>
      </c>
      <c r="H18" s="1">
        <v>0.0</v>
      </c>
      <c r="I18" s="1" t="b">
        <v>0</v>
      </c>
    </row>
    <row r="19">
      <c r="A19" s="14" t="s">
        <v>28</v>
      </c>
      <c r="B19" s="1" t="str">
        <f t="array" ref="B19:I19">if($B$14&gt;0,INDEX(Combine!$A:$H,RANDBETWEEN(1,COUNTA(Combine!$A:$A))),"")</f>
        <v>Green Chilli</v>
      </c>
      <c r="C19" s="1" t="s">
        <v>29</v>
      </c>
      <c r="D19" s="1" t="s">
        <v>30</v>
      </c>
      <c r="E19" s="1"/>
      <c r="F19" s="1"/>
      <c r="G19" s="1"/>
      <c r="H19" s="1"/>
      <c r="I19" s="1" t="b">
        <v>0</v>
      </c>
    </row>
    <row r="20">
      <c r="A20" s="14" t="s">
        <v>31</v>
      </c>
      <c r="B20" s="1" t="str">
        <f t="array" ref="B20:I20">if($B$14&gt;A2,INDEX(Combine!$A:$H,RANDBETWEEN(1,COUNTA(Combine!$A:$A))),"")</f>
        <v>Legendary Tome</v>
      </c>
      <c r="C20" s="1" t="s">
        <v>32</v>
      </c>
      <c r="D20" s="1" t="s">
        <v>33</v>
      </c>
      <c r="E20" s="1"/>
      <c r="F20" s="1"/>
      <c r="G20" s="1"/>
      <c r="H20" s="1"/>
      <c r="I20" s="1" t="b">
        <v>0</v>
      </c>
    </row>
    <row r="21">
      <c r="A21" s="14" t="s">
        <v>34</v>
      </c>
      <c r="B21" s="1" t="str">
        <f t="array" ref="B21:I21">if($B$14&gt;A2,INDEX(Combine!$A:$H,RANDBETWEEN(1,COUNTA(Combine!$A:$A))),"")</f>
        <v>Potion of Eel Nado</v>
      </c>
      <c r="C21" s="1" t="s">
        <v>35</v>
      </c>
      <c r="D21" s="1" t="s">
        <v>33</v>
      </c>
      <c r="E21" s="1"/>
      <c r="F21" s="1"/>
      <c r="G21" s="1"/>
      <c r="H21" s="1"/>
      <c r="I21" s="1" t="b">
        <v>0</v>
      </c>
    </row>
    <row r="22">
      <c r="A22" s="14" t="s">
        <v>36</v>
      </c>
      <c r="B22" s="1" t="str">
        <f t="array" ref="B22">if($B$14&gt;A3,INDEX(Combine!$A:$H,RANDBETWEEN(1,COUNTA(Combine!$A:$A))),"")</f>
        <v/>
      </c>
    </row>
    <row r="23">
      <c r="A23" s="14" t="s">
        <v>37</v>
      </c>
      <c r="B23" s="1" t="str">
        <f t="array" ref="B23">if($B$14&gt;A3,INDEX(Combine!$A:$H,RANDBETWEEN(1,COUNTA(Combine!$A:$A))),"")</f>
        <v/>
      </c>
    </row>
    <row r="24">
      <c r="A24" s="14" t="s">
        <v>38</v>
      </c>
      <c r="B24" s="1" t="str">
        <f t="array" ref="B24">if($B$14&gt;A4,INDEX(Combine!$A:$H,RANDBETWEEN(1,COUNTA(Combine!$A:$A))),"")</f>
        <v/>
      </c>
    </row>
    <row r="25">
      <c r="A25" s="14" t="s">
        <v>39</v>
      </c>
      <c r="B25" s="1" t="str">
        <f t="array" ref="B25">if($B$14&gt;A4,INDEX(Combine!$A:$H,RANDBETWEEN(1,COUNTA(Combine!$A:$A))),"")</f>
        <v/>
      </c>
    </row>
    <row r="26">
      <c r="A26" s="14" t="s">
        <v>40</v>
      </c>
      <c r="B26" s="1" t="str">
        <f t="array" ref="B26">if($B$14&gt;A5,INDEX(Combine!$A:$H,RANDBETWEEN(1,COUNTA(Combine!$A:$A))),"")</f>
        <v/>
      </c>
    </row>
    <row r="27">
      <c r="A27" s="14" t="s">
        <v>41</v>
      </c>
      <c r="B27" s="1" t="str">
        <f t="array" ref="B27">if($B$14&gt;A5,INDEX(Combine!$A:$H,RANDBETWEEN(1,COUNTA(Combine!$A:$A))),"")</f>
        <v/>
      </c>
    </row>
    <row r="28">
      <c r="A28" s="14" t="s">
        <v>42</v>
      </c>
      <c r="B28" s="1" t="str">
        <f t="array" ref="B28">if($B$14&gt;A6,INDEX(Combine!$A:$H,RANDBETWEEN(1,COUNTA(Combine!$A:$A))),"")</f>
        <v/>
      </c>
    </row>
    <row r="29">
      <c r="A29" s="14" t="s">
        <v>43</v>
      </c>
      <c r="B29" s="1" t="str">
        <f t="array" ref="B29">if($B$14&gt;A6,INDEX(Combine!$A:$H,RANDBETWEEN(1,COUNTA(Combine!$A:$A))),"")</f>
        <v/>
      </c>
    </row>
    <row r="30">
      <c r="A30" s="14" t="s">
        <v>44</v>
      </c>
      <c r="B30" s="1" t="str">
        <f t="array" ref="B30">if($B$14&gt;A7,INDEX(Combine!$A:$H,RANDBETWEEN(1,COUNTA(Combine!$A:$A))),"")</f>
        <v/>
      </c>
    </row>
    <row r="31">
      <c r="A31" s="14" t="s">
        <v>45</v>
      </c>
      <c r="B31" s="1" t="str">
        <f t="array" ref="B31">if($B$14&gt;A7,INDEX(Combine!$A:$H,RANDBETWEEN(1,COUNTA(Combine!$A:$A))),"")</f>
        <v/>
      </c>
    </row>
    <row r="32">
      <c r="A32" s="14" t="s">
        <v>46</v>
      </c>
      <c r="B32" s="1" t="str">
        <f t="array" ref="B32">if($B$14&gt;A8,INDEX(Combine!$A:$H,RANDBETWEEN(1,COUNTA(Combine!$A:$A))),"")</f>
        <v/>
      </c>
    </row>
    <row r="33">
      <c r="A33" s="14" t="s">
        <v>47</v>
      </c>
      <c r="B33" s="1" t="str">
        <f t="array" ref="B33">if($B$14&gt;A8,INDEX(Combine!$A:$H,RANDBETWEEN(1,COUNTA(Combine!$A:$A))),"")</f>
        <v/>
      </c>
    </row>
    <row r="34">
      <c r="A34" s="15" t="s">
        <v>48</v>
      </c>
      <c r="B34" s="1" t="str">
        <f t="array" ref="B34">if($B$14&gt;A9,INDEX(Combine!$A:$H,RANDBETWEEN(1,COUNTA(Combine!$A:$A))),"")</f>
        <v/>
      </c>
    </row>
    <row r="35">
      <c r="A35" s="15" t="s">
        <v>49</v>
      </c>
      <c r="B35" s="1" t="str">
        <f t="array" ref="B35">if($B$14&gt;A9,INDEX(Combine!$A:$H,RANDBETWEEN(1,COUNTA(Combine!$A:$A))),"")</f>
        <v/>
      </c>
    </row>
    <row r="36">
      <c r="A36" s="15" t="s">
        <v>50</v>
      </c>
      <c r="B36" s="1" t="str">
        <f t="array" ref="B36">if($B$14&gt;A10,INDEX(Combine!$A:$H,RANDBETWEEN(1,COUNTA(Combine!$A:$A))),"")</f>
        <v/>
      </c>
    </row>
    <row r="37">
      <c r="A37" s="15" t="s">
        <v>51</v>
      </c>
      <c r="B37" s="1" t="str">
        <f t="array" ref="B37">if($B$14&gt;A10,INDEX(Combine!$A:$H,RANDBETWEEN(1,COUNTA(Combine!$A:$A))),"")</f>
        <v/>
      </c>
    </row>
    <row r="38">
      <c r="B38" s="1" t="str">
        <f t="array" ref="B38">if($B$14&gt;A11,INDEX(Combine!$A:$F,RANDBETWEEN(1,COUNTA(Combine!$A:$A))),"")</f>
        <v/>
      </c>
    </row>
    <row r="39">
      <c r="B39" s="1" t="str">
        <f t="array" ref="B39">if($B$14&gt;A11,INDEX(Combine!$A:$F,RANDBETWEEN(1,COUNTA(Combine!$A:$A))),"")</f>
        <v/>
      </c>
    </row>
  </sheetData>
  <mergeCells count="1">
    <mergeCell ref="D1:E1"/>
  </mergeCells>
  <dataValidations>
    <dataValidation type="list" allowBlank="1" sqref="B14">
      <formula1>$A$2:$A$11</formula1>
    </dataValidation>
    <dataValidation type="list" allowBlank="1" showErrorMessage="1" sqref="G2:G11">
      <formula1>Worlds!$A$2:$A1000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75"/>
    <col customWidth="1" min="2" max="2" width="167.0"/>
  </cols>
  <sheetData>
    <row r="1">
      <c r="A1" s="16" t="str">
        <f>IFERROR(__xludf.DUMMYFUNCTION("IMPORTRANGE(""https://docs.google.com/spreadsheets/d/1HXoAI5UG3zq1UHqU5n7fPdbQk93qOha2VQb1r7iRi1o"",""Items!A:D"")"),"Name")</f>
        <v>Name</v>
      </c>
      <c r="B1" s="1" t="str">
        <f>IFERROR(__xludf.DUMMYFUNCTION("""COMPUTED_VALUE"""),"Description")</f>
        <v>Description</v>
      </c>
      <c r="C1" s="1" t="str">
        <f>IFERROR(__xludf.DUMMYFUNCTION("""COMPUTED_VALUE"""),"Type")</f>
        <v>Type</v>
      </c>
      <c r="D1" s="1" t="str">
        <f>IFERROR(__xludf.DUMMYFUNCTION("""COMPUTED_VALUE"""),"ItemLoc")</f>
        <v>ItemLoc</v>
      </c>
    </row>
    <row r="2">
      <c r="A2" s="1" t="str">
        <f>IFERROR(__xludf.DUMMYFUNCTION("""COMPUTED_VALUE"""),"Nothing")</f>
        <v>Nothing</v>
      </c>
      <c r="B2" s="1"/>
      <c r="C2" s="1"/>
      <c r="D2" s="1" t="str">
        <f>IFERROR(__xludf.DUMMYFUNCTION("""COMPUTED_VALUE"""),"Land of Spira")</f>
        <v>Land of Spira</v>
      </c>
    </row>
    <row r="3">
      <c r="A3" s="1" t="str">
        <f>IFERROR(__xludf.DUMMYFUNCTION("""COMPUTED_VALUE"""),"Slime core")</f>
        <v>Slime core</v>
      </c>
      <c r="B3" s="1" t="str">
        <f>IFERROR(__xludf.DUMMYFUNCTION("""COMPUTED_VALUE"""),"restores 5 SP; can be used to make mana potions")</f>
        <v>restores 5 SP; can be used to make mana potions</v>
      </c>
      <c r="C3" s="1" t="str">
        <f>IFERROR(__xludf.DUMMYFUNCTION("""COMPUTED_VALUE"""),"Item")</f>
        <v>Item</v>
      </c>
      <c r="D3" s="1" t="str">
        <f>IFERROR(__xludf.DUMMYFUNCTION("""COMPUTED_VALUE"""),"Land of Spira")</f>
        <v>Land of Spira</v>
      </c>
    </row>
    <row r="4">
      <c r="A4" s="1" t="str">
        <f>IFERROR(__xludf.DUMMYFUNCTION("""COMPUTED_VALUE"""),"Mysterious egg")</f>
        <v>Mysterious egg</v>
      </c>
      <c r="B4" s="1" t="str">
        <f>IFERROR(__xludf.DUMMYFUNCTION("""COMPUTED_VALUE"""),"This egg will be determined by DM/GM")</f>
        <v>This egg will be determined by DM/GM</v>
      </c>
      <c r="C4" s="1" t="str">
        <f>IFERROR(__xludf.DUMMYFUNCTION("""COMPUTED_VALUE"""),"Item")</f>
        <v>Item</v>
      </c>
      <c r="D4" s="1" t="str">
        <f>IFERROR(__xludf.DUMMYFUNCTION("""COMPUTED_VALUE"""),"Land of Spira")</f>
        <v>Land of Spira</v>
      </c>
    </row>
    <row r="5">
      <c r="A5" s="1" t="str">
        <f>IFERROR(__xludf.DUMMYFUNCTION("""COMPUTED_VALUE"""),"Emerald of Luck")</f>
        <v>Emerald of Luck</v>
      </c>
      <c r="B5" s="1" t="str">
        <f>IFERROR(__xludf.DUMMYFUNCTION("""COMPUTED_VALUE"""),"It’s said when holding one of these you feel like it's a happy spring day...")</f>
        <v>It’s said when holding one of these you feel like it's a happy spring day...</v>
      </c>
      <c r="C5" s="1" t="str">
        <f>IFERROR(__xludf.DUMMYFUNCTION("""COMPUTED_VALUE"""),"Item")</f>
        <v>Item</v>
      </c>
      <c r="D5" s="1" t="str">
        <f>IFERROR(__xludf.DUMMYFUNCTION("""COMPUTED_VALUE"""),"Land of Spira")</f>
        <v>Land of Spira</v>
      </c>
    </row>
    <row r="6">
      <c r="A6" s="1" t="str">
        <f>IFERROR(__xludf.DUMMYFUNCTION("""COMPUTED_VALUE"""),"Gold")</f>
        <v>Gold</v>
      </c>
      <c r="B6" s="1" t="str">
        <f>IFERROR(__xludf.DUMMYFUNCTION("""COMPUTED_VALUE"""),"Crafting Material, roll a d20 to see how many you get if this is a loot drop.l. Can be used to repair an item.")</f>
        <v>Crafting Material, roll a d20 to see how many you get if this is a loot drop.l. Can be used to repair an item.</v>
      </c>
      <c r="C6" s="1" t="str">
        <f>IFERROR(__xludf.DUMMYFUNCTION("""COMPUTED_VALUE"""),"Item")</f>
        <v>Item</v>
      </c>
      <c r="D6" s="1" t="str">
        <f>IFERROR(__xludf.DUMMYFUNCTION("""COMPUTED_VALUE"""),"Land of Spira")</f>
        <v>Land of Spira</v>
      </c>
    </row>
    <row r="7">
      <c r="A7" s="1" t="str">
        <f>IFERROR(__xludf.DUMMYFUNCTION("""COMPUTED_VALUE"""),"Iron")</f>
        <v>Iron</v>
      </c>
      <c r="B7" s="1" t="str">
        <f>IFERROR(__xludf.DUMMYFUNCTION("""COMPUTED_VALUE"""),"Crafting Material, roll a d20 to see how many you get if this is a loot drop.. Can be used to repair an item.")</f>
        <v>Crafting Material, roll a d20 to see how many you get if this is a loot drop.. Can be used to repair an item.</v>
      </c>
      <c r="C7" s="1" t="str">
        <f>IFERROR(__xludf.DUMMYFUNCTION("""COMPUTED_VALUE"""),"Item")</f>
        <v>Item</v>
      </c>
      <c r="D7" s="1" t="str">
        <f>IFERROR(__xludf.DUMMYFUNCTION("""COMPUTED_VALUE"""),"Land of Spira")</f>
        <v>Land of Spira</v>
      </c>
    </row>
    <row r="8">
      <c r="A8" s="1" t="str">
        <f>IFERROR(__xludf.DUMMYFUNCTION("""COMPUTED_VALUE"""),"Dragon scales")</f>
        <v>Dragon scales</v>
      </c>
      <c r="B8" s="1" t="str">
        <f>IFERROR(__xludf.DUMMYFUNCTION("""COMPUTED_VALUE"""),"Crafting Material, roll a d20 to see how many you get if this is a loot drop.. Can be used to repair an item.")</f>
        <v>Crafting Material, roll a d20 to see how many you get if this is a loot drop.. Can be used to repair an item.</v>
      </c>
      <c r="C8" s="1" t="str">
        <f>IFERROR(__xludf.DUMMYFUNCTION("""COMPUTED_VALUE"""),"Item")</f>
        <v>Item</v>
      </c>
      <c r="D8" s="1" t="str">
        <f>IFERROR(__xludf.DUMMYFUNCTION("""COMPUTED_VALUE"""),"Land of Spira")</f>
        <v>Land of Spira</v>
      </c>
    </row>
    <row r="9">
      <c r="A9" s="1" t="str">
        <f>IFERROR(__xludf.DUMMYFUNCTION("""COMPUTED_VALUE"""),"Desert Emerald")</f>
        <v>Desert Emerald</v>
      </c>
      <c r="B9" s="1" t="str">
        <f>IFERROR(__xludf.DUMMYFUNCTION("""COMPUTED_VALUE"""),"Crafting Material, roll a d20 to see how many you get if this is a loot drop.. Can be used to repair an item.")</f>
        <v>Crafting Material, roll a d20 to see how many you get if this is a loot drop.. Can be used to repair an item.</v>
      </c>
      <c r="C9" s="1" t="str">
        <f>IFERROR(__xludf.DUMMYFUNCTION("""COMPUTED_VALUE"""),"Item")</f>
        <v>Item</v>
      </c>
      <c r="D9" s="1" t="str">
        <f>IFERROR(__xludf.DUMMYFUNCTION("""COMPUTED_VALUE"""),"Land of Spira")</f>
        <v>Land of Spira</v>
      </c>
    </row>
    <row r="10">
      <c r="A10" s="1" t="str">
        <f>IFERROR(__xludf.DUMMYFUNCTION("""COMPUTED_VALUE"""),"Desert Ruby")</f>
        <v>Desert Ruby</v>
      </c>
      <c r="B10" s="1" t="str">
        <f>IFERROR(__xludf.DUMMYFUNCTION("""COMPUTED_VALUE"""),"Crafting Material, roll a d20 to see how many you get if this is a loot drop.. Can be used to repair an item.")</f>
        <v>Crafting Material, roll a d20 to see how many you get if this is a loot drop.. Can be used to repair an item.</v>
      </c>
      <c r="C10" s="1" t="str">
        <f>IFERROR(__xludf.DUMMYFUNCTION("""COMPUTED_VALUE"""),"Item")</f>
        <v>Item</v>
      </c>
      <c r="D10" s="1" t="str">
        <f>IFERROR(__xludf.DUMMYFUNCTION("""COMPUTED_VALUE"""),"Land of Spira")</f>
        <v>Land of Spira</v>
      </c>
    </row>
    <row r="11">
      <c r="A11" s="1" t="str">
        <f>IFERROR(__xludf.DUMMYFUNCTION("""COMPUTED_VALUE"""),"Diamonds")</f>
        <v>Diamonds</v>
      </c>
      <c r="B11" s="1" t="str">
        <f>IFERROR(__xludf.DUMMYFUNCTION("""COMPUTED_VALUE"""),"Crafting Material, roll a d20 to see how many you get if this is a loot drop.. Can be used to repair an item.")</f>
        <v>Crafting Material, roll a d20 to see how many you get if this is a loot drop.. Can be used to repair an item.</v>
      </c>
      <c r="C11" s="1" t="str">
        <f>IFERROR(__xludf.DUMMYFUNCTION("""COMPUTED_VALUE"""),"Item")</f>
        <v>Item</v>
      </c>
      <c r="D11" s="1" t="str">
        <f>IFERROR(__xludf.DUMMYFUNCTION("""COMPUTED_VALUE"""),"Land of Spira")</f>
        <v>Land of Spira</v>
      </c>
    </row>
    <row r="12">
      <c r="A12" s="1" t="str">
        <f>IFERROR(__xludf.DUMMYFUNCTION("""COMPUTED_VALUE"""),"Bricks")</f>
        <v>Bricks</v>
      </c>
      <c r="B12" s="1" t="str">
        <f>IFERROR(__xludf.DUMMYFUNCTION("""COMPUTED_VALUE"""),"Crafting Material, roll a d20 to see how many you get if this is a loot drop.. Can be used to repair an item.")</f>
        <v>Crafting Material, roll a d20 to see how many you get if this is a loot drop.. Can be used to repair an item.</v>
      </c>
      <c r="C12" s="1" t="str">
        <f>IFERROR(__xludf.DUMMYFUNCTION("""COMPUTED_VALUE"""),"Item")</f>
        <v>Item</v>
      </c>
      <c r="D12" s="1" t="str">
        <f>IFERROR(__xludf.DUMMYFUNCTION("""COMPUTED_VALUE"""),"Land of Spira")</f>
        <v>Land of Spira</v>
      </c>
    </row>
    <row r="13">
      <c r="A13" s="1" t="str">
        <f>IFERROR(__xludf.DUMMYFUNCTION("""COMPUTED_VALUE"""),"Obsidian")</f>
        <v>Obsidian</v>
      </c>
      <c r="B13" s="1" t="str">
        <f>IFERROR(__xludf.DUMMYFUNCTION("""COMPUTED_VALUE"""),"Crafting Material,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Can be used to repair an item.</v>
      </c>
      <c r="C13" s="1" t="str">
        <f>IFERROR(__xludf.DUMMYFUNCTION("""COMPUTED_VALUE"""),"Item")</f>
        <v>Item</v>
      </c>
      <c r="D13" s="1" t="str">
        <f>IFERROR(__xludf.DUMMYFUNCTION("""COMPUTED_VALUE"""),"Land of Spira")</f>
        <v>Land of Spira</v>
      </c>
    </row>
    <row r="14">
      <c r="A14" s="1" t="str">
        <f>IFERROR(__xludf.DUMMYFUNCTION("""COMPUTED_VALUE"""),"Sand")</f>
        <v>Sand</v>
      </c>
      <c r="B14" s="1"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14" s="1" t="str">
        <f>IFERROR(__xludf.DUMMYFUNCTION("""COMPUTED_VALUE"""),"Item")</f>
        <v>Item</v>
      </c>
      <c r="D14" s="1" t="str">
        <f>IFERROR(__xludf.DUMMYFUNCTION("""COMPUTED_VALUE"""),"Land of Spira")</f>
        <v>Land of Spira</v>
      </c>
    </row>
    <row r="15">
      <c r="A15" s="1" t="str">
        <f>IFERROR(__xludf.DUMMYFUNCTION("""COMPUTED_VALUE"""),"Glowing rocks")</f>
        <v>Glowing rocks</v>
      </c>
      <c r="B15" s="1" t="str">
        <f>IFERROR(__xludf.DUMMYFUNCTION("""COMPUTED_VALUE""")," Can be forged into armor or a weapon to give it +200 additional light damage or resistance")</f>
        <v> Can be forged into armor or a weapon to give it +200 additional light damage or resistance</v>
      </c>
      <c r="C15" s="1" t="str">
        <f>IFERROR(__xludf.DUMMYFUNCTION("""COMPUTED_VALUE"""),"Item")</f>
        <v>Item</v>
      </c>
      <c r="D15" s="1" t="str">
        <f>IFERROR(__xludf.DUMMYFUNCTION("""COMPUTED_VALUE"""),"Land of Spira")</f>
        <v>Land of Spira</v>
      </c>
    </row>
    <row r="16">
      <c r="A16" s="1" t="str">
        <f>IFERROR(__xludf.DUMMYFUNCTION("""COMPUTED_VALUE"""),"Steel")</f>
        <v>Steel</v>
      </c>
      <c r="B16" s="1" t="str">
        <f>IFERROR(__xludf.DUMMYFUNCTION("""COMPUTED_VALUE"""),"Crafting Material, roll a d20 to see how many you get if this is a loot drop. Can be used to repair an item. ")</f>
        <v>Crafting Material, roll a d20 to see how many you get if this is a loot drop. Can be used to repair an item. </v>
      </c>
      <c r="C16" s="1" t="str">
        <f>IFERROR(__xludf.DUMMYFUNCTION("""COMPUTED_VALUE"""),"Item")</f>
        <v>Item</v>
      </c>
      <c r="D16" s="1" t="str">
        <f>IFERROR(__xludf.DUMMYFUNCTION("""COMPUTED_VALUE"""),"Land of Spira")</f>
        <v>Land of Spira</v>
      </c>
    </row>
    <row r="17">
      <c r="A17" s="1" t="str">
        <f>IFERROR(__xludf.DUMMYFUNCTION("""COMPUTED_VALUE"""),"Silver")</f>
        <v>Silver</v>
      </c>
      <c r="B17" s="1" t="str">
        <f>IFERROR(__xludf.DUMMYFUNCTION("""COMPUTED_VALUE"""),"Crafting Material, roll a d20 to see how many you get if this is a loot drop.,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roll a d20 to see how many you get if this is a loot drop.. Can be used to repair an item.</v>
      </c>
      <c r="C17" s="1" t="str">
        <f>IFERROR(__xludf.DUMMYFUNCTION("""COMPUTED_VALUE"""),"Item")</f>
        <v>Item</v>
      </c>
      <c r="D17" s="1" t="str">
        <f>IFERROR(__xludf.DUMMYFUNCTION("""COMPUTED_VALUE"""),"Land of Spira")</f>
        <v>Land of Spira</v>
      </c>
    </row>
    <row r="18">
      <c r="A18" s="1" t="str">
        <f>IFERROR(__xludf.DUMMYFUNCTION("""COMPUTED_VALUE"""),"Chains")</f>
        <v>Chains</v>
      </c>
      <c r="B18" s="1"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18" s="1" t="str">
        <f>IFERROR(__xludf.DUMMYFUNCTION("""COMPUTED_VALUE"""),"Item")</f>
        <v>Item</v>
      </c>
      <c r="D18" s="1" t="str">
        <f>IFERROR(__xludf.DUMMYFUNCTION("""COMPUTED_VALUE"""),"Land of Spira")</f>
        <v>Land of Spira</v>
      </c>
    </row>
    <row r="19">
      <c r="A19" s="1" t="str">
        <f>IFERROR(__xludf.DUMMYFUNCTION("""COMPUTED_VALUE"""),"Steel Pickaxe ")</f>
        <v>Steel Pickaxe </v>
      </c>
      <c r="B19" s="1" t="str">
        <f>IFERROR(__xludf.DUMMYFUNCTION("""COMPUTED_VALUE"""),"40/40 Uses. Used for mining.")</f>
        <v>40/40 Uses. Used for mining.</v>
      </c>
      <c r="C19" s="1" t="str">
        <f>IFERROR(__xludf.DUMMYFUNCTION("""COMPUTED_VALUE"""),"Item")</f>
        <v>Item</v>
      </c>
      <c r="D19" s="1" t="str">
        <f>IFERROR(__xludf.DUMMYFUNCTION("""COMPUTED_VALUE"""),"Land of Spira")</f>
        <v>Land of Spira</v>
      </c>
    </row>
    <row r="20">
      <c r="A20" s="1" t="str">
        <f>IFERROR(__xludf.DUMMYFUNCTION("""COMPUTED_VALUE"""),"Haggis Bowl")</f>
        <v>Haggis Bowl</v>
      </c>
      <c r="B20" s="1" t="str">
        <f>IFERROR(__xludf.DUMMYFUNCTION("""COMPUTED_VALUE"""),"Restores 75 Hunger +50 energy")</f>
        <v>Restores 75 Hunger +50 energy</v>
      </c>
      <c r="C20" s="1" t="str">
        <f>IFERROR(__xludf.DUMMYFUNCTION("""COMPUTED_VALUE"""),"Crop")</f>
        <v>Crop</v>
      </c>
      <c r="D20" s="1" t="str">
        <f>IFERROR(__xludf.DUMMYFUNCTION("""COMPUTED_VALUE"""),"Land of Spira")</f>
        <v>Land of Spira</v>
      </c>
    </row>
    <row r="21">
      <c r="A21" s="1" t="str">
        <f>IFERROR(__xludf.DUMMYFUNCTION("""COMPUTED_VALUE"""),"Chunk of Salmon")</f>
        <v>Chunk of Salmon</v>
      </c>
      <c r="B21" s="1" t="str">
        <f>IFERROR(__xludf.DUMMYFUNCTION("""COMPUTED_VALUE"""),"Restores 10 Hunger +5 energy")</f>
        <v>Restores 10 Hunger +5 energy</v>
      </c>
      <c r="C21" s="1" t="str">
        <f>IFERROR(__xludf.DUMMYFUNCTION("""COMPUTED_VALUE"""),"Crop")</f>
        <v>Crop</v>
      </c>
      <c r="D21" s="1" t="str">
        <f>IFERROR(__xludf.DUMMYFUNCTION("""COMPUTED_VALUE"""),"Land of Spira")</f>
        <v>Land of Spira</v>
      </c>
    </row>
    <row r="22">
      <c r="A22" s="1" t="str">
        <f>IFERROR(__xludf.DUMMYFUNCTION("""COMPUTED_VALUE"""),"Dragon Jerky")</f>
        <v>Dragon Jerky</v>
      </c>
      <c r="B22" s="1" t="str">
        <f>IFERROR(__xludf.DUMMYFUNCTION("""COMPUTED_VALUE"""),"Restores 100 Hunger + 100 energy")</f>
        <v>Restores 100 Hunger + 100 energy</v>
      </c>
      <c r="C22" s="1" t="str">
        <f>IFERROR(__xludf.DUMMYFUNCTION("""COMPUTED_VALUE"""),"Crop")</f>
        <v>Crop</v>
      </c>
      <c r="D22" s="1" t="str">
        <f>IFERROR(__xludf.DUMMYFUNCTION("""COMPUTED_VALUE"""),"Land of Spira")</f>
        <v>Land of Spira</v>
      </c>
    </row>
    <row r="23">
      <c r="A23" s="1" t="str">
        <f>IFERROR(__xludf.DUMMYFUNCTION("""COMPUTED_VALUE"""),"Bacon Strip")</f>
        <v>Bacon Strip</v>
      </c>
      <c r="B23" s="1" t="str">
        <f>IFERROR(__xludf.DUMMYFUNCTION("""COMPUTED_VALUE"""),"Restores 5 Hunger +4 energy")</f>
        <v>Restores 5 Hunger +4 energy</v>
      </c>
      <c r="C23" s="1" t="str">
        <f>IFERROR(__xludf.DUMMYFUNCTION("""COMPUTED_VALUE"""),"Crop")</f>
        <v>Crop</v>
      </c>
      <c r="D23" s="1" t="str">
        <f>IFERROR(__xludf.DUMMYFUNCTION("""COMPUTED_VALUE"""),"Land of Spira")</f>
        <v>Land of Spira</v>
      </c>
    </row>
    <row r="24">
      <c r="A24" s="1" t="str">
        <f>IFERROR(__xludf.DUMMYFUNCTION("""COMPUTED_VALUE"""),"Smoked Salmon")</f>
        <v>Smoked Salmon</v>
      </c>
      <c r="B24" s="1" t="str">
        <f>IFERROR(__xludf.DUMMYFUNCTION("""COMPUTED_VALUE"""),"Restores 20 Hunger +10 energy")</f>
        <v>Restores 20 Hunger +10 energy</v>
      </c>
      <c r="C24" s="1" t="str">
        <f>IFERROR(__xludf.DUMMYFUNCTION("""COMPUTED_VALUE"""),"Crop")</f>
        <v>Crop</v>
      </c>
      <c r="D24" s="1" t="str">
        <f>IFERROR(__xludf.DUMMYFUNCTION("""COMPUTED_VALUE"""),"Land of Spira")</f>
        <v>Land of Spira</v>
      </c>
    </row>
    <row r="25">
      <c r="A25" s="1" t="str">
        <f>IFERROR(__xludf.DUMMYFUNCTION("""COMPUTED_VALUE"""),"Smoked Lamb")</f>
        <v>Smoked Lamb</v>
      </c>
      <c r="B25" s="1" t="str">
        <f>IFERROR(__xludf.DUMMYFUNCTION("""COMPUTED_VALUE"""),"Restores 25 Hunger")</f>
        <v>Restores 25 Hunger</v>
      </c>
      <c r="C25" s="1" t="str">
        <f>IFERROR(__xludf.DUMMYFUNCTION("""COMPUTED_VALUE"""),"Crop")</f>
        <v>Crop</v>
      </c>
      <c r="D25" s="1" t="str">
        <f>IFERROR(__xludf.DUMMYFUNCTION("""COMPUTED_VALUE"""),"Land of Spira")</f>
        <v>Land of Spira</v>
      </c>
    </row>
    <row r="26">
      <c r="A26" s="1" t="str">
        <f>IFERROR(__xludf.DUMMYFUNCTION("""COMPUTED_VALUE"""),"Volcanic Venison")</f>
        <v>Volcanic Venison</v>
      </c>
      <c r="B26" s="1" t="str">
        <f>IFERROR(__xludf.DUMMYFUNCTION("""COMPUTED_VALUE"""),"Restores 50 Hunger")</f>
        <v>Restores 50 Hunger</v>
      </c>
      <c r="C26" s="1" t="str">
        <f>IFERROR(__xludf.DUMMYFUNCTION("""COMPUTED_VALUE"""),"Crop")</f>
        <v>Crop</v>
      </c>
      <c r="D26" s="1" t="str">
        <f>IFERROR(__xludf.DUMMYFUNCTION("""COMPUTED_VALUE"""),"Land of Spira")</f>
        <v>Land of Spira</v>
      </c>
    </row>
    <row r="27">
      <c r="A27" s="1" t="str">
        <f>IFERROR(__xludf.DUMMYFUNCTION("""COMPUTED_VALUE"""),"Pulled Pork")</f>
        <v>Pulled Pork</v>
      </c>
      <c r="B27" s="1" t="str">
        <f>IFERROR(__xludf.DUMMYFUNCTION("""COMPUTED_VALUE"""),"Restores 40 Hunger")</f>
        <v>Restores 40 Hunger</v>
      </c>
      <c r="C27" s="1" t="str">
        <f>IFERROR(__xludf.DUMMYFUNCTION("""COMPUTED_VALUE"""),"Crop")</f>
        <v>Crop</v>
      </c>
      <c r="D27" s="1" t="str">
        <f>IFERROR(__xludf.DUMMYFUNCTION("""COMPUTED_VALUE"""),"Land of Spira")</f>
        <v>Land of Spira</v>
      </c>
    </row>
    <row r="28">
      <c r="A28" s="1" t="str">
        <f>IFERROR(__xludf.DUMMYFUNCTION("""COMPUTED_VALUE"""),"Honeyed Nordic Mead")</f>
        <v>Honeyed Nordic Mead</v>
      </c>
      <c r="B28" s="1" t="str">
        <f>IFERROR(__xludf.DUMMYFUNCTION("""COMPUTED_VALUE"""),"Restores 100 Thirst +100 energy")</f>
        <v>Restores 100 Thirst +100 energy</v>
      </c>
      <c r="C28" s="1" t="str">
        <f>IFERROR(__xludf.DUMMYFUNCTION("""COMPUTED_VALUE"""),"Item")</f>
        <v>Item</v>
      </c>
      <c r="D28" s="1" t="str">
        <f>IFERROR(__xludf.DUMMYFUNCTION("""COMPUTED_VALUE"""),"Land of Spira")</f>
        <v>Land of Spira</v>
      </c>
    </row>
    <row r="29">
      <c r="A29" s="1" t="str">
        <f>IFERROR(__xludf.DUMMYFUNCTION("""COMPUTED_VALUE"""),"Wine")</f>
        <v>Wine</v>
      </c>
      <c r="B29" s="1" t="str">
        <f>IFERROR(__xludf.DUMMYFUNCTION("""COMPUTED_VALUE"""),"Restores 25 Thirst +15 energy")</f>
        <v>Restores 25 Thirst +15 energy</v>
      </c>
      <c r="C29" s="1" t="str">
        <f>IFERROR(__xludf.DUMMYFUNCTION("""COMPUTED_VALUE"""),"Item")</f>
        <v>Item</v>
      </c>
      <c r="D29" s="1" t="str">
        <f>IFERROR(__xludf.DUMMYFUNCTION("""COMPUTED_VALUE"""),"Land of Spira")</f>
        <v>Land of Spira</v>
      </c>
    </row>
    <row r="30">
      <c r="A30" s="1" t="str">
        <f>IFERROR(__xludf.DUMMYFUNCTION("""COMPUTED_VALUE"""),"Melomel (Mead w/ fruit added)")</f>
        <v>Melomel (Mead w/ fruit added)</v>
      </c>
      <c r="B30" s="1" t="str">
        <f>IFERROR(__xludf.DUMMYFUNCTION("""COMPUTED_VALUE"""),"Restores 50 Thirst and hunger +25 energy")</f>
        <v>Restores 50 Thirst and hunger +25 energy</v>
      </c>
      <c r="C30" s="1" t="str">
        <f>IFERROR(__xludf.DUMMYFUNCTION("""COMPUTED_VALUE"""),"Crop")</f>
        <v>Crop</v>
      </c>
      <c r="D30" s="1" t="str">
        <f>IFERROR(__xludf.DUMMYFUNCTION("""COMPUTED_VALUE"""),"Land of Spira")</f>
        <v>Land of Spira</v>
      </c>
    </row>
    <row r="31">
      <c r="A31" s="1" t="str">
        <f>IFERROR(__xludf.DUMMYFUNCTION("""COMPUTED_VALUE"""),"Docile Desert Djinn Gin")</f>
        <v>Docile Desert Djinn Gin</v>
      </c>
      <c r="B31" s="1" t="str">
        <f>IFERROR(__xludf.DUMMYFUNCTION("""COMPUTED_VALUE"""),"Restore 200 thirst +150 energy, has a 50% to decrease your attack and accuracy by half for 3 game days (disorientated status effect) 
If you drink too much you will be known as a bumbling joker, stumbling stooge, jumbling jester, and or plastered plank (N"&amp;"PCs will start to call you this in-game as it will be listed on your character sheet as an ANTI-achievement)")</f>
        <v>Restore 200 thirst +150 energy, has a 50% to decrease your attack and accuracy by half for 3 game days (disorientated status effect) 
If you drink too much you will be known as a bumbling joker, stumbling stooge, jumbling jester, and or plastered plank (NPCs will start to call you this in-game as it will be listed on your character sheet as an ANTI-achievement)</v>
      </c>
      <c r="C31" s="1" t="str">
        <f>IFERROR(__xludf.DUMMYFUNCTION("""COMPUTED_VALUE"""),"Item")</f>
        <v>Item</v>
      </c>
      <c r="D31" s="1" t="str">
        <f>IFERROR(__xludf.DUMMYFUNCTION("""COMPUTED_VALUE"""),"Land of Spira")</f>
        <v>Land of Spira</v>
      </c>
    </row>
    <row r="32">
      <c r="A32" s="1" t="str">
        <f>IFERROR(__xludf.DUMMYFUNCTION("""COMPUTED_VALUE"""),"Small Battery")</f>
        <v>Small Battery</v>
      </c>
      <c r="B32" s="1" t="str">
        <f>IFERROR(__xludf.DUMMYFUNCTION("""COMPUTED_VALUE"""),"Restores 100 energy.")</f>
        <v>Restores 100 energy.</v>
      </c>
      <c r="C32" s="1" t="str">
        <f>IFERROR(__xludf.DUMMYFUNCTION("""COMPUTED_VALUE"""),"Item")</f>
        <v>Item</v>
      </c>
      <c r="D32" s="1" t="str">
        <f>IFERROR(__xludf.DUMMYFUNCTION("""COMPUTED_VALUE"""),"Land of Spira")</f>
        <v>Land of Spira</v>
      </c>
    </row>
    <row r="33">
      <c r="A33" s="1" t="str">
        <f>IFERROR(__xludf.DUMMYFUNCTION("""COMPUTED_VALUE"""),"Medium Battery")</f>
        <v>Medium Battery</v>
      </c>
      <c r="B33" s="1" t="str">
        <f>IFERROR(__xludf.DUMMYFUNCTION("""COMPUTED_VALUE"""),"Restores 250 energy.")</f>
        <v>Restores 250 energy.</v>
      </c>
      <c r="C33" s="1" t="str">
        <f>IFERROR(__xludf.DUMMYFUNCTION("""COMPUTED_VALUE"""),"Item")</f>
        <v>Item</v>
      </c>
      <c r="D33" s="1" t="str">
        <f>IFERROR(__xludf.DUMMYFUNCTION("""COMPUTED_VALUE"""),"Land of Spira")</f>
        <v>Land of Spira</v>
      </c>
    </row>
    <row r="34">
      <c r="A34" s="1" t="str">
        <f>IFERROR(__xludf.DUMMYFUNCTION("""COMPUTED_VALUE"""),"Large Battery")</f>
        <v>Large Battery</v>
      </c>
      <c r="B34" s="1" t="str">
        <f>IFERROR(__xludf.DUMMYFUNCTION("""COMPUTED_VALUE"""),"Restores 500 energy.")</f>
        <v>Restores 500 energy.</v>
      </c>
      <c r="C34" s="1" t="str">
        <f>IFERROR(__xludf.DUMMYFUNCTION("""COMPUTED_VALUE"""),"Item")</f>
        <v>Item</v>
      </c>
      <c r="D34" s="1" t="str">
        <f>IFERROR(__xludf.DUMMYFUNCTION("""COMPUTED_VALUE"""),"Land of Spira")</f>
        <v>Land of Spira</v>
      </c>
    </row>
    <row r="35">
      <c r="A35" s="1" t="str">
        <f>IFERROR(__xludf.DUMMYFUNCTION("""COMPUTED_VALUE"""),"Wind Queen's Soul")</f>
        <v>Wind Queen's Soul</v>
      </c>
      <c r="B35" s="1" t="str">
        <f>IFERROR(__xludf.DUMMYFUNCTION("""COMPUTED_VALUE"""),"(Quest Item) It pulses with a dark energy")</f>
        <v>(Quest Item) It pulses with a dark energy</v>
      </c>
      <c r="C35" s="1" t="str">
        <f>IFERROR(__xludf.DUMMYFUNCTION("""COMPUTED_VALUE"""),"Item")</f>
        <v>Item</v>
      </c>
      <c r="D35" s="1" t="str">
        <f>IFERROR(__xludf.DUMMYFUNCTION("""COMPUTED_VALUE"""),"Land of Spira")</f>
        <v>Land of Spira</v>
      </c>
    </row>
    <row r="36">
      <c r="A36" s="1" t="str">
        <f>IFERROR(__xludf.DUMMYFUNCTION("""COMPUTED_VALUE"""),"Wave Queen's Soul")</f>
        <v>Wave Queen's Soul</v>
      </c>
      <c r="B36" s="1" t="str">
        <f>IFERROR(__xludf.DUMMYFUNCTION("""COMPUTED_VALUE"""),"(Quest Item) It pulses with a dark energy")</f>
        <v>(Quest Item) It pulses with a dark energy</v>
      </c>
      <c r="C36" s="1" t="str">
        <f>IFERROR(__xludf.DUMMYFUNCTION("""COMPUTED_VALUE"""),"Item")</f>
        <v>Item</v>
      </c>
      <c r="D36" s="1" t="str">
        <f>IFERROR(__xludf.DUMMYFUNCTION("""COMPUTED_VALUE"""),"Land of Spira")</f>
        <v>Land of Spira</v>
      </c>
    </row>
    <row r="37">
      <c r="A37" s="1" t="str">
        <f>IFERROR(__xludf.DUMMYFUNCTION("""COMPUTED_VALUE"""),"Storm King's Soul")</f>
        <v>Storm King's Soul</v>
      </c>
      <c r="B37" s="1" t="str">
        <f>IFERROR(__xludf.DUMMYFUNCTION("""COMPUTED_VALUE"""),"(Quest Item) It pulses with a dark energy")</f>
        <v>(Quest Item) It pulses with a dark energy</v>
      </c>
      <c r="C37" s="1" t="str">
        <f>IFERROR(__xludf.DUMMYFUNCTION("""COMPUTED_VALUE"""),"Item")</f>
        <v>Item</v>
      </c>
      <c r="D37" s="1" t="str">
        <f>IFERROR(__xludf.DUMMYFUNCTION("""COMPUTED_VALUE"""),"Land of Spira")</f>
        <v>Land of Spira</v>
      </c>
    </row>
    <row r="38">
      <c r="A38" s="1" t="str">
        <f>IFERROR(__xludf.DUMMYFUNCTION("""COMPUTED_VALUE"""),"Stone King's Soul")</f>
        <v>Stone King's Soul</v>
      </c>
      <c r="B38" s="1" t="str">
        <f>IFERROR(__xludf.DUMMYFUNCTION("""COMPUTED_VALUE"""),"(Quest Item) It pulses with a dark energy")</f>
        <v>(Quest Item) It pulses with a dark energy</v>
      </c>
      <c r="C38" s="1" t="str">
        <f>IFERROR(__xludf.DUMMYFUNCTION("""COMPUTED_VALUE"""),"Item")</f>
        <v>Item</v>
      </c>
      <c r="D38" s="1" t="str">
        <f>IFERROR(__xludf.DUMMYFUNCTION("""COMPUTED_VALUE"""),"Land of Spira")</f>
        <v>Land of Spira</v>
      </c>
    </row>
    <row r="39">
      <c r="A39" s="1" t="str">
        <f>IFERROR(__xludf.DUMMYFUNCTION("""COMPUTED_VALUE"""),"Inferno King Soul")</f>
        <v>Inferno King Soul</v>
      </c>
      <c r="B39" s="1" t="str">
        <f>IFERROR(__xludf.DUMMYFUNCTION("""COMPUTED_VALUE"""),"(Quest Item) It pulses with a dark energy")</f>
        <v>(Quest Item) It pulses with a dark energy</v>
      </c>
      <c r="C39" s="1" t="str">
        <f>IFERROR(__xludf.DUMMYFUNCTION("""COMPUTED_VALUE"""),"Item")</f>
        <v>Item</v>
      </c>
      <c r="D39" s="1" t="str">
        <f>IFERROR(__xludf.DUMMYFUNCTION("""COMPUTED_VALUE"""),"Land of Spira")</f>
        <v>Land of Spira</v>
      </c>
    </row>
    <row r="40">
      <c r="A40" s="1"/>
      <c r="B40" s="1"/>
      <c r="C40" s="1" t="str">
        <f>IFERROR(__xludf.DUMMYFUNCTION("""COMPUTED_VALUE"""),"Item")</f>
        <v>Item</v>
      </c>
      <c r="D40" s="1" t="str">
        <f>IFERROR(__xludf.DUMMYFUNCTION("""COMPUTED_VALUE"""),"Land of Spira")</f>
        <v>Land of Spira</v>
      </c>
    </row>
    <row r="41">
      <c r="A41" s="1"/>
      <c r="B41" s="1"/>
      <c r="C41" s="1" t="str">
        <f>IFERROR(__xludf.DUMMYFUNCTION("""COMPUTED_VALUE"""),"Item")</f>
        <v>Item</v>
      </c>
      <c r="D41" s="1" t="str">
        <f>IFERROR(__xludf.DUMMYFUNCTION("""COMPUTED_VALUE"""),"Land of Spira")</f>
        <v>Land of Spira</v>
      </c>
    </row>
    <row r="42">
      <c r="A42" s="1"/>
      <c r="B42" s="1"/>
      <c r="C42" s="1" t="str">
        <f>IFERROR(__xludf.DUMMYFUNCTION("""COMPUTED_VALUE"""),"Item")</f>
        <v>Item</v>
      </c>
      <c r="D42" s="1" t="str">
        <f>IFERROR(__xludf.DUMMYFUNCTION("""COMPUTED_VALUE"""),"Land of Spira")</f>
        <v>Land of Spira</v>
      </c>
    </row>
    <row r="43">
      <c r="A43" s="1"/>
      <c r="B43" s="1"/>
      <c r="C43" s="1" t="str">
        <f>IFERROR(__xludf.DUMMYFUNCTION("""COMPUTED_VALUE"""),"Item")</f>
        <v>Item</v>
      </c>
      <c r="D43" s="1" t="str">
        <f>IFERROR(__xludf.DUMMYFUNCTION("""COMPUTED_VALUE"""),"Land of Spira")</f>
        <v>Land of Spira</v>
      </c>
    </row>
    <row r="44">
      <c r="A44" s="1"/>
      <c r="B44" s="1"/>
      <c r="C44" s="1" t="str">
        <f>IFERROR(__xludf.DUMMYFUNCTION("""COMPUTED_VALUE"""),"Item")</f>
        <v>Item</v>
      </c>
      <c r="D44" s="1" t="str">
        <f>IFERROR(__xludf.DUMMYFUNCTION("""COMPUTED_VALUE"""),"Land of Spira")</f>
        <v>Land of Spira</v>
      </c>
    </row>
    <row r="45">
      <c r="A45" s="1"/>
      <c r="B45" s="1"/>
      <c r="C45" s="1" t="str">
        <f>IFERROR(__xludf.DUMMYFUNCTION("""COMPUTED_VALUE"""),"Item")</f>
        <v>Item</v>
      </c>
      <c r="D45" s="1" t="str">
        <f>IFERROR(__xludf.DUMMYFUNCTION("""COMPUTED_VALUE"""),"Land of Spira")</f>
        <v>Land of Spira</v>
      </c>
    </row>
    <row r="46">
      <c r="A46" s="1"/>
      <c r="B46" s="1"/>
      <c r="C46" s="1" t="str">
        <f>IFERROR(__xludf.DUMMYFUNCTION("""COMPUTED_VALUE"""),"Item")</f>
        <v>Item</v>
      </c>
      <c r="D46" s="1" t="str">
        <f>IFERROR(__xludf.DUMMYFUNCTION("""COMPUTED_VALUE"""),"Land of Spira")</f>
        <v>Land of Spira</v>
      </c>
    </row>
    <row r="47">
      <c r="A47" s="1"/>
      <c r="B47" s="1"/>
      <c r="C47" s="1" t="str">
        <f>IFERROR(__xludf.DUMMYFUNCTION("""COMPUTED_VALUE"""),"Item")</f>
        <v>Item</v>
      </c>
      <c r="D47" s="1" t="str">
        <f>IFERROR(__xludf.DUMMYFUNCTION("""COMPUTED_VALUE"""),"Land of Spira")</f>
        <v>Land of Spira</v>
      </c>
    </row>
    <row r="48">
      <c r="A48" s="1"/>
      <c r="B48" s="1"/>
      <c r="C48" s="1" t="str">
        <f>IFERROR(__xludf.DUMMYFUNCTION("""COMPUTED_VALUE"""),"Item")</f>
        <v>Item</v>
      </c>
      <c r="D48" s="1" t="str">
        <f>IFERROR(__xludf.DUMMYFUNCTION("""COMPUTED_VALUE"""),"Land of Spira")</f>
        <v>Land of Spira</v>
      </c>
    </row>
    <row r="49">
      <c r="A49" s="1" t="str">
        <f>IFERROR(__xludf.DUMMYFUNCTION("""COMPUTED_VALUE"""),"Docile Desert Djinn’s Gin")</f>
        <v>Docile Desert Djinn’s Gin</v>
      </c>
      <c r="B49" s="1"/>
      <c r="C49" s="1" t="str">
        <f>IFERROR(__xludf.DUMMYFUNCTION("""COMPUTED_VALUE"""),"Item")</f>
        <v>Item</v>
      </c>
      <c r="D49" s="1" t="str">
        <f>IFERROR(__xludf.DUMMYFUNCTION("""COMPUTED_VALUE"""),"Land of Spira")</f>
        <v>Land of Spira</v>
      </c>
    </row>
    <row r="50">
      <c r="A50" s="1" t="str">
        <f>IFERROR(__xludf.DUMMYFUNCTION("""COMPUTED_VALUE"""),"Minor Health Potion")</f>
        <v>Minor Health Potion</v>
      </c>
      <c r="B50" s="1" t="str">
        <f>IFERROR(__xludf.DUMMYFUNCTION("""COMPUTED_VALUE"""),"Restores 20HP")</f>
        <v>Restores 20HP</v>
      </c>
      <c r="C50" s="1" t="str">
        <f>IFERROR(__xludf.DUMMYFUNCTION("""COMPUTED_VALUE"""),"Item")</f>
        <v>Item</v>
      </c>
      <c r="D50" s="1" t="str">
        <f>IFERROR(__xludf.DUMMYFUNCTION("""COMPUTED_VALUE"""),"Land of Spira")</f>
        <v>Land of Spira</v>
      </c>
    </row>
    <row r="51">
      <c r="A51" s="1" t="str">
        <f>IFERROR(__xludf.DUMMYFUNCTION("""COMPUTED_VALUE"""),"Medium Health Potion")</f>
        <v>Medium Health Potion</v>
      </c>
      <c r="B51" s="1" t="str">
        <f>IFERROR(__xludf.DUMMYFUNCTION("""COMPUTED_VALUE"""),"Restores 50HP")</f>
        <v>Restores 50HP</v>
      </c>
      <c r="C51" s="1" t="str">
        <f>IFERROR(__xludf.DUMMYFUNCTION("""COMPUTED_VALUE"""),"Item")</f>
        <v>Item</v>
      </c>
      <c r="D51" s="1" t="str">
        <f>IFERROR(__xludf.DUMMYFUNCTION("""COMPUTED_VALUE"""),"Land of Spira")</f>
        <v>Land of Spira</v>
      </c>
    </row>
    <row r="52">
      <c r="A52" s="1" t="str">
        <f>IFERROR(__xludf.DUMMYFUNCTION("""COMPUTED_VALUE"""),"Max Health Potion")</f>
        <v>Max Health Potion</v>
      </c>
      <c r="B52" s="1" t="str">
        <f>IFERROR(__xludf.DUMMYFUNCTION("""COMPUTED_VALUE"""),"Restores 100HP")</f>
        <v>Restores 100HP</v>
      </c>
      <c r="C52" s="1" t="str">
        <f>IFERROR(__xludf.DUMMYFUNCTION("""COMPUTED_VALUE"""),"Item")</f>
        <v>Item</v>
      </c>
      <c r="D52" s="1" t="str">
        <f>IFERROR(__xludf.DUMMYFUNCTION("""COMPUTED_VALUE"""),"Land of Spira")</f>
        <v>Land of Spira</v>
      </c>
    </row>
    <row r="53">
      <c r="A53" s="1" t="str">
        <f>IFERROR(__xludf.DUMMYFUNCTION("""COMPUTED_VALUE"""),"Minor Mana Potion")</f>
        <v>Minor Mana Potion</v>
      </c>
      <c r="B53" s="1" t="str">
        <f>IFERROR(__xludf.DUMMYFUNCTION("""COMPUTED_VALUE"""),"Restores 20SP")</f>
        <v>Restores 20SP</v>
      </c>
      <c r="C53" s="1" t="str">
        <f>IFERROR(__xludf.DUMMYFUNCTION("""COMPUTED_VALUE"""),"Item")</f>
        <v>Item</v>
      </c>
      <c r="D53" s="1" t="str">
        <f>IFERROR(__xludf.DUMMYFUNCTION("""COMPUTED_VALUE"""),"Land of Spira")</f>
        <v>Land of Spira</v>
      </c>
    </row>
    <row r="54">
      <c r="A54" s="1" t="str">
        <f>IFERROR(__xludf.DUMMYFUNCTION("""COMPUTED_VALUE"""),"Medium Mana Potion")</f>
        <v>Medium Mana Potion</v>
      </c>
      <c r="B54" s="1" t="str">
        <f>IFERROR(__xludf.DUMMYFUNCTION("""COMPUTED_VALUE"""),"Restores 50SP")</f>
        <v>Restores 50SP</v>
      </c>
      <c r="C54" s="1" t="str">
        <f>IFERROR(__xludf.DUMMYFUNCTION("""COMPUTED_VALUE"""),"Item")</f>
        <v>Item</v>
      </c>
      <c r="D54" s="1" t="str">
        <f>IFERROR(__xludf.DUMMYFUNCTION("""COMPUTED_VALUE"""),"Land of Spira")</f>
        <v>Land of Spira</v>
      </c>
    </row>
    <row r="55">
      <c r="A55" s="1" t="str">
        <f>IFERROR(__xludf.DUMMYFUNCTION("""COMPUTED_VALUE"""),"Max Mana Potion")</f>
        <v>Max Mana Potion</v>
      </c>
      <c r="B55" s="1" t="str">
        <f>IFERROR(__xludf.DUMMYFUNCTION("""COMPUTED_VALUE"""),"Restores 100SP")</f>
        <v>Restores 100SP</v>
      </c>
      <c r="C55" s="1" t="str">
        <f>IFERROR(__xludf.DUMMYFUNCTION("""COMPUTED_VALUE"""),"Item")</f>
        <v>Item</v>
      </c>
      <c r="D55" s="1" t="str">
        <f>IFERROR(__xludf.DUMMYFUNCTION("""COMPUTED_VALUE"""),"Land of Spira")</f>
        <v>Land of Spira</v>
      </c>
    </row>
    <row r="56">
      <c r="A56" s="1" t="str">
        <f>IFERROR(__xludf.DUMMYFUNCTION("""COMPUTED_VALUE"""),"Potion of Multishot")</f>
        <v>Potion of Multishot</v>
      </c>
      <c r="B56" s="1" t="str">
        <f>IFERROR(__xludf.DUMMYFUNCTION("""COMPUTED_VALUE"""),"Allows multishot use without consuming mana")</f>
        <v>Allows multishot use without consuming mana</v>
      </c>
      <c r="C56" s="1" t="str">
        <f>IFERROR(__xludf.DUMMYFUNCTION("""COMPUTED_VALUE"""),"Item")</f>
        <v>Item</v>
      </c>
      <c r="D56" s="1" t="str">
        <f>IFERROR(__xludf.DUMMYFUNCTION("""COMPUTED_VALUE"""),"Land of Spira")</f>
        <v>Land of Spira</v>
      </c>
    </row>
    <row r="57">
      <c r="A57" s="1" t="str">
        <f>IFERROR(__xludf.DUMMYFUNCTION("""COMPUTED_VALUE"""),"Potion of Eel Nado")</f>
        <v>Potion of Eel Nado</v>
      </c>
      <c r="B57" s="1" t="str">
        <f>IFERROR(__xludf.DUMMYFUNCTION("""COMPUTED_VALUE"""),"Allows use of Eel Nado without consuming mana")</f>
        <v>Allows use of Eel Nado without consuming mana</v>
      </c>
      <c r="C57" s="1" t="str">
        <f>IFERROR(__xludf.DUMMYFUNCTION("""COMPUTED_VALUE"""),"Item")</f>
        <v>Item</v>
      </c>
      <c r="D57" s="1" t="str">
        <f>IFERROR(__xludf.DUMMYFUNCTION("""COMPUTED_VALUE"""),"Land of Spira")</f>
        <v>Land of Spira</v>
      </c>
    </row>
    <row r="58">
      <c r="A58" s="1" t="str">
        <f>IFERROR(__xludf.DUMMYFUNCTION("""COMPUTED_VALUE"""),"Potion of Minor Health")</f>
        <v>Potion of Minor Health</v>
      </c>
      <c r="B58" s="1" t="str">
        <f>IFERROR(__xludf.DUMMYFUNCTION("""COMPUTED_VALUE"""),"Restores 10 Health")</f>
        <v>Restores 10 Health</v>
      </c>
      <c r="C58" s="1" t="str">
        <f>IFERROR(__xludf.DUMMYFUNCTION("""COMPUTED_VALUE"""),"Item")</f>
        <v>Item</v>
      </c>
      <c r="D58" s="1" t="str">
        <f>IFERROR(__xludf.DUMMYFUNCTION("""COMPUTED_VALUE"""),"Land of Spira")</f>
        <v>Land of Spira</v>
      </c>
    </row>
    <row r="59">
      <c r="A59" s="1" t="str">
        <f>IFERROR(__xludf.DUMMYFUNCTION("""COMPUTED_VALUE"""),"Potion of Health")</f>
        <v>Potion of Health</v>
      </c>
      <c r="B59" s="1" t="str">
        <f>IFERROR(__xludf.DUMMYFUNCTION("""COMPUTED_VALUE"""),"Restores 50 Health")</f>
        <v>Restores 50 Health</v>
      </c>
      <c r="C59" s="1" t="str">
        <f>IFERROR(__xludf.DUMMYFUNCTION("""COMPUTED_VALUE"""),"Item")</f>
        <v>Item</v>
      </c>
      <c r="D59" s="1" t="str">
        <f>IFERROR(__xludf.DUMMYFUNCTION("""COMPUTED_VALUE"""),"Land of Spira")</f>
        <v>Land of Spira</v>
      </c>
    </row>
    <row r="60">
      <c r="A60" s="1" t="str">
        <f>IFERROR(__xludf.DUMMYFUNCTION("""COMPUTED_VALUE"""),"Potion of Major Health")</f>
        <v>Potion of Major Health</v>
      </c>
      <c r="B60" s="1" t="str">
        <f>IFERROR(__xludf.DUMMYFUNCTION("""COMPUTED_VALUE"""),"Restores 100 Health")</f>
        <v>Restores 100 Health</v>
      </c>
      <c r="C60" s="1" t="str">
        <f>IFERROR(__xludf.DUMMYFUNCTION("""COMPUTED_VALUE"""),"Item")</f>
        <v>Item</v>
      </c>
      <c r="D60" s="1" t="str">
        <f>IFERROR(__xludf.DUMMYFUNCTION("""COMPUTED_VALUE"""),"Land of Spira")</f>
        <v>Land of Spira</v>
      </c>
    </row>
    <row r="61">
      <c r="A61" s="1"/>
      <c r="B61" s="1"/>
      <c r="C61" s="1" t="str">
        <f>IFERROR(__xludf.DUMMYFUNCTION("""COMPUTED_VALUE"""),"Item")</f>
        <v>Item</v>
      </c>
      <c r="D61" s="1" t="str">
        <f>IFERROR(__xludf.DUMMYFUNCTION("""COMPUTED_VALUE"""),"Land of Spira")</f>
        <v>Land of Spira</v>
      </c>
    </row>
    <row r="62">
      <c r="A62" s="1" t="str">
        <f>IFERROR(__xludf.DUMMYFUNCTION("""COMPUTED_VALUE"""),"Potion of Minor Mana")</f>
        <v>Potion of Minor Mana</v>
      </c>
      <c r="B62" s="1" t="str">
        <f>IFERROR(__xludf.DUMMYFUNCTION("""COMPUTED_VALUE"""),"Restores 10 SP")</f>
        <v>Restores 10 SP</v>
      </c>
      <c r="C62" s="1" t="str">
        <f>IFERROR(__xludf.DUMMYFUNCTION("""COMPUTED_VALUE"""),"Item")</f>
        <v>Item</v>
      </c>
      <c r="D62" s="1" t="str">
        <f>IFERROR(__xludf.DUMMYFUNCTION("""COMPUTED_VALUE"""),"Land of Spira")</f>
        <v>Land of Spira</v>
      </c>
    </row>
    <row r="63">
      <c r="A63" s="1" t="str">
        <f>IFERROR(__xludf.DUMMYFUNCTION("""COMPUTED_VALUE"""),"Potion of Mana")</f>
        <v>Potion of Mana</v>
      </c>
      <c r="B63" s="1" t="str">
        <f>IFERROR(__xludf.DUMMYFUNCTION("""COMPUTED_VALUE"""),"Restores 50 SP")</f>
        <v>Restores 50 SP</v>
      </c>
      <c r="C63" s="1" t="str">
        <f>IFERROR(__xludf.DUMMYFUNCTION("""COMPUTED_VALUE"""),"Item")</f>
        <v>Item</v>
      </c>
      <c r="D63" s="1" t="str">
        <f>IFERROR(__xludf.DUMMYFUNCTION("""COMPUTED_VALUE"""),"Land of Spira")</f>
        <v>Land of Spira</v>
      </c>
    </row>
    <row r="64">
      <c r="A64" s="1" t="str">
        <f>IFERROR(__xludf.DUMMYFUNCTION("""COMPUTED_VALUE"""),"Potion of Extreme Mana")</f>
        <v>Potion of Extreme Mana</v>
      </c>
      <c r="B64" s="1" t="str">
        <f>IFERROR(__xludf.DUMMYFUNCTION("""COMPUTED_VALUE"""),"Restores 100 SP")</f>
        <v>Restores 100 SP</v>
      </c>
      <c r="C64" s="1" t="str">
        <f>IFERROR(__xludf.DUMMYFUNCTION("""COMPUTED_VALUE"""),"Item")</f>
        <v>Item</v>
      </c>
      <c r="D64" s="1" t="str">
        <f>IFERROR(__xludf.DUMMYFUNCTION("""COMPUTED_VALUE"""),"Land of Spira")</f>
        <v>Land of Spira</v>
      </c>
    </row>
    <row r="65">
      <c r="A65" s="1" t="str">
        <f>IFERROR(__xludf.DUMMYFUNCTION("""COMPUTED_VALUE"""),"Potion of Invigoration")</f>
        <v>Potion of Invigoration</v>
      </c>
      <c r="B65" s="1" t="str">
        <f>IFERROR(__xludf.DUMMYFUNCTION("""COMPUTED_VALUE"""),"Restores 50 SP each turn for 3 rounds")</f>
        <v>Restores 50 SP each turn for 3 rounds</v>
      </c>
      <c r="C65" s="1" t="str">
        <f>IFERROR(__xludf.DUMMYFUNCTION("""COMPUTED_VALUE"""),"Item")</f>
        <v>Item</v>
      </c>
      <c r="D65" s="1" t="str">
        <f>IFERROR(__xludf.DUMMYFUNCTION("""COMPUTED_VALUE"""),"Land of Spira")</f>
        <v>Land of Spira</v>
      </c>
    </row>
    <row r="66">
      <c r="A66" s="1" t="str">
        <f>IFERROR(__xludf.DUMMYFUNCTION("""COMPUTED_VALUE"""),"Potion of Invulnerability")</f>
        <v>Potion of Invulnerability</v>
      </c>
      <c r="B66" s="1" t="str">
        <f>IFERROR(__xludf.DUMMYFUNCTION("""COMPUTED_VALUE"""),"Immune to damage for 3 rounds")</f>
        <v>Immune to damage for 3 rounds</v>
      </c>
      <c r="C66" s="1" t="str">
        <f>IFERROR(__xludf.DUMMYFUNCTION("""COMPUTED_VALUE"""),"Item")</f>
        <v>Item</v>
      </c>
      <c r="D66" s="1" t="str">
        <f>IFERROR(__xludf.DUMMYFUNCTION("""COMPUTED_VALUE"""),"Land of Spira")</f>
        <v>Land of Spira</v>
      </c>
    </row>
    <row r="67">
      <c r="A67" s="1" t="str">
        <f>IFERROR(__xludf.DUMMYFUNCTION("""COMPUTED_VALUE"""),"Potion of Stun Resist")</f>
        <v>Potion of Stun Resist</v>
      </c>
      <c r="B67" s="1" t="str">
        <f>IFERROR(__xludf.DUMMYFUNCTION("""COMPUTED_VALUE"""),"Immune to Stun for 3 rounds")</f>
        <v>Immune to Stun for 3 rounds</v>
      </c>
      <c r="C67" s="1" t="str">
        <f>IFERROR(__xludf.DUMMYFUNCTION("""COMPUTED_VALUE"""),"Item")</f>
        <v>Item</v>
      </c>
      <c r="D67" s="1" t="str">
        <f>IFERROR(__xludf.DUMMYFUNCTION("""COMPUTED_VALUE"""),"Land of Spira")</f>
        <v>Land of Spira</v>
      </c>
    </row>
    <row r="68">
      <c r="A68" s="1" t="str">
        <f>IFERROR(__xludf.DUMMYFUNCTION("""COMPUTED_VALUE"""),"Potion Of Sobriety")</f>
        <v>Potion Of Sobriety</v>
      </c>
      <c r="B68" s="1" t="str">
        <f>IFERROR(__xludf.DUMMYFUNCTION("""COMPUTED_VALUE"""),"Removes Disoriented Status, 50% failure, if you fail, you become even more disoriented (2x). If you fail/become too drunk, your character will black out and contract alcohol poisoning (25% of death, not-permanent)")</f>
        <v>Removes Disoriented Status, 50% failure, if you fail, you become even more disoriented (2x). If you fail/become too drunk, your character will black out and contract alcohol poisoning (25% of death, not-permanent)</v>
      </c>
      <c r="C68" s="1" t="str">
        <f>IFERROR(__xludf.DUMMYFUNCTION("""COMPUTED_VALUE"""),"Item")</f>
        <v>Item</v>
      </c>
      <c r="D68" s="1" t="str">
        <f>IFERROR(__xludf.DUMMYFUNCTION("""COMPUTED_VALUE"""),"Land of Spira")</f>
        <v>Land of Spira</v>
      </c>
    </row>
    <row r="69">
      <c r="A69" s="1" t="str">
        <f>IFERROR(__xludf.DUMMYFUNCTION("""COMPUTED_VALUE"""),"Legendary Tome")</f>
        <v>Legendary Tome</v>
      </c>
      <c r="B69" s="1" t="str">
        <f>IFERROR(__xludf.DUMMYFUNCTION("""COMPUTED_VALUE"""),"(Quest item)")</f>
        <v>(Quest item)</v>
      </c>
      <c r="C69" s="1" t="str">
        <f>IFERROR(__xludf.DUMMYFUNCTION("""COMPUTED_VALUE"""),"Item")</f>
        <v>Item</v>
      </c>
      <c r="D69" s="1" t="str">
        <f>IFERROR(__xludf.DUMMYFUNCTION("""COMPUTED_VALUE"""),"Land of Spira")</f>
        <v>Land of Spira</v>
      </c>
    </row>
    <row r="70">
      <c r="A70" s="1" t="str">
        <f>IFERROR(__xludf.DUMMYFUNCTION("""COMPUTED_VALUE"""),"Murky Emerald")</f>
        <v>Murky Emerald</v>
      </c>
      <c r="B70" s="1" t="str">
        <f>IFERROR(__xludf.DUMMYFUNCTION("""COMPUTED_VALUE"""),"Crafting Material, roll a d20 to see how many you get if this is a loot drop.")</f>
        <v>Crafting Material, roll a d20 to see how many you get if this is a loot drop.</v>
      </c>
      <c r="C70" s="1" t="str">
        <f>IFERROR(__xludf.DUMMYFUNCTION("""COMPUTED_VALUE"""),"Item")</f>
        <v>Item</v>
      </c>
      <c r="D70" s="1" t="str">
        <f>IFERROR(__xludf.DUMMYFUNCTION("""COMPUTED_VALUE"""),"Land of Spira")</f>
        <v>Land of Spira</v>
      </c>
    </row>
    <row r="71">
      <c r="A71" s="1" t="str">
        <f>IFERROR(__xludf.DUMMYFUNCTION("""COMPUTED_VALUE"""),"Foul Night Swamp water vile")</f>
        <v>Foul Night Swamp water vile</v>
      </c>
      <c r="B71" s="1" t="str">
        <f>IFERROR(__xludf.DUMMYFUNCTION("""COMPUTED_VALUE"""),"Immunity to Nature for 3 rounds.")</f>
        <v>Immunity to Nature for 3 rounds.</v>
      </c>
      <c r="C71" s="1" t="str">
        <f>IFERROR(__xludf.DUMMYFUNCTION("""COMPUTED_VALUE"""),"Item")</f>
        <v>Item</v>
      </c>
      <c r="D71" s="1" t="str">
        <f>IFERROR(__xludf.DUMMYFUNCTION("""COMPUTED_VALUE"""),"Land of Spira")</f>
        <v>Land of Spira</v>
      </c>
    </row>
    <row r="72">
      <c r="A72" s="1" t="str">
        <f>IFERROR(__xludf.DUMMYFUNCTION("""COMPUTED_VALUE"""),"Foul Night Foul Smelling potion")</f>
        <v>Foul Night Foul Smelling potion</v>
      </c>
      <c r="B72" s="1" t="str">
        <f>IFERROR(__xludf.DUMMYFUNCTION("""COMPUTED_VALUE"""),"2500 damage and 2500 nature damage and 500 poison damage for 3 rounds")</f>
        <v>2500 damage and 2500 nature damage and 500 poison damage for 3 rounds</v>
      </c>
      <c r="C72" s="1" t="str">
        <f>IFERROR(__xludf.DUMMYFUNCTION("""COMPUTED_VALUE"""),"Item")</f>
        <v>Item</v>
      </c>
      <c r="D72" s="1" t="str">
        <f>IFERROR(__xludf.DUMMYFUNCTION("""COMPUTED_VALUE"""),"Land of Spira")</f>
        <v>Land of Spira</v>
      </c>
    </row>
    <row r="73">
      <c r="A73" s="1" t="str">
        <f>IFERROR(__xludf.DUMMYFUNCTION("""COMPUTED_VALUE"""),"Swampy Seaweed")</f>
        <v>Swampy Seaweed</v>
      </c>
      <c r="B73" s="1" t="str">
        <f>IFERROR(__xludf.DUMMYFUNCTION("""COMPUTED_VALUE""")," Restores 5000 HP and SP.")</f>
        <v> Restores 5000 HP and SP.</v>
      </c>
      <c r="C73" s="1" t="str">
        <f>IFERROR(__xludf.DUMMYFUNCTION("""COMPUTED_VALUE"""),"Item")</f>
        <v>Item</v>
      </c>
      <c r="D73" s="1" t="str">
        <f>IFERROR(__xludf.DUMMYFUNCTION("""COMPUTED_VALUE"""),"Land of Spira")</f>
        <v>Land of Spira</v>
      </c>
    </row>
    <row r="74">
      <c r="A74" s="1" t="str">
        <f>IFERROR(__xludf.DUMMYFUNCTION("""COMPUTED_VALUE"""),"Foul Night Swamp Bubble Grenade")</f>
        <v>Foul Night Swamp Bubble Grenade</v>
      </c>
      <c r="B74" s="1" t="str">
        <f>IFERROR(__xludf.DUMMYFUNCTION("""COMPUTED_VALUE"""),"Poison 10,000 for 3 rounds.")</f>
        <v>Poison 10,000 for 3 rounds.</v>
      </c>
      <c r="C74" s="1" t="str">
        <f>IFERROR(__xludf.DUMMYFUNCTION("""COMPUTED_VALUE"""),"Item")</f>
        <v>Item</v>
      </c>
      <c r="D74" s="1" t="str">
        <f>IFERROR(__xludf.DUMMYFUNCTION("""COMPUTED_VALUE"""),"Land of Spira")</f>
        <v>Land of Spira</v>
      </c>
    </row>
    <row r="75">
      <c r="A75" s="1" t="str">
        <f>IFERROR(__xludf.DUMMYFUNCTION("""COMPUTED_VALUE"""),"Block of Ice")</f>
        <v>Block of Ice</v>
      </c>
      <c r="B75" s="1" t="str">
        <f>IFERROR(__xludf.DUMMYFUNCTION("""COMPUTED_VALUE"""),"Crafting Material, roll a d20 to see how many you get if this is a loot drop.")</f>
        <v>Crafting Material, roll a d20 to see how many you get if this is a loot drop.</v>
      </c>
      <c r="C75" s="1" t="str">
        <f>IFERROR(__xludf.DUMMYFUNCTION("""COMPUTED_VALUE"""),"Item")</f>
        <v>Item</v>
      </c>
      <c r="D75" s="1" t="str">
        <f>IFERROR(__xludf.DUMMYFUNCTION("""COMPUTED_VALUE"""),"Land of Spira")</f>
        <v>Land of Spira</v>
      </c>
    </row>
    <row r="76">
      <c r="A76" s="1" t="str">
        <f>IFERROR(__xludf.DUMMYFUNCTION("""COMPUTED_VALUE"""),"Frost Kings Map")</f>
        <v>Frost Kings Map</v>
      </c>
      <c r="B76" s="1" t="str">
        <f>IFERROR(__xludf.DUMMYFUNCTION("""COMPUTED_VALUE"""),"Special quest item. Speak to the frost king for more info.")</f>
        <v>Special quest item. Speak to the frost king for more info.</v>
      </c>
      <c r="C76" s="1" t="str">
        <f>IFERROR(__xludf.DUMMYFUNCTION("""COMPUTED_VALUE"""),"Item")</f>
        <v>Item</v>
      </c>
      <c r="D76" s="1" t="str">
        <f>IFERROR(__xludf.DUMMYFUNCTION("""COMPUTED_VALUE"""),"Land of Spira")</f>
        <v>Land of Spira</v>
      </c>
    </row>
    <row r="77">
      <c r="A77" s="1" t="str">
        <f>IFERROR(__xludf.DUMMYFUNCTION("""COMPUTED_VALUE"""),"Bacon")</f>
        <v>Bacon</v>
      </c>
      <c r="B77" s="1" t="str">
        <f>IFERROR(__xludf.DUMMYFUNCTION("""COMPUTED_VALUE"""),"Restores 5 health and 5 hunger")</f>
        <v>Restores 5 health and 5 hunger</v>
      </c>
      <c r="C77" s="1" t="str">
        <f>IFERROR(__xludf.DUMMYFUNCTION("""COMPUTED_VALUE"""),"Crop")</f>
        <v>Crop</v>
      </c>
      <c r="D77" s="1" t="str">
        <f>IFERROR(__xludf.DUMMYFUNCTION("""COMPUTED_VALUE"""),"Land of Spira")</f>
        <v>Land of Spira</v>
      </c>
    </row>
    <row r="78">
      <c r="A78" s="1" t="str">
        <f>IFERROR(__xludf.DUMMYFUNCTION("""COMPUTED_VALUE"""),"Bread")</f>
        <v>Bread</v>
      </c>
      <c r="B78" s="1" t="str">
        <f>IFERROR(__xludf.DUMMYFUNCTION("""COMPUTED_VALUE"""),"10 Hunger")</f>
        <v>10 Hunger</v>
      </c>
      <c r="C78" s="1" t="str">
        <f>IFERROR(__xludf.DUMMYFUNCTION("""COMPUTED_VALUE"""),"Crop")</f>
        <v>Crop</v>
      </c>
      <c r="D78" s="1" t="str">
        <f>IFERROR(__xludf.DUMMYFUNCTION("""COMPUTED_VALUE"""),"Land of Spira")</f>
        <v>Land of Spira</v>
      </c>
    </row>
    <row r="79">
      <c r="A79" s="1" t="str">
        <f>IFERROR(__xludf.DUMMYFUNCTION("""COMPUTED_VALUE"""),"Unknown dried meat")</f>
        <v>Unknown dried meat</v>
      </c>
      <c r="B79" s="1" t="str">
        <f>IFERROR(__xludf.DUMMYFUNCTION("""COMPUTED_VALUE"""),"15 Hunger, 5% chance to lose 10 HP")</f>
        <v>15 Hunger, 5% chance to lose 10 HP</v>
      </c>
      <c r="C79" s="1" t="str">
        <f>IFERROR(__xludf.DUMMYFUNCTION("""COMPUTED_VALUE"""),"Crop")</f>
        <v>Crop</v>
      </c>
      <c r="D79" s="1" t="str">
        <f>IFERROR(__xludf.DUMMYFUNCTION("""COMPUTED_VALUE"""),"Land of Spira")</f>
        <v>Land of Spira</v>
      </c>
    </row>
    <row r="80">
      <c r="A80" s="1" t="str">
        <f>IFERROR(__xludf.DUMMYFUNCTION("""COMPUTED_VALUE"""),"Water")</f>
        <v>Water</v>
      </c>
      <c r="B80" s="1" t="str">
        <f>IFERROR(__xludf.DUMMYFUNCTION("""COMPUTED_VALUE"""),"10 Thirst")</f>
        <v>10 Thirst</v>
      </c>
      <c r="C80" s="1" t="str">
        <f>IFERROR(__xludf.DUMMYFUNCTION("""COMPUTED_VALUE"""),"Item")</f>
        <v>Item</v>
      </c>
      <c r="D80" s="1" t="str">
        <f>IFERROR(__xludf.DUMMYFUNCTION("""COMPUTED_VALUE"""),"Land of Spira")</f>
        <v>Land of Spira</v>
      </c>
    </row>
    <row r="81">
      <c r="A81" s="1" t="str">
        <f>IFERROR(__xludf.DUMMYFUNCTION("""COMPUTED_VALUE"""),"Rum")</f>
        <v>Rum</v>
      </c>
      <c r="B81" s="1" t="str">
        <f>IFERROR(__xludf.DUMMYFUNCTION("""COMPUTED_VALUE"""),"50 Thirst, -1 SP")</f>
        <v>50 Thirst, -1 SP</v>
      </c>
      <c r="C81" s="1" t="str">
        <f>IFERROR(__xludf.DUMMYFUNCTION("""COMPUTED_VALUE"""),"Item")</f>
        <v>Item</v>
      </c>
      <c r="D81" s="1" t="str">
        <f>IFERROR(__xludf.DUMMYFUNCTION("""COMPUTED_VALUE"""),"Land of Spira")</f>
        <v>Land of Spira</v>
      </c>
    </row>
    <row r="82">
      <c r="A82" s="1" t="str">
        <f>IFERROR(__xludf.DUMMYFUNCTION("""COMPUTED_VALUE"""),"Spirits")</f>
        <v>Spirits</v>
      </c>
      <c r="B82" s="1" t="str">
        <f>IFERROR(__xludf.DUMMYFUNCTION("""COMPUTED_VALUE"""),"20 Thirst, +2 SP")</f>
        <v>20 Thirst, +2 SP</v>
      </c>
      <c r="C82" s="1" t="str">
        <f>IFERROR(__xludf.DUMMYFUNCTION("""COMPUTED_VALUE"""),"Item")</f>
        <v>Item</v>
      </c>
      <c r="D82" s="1" t="str">
        <f>IFERROR(__xludf.DUMMYFUNCTION("""COMPUTED_VALUE"""),"Land of Spira")</f>
        <v>Land of Spira</v>
      </c>
    </row>
    <row r="83">
      <c r="A83" s="1" t="str">
        <f>IFERROR(__xludf.DUMMYFUNCTION("""COMPUTED_VALUE"""),"Yeast")</f>
        <v>Yeast</v>
      </c>
      <c r="B83" s="1" t="str">
        <f>IFERROR(__xludf.DUMMYFUNCTION("""COMPUTED_VALUE"""),"Crafting Material, roll a d20 to see how many you get if this is a loot drop.")</f>
        <v>Crafting Material, roll a d20 to see how many you get if this is a loot drop.</v>
      </c>
      <c r="C83" s="1" t="str">
        <f>IFERROR(__xludf.DUMMYFUNCTION("""COMPUTED_VALUE"""),"Item")</f>
        <v>Item</v>
      </c>
      <c r="D83" s="1" t="str">
        <f>IFERROR(__xludf.DUMMYFUNCTION("""COMPUTED_VALUE"""),"Land of Spira")</f>
        <v>Land of Spira</v>
      </c>
    </row>
    <row r="84">
      <c r="A84" s="1" t="str">
        <f>IFERROR(__xludf.DUMMYFUNCTION("""COMPUTED_VALUE"""),"Mead")</f>
        <v>Mead</v>
      </c>
      <c r="B84" s="1" t="str">
        <f>IFERROR(__xludf.DUMMYFUNCTION("""COMPUTED_VALUE"""),"25 Thirst")</f>
        <v>25 Thirst</v>
      </c>
      <c r="C84" s="1" t="str">
        <f>IFERROR(__xludf.DUMMYFUNCTION("""COMPUTED_VALUE"""),"Item")</f>
        <v>Item</v>
      </c>
      <c r="D84" s="1" t="str">
        <f>IFERROR(__xludf.DUMMYFUNCTION("""COMPUTED_VALUE"""),"Land of Spira")</f>
        <v>Land of Spira</v>
      </c>
    </row>
    <row r="85">
      <c r="A85" s="1" t="str">
        <f>IFERROR(__xludf.DUMMYFUNCTION("""COMPUTED_VALUE"""),"Water Tome Rank 9")</f>
        <v>Water Tome Rank 9</v>
      </c>
      <c r="B85" s="1" t="str">
        <f>IFERROR(__xludf.DUMMYFUNCTION("""COMPUTED_VALUE"""),"Can use up to Rank 9 Water Spells")</f>
        <v>Can use up to Rank 9 Water Spells</v>
      </c>
      <c r="C85" s="1" t="str">
        <f>IFERROR(__xludf.DUMMYFUNCTION("""COMPUTED_VALUE"""),"Item")</f>
        <v>Item</v>
      </c>
      <c r="D85" s="1" t="str">
        <f>IFERROR(__xludf.DUMMYFUNCTION("""COMPUTED_VALUE"""),"Land of Spira")</f>
        <v>Land of Spira</v>
      </c>
    </row>
    <row r="86">
      <c r="A86" s="1" t="str">
        <f>IFERROR(__xludf.DUMMYFUNCTION("""COMPUTED_VALUE"""),"Dragon Flute")</f>
        <v>Dragon Flute</v>
      </c>
      <c r="B86" s="1" t="str">
        <f>IFERROR(__xludf.DUMMYFUNCTION("""COMPUTED_VALUE"""),"Summons 1 of the following dragons with a d4 roll: Fire Dragon, Poison Dragon, Storm Dragon, Ancient Water Dragon (Can only be used once) (Level determined by dm/gm)")</f>
        <v>Summons 1 of the following dragons with a d4 roll: Fire Dragon, Poison Dragon, Storm Dragon, Ancient Water Dragon (Can only be used once) (Level determined by dm/gm)</v>
      </c>
      <c r="C86" s="1" t="str">
        <f>IFERROR(__xludf.DUMMYFUNCTION("""COMPUTED_VALUE"""),"Item")</f>
        <v>Item</v>
      </c>
      <c r="D86" s="1" t="str">
        <f>IFERROR(__xludf.DUMMYFUNCTION("""COMPUTED_VALUE"""),"Land of Spira")</f>
        <v>Land of Spira</v>
      </c>
    </row>
    <row r="87">
      <c r="A87" s="1" t="str">
        <f>IFERROR(__xludf.DUMMYFUNCTION("""COMPUTED_VALUE"""),"Last Resort Potion")</f>
        <v>Last Resort Potion</v>
      </c>
      <c r="B87" s="1" t="str">
        <f>IFERROR(__xludf.DUMMYFUNCTION("""COMPUTED_VALUE"""),"You can only use this when you have no sp left. When consumed, Gain all of your sp and hp back and deal X4 towards your next attack, but you will instantly die after 3 rounds.")</f>
        <v>You can only use this when you have no sp left. When consumed, Gain all of your sp and hp back and deal X4 towards your next attack, but you will instantly die after 3 rounds.</v>
      </c>
      <c r="C87" s="1" t="str">
        <f>IFERROR(__xludf.DUMMYFUNCTION("""COMPUTED_VALUE"""),"Item")</f>
        <v>Item</v>
      </c>
      <c r="D87" s="1" t="str">
        <f>IFERROR(__xludf.DUMMYFUNCTION("""COMPUTED_VALUE"""),"Land of Spira")</f>
        <v>Land of Spira</v>
      </c>
    </row>
    <row r="88">
      <c r="A88" s="1" t="str">
        <f>IFERROR(__xludf.DUMMYFUNCTION("""COMPUTED_VALUE"""),"Fish in a Bottle")</f>
        <v>Fish in a Bottle</v>
      </c>
      <c r="B88" s="1" t="str">
        <f>IFERROR(__xludf.DUMMYFUNCTION("""COMPUTED_VALUE"""),"Consume to regain 50HP and 50SP")</f>
        <v>Consume to regain 50HP and 50SP</v>
      </c>
      <c r="C88" s="1" t="str">
        <f>IFERROR(__xludf.DUMMYFUNCTION("""COMPUTED_VALUE"""),"Item")</f>
        <v>Item</v>
      </c>
      <c r="D88" s="1" t="str">
        <f>IFERROR(__xludf.DUMMYFUNCTION("""COMPUTED_VALUE"""),"Land of Spira")</f>
        <v>Land of Spira</v>
      </c>
    </row>
    <row r="89">
      <c r="A89" s="1"/>
      <c r="B89" s="1"/>
      <c r="C89" s="1"/>
      <c r="D89" s="1"/>
    </row>
    <row r="90">
      <c r="A90" s="1" t="str">
        <f>IFERROR(__xludf.DUMMYFUNCTION("""COMPUTED_VALUE"""),"Barrel of Poisonous Water")</f>
        <v>Barrel of Poisonous Water</v>
      </c>
      <c r="B90" s="1" t="str">
        <f>IFERROR(__xludf.DUMMYFUNCTION("""COMPUTED_VALUE"""),"POISON THE QUEEN!")</f>
        <v>POISON THE QUEEN!</v>
      </c>
      <c r="C90" s="1" t="str">
        <f>IFERROR(__xludf.DUMMYFUNCTION("""COMPUTED_VALUE"""),"Item")</f>
        <v>Item</v>
      </c>
      <c r="D90" s="1" t="str">
        <f>IFERROR(__xludf.DUMMYFUNCTION("""COMPUTED_VALUE"""),"Land of Spira")</f>
        <v>Land of Spira</v>
      </c>
    </row>
    <row r="91">
      <c r="A91" s="1" t="str">
        <f>IFERROR(__xludf.DUMMYFUNCTION("""COMPUTED_VALUE"""),"Live Worm")</f>
        <v>Live Worm</v>
      </c>
      <c r="B91" s="1" t="str">
        <f>IFERROR(__xludf.DUMMYFUNCTION("""COMPUTED_VALUE"""),"Can be used as bait. 1 use per worm")</f>
        <v>Can be used as bait. 1 use per worm</v>
      </c>
      <c r="C91" s="1" t="str">
        <f>IFERROR(__xludf.DUMMYFUNCTION("""COMPUTED_VALUE"""),"Item")</f>
        <v>Item</v>
      </c>
      <c r="D91" s="1" t="str">
        <f>IFERROR(__xludf.DUMMYFUNCTION("""COMPUTED_VALUE"""),"Land of Spira")</f>
        <v>Land of Spira</v>
      </c>
    </row>
    <row r="92">
      <c r="A92" s="1" t="str">
        <f>IFERROR(__xludf.DUMMYFUNCTION("""COMPUTED_VALUE"""),"Iron Fishing Pole")</f>
        <v>Iron Fishing Pole</v>
      </c>
      <c r="B92" s="1" t="str">
        <f>IFERROR(__xludf.DUMMYFUNCTION("""COMPUTED_VALUE"""),"20/20 Uses. Used for fishing.")</f>
        <v>20/20 Uses. Used for fishing.</v>
      </c>
      <c r="C92" s="1" t="str">
        <f>IFERROR(__xludf.DUMMYFUNCTION("""COMPUTED_VALUE"""),"Item")</f>
        <v>Item</v>
      </c>
      <c r="D92" s="1" t="str">
        <f>IFERROR(__xludf.DUMMYFUNCTION("""COMPUTED_VALUE"""),"Land of Spira")</f>
        <v>Land of Spira</v>
      </c>
    </row>
    <row r="93">
      <c r="A93" s="1" t="str">
        <f>IFERROR(__xludf.DUMMYFUNCTION("""COMPUTED_VALUE"""),"Fishing Lure Beginner")</f>
        <v>Fishing Lure Beginner</v>
      </c>
      <c r="B93" s="1" t="str">
        <f>IFERROR(__xludf.DUMMYFUNCTION("""COMPUTED_VALUE"""),"Used for fishing competition, add a +1 or -1 to your fishing rolls")</f>
        <v>Used for fishing competition, add a +1 or -1 to your fishing rolls</v>
      </c>
      <c r="C93" s="1" t="str">
        <f>IFERROR(__xludf.DUMMYFUNCTION("""COMPUTED_VALUE"""),"Item")</f>
        <v>Item</v>
      </c>
      <c r="D93" s="1" t="str">
        <f>IFERROR(__xludf.DUMMYFUNCTION("""COMPUTED_VALUE"""),"Land of Spira")</f>
        <v>Land of Spira</v>
      </c>
    </row>
    <row r="94">
      <c r="A94" s="1" t="str">
        <f>IFERROR(__xludf.DUMMYFUNCTION("""COMPUTED_VALUE"""),"Fishing Lure Moderate")</f>
        <v>Fishing Lure Moderate</v>
      </c>
      <c r="B94" s="1" t="str">
        <f>IFERROR(__xludf.DUMMYFUNCTION("""COMPUTED_VALUE"""),"Used for fishing competition, add a +3 or -3 to your fishing rolls")</f>
        <v>Used for fishing competition, add a +3 or -3 to your fishing rolls</v>
      </c>
      <c r="C94" s="1" t="str">
        <f>IFERROR(__xludf.DUMMYFUNCTION("""COMPUTED_VALUE"""),"Item")</f>
        <v>Item</v>
      </c>
      <c r="D94" s="1" t="str">
        <f>IFERROR(__xludf.DUMMYFUNCTION("""COMPUTED_VALUE"""),"Land of Spira")</f>
        <v>Land of Spira</v>
      </c>
    </row>
    <row r="95">
      <c r="A95" s="1" t="str">
        <f>IFERROR(__xludf.DUMMYFUNCTION("""COMPUTED_VALUE"""),"Fishing Lure Expert")</f>
        <v>Fishing Lure Expert</v>
      </c>
      <c r="B95" s="1" t="str">
        <f>IFERROR(__xludf.DUMMYFUNCTION("""COMPUTED_VALUE"""),"Used for fishing competition, add a +5 or -5 to your fishing rolls")</f>
        <v>Used for fishing competition, add a +5 or -5 to your fishing rolls</v>
      </c>
      <c r="C95" s="1" t="str">
        <f>IFERROR(__xludf.DUMMYFUNCTION("""COMPUTED_VALUE"""),"Item")</f>
        <v>Item</v>
      </c>
      <c r="D95" s="1" t="str">
        <f>IFERROR(__xludf.DUMMYFUNCTION("""COMPUTED_VALUE"""),"Land of Spira")</f>
        <v>Land of Spira</v>
      </c>
    </row>
    <row r="96">
      <c r="A96" s="1" t="str">
        <f>IFERROR(__xludf.DUMMYFUNCTION("""COMPUTED_VALUE"""),"Fossilized Water Dragon Bones")</f>
        <v>Fossilized Water Dragon Bones</v>
      </c>
      <c r="B96" s="1" t="str">
        <f>IFERROR(__xludf.DUMMYFUNCTION("""COMPUTED_VALUE"""),"Crafting Material, roll a d20 to see how many you get if this is a loot drop.")</f>
        <v>Crafting Material, roll a d20 to see how many you get if this is a loot drop.</v>
      </c>
      <c r="C96" s="1" t="str">
        <f>IFERROR(__xludf.DUMMYFUNCTION("""COMPUTED_VALUE"""),"Item")</f>
        <v>Item</v>
      </c>
      <c r="D96" s="1" t="str">
        <f>IFERROR(__xludf.DUMMYFUNCTION("""COMPUTED_VALUE"""),"Land of Spira")</f>
        <v>Land of Spira</v>
      </c>
    </row>
    <row r="97">
      <c r="A97" s="1" t="str">
        <f>IFERROR(__xludf.DUMMYFUNCTION("""COMPUTED_VALUE"""),"Return Home Gem")</f>
        <v>Return Home Gem</v>
      </c>
      <c r="B97" s="1" t="str">
        <f>IFERROR(__xludf.DUMMYFUNCTION("""COMPUTED_VALUE"""),"Only one per player in backpack. Instantly teleports you to the last town you were at without fail.")</f>
        <v>Only one per player in backpack. Instantly teleports you to the last town you were at without fail.</v>
      </c>
      <c r="C97" s="1" t="str">
        <f>IFERROR(__xludf.DUMMYFUNCTION("""COMPUTED_VALUE"""),"Item")</f>
        <v>Item</v>
      </c>
      <c r="D97" s="1" t="str">
        <f>IFERROR(__xludf.DUMMYFUNCTION("""COMPUTED_VALUE"""),"Land of Spira")</f>
        <v>Land of Spira</v>
      </c>
    </row>
    <row r="98">
      <c r="A98" s="1" t="str">
        <f>IFERROR(__xludf.DUMMYFUNCTION("""COMPUTED_VALUE"""),"Immunity to water potion temp")</f>
        <v>Immunity to water potion temp</v>
      </c>
      <c r="B98" s="1" t="str">
        <f>IFERROR(__xludf.DUMMYFUNCTION("""COMPUTED_VALUE"""),"Immune to water based attacks for one battle (does not count as a turn)")</f>
        <v>Immune to water based attacks for one battle (does not count as a turn)</v>
      </c>
      <c r="C98" s="1" t="str">
        <f>IFERROR(__xludf.DUMMYFUNCTION("""COMPUTED_VALUE"""),"Item")</f>
        <v>Item</v>
      </c>
      <c r="D98" s="1" t="str">
        <f>IFERROR(__xludf.DUMMYFUNCTION("""COMPUTED_VALUE"""),"Land of Spira")</f>
        <v>Land of Spira</v>
      </c>
    </row>
    <row r="99">
      <c r="A99" s="1" t="str">
        <f>IFERROR(__xludf.DUMMYFUNCTION("""COMPUTED_VALUE"""),"Legendary Sea Monster Meat")</f>
        <v>Legendary Sea Monster Meat</v>
      </c>
      <c r="B99" s="1" t="str">
        <f>IFERROR(__xludf.DUMMYFUNCTION("""COMPUTED_VALUE"""),"Increase Health and Defense by 100 for next three battles (Can not be used in battle must be used between battles)")</f>
        <v>Increase Health and Defense by 100 for next three battles (Can not be used in battle must be used between battles)</v>
      </c>
      <c r="C99" s="1" t="str">
        <f>IFERROR(__xludf.DUMMYFUNCTION("""COMPUTED_VALUE"""),"Item")</f>
        <v>Item</v>
      </c>
      <c r="D99" s="1" t="str">
        <f>IFERROR(__xludf.DUMMYFUNCTION("""COMPUTED_VALUE"""),"Land of Spira")</f>
        <v>Land of Spira</v>
      </c>
    </row>
    <row r="100">
      <c r="A100" s="1" t="str">
        <f>IFERROR(__xludf.DUMMYFUNCTION("""COMPUTED_VALUE"""),"Scroll of The Sea Monster")</f>
        <v>Scroll of The Sea Monster</v>
      </c>
      <c r="B100" s="1" t="str">
        <f>IFERROR(__xludf.DUMMYFUNCTION("""COMPUTED_VALUE"""),"X2 to water damage for the caster until end of battle, water spells also become unblockable for 3 rounds.")</f>
        <v>X2 to water damage for the caster until end of battle, water spells also become unblockable for 3 rounds.</v>
      </c>
      <c r="C100" s="1" t="str">
        <f>IFERROR(__xludf.DUMMYFUNCTION("""COMPUTED_VALUE"""),"Item")</f>
        <v>Item</v>
      </c>
      <c r="D100" s="1" t="str">
        <f>IFERROR(__xludf.DUMMYFUNCTION("""COMPUTED_VALUE"""),"Land of Spira")</f>
        <v>Land of Spira</v>
      </c>
    </row>
    <row r="101">
      <c r="A101" s="1" t="str">
        <f>IFERROR(__xludf.DUMMYFUNCTION("""COMPUTED_VALUE"""),"Paper scraps")</f>
        <v>Paper scraps</v>
      </c>
      <c r="B101" s="1" t="str">
        <f>IFERROR(__xludf.DUMMYFUNCTION("""COMPUTED_VALUE"""),"Crafting Material, roll a d20 to see how many you get if this is a loot drop.")</f>
        <v>Crafting Material, roll a d20 to see how many you get if this is a loot drop.</v>
      </c>
      <c r="C101" s="1" t="str">
        <f>IFERROR(__xludf.DUMMYFUNCTION("""COMPUTED_VALUE"""),"Item")</f>
        <v>Item</v>
      </c>
      <c r="D101" s="1" t="str">
        <f>IFERROR(__xludf.DUMMYFUNCTION("""COMPUTED_VALUE"""),"Land of Spira")</f>
        <v>Land of Spira</v>
      </c>
    </row>
    <row r="102">
      <c r="A102" s="1" t="str">
        <f>IFERROR(__xludf.DUMMYFUNCTION("""COMPUTED_VALUE"""),"Blank piece of paper")</f>
        <v>Blank piece of paper</v>
      </c>
      <c r="B102" s="1" t="str">
        <f>IFERROR(__xludf.DUMMYFUNCTION("""COMPUTED_VALUE"""),"Crafting Material, roll a d20 to see how many you get if this is a loot drop.")</f>
        <v>Crafting Material, roll a d20 to see how many you get if this is a loot drop.</v>
      </c>
      <c r="C102" s="1" t="str">
        <f>IFERROR(__xludf.DUMMYFUNCTION("""COMPUTED_VALUE"""),"Item")</f>
        <v>Item</v>
      </c>
      <c r="D102" s="1" t="str">
        <f>IFERROR(__xludf.DUMMYFUNCTION("""COMPUTED_VALUE"""),"Land of Spira")</f>
        <v>Land of Spira</v>
      </c>
    </row>
    <row r="103">
      <c r="A103" s="1" t="str">
        <f>IFERROR(__xludf.DUMMYFUNCTION("""COMPUTED_VALUE"""),"Broken pistol")</f>
        <v>Broken pistol</v>
      </c>
      <c r="B103" s="1" t="str">
        <f>IFERROR(__xludf.DUMMYFUNCTION("""COMPUTED_VALUE"""),"Crafting Material, roll a d20 to see how many you get if this is a loot drop.")</f>
        <v>Crafting Material, roll a d20 to see how many you get if this is a loot drop.</v>
      </c>
      <c r="C103" s="1" t="str">
        <f>IFERROR(__xludf.DUMMYFUNCTION("""COMPUTED_VALUE"""),"Item")</f>
        <v>Item</v>
      </c>
      <c r="D103" s="1" t="str">
        <f>IFERROR(__xludf.DUMMYFUNCTION("""COMPUTED_VALUE"""),"Land of Spira")</f>
        <v>Land of Spira</v>
      </c>
    </row>
    <row r="104">
      <c r="A104" s="1" t="str">
        <f>IFERROR(__xludf.DUMMYFUNCTION("""COMPUTED_VALUE"""),"Cannon Ball")</f>
        <v>Cannon Ball</v>
      </c>
      <c r="B104" s="1" t="str">
        <f>IFERROR(__xludf.DUMMYFUNCTION("""COMPUTED_VALUE"""),"Cannon Ammunition, +1000 damage. roll a d20 to see how many you get if this is a loot drop.")</f>
        <v>Cannon Ammunition, +1000 damage. roll a d20 to see how many you get if this is a loot drop.</v>
      </c>
      <c r="C104" s="1" t="str">
        <f>IFERROR(__xludf.DUMMYFUNCTION("""COMPUTED_VALUE"""),"Item")</f>
        <v>Item</v>
      </c>
      <c r="D104" s="1" t="str">
        <f>IFERROR(__xludf.DUMMYFUNCTION("""COMPUTED_VALUE"""),"Land of Spira")</f>
        <v>Land of Spira</v>
      </c>
    </row>
    <row r="105">
      <c r="A105" s="1" t="str">
        <f>IFERROR(__xludf.DUMMYFUNCTION("""COMPUTED_VALUE"""),"Blank Book")</f>
        <v>Blank Book</v>
      </c>
      <c r="B105" s="1" t="str">
        <f>IFERROR(__xludf.DUMMYFUNCTION("""COMPUTED_VALUE"""),"Crafting Material, roll a d20 to see how many you get.")</f>
        <v>Crafting Material, roll a d20 to see how many you get.</v>
      </c>
      <c r="C105" s="1" t="str">
        <f>IFERROR(__xludf.DUMMYFUNCTION("""COMPUTED_VALUE"""),"Item")</f>
        <v>Item</v>
      </c>
      <c r="D105" s="1" t="str">
        <f>IFERROR(__xludf.DUMMYFUNCTION("""COMPUTED_VALUE"""),"Land of Spira")</f>
        <v>Land of Spira</v>
      </c>
    </row>
    <row r="106">
      <c r="A106" s="1" t="str">
        <f>IFERROR(__xludf.DUMMYFUNCTION("""COMPUTED_VALUE"""),"Bronze")</f>
        <v>Bronze</v>
      </c>
      <c r="B106" s="1" t="str">
        <f>IFERROR(__xludf.DUMMYFUNCTION("""COMPUTED_VALUE"""),"Crafting Material, roll a d20 to see how many you get.")</f>
        <v>Crafting Material, roll a d20 to see how many you get.</v>
      </c>
      <c r="C106" s="1" t="str">
        <f>IFERROR(__xludf.DUMMYFUNCTION("""COMPUTED_VALUE"""),"Item")</f>
        <v>Item</v>
      </c>
      <c r="D106" s="1" t="str">
        <f>IFERROR(__xludf.DUMMYFUNCTION("""COMPUTED_VALUE"""),"Land of Spira")</f>
        <v>Land of Spira</v>
      </c>
    </row>
    <row r="107">
      <c r="A107" s="1" t="str">
        <f>IFERROR(__xludf.DUMMYFUNCTION("""COMPUTED_VALUE"""),"Diamond")</f>
        <v>Diamond</v>
      </c>
      <c r="B107" s="1" t="str">
        <f>IFERROR(__xludf.DUMMYFUNCTION("""COMPUTED_VALUE"""),"Crafting Material, roll a d20 to see how many you get.")</f>
        <v>Crafting Material, roll a d20 to see how many you get.</v>
      </c>
      <c r="C107" s="1" t="str">
        <f>IFERROR(__xludf.DUMMYFUNCTION("""COMPUTED_VALUE"""),"Item")</f>
        <v>Item</v>
      </c>
      <c r="D107" s="1" t="str">
        <f>IFERROR(__xludf.DUMMYFUNCTION("""COMPUTED_VALUE"""),"Land of Spira")</f>
        <v>Land of Spira</v>
      </c>
    </row>
    <row r="108">
      <c r="A108" s="1" t="str">
        <f>IFERROR(__xludf.DUMMYFUNCTION("""COMPUTED_VALUE"""),"Wood")</f>
        <v>Wood</v>
      </c>
      <c r="B108" s="1" t="str">
        <f>IFERROR(__xludf.DUMMYFUNCTION("""COMPUTED_VALUE"""),"Crafting Material, roll a d20 to see how many you get.")</f>
        <v>Crafting Material, roll a d20 to see how many you get.</v>
      </c>
      <c r="C108" s="1" t="str">
        <f>IFERROR(__xludf.DUMMYFUNCTION("""COMPUTED_VALUE"""),"Item")</f>
        <v>Item</v>
      </c>
      <c r="D108" s="1" t="str">
        <f>IFERROR(__xludf.DUMMYFUNCTION("""COMPUTED_VALUE"""),"Land of Spira")</f>
        <v>Land of Spira</v>
      </c>
    </row>
    <row r="109">
      <c r="A109" s="1" t="str">
        <f>IFERROR(__xludf.DUMMYFUNCTION("""COMPUTED_VALUE"""),"Stone")</f>
        <v>Stone</v>
      </c>
      <c r="B109" s="1" t="str">
        <f>IFERROR(__xludf.DUMMYFUNCTION("""COMPUTED_VALUE"""),"Crafting Material, roll a d20 to see how many you get.")</f>
        <v>Crafting Material, roll a d20 to see how many you get.</v>
      </c>
      <c r="C109" s="1" t="str">
        <f>IFERROR(__xludf.DUMMYFUNCTION("""COMPUTED_VALUE"""),"Item")</f>
        <v>Item</v>
      </c>
      <c r="D109" s="1" t="str">
        <f>IFERROR(__xludf.DUMMYFUNCTION("""COMPUTED_VALUE"""),"Land of Spira")</f>
        <v>Land of Spira</v>
      </c>
    </row>
    <row r="110">
      <c r="A110" s="1" t="str">
        <f>IFERROR(__xludf.DUMMYFUNCTION("""COMPUTED_VALUE"""),"Raw Meat")</f>
        <v>Raw Meat</v>
      </c>
      <c r="B110" s="1" t="str">
        <f>IFERROR(__xludf.DUMMYFUNCTION("""COMPUTED_VALUE"""),"-100 Hunger")</f>
        <v>-100 Hunger</v>
      </c>
      <c r="C110" s="1" t="str">
        <f>IFERROR(__xludf.DUMMYFUNCTION("""COMPUTED_VALUE"""),"Crop")</f>
        <v>Crop</v>
      </c>
      <c r="D110" s="1" t="str">
        <f>IFERROR(__xludf.DUMMYFUNCTION("""COMPUTED_VALUE"""),"Land of Spira")</f>
        <v>Land of Spira</v>
      </c>
    </row>
    <row r="111">
      <c r="A111" s="1" t="str">
        <f>IFERROR(__xludf.DUMMYFUNCTION("""COMPUTED_VALUE"""),"Cooked Meat")</f>
        <v>Cooked Meat</v>
      </c>
      <c r="B111" s="1" t="str">
        <f>IFERROR(__xludf.DUMMYFUNCTION("""COMPUTED_VALUE"""),"Restores 35 Hunger")</f>
        <v>Restores 35 Hunger</v>
      </c>
      <c r="C111" s="1" t="str">
        <f>IFERROR(__xludf.DUMMYFUNCTION("""COMPUTED_VALUE"""),"Crop")</f>
        <v>Crop</v>
      </c>
      <c r="D111" s="1" t="str">
        <f>IFERROR(__xludf.DUMMYFUNCTION("""COMPUTED_VALUE"""),"Land of Spira")</f>
        <v>Land of Spira</v>
      </c>
    </row>
    <row r="112">
      <c r="A112" s="1" t="str">
        <f>IFERROR(__xludf.DUMMYFUNCTION("""COMPUTED_VALUE"""),"Dried Meat")</f>
        <v>Dried Meat</v>
      </c>
      <c r="B112" s="1" t="str">
        <f>IFERROR(__xludf.DUMMYFUNCTION("""COMPUTED_VALUE"""),"25 Hunger")</f>
        <v>25 Hunger</v>
      </c>
      <c r="C112" s="1" t="str">
        <f>IFERROR(__xludf.DUMMYFUNCTION("""COMPUTED_VALUE"""),"Crop")</f>
        <v>Crop</v>
      </c>
      <c r="D112" s="1" t="str">
        <f>IFERROR(__xludf.DUMMYFUNCTION("""COMPUTED_VALUE"""),"Land of Spira")</f>
        <v>Land of Spira</v>
      </c>
    </row>
    <row r="113">
      <c r="A113" s="1" t="str">
        <f>IFERROR(__xludf.DUMMYFUNCTION("""COMPUTED_VALUE"""),"Medium Rare Steak")</f>
        <v>Medium Rare Steak</v>
      </c>
      <c r="B113" s="1" t="str">
        <f>IFERROR(__xludf.DUMMYFUNCTION("""COMPUTED_VALUE"""),"Restores 30 Hunger and 5 HP")</f>
        <v>Restores 30 Hunger and 5 HP</v>
      </c>
      <c r="C113" s="1" t="str">
        <f>IFERROR(__xludf.DUMMYFUNCTION("""COMPUTED_VALUE"""),"Crop")</f>
        <v>Crop</v>
      </c>
      <c r="D113" s="1" t="str">
        <f>IFERROR(__xludf.DUMMYFUNCTION("""COMPUTED_VALUE"""),"Land of Spira")</f>
        <v>Land of Spira</v>
      </c>
    </row>
    <row r="114">
      <c r="A114" s="1" t="str">
        <f>IFERROR(__xludf.DUMMYFUNCTION("""COMPUTED_VALUE"""),"Well Done Steak")</f>
        <v>Well Done Steak</v>
      </c>
      <c r="B114" s="1" t="str">
        <f>IFERROR(__xludf.DUMMYFUNCTION("""COMPUTED_VALUE"""),"10 Hunger and 3 HP are restored each turn for the next three turns")</f>
        <v>10 Hunger and 3 HP are restored each turn for the next three turns</v>
      </c>
      <c r="C114" s="1" t="str">
        <f>IFERROR(__xludf.DUMMYFUNCTION("""COMPUTED_VALUE"""),"Crop")</f>
        <v>Crop</v>
      </c>
      <c r="D114" s="1" t="str">
        <f>IFERROR(__xludf.DUMMYFUNCTION("""COMPUTED_VALUE"""),"Land of Spira")</f>
        <v>Land of Spira</v>
      </c>
    </row>
    <row r="115">
      <c r="A115" s="1" t="str">
        <f>IFERROR(__xludf.DUMMYFUNCTION("""COMPUTED_VALUE"""),"Kebab")</f>
        <v>Kebab</v>
      </c>
      <c r="B115" s="1" t="str">
        <f>IFERROR(__xludf.DUMMYFUNCTION("""COMPUTED_VALUE"""),"Restores 10 Hunger, 5 HP, and 15 SP")</f>
        <v>Restores 10 Hunger, 5 HP, and 15 SP</v>
      </c>
      <c r="C115" s="1" t="str">
        <f>IFERROR(__xludf.DUMMYFUNCTION("""COMPUTED_VALUE"""),"Crop")</f>
        <v>Crop</v>
      </c>
      <c r="D115" s="1" t="str">
        <f>IFERROR(__xludf.DUMMYFUNCTION("""COMPUTED_VALUE"""),"Land of Spira")</f>
        <v>Land of Spira</v>
      </c>
    </row>
    <row r="116">
      <c r="A116" s="1" t="str">
        <f>IFERROR(__xludf.DUMMYFUNCTION("""COMPUTED_VALUE"""),"Melon Bread")</f>
        <v>Melon Bread</v>
      </c>
      <c r="B116" s="1" t="str">
        <f>IFERROR(__xludf.DUMMYFUNCTION("""COMPUTED_VALUE"""),"15 Hunger")</f>
        <v>15 Hunger</v>
      </c>
      <c r="C116" s="1" t="str">
        <f>IFERROR(__xludf.DUMMYFUNCTION("""COMPUTED_VALUE"""),"Crop")</f>
        <v>Crop</v>
      </c>
      <c r="D116" s="1" t="str">
        <f>IFERROR(__xludf.DUMMYFUNCTION("""COMPUTED_VALUE"""),"Land of Spira")</f>
        <v>Land of Spira</v>
      </c>
    </row>
    <row r="117">
      <c r="A117" s="1" t="str">
        <f>IFERROR(__xludf.DUMMYFUNCTION("""COMPUTED_VALUE"""),"Cake")</f>
        <v>Cake</v>
      </c>
      <c r="B117" s="1" t="str">
        <f>IFERROR(__xludf.DUMMYFUNCTION("""COMPUTED_VALUE"""),"8 uses, each use restores 20 Hunger")</f>
        <v>8 uses, each use restores 20 Hunger</v>
      </c>
      <c r="C117" s="1" t="str">
        <f>IFERROR(__xludf.DUMMYFUNCTION("""COMPUTED_VALUE"""),"Crop")</f>
        <v>Crop</v>
      </c>
      <c r="D117" s="1" t="str">
        <f>IFERROR(__xludf.DUMMYFUNCTION("""COMPUTED_VALUE"""),"Land of Spira")</f>
        <v>Land of Spira</v>
      </c>
    </row>
    <row r="118">
      <c r="A118" s="1" t="str">
        <f>IFERROR(__xludf.DUMMYFUNCTION("""COMPUTED_VALUE"""),"Cherry Pie")</f>
        <v>Cherry Pie</v>
      </c>
      <c r="B118" s="1" t="str">
        <f>IFERROR(__xludf.DUMMYFUNCTION("""COMPUTED_VALUE"""),"4 uses, restores 20 Hunger, 10 HP, and 5 SP with each use")</f>
        <v>4 uses, restores 20 Hunger, 10 HP, and 5 SP with each use</v>
      </c>
      <c r="C118" s="1" t="str">
        <f>IFERROR(__xludf.DUMMYFUNCTION("""COMPUTED_VALUE"""),"Crop")</f>
        <v>Crop</v>
      </c>
      <c r="D118" s="1" t="str">
        <f>IFERROR(__xludf.DUMMYFUNCTION("""COMPUTED_VALUE"""),"Land of Spira")</f>
        <v>Land of Spira</v>
      </c>
    </row>
    <row r="119">
      <c r="A119" s="1" t="str">
        <f>IFERROR(__xludf.DUMMYFUNCTION("""COMPUTED_VALUE"""),"Saltwater")</f>
        <v>Saltwater</v>
      </c>
      <c r="B119" s="1" t="str">
        <f>IFERROR(__xludf.DUMMYFUNCTION("""COMPUTED_VALUE"""),"Crafting Material, roll a d20 to see how many you get if this is a loot drop.")</f>
        <v>Crafting Material, roll a d20 to see how many you get if this is a loot drop.</v>
      </c>
      <c r="C119" s="1" t="str">
        <f>IFERROR(__xludf.DUMMYFUNCTION("""COMPUTED_VALUE"""),"Item")</f>
        <v>Item</v>
      </c>
      <c r="D119" s="1" t="str">
        <f>IFERROR(__xludf.DUMMYFUNCTION("""COMPUTED_VALUE"""),"Land of Spira")</f>
        <v>Land of Spira</v>
      </c>
    </row>
    <row r="120">
      <c r="A120" s="1" t="str">
        <f>IFERROR(__xludf.DUMMYFUNCTION("""COMPUTED_VALUE"""),"Fisherman’s Lucky Totem")</f>
        <v>Fisherman’s Lucky Totem</v>
      </c>
      <c r="B120" s="1" t="str">
        <f>IFERROR(__xludf.DUMMYFUNCTION("""COMPUTED_VALUE"""),"This will Guarantee you 1 fish from a quest")</f>
        <v>This will Guarantee you 1 fish from a quest</v>
      </c>
      <c r="C120" s="1" t="str">
        <f>IFERROR(__xludf.DUMMYFUNCTION("""COMPUTED_VALUE"""),"Item")</f>
        <v>Item</v>
      </c>
      <c r="D120" s="1" t="str">
        <f>IFERROR(__xludf.DUMMYFUNCTION("""COMPUTED_VALUE"""),"Land of Spira")</f>
        <v>Land of Spira</v>
      </c>
    </row>
    <row r="121">
      <c r="A121" s="1" t="str">
        <f>IFERROR(__xludf.DUMMYFUNCTION("""COMPUTED_VALUE"""),"The Fish Pendant")</f>
        <v>The Fish Pendant</v>
      </c>
      <c r="B121" s="1" t="str">
        <f>IFERROR(__xludf.DUMMYFUNCTION("""COMPUTED_VALUE"""),"Choose the rarity of the fish when fishing during a quest.")</f>
        <v>Choose the rarity of the fish when fishing during a quest.</v>
      </c>
      <c r="C121" s="1" t="str">
        <f>IFERROR(__xludf.DUMMYFUNCTION("""COMPUTED_VALUE"""),"Item")</f>
        <v>Item</v>
      </c>
      <c r="D121" s="1" t="str">
        <f>IFERROR(__xludf.DUMMYFUNCTION("""COMPUTED_VALUE"""),"Land of Spira")</f>
        <v>Land of Spira</v>
      </c>
    </row>
    <row r="122">
      <c r="A122" s="1" t="str">
        <f>IFERROR(__xludf.DUMMYFUNCTION("""COMPUTED_VALUE"""),"Fish Stone")</f>
        <v>Fish Stone</v>
      </c>
      <c r="B122" s="1" t="str">
        <f>IFERROR(__xludf.DUMMYFUNCTION("""COMPUTED_VALUE"""),"if you catch this when fishing you get 2 of the fish you caught with this item.")</f>
        <v>if you catch this when fishing you get 2 of the fish you caught with this item.</v>
      </c>
      <c r="C122" s="1" t="str">
        <f>IFERROR(__xludf.DUMMYFUNCTION("""COMPUTED_VALUE"""),"Item")</f>
        <v>Item</v>
      </c>
      <c r="D122" s="1" t="str">
        <f>IFERROR(__xludf.DUMMYFUNCTION("""COMPUTED_VALUE"""),"Land of Spira")</f>
        <v>Land of Spira</v>
      </c>
    </row>
    <row r="123">
      <c r="A123" s="1" t="str">
        <f>IFERROR(__xludf.DUMMYFUNCTION("""COMPUTED_VALUE"""),"Pumpkin")</f>
        <v>Pumpkin</v>
      </c>
      <c r="B123" s="1" t="str">
        <f>IFERROR(__xludf.DUMMYFUNCTION("""COMPUTED_VALUE"""),"100 hunger for self and up to 2 party members.")</f>
        <v>100 hunger for self and up to 2 party members.</v>
      </c>
      <c r="C123" s="1" t="str">
        <f>IFERROR(__xludf.DUMMYFUNCTION("""COMPUTED_VALUE"""),"Crop")</f>
        <v>Crop</v>
      </c>
      <c r="D123" s="1" t="str">
        <f>IFERROR(__xludf.DUMMYFUNCTION("""COMPUTED_VALUE"""),"Land of Spira")</f>
        <v>Land of Spira</v>
      </c>
    </row>
    <row r="124">
      <c r="A124" s="1" t="str">
        <f>IFERROR(__xludf.DUMMYFUNCTION("""COMPUTED_VALUE"""),"Premium Pumpkin")</f>
        <v>Premium Pumpkin</v>
      </c>
      <c r="B124" s="1" t="str">
        <f>IFERROR(__xludf.DUMMYFUNCTION("""COMPUTED_VALUE"""),"200 hunger for self and up to 2 party members.")</f>
        <v>200 hunger for self and up to 2 party members.</v>
      </c>
      <c r="C124" s="1" t="str">
        <f>IFERROR(__xludf.DUMMYFUNCTION("""COMPUTED_VALUE"""),"Crop")</f>
        <v>Crop</v>
      </c>
      <c r="D124" s="1" t="str">
        <f>IFERROR(__xludf.DUMMYFUNCTION("""COMPUTED_VALUE"""),"Land of Spira")</f>
        <v>Land of Spira</v>
      </c>
    </row>
    <row r="125">
      <c r="A125" s="1" t="str">
        <f>IFERROR(__xludf.DUMMYFUNCTION("""COMPUTED_VALUE"""),"Pumpkin Soup")</f>
        <v>Pumpkin Soup</v>
      </c>
      <c r="B125" s="1" t="str">
        <f>IFERROR(__xludf.DUMMYFUNCTION("""COMPUTED_VALUE"""),"100 hunger for self and up to 4 party members.")</f>
        <v>100 hunger for self and up to 4 party members.</v>
      </c>
      <c r="C125" s="1" t="str">
        <f>IFERROR(__xludf.DUMMYFUNCTION("""COMPUTED_VALUE"""),"Crop")</f>
        <v>Crop</v>
      </c>
      <c r="D125" s="1" t="str">
        <f>IFERROR(__xludf.DUMMYFUNCTION("""COMPUTED_VALUE"""),"Land of Spira")</f>
        <v>Land of Spira</v>
      </c>
    </row>
    <row r="126">
      <c r="A126" s="1" t="str">
        <f>IFERROR(__xludf.DUMMYFUNCTION("""COMPUTED_VALUE"""),"Premium Pumpkin Soup")</f>
        <v>Premium Pumpkin Soup</v>
      </c>
      <c r="B126" s="1" t="str">
        <f>IFERROR(__xludf.DUMMYFUNCTION("""COMPUTED_VALUE"""),"200 hunger for self and up to 4 party members.")</f>
        <v>200 hunger for self and up to 4 party members.</v>
      </c>
      <c r="C126" s="1" t="str">
        <f>IFERROR(__xludf.DUMMYFUNCTION("""COMPUTED_VALUE"""),"Crop")</f>
        <v>Crop</v>
      </c>
      <c r="D126" s="1" t="str">
        <f>IFERROR(__xludf.DUMMYFUNCTION("""COMPUTED_VALUE"""),"Land of Spira")</f>
        <v>Land of Spira</v>
      </c>
    </row>
    <row r="127">
      <c r="A127" s="1" t="str">
        <f>IFERROR(__xludf.DUMMYFUNCTION("""COMPUTED_VALUE"""),"Forbidden Book")</f>
        <v>Forbidden Book</v>
      </c>
      <c r="B127" s="1" t="str">
        <f>IFERROR(__xludf.DUMMYFUNCTION("""COMPUTED_VALUE"""),"A forbidden book. if the guards see it in your inventory they will autmatically confiscate it and arrest you.")</f>
        <v>A forbidden book. if the guards see it in your inventory they will autmatically confiscate it and arrest you.</v>
      </c>
      <c r="C127" s="1" t="str">
        <f>IFERROR(__xludf.DUMMYFUNCTION("""COMPUTED_VALUE"""),"Item")</f>
        <v>Item</v>
      </c>
      <c r="D127" s="1" t="str">
        <f>IFERROR(__xludf.DUMMYFUNCTION("""COMPUTED_VALUE"""),"Land of Spira")</f>
        <v>Land of Spira</v>
      </c>
    </row>
    <row r="128">
      <c r="A128" s="1" t="str">
        <f>IFERROR(__xludf.DUMMYFUNCTION("""COMPUTED_VALUE"""),"a random stick")</f>
        <v>a random stick</v>
      </c>
      <c r="B128" s="1" t="str">
        <f>IFERROR(__xludf.DUMMYFUNCTION("""COMPUTED_VALUE"""),"A random stick the shopkeeper found out back")</f>
        <v>A random stick the shopkeeper found out back</v>
      </c>
      <c r="C128" s="1" t="str">
        <f>IFERROR(__xludf.DUMMYFUNCTION("""COMPUTED_VALUE"""),"Item")</f>
        <v>Item</v>
      </c>
      <c r="D128" s="1" t="str">
        <f>IFERROR(__xludf.DUMMYFUNCTION("""COMPUTED_VALUE"""),"Land of Spira")</f>
        <v>Land of Spira</v>
      </c>
    </row>
    <row r="129">
      <c r="A129" s="1" t="str">
        <f>IFERROR(__xludf.DUMMYFUNCTION("""COMPUTED_VALUE"""),"Rank 9 Storm Tome")</f>
        <v>Rank 9 Storm Tome</v>
      </c>
      <c r="B129" s="1" t="str">
        <f>IFERROR(__xludf.DUMMYFUNCTION("""COMPUTED_VALUE"""),"Can use up to Rank 9 Storm Spells")</f>
        <v>Can use up to Rank 9 Storm Spells</v>
      </c>
      <c r="C129" s="1" t="str">
        <f>IFERROR(__xludf.DUMMYFUNCTION("""COMPUTED_VALUE"""),"Item")</f>
        <v>Item</v>
      </c>
      <c r="D129" s="1" t="str">
        <f>IFERROR(__xludf.DUMMYFUNCTION("""COMPUTED_VALUE"""),"Land of Spira")</f>
        <v>Land of Spira</v>
      </c>
    </row>
    <row r="130">
      <c r="A130" s="1"/>
      <c r="B130" s="1"/>
      <c r="C130" s="1"/>
      <c r="D130" s="1"/>
    </row>
    <row r="131">
      <c r="A131" s="1" t="str">
        <f>IFERROR(__xludf.DUMMYFUNCTION("""COMPUTED_VALUE"""),"Common Tree Branch")</f>
        <v>Common Tree Branch</v>
      </c>
      <c r="B131" s="1" t="str">
        <f>IFERROR(__xludf.DUMMYFUNCTION("""COMPUTED_VALUE"""),"When thrown, each enemy has a 25% chance to be distracted, skipping their next turn")</f>
        <v>When thrown, each enemy has a 25% chance to be distracted, skipping their next turn</v>
      </c>
      <c r="C131" s="1" t="str">
        <f>IFERROR(__xludf.DUMMYFUNCTION("""COMPUTED_VALUE"""),"Item")</f>
        <v>Item</v>
      </c>
      <c r="D131" s="1" t="str">
        <f>IFERROR(__xludf.DUMMYFUNCTION("""COMPUTED_VALUE"""),"Land of Spira")</f>
        <v>Land of Spira</v>
      </c>
    </row>
    <row r="132">
      <c r="A132" s="1" t="str">
        <f>IFERROR(__xludf.DUMMYFUNCTION("""COMPUTED_VALUE"""),"Uncommon Tree branch")</f>
        <v>Uncommon Tree branch</v>
      </c>
      <c r="B132" s="1" t="str">
        <f>IFERROR(__xludf.DUMMYFUNCTION("""COMPUTED_VALUE"""),"When thrown, Roll a d20 and apply the result. If 1-19, deal 20,000 damage to one target Hit/Miss. If 20, deal 40,000 damage to one target Hit/Miss, each enemy has a 50% chance to be distracted, skipping their next turn.
")</f>
        <v>When thrown, Roll a d20 and apply the result. If 1-19, deal 20,000 damage to one target Hit/Miss. If 20, deal 40,000 damage to one target Hit/Miss, each enemy has a 50% chance to be distracted, skipping their next turn.
</v>
      </c>
      <c r="C132" s="1" t="str">
        <f>IFERROR(__xludf.DUMMYFUNCTION("""COMPUTED_VALUE"""),"Item")</f>
        <v>Item</v>
      </c>
      <c r="D132" s="1" t="str">
        <f>IFERROR(__xludf.DUMMYFUNCTION("""COMPUTED_VALUE"""),"Land of Spira")</f>
        <v>Land of Spira</v>
      </c>
    </row>
    <row r="133">
      <c r="A133" s="1" t="str">
        <f>IFERROR(__xludf.DUMMYFUNCTION("""COMPUTED_VALUE"""),"Stale bread")</f>
        <v>Stale bread</v>
      </c>
      <c r="B133" s="1" t="str">
        <f>IFERROR(__xludf.DUMMYFUNCTION("""COMPUTED_VALUE"""),"Recovers 9 hunger")</f>
        <v>Recovers 9 hunger</v>
      </c>
      <c r="C133" s="1" t="str">
        <f>IFERROR(__xludf.DUMMYFUNCTION("""COMPUTED_VALUE"""),"Crop")</f>
        <v>Crop</v>
      </c>
      <c r="D133" s="1" t="str">
        <f>IFERROR(__xludf.DUMMYFUNCTION("""COMPUTED_VALUE"""),"Land of Spira")</f>
        <v>Land of Spira</v>
      </c>
    </row>
    <row r="134">
      <c r="A134" s="1" t="str">
        <f>IFERROR(__xludf.DUMMYFUNCTION("""COMPUTED_VALUE"""),"Coal")</f>
        <v>Coal</v>
      </c>
      <c r="B134" s="1" t="str">
        <f>IFERROR(__xludf.DUMMYFUNCTION("""COMPUTED_VALUE"""),"Crafting Material, roll a d20 to see how many you get if this is a loot drop.")</f>
        <v>Crafting Material, roll a d20 to see how many you get if this is a loot drop.</v>
      </c>
      <c r="C134" s="1" t="str">
        <f>IFERROR(__xludf.DUMMYFUNCTION("""COMPUTED_VALUE"""),"Item")</f>
        <v>Item</v>
      </c>
      <c r="D134" s="1" t="str">
        <f>IFERROR(__xludf.DUMMYFUNCTION("""COMPUTED_VALUE"""),"Land of Spira")</f>
        <v>Land of Spira</v>
      </c>
    </row>
    <row r="135">
      <c r="A135" s="1"/>
      <c r="B135" s="1"/>
      <c r="C135" s="1" t="str">
        <f>IFERROR(__xludf.DUMMYFUNCTION("""COMPUTED_VALUE"""),"Item")</f>
        <v>Item</v>
      </c>
      <c r="D135" s="1" t="str">
        <f>IFERROR(__xludf.DUMMYFUNCTION("""COMPUTED_VALUE"""),"Land of Spira")</f>
        <v>Land of Spira</v>
      </c>
    </row>
    <row r="136">
      <c r="A136" s="1"/>
      <c r="B136" s="1"/>
      <c r="C136" s="1" t="str">
        <f>IFERROR(__xludf.DUMMYFUNCTION("""COMPUTED_VALUE"""),"Item")</f>
        <v>Item</v>
      </c>
      <c r="D136" s="1" t="str">
        <f>IFERROR(__xludf.DUMMYFUNCTION("""COMPUTED_VALUE"""),"Land of Spira")</f>
        <v>Land of Spira</v>
      </c>
    </row>
    <row r="137">
      <c r="A137" s="1"/>
      <c r="B137" s="1"/>
      <c r="C137" s="1" t="str">
        <f>IFERROR(__xludf.DUMMYFUNCTION("""COMPUTED_VALUE"""),"Item")</f>
        <v>Item</v>
      </c>
      <c r="D137" s="1" t="str">
        <f>IFERROR(__xludf.DUMMYFUNCTION("""COMPUTED_VALUE"""),"Land of Spira")</f>
        <v>Land of Spira</v>
      </c>
    </row>
    <row r="138">
      <c r="A138" s="1" t="str">
        <f>IFERROR(__xludf.DUMMYFUNCTION("""COMPUTED_VALUE"""),"Red Coral Gem")</f>
        <v>Red Coral Gem</v>
      </c>
      <c r="B138" s="1" t="str">
        <f>IFERROR(__xludf.DUMMYFUNCTION("""COMPUTED_VALUE"""),"500 Fire dmg or Resistance")</f>
        <v>500 Fire dmg or Resistance</v>
      </c>
      <c r="C138" s="1" t="str">
        <f>IFERROR(__xludf.DUMMYFUNCTION("""COMPUTED_VALUE"""),"Item")</f>
        <v>Item</v>
      </c>
      <c r="D138" s="1" t="str">
        <f>IFERROR(__xludf.DUMMYFUNCTION("""COMPUTED_VALUE"""),"Land of Spira")</f>
        <v>Land of Spira</v>
      </c>
    </row>
    <row r="139">
      <c r="A139" s="1" t="str">
        <f>IFERROR(__xludf.DUMMYFUNCTION("""COMPUTED_VALUE"""),"Blue Coral Gem")</f>
        <v>Blue Coral Gem</v>
      </c>
      <c r="B139" s="1" t="str">
        <f>IFERROR(__xludf.DUMMYFUNCTION("""COMPUTED_VALUE"""),"500 Water dmg or Resistance")</f>
        <v>500 Water dmg or Resistance</v>
      </c>
      <c r="C139" s="1" t="str">
        <f>IFERROR(__xludf.DUMMYFUNCTION("""COMPUTED_VALUE"""),"Item")</f>
        <v>Item</v>
      </c>
      <c r="D139" s="1" t="str">
        <f>IFERROR(__xludf.DUMMYFUNCTION("""COMPUTED_VALUE"""),"Land of Spira")</f>
        <v>Land of Spira</v>
      </c>
    </row>
    <row r="140">
      <c r="A140" s="1" t="str">
        <f>IFERROR(__xludf.DUMMYFUNCTION("""COMPUTED_VALUE"""),"Yellow Coral Gem")</f>
        <v>Yellow Coral Gem</v>
      </c>
      <c r="B140" s="1" t="str">
        <f>IFERROR(__xludf.DUMMYFUNCTION("""COMPUTED_VALUE"""),"500 Strom dmg or Resistance")</f>
        <v>500 Strom dmg or Resistance</v>
      </c>
      <c r="C140" s="1" t="str">
        <f>IFERROR(__xludf.DUMMYFUNCTION("""COMPUTED_VALUE"""),"Item")</f>
        <v>Item</v>
      </c>
      <c r="D140" s="1" t="str">
        <f>IFERROR(__xludf.DUMMYFUNCTION("""COMPUTED_VALUE"""),"Land of Spira")</f>
        <v>Land of Spira</v>
      </c>
    </row>
    <row r="141">
      <c r="A141" s="1" t="str">
        <f>IFERROR(__xludf.DUMMYFUNCTION("""COMPUTED_VALUE"""),"Green Coral Gem")</f>
        <v>Green Coral Gem</v>
      </c>
      <c r="B141" s="1" t="str">
        <f>IFERROR(__xludf.DUMMYFUNCTION("""COMPUTED_VALUE"""),"500 nature dmg or Resistance")</f>
        <v>500 nature dmg or Resistance</v>
      </c>
      <c r="C141" s="1" t="str">
        <f>IFERROR(__xludf.DUMMYFUNCTION("""COMPUTED_VALUE"""),"Item")</f>
        <v>Item</v>
      </c>
      <c r="D141" s="1" t="str">
        <f>IFERROR(__xludf.DUMMYFUNCTION("""COMPUTED_VALUE"""),"Land of Spira")</f>
        <v>Land of Spira</v>
      </c>
    </row>
    <row r="142">
      <c r="A142" s="1" t="str">
        <f>IFERROR(__xludf.DUMMYFUNCTION("""COMPUTED_VALUE"""),"White Coral Gem")</f>
        <v>White Coral Gem</v>
      </c>
      <c r="B142" s="1" t="str">
        <f>IFERROR(__xludf.DUMMYFUNCTION("""COMPUTED_VALUE"""),"500 Spirit dmg or Resistance")</f>
        <v>500 Spirit dmg or Resistance</v>
      </c>
      <c r="C142" s="1" t="str">
        <f>IFERROR(__xludf.DUMMYFUNCTION("""COMPUTED_VALUE"""),"Item")</f>
        <v>Item</v>
      </c>
      <c r="D142" s="1" t="str">
        <f>IFERROR(__xludf.DUMMYFUNCTION("""COMPUTED_VALUE"""),"Land of Spira")</f>
        <v>Land of Spira</v>
      </c>
    </row>
    <row r="143">
      <c r="A143" s="1" t="str">
        <f>IFERROR(__xludf.DUMMYFUNCTION("""COMPUTED_VALUE"""),"Black Coral Gem")</f>
        <v>Black Coral Gem</v>
      </c>
      <c r="B143" s="1" t="str">
        <f>IFERROR(__xludf.DUMMYFUNCTION("""COMPUTED_VALUE"""),"500 Dark dmg or Resistance")</f>
        <v>500 Dark dmg or Resistance</v>
      </c>
      <c r="C143" s="1" t="str">
        <f>IFERROR(__xludf.DUMMYFUNCTION("""COMPUTED_VALUE"""),"Item")</f>
        <v>Item</v>
      </c>
      <c r="D143" s="1" t="str">
        <f>IFERROR(__xludf.DUMMYFUNCTION("""COMPUTED_VALUE"""),"Land of Spira")</f>
        <v>Land of Spira</v>
      </c>
    </row>
    <row r="144">
      <c r="A144" s="1" t="str">
        <f>IFERROR(__xludf.DUMMYFUNCTION("""COMPUTED_VALUE"""),"Pink Coral Gem")</f>
        <v>Pink Coral Gem</v>
      </c>
      <c r="B144" s="1" t="str">
        <f>IFERROR(__xludf.DUMMYFUNCTION("""COMPUTED_VALUE"""),"500 dmg or resistance")</f>
        <v>500 dmg or resistance</v>
      </c>
      <c r="C144" s="1" t="str">
        <f>IFERROR(__xludf.DUMMYFUNCTION("""COMPUTED_VALUE"""),"Item")</f>
        <v>Item</v>
      </c>
      <c r="D144" s="1" t="str">
        <f>IFERROR(__xludf.DUMMYFUNCTION("""COMPUTED_VALUE"""),"Land of Spira")</f>
        <v>Land of Spira</v>
      </c>
    </row>
    <row r="145">
      <c r="A145" s="1" t="str">
        <f>IFERROR(__xludf.DUMMYFUNCTION("""COMPUTED_VALUE"""),"Coral")</f>
        <v>Coral</v>
      </c>
      <c r="B145" s="1" t="str">
        <f>IFERROR(__xludf.DUMMYFUNCTION("""COMPUTED_VALUE"""),"Crafting Material, roll a d20 to see how many you get if this is a loot drop.")</f>
        <v>Crafting Material, roll a d20 to see how many you get if this is a loot drop.</v>
      </c>
      <c r="C145" s="1" t="str">
        <f>IFERROR(__xludf.DUMMYFUNCTION("""COMPUTED_VALUE"""),"Item")</f>
        <v>Item</v>
      </c>
      <c r="D145" s="1" t="str">
        <f>IFERROR(__xludf.DUMMYFUNCTION("""COMPUTED_VALUE"""),"Land of Spira")</f>
        <v>Land of Spira</v>
      </c>
    </row>
    <row r="146">
      <c r="A146" s="1" t="str">
        <f>IFERROR(__xludf.DUMMYFUNCTION("""COMPUTED_VALUE"""),"Ivory")</f>
        <v>Ivory</v>
      </c>
      <c r="B146" s="1" t="str">
        <f>IFERROR(__xludf.DUMMYFUNCTION("""COMPUTED_VALUE"""),"Crafting Material, roll a d20 to see how many you get if this is a loot drop.")</f>
        <v>Crafting Material, roll a d20 to see how many you get if this is a loot drop.</v>
      </c>
      <c r="C146" s="1" t="str">
        <f>IFERROR(__xludf.DUMMYFUNCTION("""COMPUTED_VALUE"""),"Item")</f>
        <v>Item</v>
      </c>
      <c r="D146" s="1" t="str">
        <f>IFERROR(__xludf.DUMMYFUNCTION("""COMPUTED_VALUE"""),"Land of Spira")</f>
        <v>Land of Spira</v>
      </c>
    </row>
    <row r="147">
      <c r="A147" s="1" t="str">
        <f>IFERROR(__xludf.DUMMYFUNCTION("""COMPUTED_VALUE"""),"Onyx")</f>
        <v>Onyx</v>
      </c>
      <c r="B147" s="1" t="str">
        <f>IFERROR(__xludf.DUMMYFUNCTION("""COMPUTED_VALUE"""),"Crafting Material, roll a d20 to see how many you get if this is a loot drop.")</f>
        <v>Crafting Material, roll a d20 to see how many you get if this is a loot drop.</v>
      </c>
      <c r="C147" s="1" t="str">
        <f>IFERROR(__xludf.DUMMYFUNCTION("""COMPUTED_VALUE"""),"Item")</f>
        <v>Item</v>
      </c>
      <c r="D147" s="1" t="str">
        <f>IFERROR(__xludf.DUMMYFUNCTION("""COMPUTED_VALUE"""),"Land of Spira")</f>
        <v>Land of Spira</v>
      </c>
    </row>
    <row r="148">
      <c r="A148" s="1" t="str">
        <f>IFERROR(__xludf.DUMMYFUNCTION("""COMPUTED_VALUE"""),"Jade")</f>
        <v>Jade</v>
      </c>
      <c r="B148" s="1" t="str">
        <f>IFERROR(__xludf.DUMMYFUNCTION("""COMPUTED_VALUE"""),"Crafting Material, roll a d20 to see how many you get if this is a loot drop.")</f>
        <v>Crafting Material, roll a d20 to see how many you get if this is a loot drop.</v>
      </c>
      <c r="C148" s="1" t="str">
        <f>IFERROR(__xludf.DUMMYFUNCTION("""COMPUTED_VALUE"""),"Item")</f>
        <v>Item</v>
      </c>
      <c r="D148" s="1" t="str">
        <f>IFERROR(__xludf.DUMMYFUNCTION("""COMPUTED_VALUE"""),"Land of Spira")</f>
        <v>Land of Spira</v>
      </c>
    </row>
    <row r="149">
      <c r="A149" s="1" t="str">
        <f>IFERROR(__xludf.DUMMYFUNCTION("""COMPUTED_VALUE"""),"Emerald")</f>
        <v>Emerald</v>
      </c>
      <c r="B149" s="1" t="str">
        <f>IFERROR(__xludf.DUMMYFUNCTION("""COMPUTED_VALUE"""),"Crafting Material, roll a d20 to see how many you get if this is a loot drop.")</f>
        <v>Crafting Material, roll a d20 to see how many you get if this is a loot drop.</v>
      </c>
      <c r="C149" s="1" t="str">
        <f>IFERROR(__xludf.DUMMYFUNCTION("""COMPUTED_VALUE"""),"Item")</f>
        <v>Item</v>
      </c>
      <c r="D149" s="1" t="str">
        <f>IFERROR(__xludf.DUMMYFUNCTION("""COMPUTED_VALUE"""),"Land of Spira")</f>
        <v>Land of Spira</v>
      </c>
    </row>
    <row r="150">
      <c r="A150" s="1" t="str">
        <f>IFERROR(__xludf.DUMMYFUNCTION("""COMPUTED_VALUE"""),"Ruby")</f>
        <v>Ruby</v>
      </c>
      <c r="B150" s="1" t="str">
        <f>IFERROR(__xludf.DUMMYFUNCTION("""COMPUTED_VALUE"""),"Crafting Material, roll a d20 to see how many you get if this is a loot drop.")</f>
        <v>Crafting Material, roll a d20 to see how many you get if this is a loot drop.</v>
      </c>
      <c r="C150" s="1" t="str">
        <f>IFERROR(__xludf.DUMMYFUNCTION("""COMPUTED_VALUE"""),"Item")</f>
        <v>Item</v>
      </c>
      <c r="D150" s="1" t="str">
        <f>IFERROR(__xludf.DUMMYFUNCTION("""COMPUTED_VALUE"""),"Land of Spira")</f>
        <v>Land of Spira</v>
      </c>
    </row>
    <row r="151">
      <c r="A151" s="1" t="str">
        <f>IFERROR(__xludf.DUMMYFUNCTION("""COMPUTED_VALUE"""),"Sapphire")</f>
        <v>Sapphire</v>
      </c>
      <c r="B151" s="1" t="str">
        <f>IFERROR(__xludf.DUMMYFUNCTION("""COMPUTED_VALUE"""),"Crafting Material, roll a d20 to see how many you get if this is a loot drop.")</f>
        <v>Crafting Material, roll a d20 to see how many you get if this is a loot drop.</v>
      </c>
      <c r="C151" s="1" t="str">
        <f>IFERROR(__xludf.DUMMYFUNCTION("""COMPUTED_VALUE"""),"Item")</f>
        <v>Item</v>
      </c>
      <c r="D151" s="1" t="str">
        <f>IFERROR(__xludf.DUMMYFUNCTION("""COMPUTED_VALUE"""),"Land of Spira")</f>
        <v>Land of Spira</v>
      </c>
    </row>
    <row r="152">
      <c r="A152" s="1" t="str">
        <f>IFERROR(__xludf.DUMMYFUNCTION("""COMPUTED_VALUE"""),"Candy Corn")</f>
        <v>Candy Corn</v>
      </c>
      <c r="B152" s="1" t="str">
        <f>IFERROR(__xludf.DUMMYFUNCTION("""COMPUTED_VALUE"""),"Gun ammunition. 5000 damage, +5000 fire damage.")</f>
        <v>Gun ammunition. 5000 damage, +5000 fire damage.</v>
      </c>
      <c r="C152" s="1" t="str">
        <f>IFERROR(__xludf.DUMMYFUNCTION("""COMPUTED_VALUE"""),"Item")</f>
        <v>Item</v>
      </c>
      <c r="D152" s="1" t="str">
        <f>IFERROR(__xludf.DUMMYFUNCTION("""COMPUTED_VALUE"""),"Land of Spira")</f>
        <v>Land of Spira</v>
      </c>
    </row>
    <row r="153">
      <c r="A153" s="1" t="str">
        <f>IFERROR(__xludf.DUMMYFUNCTION("""COMPUTED_VALUE"""),"Pumpkin Arrow")</f>
        <v>Pumpkin Arrow</v>
      </c>
      <c r="B153" s="1" t="str">
        <f>IFERROR(__xludf.DUMMYFUNCTION("""COMPUTED_VALUE"""),"Bow Ammunition. +5000 fire damage. roll a d20 to see how many you get if this is a loot drop.")</f>
        <v>Bow Ammunition. +5000 fire damage. roll a d20 to see how many you get if this is a loot drop.</v>
      </c>
      <c r="C153" s="1" t="str">
        <f>IFERROR(__xludf.DUMMYFUNCTION("""COMPUTED_VALUE"""),"Item")</f>
        <v>Item</v>
      </c>
      <c r="D153" s="1" t="str">
        <f>IFERROR(__xludf.DUMMYFUNCTION("""COMPUTED_VALUE"""),"Land of Spira")</f>
        <v>Land of Spira</v>
      </c>
    </row>
    <row r="154">
      <c r="A154" s="1" t="str">
        <f>IFERROR(__xludf.DUMMYFUNCTION("""COMPUTED_VALUE"""),"Candy Corn Gem")</f>
        <v>Candy Corn Gem</v>
      </c>
      <c r="B154" s="1" t="str">
        <f>IFERROR(__xludf.DUMMYFUNCTION("""COMPUTED_VALUE"""),"(Can be turned in for Halloween Coins Decided by the current DM / GM )")</f>
        <v>(Can be turned in for Halloween Coins Decided by the current DM / GM )</v>
      </c>
      <c r="C154" s="1" t="str">
        <f>IFERROR(__xludf.DUMMYFUNCTION("""COMPUTED_VALUE"""),"Item")</f>
        <v>Item</v>
      </c>
      <c r="D154" s="1" t="str">
        <f>IFERROR(__xludf.DUMMYFUNCTION("""COMPUTED_VALUE"""),"Land of Spira")</f>
        <v>Land of Spira</v>
      </c>
    </row>
    <row r="155">
      <c r="A155" s="1" t="str">
        <f>IFERROR(__xludf.DUMMYFUNCTION("""COMPUTED_VALUE"""),"Steel Arrow")</f>
        <v>Steel Arrow</v>
      </c>
      <c r="B155" s="1" t="str">
        <f>IFERROR(__xludf.DUMMYFUNCTION("""COMPUTED_VALUE"""),"Bow Ammunition. +100 damage. roll a d20 to see how many you get if this is a loot drop.")</f>
        <v>Bow Ammunition. +100 damage. roll a d20 to see how many you get if this is a loot drop.</v>
      </c>
      <c r="C155" s="1" t="str">
        <f>IFERROR(__xludf.DUMMYFUNCTION("""COMPUTED_VALUE"""),"Item")</f>
        <v>Item</v>
      </c>
      <c r="D155" s="1" t="str">
        <f>IFERROR(__xludf.DUMMYFUNCTION("""COMPUTED_VALUE"""),"Land of Spira")</f>
        <v>Land of Spira</v>
      </c>
    </row>
    <row r="156">
      <c r="A156" s="1" t="str">
        <f>IFERROR(__xludf.DUMMYFUNCTION("""COMPUTED_VALUE"""),"Bone Key")</f>
        <v>Bone Key</v>
      </c>
      <c r="B156" s="1" t="str">
        <f>IFERROR(__xludf.DUMMYFUNCTION("""COMPUTED_VALUE"""),"Opens bone chest")</f>
        <v>Opens bone chest</v>
      </c>
      <c r="C156" s="1" t="str">
        <f>IFERROR(__xludf.DUMMYFUNCTION("""COMPUTED_VALUE"""),"Item")</f>
        <v>Item</v>
      </c>
      <c r="D156" s="1" t="str">
        <f>IFERROR(__xludf.DUMMYFUNCTION("""COMPUTED_VALUE"""),"Land of Spira")</f>
        <v>Land of Spira</v>
      </c>
    </row>
    <row r="157">
      <c r="A157" s="1" t="str">
        <f>IFERROR(__xludf.DUMMYFUNCTION("""COMPUTED_VALUE"""),"Bone")</f>
        <v>Bone</v>
      </c>
      <c r="B157" s="1" t="str">
        <f>IFERROR(__xludf.DUMMYFUNCTION("""COMPUTED_VALUE"""),"Crafting Material, roll a d20 to see how many you get if this is a loot drop.")</f>
        <v>Crafting Material, roll a d20 to see how many you get if this is a loot drop.</v>
      </c>
      <c r="C157" s="1" t="str">
        <f>IFERROR(__xludf.DUMMYFUNCTION("""COMPUTED_VALUE"""),"Item")</f>
        <v>Item</v>
      </c>
      <c r="D157" s="1" t="str">
        <f>IFERROR(__xludf.DUMMYFUNCTION("""COMPUTED_VALUE"""),"Land of Spira")</f>
        <v>Land of Spira</v>
      </c>
    </row>
    <row r="158">
      <c r="A158" s="1" t="str">
        <f>IFERROR(__xludf.DUMMYFUNCTION("""COMPUTED_VALUE"""),"Bone Chest")</f>
        <v>Bone Chest</v>
      </c>
      <c r="B158" s="1" t="str">
        <f>IFERROR(__xludf.DUMMYFUNCTION("""COMPUTED_VALUE"""),"Determine the tier by a d10 roll.")</f>
        <v>Determine the tier by a d10 roll.</v>
      </c>
      <c r="C158" s="1" t="str">
        <f>IFERROR(__xludf.DUMMYFUNCTION("""COMPUTED_VALUE"""),"Item")</f>
        <v>Item</v>
      </c>
      <c r="D158" s="1" t="str">
        <f>IFERROR(__xludf.DUMMYFUNCTION("""COMPUTED_VALUE"""),"Land of Spira")</f>
        <v>Land of Spira</v>
      </c>
    </row>
    <row r="159">
      <c r="A159" s="1" t="str">
        <f>IFERROR(__xludf.DUMMYFUNCTION("""COMPUTED_VALUE"""),"Viking Key")</f>
        <v>Viking Key</v>
      </c>
      <c r="B159" s="1" t="str">
        <f>IFERROR(__xludf.DUMMYFUNCTION("""COMPUTED_VALUE"""),"Opens the Viking Chest")</f>
        <v>Opens the Viking Chest</v>
      </c>
      <c r="C159" s="1" t="str">
        <f>IFERROR(__xludf.DUMMYFUNCTION("""COMPUTED_VALUE"""),"Item")</f>
        <v>Item</v>
      </c>
      <c r="D159" s="1" t="str">
        <f>IFERROR(__xludf.DUMMYFUNCTION("""COMPUTED_VALUE"""),"Land of Spira")</f>
        <v>Land of Spira</v>
      </c>
    </row>
    <row r="160">
      <c r="A160" s="1" t="str">
        <f>IFERROR(__xludf.DUMMYFUNCTION("""COMPUTED_VALUE"""),"Viking Chest")</f>
        <v>Viking Chest</v>
      </c>
      <c r="B160" s="1" t="str">
        <f>IFERROR(__xludf.DUMMYFUNCTION("""COMPUTED_VALUE"""),"Determine the tier by a d10 roll.")</f>
        <v>Determine the tier by a d10 roll.</v>
      </c>
      <c r="C160" s="1" t="str">
        <f>IFERROR(__xludf.DUMMYFUNCTION("""COMPUTED_VALUE"""),"Item")</f>
        <v>Item</v>
      </c>
      <c r="D160" s="1" t="str">
        <f>IFERROR(__xludf.DUMMYFUNCTION("""COMPUTED_VALUE"""),"Land of Spira")</f>
        <v>Land of Spira</v>
      </c>
    </row>
    <row r="161">
      <c r="A161" s="1" t="str">
        <f>IFERROR(__xludf.DUMMYFUNCTION("""COMPUTED_VALUE"""),"Vikings Cove Key")</f>
        <v>Vikings Cove Key</v>
      </c>
      <c r="B161" s="1" t="str">
        <f>IFERROR(__xludf.DUMMYFUNCTION("""COMPUTED_VALUE"""),"Gain access to Vikings Cove")</f>
        <v>Gain access to Vikings Cove</v>
      </c>
      <c r="C161" s="1" t="str">
        <f>IFERROR(__xludf.DUMMYFUNCTION("""COMPUTED_VALUE"""),"Item")</f>
        <v>Item</v>
      </c>
      <c r="D161" s="1" t="str">
        <f>IFERROR(__xludf.DUMMYFUNCTION("""COMPUTED_VALUE"""),"Land of Spira")</f>
        <v>Land of Spira</v>
      </c>
    </row>
    <row r="162">
      <c r="A162" s="1" t="str">
        <f>IFERROR(__xludf.DUMMYFUNCTION("""COMPUTED_VALUE"""),"Baboon meat")</f>
        <v>Baboon meat</v>
      </c>
      <c r="B162" s="1" t="str">
        <f>IFERROR(__xludf.DUMMYFUNCTION("""COMPUTED_VALUE""")," +2 hunger")</f>
        <v> +2 hunger</v>
      </c>
      <c r="C162" s="1" t="str">
        <f>IFERROR(__xludf.DUMMYFUNCTION("""COMPUTED_VALUE"""),"Crop")</f>
        <v>Crop</v>
      </c>
      <c r="D162" s="1" t="str">
        <f>IFERROR(__xludf.DUMMYFUNCTION("""COMPUTED_VALUE"""),"Land of Spira")</f>
        <v>Land of Spira</v>
      </c>
    </row>
    <row r="163">
      <c r="A163" s="1" t="str">
        <f>IFERROR(__xludf.DUMMYFUNCTION("""COMPUTED_VALUE"""),"Eagle Feathers")</f>
        <v>Eagle Feathers</v>
      </c>
      <c r="B163" s="1" t="str">
        <f>IFERROR(__xludf.DUMMYFUNCTION("""COMPUTED_VALUE"""),"Crafting Material, roll a d20 to see how many you get if this is a loot drop.")</f>
        <v>Crafting Material, roll a d20 to see how many you get if this is a loot drop.</v>
      </c>
      <c r="C163" s="1" t="str">
        <f>IFERROR(__xludf.DUMMYFUNCTION("""COMPUTED_VALUE"""),"Item")</f>
        <v>Item</v>
      </c>
      <c r="D163" s="1" t="str">
        <f>IFERROR(__xludf.DUMMYFUNCTION("""COMPUTED_VALUE"""),"Land of Spira")</f>
        <v>Land of Spira</v>
      </c>
    </row>
    <row r="164">
      <c r="A164" s="1" t="str">
        <f>IFERROR(__xludf.DUMMYFUNCTION("""COMPUTED_VALUE"""),"The Cycle")</f>
        <v>The Cycle</v>
      </c>
      <c r="B164" s="1" t="str">
        <f>IFERROR(__xludf.DUMMYFUNCTION("""COMPUTED_VALUE"""),"1 damage initially to all enemies, Does X damage each round until all targets escape the cycle, must roll a 11 or higher adding you mobility as a bonus to your roll while attempting to escape each round")</f>
        <v>1 damage initially to all enemies, Does X damage each round until all targets escape the cycle, must roll a 11 or higher adding you mobility as a bonus to your roll while attempting to escape each round</v>
      </c>
      <c r="C164" s="1" t="str">
        <f>IFERROR(__xludf.DUMMYFUNCTION("""COMPUTED_VALUE"""),"Item")</f>
        <v>Item</v>
      </c>
      <c r="D164" s="1" t="str">
        <f>IFERROR(__xludf.DUMMYFUNCTION("""COMPUTED_VALUE"""),"Land of Spira")</f>
        <v>Land of Spira</v>
      </c>
    </row>
    <row r="165">
      <c r="A165" s="1" t="str">
        <f>IFERROR(__xludf.DUMMYFUNCTION("""COMPUTED_VALUE"""),"Scale")</f>
        <v>Scale</v>
      </c>
      <c r="B165" s="1" t="str">
        <f>IFERROR(__xludf.DUMMYFUNCTION("""COMPUTED_VALUE"""),"can be added to armor to give it +1 Earth resistance, once added to armor it can’t be removed")</f>
        <v>can be added to armor to give it +1 Earth resistance, once added to armor it can’t be removed</v>
      </c>
      <c r="C165" s="1" t="str">
        <f>IFERROR(__xludf.DUMMYFUNCTION("""COMPUTED_VALUE"""),"Item")</f>
        <v>Item</v>
      </c>
      <c r="D165" s="1" t="str">
        <f>IFERROR(__xludf.DUMMYFUNCTION("""COMPUTED_VALUE"""),"Land of Spira")</f>
        <v>Land of Spira</v>
      </c>
    </row>
    <row r="166">
      <c r="A166" s="1" t="str">
        <f>IFERROR(__xludf.DUMMYFUNCTION("""COMPUTED_VALUE"""),"Egg")</f>
        <v>Egg</v>
      </c>
      <c r="B166" s="1" t="str">
        <f>IFERROR(__xludf.DUMMYFUNCTION("""COMPUTED_VALUE"""),"Will hatch in X/X days.")</f>
        <v>Will hatch in X/X days.</v>
      </c>
      <c r="C166" s="1" t="str">
        <f>IFERROR(__xludf.DUMMYFUNCTION("""COMPUTED_VALUE"""),"Item")</f>
        <v>Item</v>
      </c>
      <c r="D166" s="1" t="str">
        <f>IFERROR(__xludf.DUMMYFUNCTION("""COMPUTED_VALUE"""),"Land of Spira")</f>
        <v>Land of Spira</v>
      </c>
    </row>
    <row r="167">
      <c r="A167" s="1" t="str">
        <f>IFERROR(__xludf.DUMMYFUNCTION("""COMPUTED_VALUE"""),"Soul")</f>
        <v>Soul</v>
      </c>
      <c r="B167" s="1" t="str">
        <f>IFERROR(__xludf.DUMMYFUNCTION("""COMPUTED_VALUE"""),"usable can be used to temporarily summon a minion of the creature the soul came from, the minion disappears after battle or when it's killed, If you have 3 or more souls you can gain 1 power from the creature, when you have gained 5 or more souls they can"&amp;" become the creature.")</f>
        <v>usable can be used to temporarily summon a minion of the creature the soul came from, the minion disappears after battle or when it's killed, If you have 3 or more souls you can gain 1 power from the creature, when you have gained 5 or more souls they can become the creature.</v>
      </c>
      <c r="C167" s="1" t="str">
        <f>IFERROR(__xludf.DUMMYFUNCTION("""COMPUTED_VALUE"""),"Item")</f>
        <v>Item</v>
      </c>
      <c r="D167" s="1" t="str">
        <f>IFERROR(__xludf.DUMMYFUNCTION("""COMPUTED_VALUE"""),"Land of Spira")</f>
        <v>Land of Spira</v>
      </c>
    </row>
    <row r="168">
      <c r="A168" s="1" t="str">
        <f>IFERROR(__xludf.DUMMYFUNCTION("""COMPUTED_VALUE"""),"Crystal")</f>
        <v>Crystal</v>
      </c>
      <c r="B168" s="1" t="str">
        <f>IFERROR(__xludf.DUMMYFUNCTION("""COMPUTED_VALUE"""),"Crafting Material, roll a d20 to see how many you get if this is a loot drop.")</f>
        <v>Crafting Material, roll a d20 to see how many you get if this is a loot drop.</v>
      </c>
      <c r="C168" s="1" t="str">
        <f>IFERROR(__xludf.DUMMYFUNCTION("""COMPUTED_VALUE"""),"Item")</f>
        <v>Item</v>
      </c>
      <c r="D168" s="1" t="str">
        <f>IFERROR(__xludf.DUMMYFUNCTION("""COMPUTED_VALUE"""),"Land of Spira")</f>
        <v>Land of Spira</v>
      </c>
    </row>
    <row r="169">
      <c r="A169" s="1" t="str">
        <f>IFERROR(__xludf.DUMMYFUNCTION("""COMPUTED_VALUE"""),"Delta Gems")</f>
        <v>Delta Gems</v>
      </c>
      <c r="B169" s="1" t="str">
        <f>IFERROR(__xludf.DUMMYFUNCTION("""COMPUTED_VALUE"""),"Crafting Material, roll a d20 to see how many you get if this is a loot drop.")</f>
        <v>Crafting Material, roll a d20 to see how many you get if this is a loot drop.</v>
      </c>
      <c r="C169" s="1" t="str">
        <f>IFERROR(__xludf.DUMMYFUNCTION("""COMPUTED_VALUE"""),"Item")</f>
        <v>Item</v>
      </c>
      <c r="D169" s="1" t="str">
        <f>IFERROR(__xludf.DUMMYFUNCTION("""COMPUTED_VALUE"""),"Land of Spira")</f>
        <v>Land of Spira</v>
      </c>
    </row>
    <row r="170">
      <c r="A170" s="1" t="str">
        <f>IFERROR(__xludf.DUMMYFUNCTION("""COMPUTED_VALUE"""),"Fire Diamonds")</f>
        <v>Fire Diamonds</v>
      </c>
      <c r="B170" s="1" t="str">
        <f>IFERROR(__xludf.DUMMYFUNCTION("""COMPUTED_VALUE"""),"Crafting Material, roll a d20 to see how many you get if this is a loot drop.")</f>
        <v>Crafting Material, roll a d20 to see how many you get if this is a loot drop.</v>
      </c>
      <c r="C170" s="1" t="str">
        <f>IFERROR(__xludf.DUMMYFUNCTION("""COMPUTED_VALUE"""),"Item")</f>
        <v>Item</v>
      </c>
      <c r="D170" s="1" t="str">
        <f>IFERROR(__xludf.DUMMYFUNCTION("""COMPUTED_VALUE"""),"Land of Spira")</f>
        <v>Land of Spira</v>
      </c>
    </row>
    <row r="171">
      <c r="A171" s="1" t="str">
        <f>IFERROR(__xludf.DUMMYFUNCTION("""COMPUTED_VALUE"""),"plant containing the ‘instant death status effect’")</f>
        <v>plant containing the ‘instant death status effect’</v>
      </c>
      <c r="B171" s="1" t="str">
        <f>IFERROR(__xludf.DUMMYFUNCTION("""COMPUTED_VALUE"""),"Quest item")</f>
        <v>Quest item</v>
      </c>
      <c r="C171" s="1" t="str">
        <f>IFERROR(__xludf.DUMMYFUNCTION("""COMPUTED_VALUE"""),"Item")</f>
        <v>Item</v>
      </c>
      <c r="D171" s="1" t="str">
        <f>IFERROR(__xludf.DUMMYFUNCTION("""COMPUTED_VALUE"""),"Land of Spira")</f>
        <v>Land of Spira</v>
      </c>
    </row>
    <row r="172">
      <c r="A172" s="1"/>
      <c r="B172" s="1"/>
      <c r="C172" s="1"/>
      <c r="D172" s="1"/>
    </row>
    <row r="173">
      <c r="A173" s="1" t="str">
        <f>IFERROR(__xludf.DUMMYFUNCTION("""COMPUTED_VALUE"""),"Potion of Cure Curse")</f>
        <v>Potion of Cure Curse</v>
      </c>
      <c r="B173" s="1" t="str">
        <f>IFERROR(__xludf.DUMMYFUNCTION("""COMPUTED_VALUE"""),"Curse Antidote")</f>
        <v>Curse Antidote</v>
      </c>
      <c r="C173" s="1" t="str">
        <f>IFERROR(__xludf.DUMMYFUNCTION("""COMPUTED_VALUE"""),"Item")</f>
        <v>Item</v>
      </c>
      <c r="D173" s="1" t="str">
        <f>IFERROR(__xludf.DUMMYFUNCTION("""COMPUTED_VALUE"""),"Land of Spira")</f>
        <v>Land of Spira</v>
      </c>
    </row>
    <row r="174">
      <c r="A174" s="1" t="str">
        <f>IFERROR(__xludf.DUMMYFUNCTION("""COMPUTED_VALUE"""),"Glowing Blue Jelly")</f>
        <v>Glowing Blue Jelly</v>
      </c>
      <c r="B174" s="1" t="str">
        <f>IFERROR(__xludf.DUMMYFUNCTION("""COMPUTED_VALUE"""),"Crafting Material, roll a d20 to see how many you get if this is a loot drop.")</f>
        <v>Crafting Material, roll a d20 to see how many you get if this is a loot drop.</v>
      </c>
      <c r="C174" s="1" t="str">
        <f>IFERROR(__xludf.DUMMYFUNCTION("""COMPUTED_VALUE"""),"Item")</f>
        <v>Item</v>
      </c>
      <c r="D174" s="1" t="str">
        <f>IFERROR(__xludf.DUMMYFUNCTION("""COMPUTED_VALUE"""),"Land of Spira")</f>
        <v>Land of Spira</v>
      </c>
    </row>
    <row r="175">
      <c r="A175" s="1" t="str">
        <f>IFERROR(__xludf.DUMMYFUNCTION("""COMPUTED_VALUE"""),"Feather")</f>
        <v>Feather</v>
      </c>
      <c r="B175" s="1" t="str">
        <f>IFERROR(__xludf.DUMMYFUNCTION("""COMPUTED_VALUE"""),"Crafting Material, roll a d20 to see how many you get if this is a loot drop.")</f>
        <v>Crafting Material, roll a d20 to see how many you get if this is a loot drop.</v>
      </c>
      <c r="C175" s="1" t="str">
        <f>IFERROR(__xludf.DUMMYFUNCTION("""COMPUTED_VALUE"""),"Item")</f>
        <v>Item</v>
      </c>
      <c r="D175" s="1" t="str">
        <f>IFERROR(__xludf.DUMMYFUNCTION("""COMPUTED_VALUE"""),"Land of Spira")</f>
        <v>Land of Spira</v>
      </c>
    </row>
    <row r="176">
      <c r="A176" s="1" t="str">
        <f>IFERROR(__xludf.DUMMYFUNCTION("""COMPUTED_VALUE"""),"Talon")</f>
        <v>Talon</v>
      </c>
      <c r="B176" s="1" t="str">
        <f>IFERROR(__xludf.DUMMYFUNCTION("""COMPUTED_VALUE"""),"Crafting Material, roll a d20 to see how many you get if this is a loot drop.")</f>
        <v>Crafting Material, roll a d20 to see how many you get if this is a loot drop.</v>
      </c>
      <c r="C176" s="1" t="str">
        <f>IFERROR(__xludf.DUMMYFUNCTION("""COMPUTED_VALUE"""),"Item")</f>
        <v>Item</v>
      </c>
      <c r="D176" s="1" t="str">
        <f>IFERROR(__xludf.DUMMYFUNCTION("""COMPUTED_VALUE"""),"Land of Spira")</f>
        <v>Land of Spira</v>
      </c>
    </row>
    <row r="177">
      <c r="A177" s="1" t="str">
        <f>IFERROR(__xludf.DUMMYFUNCTION("""COMPUTED_VALUE"""),"Eyeball")</f>
        <v>Eyeball</v>
      </c>
      <c r="B177" s="1" t="str">
        <f>IFERROR(__xludf.DUMMYFUNCTION("""COMPUTED_VALUE"""),"Crafting Material, roll a d20 to see how many you get if this is a loot drop.")</f>
        <v>Crafting Material, roll a d20 to see how many you get if this is a loot drop.</v>
      </c>
      <c r="C177" s="1" t="str">
        <f>IFERROR(__xludf.DUMMYFUNCTION("""COMPUTED_VALUE"""),"Item")</f>
        <v>Item</v>
      </c>
      <c r="D177" s="1" t="str">
        <f>IFERROR(__xludf.DUMMYFUNCTION("""COMPUTED_VALUE"""),"Land of Spira")</f>
        <v>Land of Spira</v>
      </c>
    </row>
    <row r="178">
      <c r="A178" s="1" t="str">
        <f>IFERROR(__xludf.DUMMYFUNCTION("""COMPUTED_VALUE"""),"Spider Egg")</f>
        <v>Spider Egg</v>
      </c>
      <c r="B178" s="1" t="str">
        <f>IFERROR(__xludf.DUMMYFUNCTION("""COMPUTED_VALUE"""),"Crafting Material, roll a d20 to see how many you get if this is a loot drop.")</f>
        <v>Crafting Material, roll a d20 to see how many you get if this is a loot drop.</v>
      </c>
      <c r="C178" s="1" t="str">
        <f>IFERROR(__xludf.DUMMYFUNCTION("""COMPUTED_VALUE"""),"Item")</f>
        <v>Item</v>
      </c>
      <c r="D178" s="1" t="str">
        <f>IFERROR(__xludf.DUMMYFUNCTION("""COMPUTED_VALUE"""),"Land of Spira")</f>
        <v>Land of Spira</v>
      </c>
    </row>
    <row r="179">
      <c r="A179" s="1" t="str">
        <f>IFERROR(__xludf.DUMMYFUNCTION("""COMPUTED_VALUE"""),"Giant Spider Exoskeleton")</f>
        <v>Giant Spider Exoskeleton</v>
      </c>
      <c r="B179" s="1" t="str">
        <f>IFERROR(__xludf.DUMMYFUNCTION("""COMPUTED_VALUE"""),"Crafting Material, roll a d20 to see how many you get if this is a loot drop.")</f>
        <v>Crafting Material, roll a d20 to see how many you get if this is a loot drop.</v>
      </c>
      <c r="C179" s="1" t="str">
        <f>IFERROR(__xludf.DUMMYFUNCTION("""COMPUTED_VALUE"""),"Item")</f>
        <v>Item</v>
      </c>
      <c r="D179" s="1" t="str">
        <f>IFERROR(__xludf.DUMMYFUNCTION("""COMPUTED_VALUE"""),"Land of Spira")</f>
        <v>Land of Spira</v>
      </c>
    </row>
    <row r="180">
      <c r="A180" s="1" t="str">
        <f>IFERROR(__xludf.DUMMYFUNCTION("""COMPUTED_VALUE"""),"Giant Spider Poison")</f>
        <v>Giant Spider Poison</v>
      </c>
      <c r="B180" s="1" t="str">
        <f>IFERROR(__xludf.DUMMYFUNCTION("""COMPUTED_VALUE"""),"Crafting Material, roll a d20 to see how many you get if this is a loot drop.")</f>
        <v>Crafting Material, roll a d20 to see how many you get if this is a loot drop.</v>
      </c>
      <c r="C180" s="1" t="str">
        <f>IFERROR(__xludf.DUMMYFUNCTION("""COMPUTED_VALUE"""),"Item")</f>
        <v>Item</v>
      </c>
      <c r="D180" s="1" t="str">
        <f>IFERROR(__xludf.DUMMYFUNCTION("""COMPUTED_VALUE"""),"Land of Spira")</f>
        <v>Land of Spira</v>
      </c>
    </row>
    <row r="181">
      <c r="A181" s="1" t="str">
        <f>IFERROR(__xludf.DUMMYFUNCTION("""COMPUTED_VALUE"""),"Poison Gem")</f>
        <v>Poison Gem</v>
      </c>
      <c r="B181" s="1" t="str">
        <f>IFERROR(__xludf.DUMMYFUNCTION("""COMPUTED_VALUE"""),"Crafting Material, roll a d20 to see how many you get if this is a loot drop.")</f>
        <v>Crafting Material, roll a d20 to see how many you get if this is a loot drop.</v>
      </c>
      <c r="C181" s="1" t="str">
        <f>IFERROR(__xludf.DUMMYFUNCTION("""COMPUTED_VALUE"""),"Item")</f>
        <v>Item</v>
      </c>
      <c r="D181" s="1" t="str">
        <f>IFERROR(__xludf.DUMMYFUNCTION("""COMPUTED_VALUE"""),"Land of Spira")</f>
        <v>Land of Spira</v>
      </c>
    </row>
    <row r="182">
      <c r="A182" s="1" t="str">
        <f>IFERROR(__xludf.DUMMYFUNCTION("""COMPUTED_VALUE"""),"Returning Arrow")</f>
        <v>Returning Arrow</v>
      </c>
      <c r="B182" s="1" t="str">
        <f>IFERROR(__xludf.DUMMYFUNCTION("""COMPUTED_VALUE"""),"Bow Ammunition. +500 damage.  returns to the user. roll a d20 to see how many you get if this is a loot drop.")</f>
        <v>Bow Ammunition. +500 damage.  returns to the user. roll a d20 to see how many you get if this is a loot drop.</v>
      </c>
      <c r="C182" s="1" t="str">
        <f>IFERROR(__xludf.DUMMYFUNCTION("""COMPUTED_VALUE"""),"Item")</f>
        <v>Item</v>
      </c>
      <c r="D182" s="1" t="str">
        <f>IFERROR(__xludf.DUMMYFUNCTION("""COMPUTED_VALUE"""),"Land of Spira")</f>
        <v>Land of Spira</v>
      </c>
    </row>
    <row r="183">
      <c r="A183" s="1" t="str">
        <f>IFERROR(__xludf.DUMMYFUNCTION("""COMPUTED_VALUE"""),"Shadow Fluid")</f>
        <v>Shadow Fluid</v>
      </c>
      <c r="B183" s="1" t="str">
        <f>IFERROR(__xludf.DUMMYFUNCTION("""COMPUTED_VALUE"""),"Crafting Material, roll a d20 to see how many you get if this is a loot drop.")</f>
        <v>Crafting Material, roll a d20 to see how many you get if this is a loot drop.</v>
      </c>
      <c r="C183" s="1" t="str">
        <f>IFERROR(__xludf.DUMMYFUNCTION("""COMPUTED_VALUE"""),"Item")</f>
        <v>Item</v>
      </c>
      <c r="D183" s="1" t="str">
        <f>IFERROR(__xludf.DUMMYFUNCTION("""COMPUTED_VALUE"""),"Land of Spira")</f>
        <v>Land of Spira</v>
      </c>
    </row>
    <row r="184">
      <c r="A184" s="1" t="str">
        <f>IFERROR(__xludf.DUMMYFUNCTION("""COMPUTED_VALUE"""),"Skull")</f>
        <v>Skull</v>
      </c>
      <c r="B184" s="1" t="str">
        <f>IFERROR(__xludf.DUMMYFUNCTION("""COMPUTED_VALUE"""),"Crafting Material, roll a d20 to see how many you get if this is a loot drop.")</f>
        <v>Crafting Material, roll a d20 to see how many you get if this is a loot drop.</v>
      </c>
      <c r="C184" s="1" t="str">
        <f>IFERROR(__xludf.DUMMYFUNCTION("""COMPUTED_VALUE"""),"Item")</f>
        <v>Item</v>
      </c>
      <c r="D184" s="1" t="str">
        <f>IFERROR(__xludf.DUMMYFUNCTION("""COMPUTED_VALUE"""),"Land of Spira")</f>
        <v>Land of Spira</v>
      </c>
    </row>
    <row r="185">
      <c r="A185" s="1" t="str">
        <f>IFERROR(__xludf.DUMMYFUNCTION("""COMPUTED_VALUE"""),"pumpkin gem")</f>
        <v>pumpkin gem</v>
      </c>
      <c r="B185" s="1" t="str">
        <f>IFERROR(__xludf.DUMMYFUNCTION("""COMPUTED_VALUE"""),"Crafting Material, roll a d20 to see how many you get if this is a loot drop.")</f>
        <v>Crafting Material, roll a d20 to see how many you get if this is a loot drop.</v>
      </c>
      <c r="C185" s="1" t="str">
        <f>IFERROR(__xludf.DUMMYFUNCTION("""COMPUTED_VALUE"""),"Item")</f>
        <v>Item</v>
      </c>
      <c r="D185" s="1" t="str">
        <f>IFERROR(__xludf.DUMMYFUNCTION("""COMPUTED_VALUE"""),"Land of Spira")</f>
        <v>Land of Spira</v>
      </c>
    </row>
    <row r="186">
      <c r="A186" s="1" t="str">
        <f>IFERROR(__xludf.DUMMYFUNCTION("""COMPUTED_VALUE"""),"Rotton Flesh")</f>
        <v>Rotton Flesh</v>
      </c>
      <c r="B186" s="1" t="str">
        <f>IFERROR(__xludf.DUMMYFUNCTION("""COMPUTED_VALUE"""),"-100 Hunger if you are not undead. +200 hunger and energy if you are undead.")</f>
        <v>-100 Hunger if you are not undead. +200 hunger and energy if you are undead.</v>
      </c>
      <c r="C186" s="1" t="str">
        <f>IFERROR(__xludf.DUMMYFUNCTION("""COMPUTED_VALUE"""),"Crop")</f>
        <v>Crop</v>
      </c>
      <c r="D186" s="1" t="str">
        <f>IFERROR(__xludf.DUMMYFUNCTION("""COMPUTED_VALUE"""),"Land of Spira")</f>
        <v>Land of Spira</v>
      </c>
    </row>
    <row r="187">
      <c r="A187" s="1" t="str">
        <f>IFERROR(__xludf.DUMMYFUNCTION("""COMPUTED_VALUE"""),"Bag of Sand")</f>
        <v>Bag of Sand</v>
      </c>
      <c r="B187" s="1" t="str">
        <f>IFERROR(__xludf.DUMMYFUNCTION("""COMPUTED_VALUE"""),"Crafting Material, roll a d20 to see how many you get if this is a loot drop.")</f>
        <v>Crafting Material, roll a d20 to see how many you get if this is a loot drop.</v>
      </c>
      <c r="C187" s="1" t="str">
        <f>IFERROR(__xludf.DUMMYFUNCTION("""COMPUTED_VALUE"""),"Item")</f>
        <v>Item</v>
      </c>
      <c r="D187" s="1" t="str">
        <f>IFERROR(__xludf.DUMMYFUNCTION("""COMPUTED_VALUE"""),"Land of Spira")</f>
        <v>Land of Spira</v>
      </c>
    </row>
    <row r="188">
      <c r="A188" s="1" t="str">
        <f>IFERROR(__xludf.DUMMYFUNCTION("""COMPUTED_VALUE"""),"Glowing Red eye")</f>
        <v>Glowing Red eye</v>
      </c>
      <c r="B188" s="1" t="str">
        <f>IFERROR(__xludf.DUMMYFUNCTION("""COMPUTED_VALUE""")," +10SP")</f>
        <v> +10SP</v>
      </c>
      <c r="C188" s="1" t="str">
        <f>IFERROR(__xludf.DUMMYFUNCTION("""COMPUTED_VALUE"""),"Item")</f>
        <v>Item</v>
      </c>
      <c r="D188" s="1" t="str">
        <f>IFERROR(__xludf.DUMMYFUNCTION("""COMPUTED_VALUE"""),"Land of Spira")</f>
        <v>Land of Spira</v>
      </c>
    </row>
    <row r="189">
      <c r="A189" s="1" t="str">
        <f>IFERROR(__xludf.DUMMYFUNCTION("""COMPUTED_VALUE"""),"Sand Gem")</f>
        <v>Sand Gem</v>
      </c>
      <c r="B189" s="1" t="str">
        <f>IFERROR(__xludf.DUMMYFUNCTION("""COMPUTED_VALUE"""),"Crafting Material, roll a d20 to see how many you get if this is a loot drop.")</f>
        <v>Crafting Material, roll a d20 to see how many you get if this is a loot drop.</v>
      </c>
      <c r="C189" s="1" t="str">
        <f>IFERROR(__xludf.DUMMYFUNCTION("""COMPUTED_VALUE"""),"Item")</f>
        <v>Item</v>
      </c>
      <c r="D189" s="1" t="str">
        <f>IFERROR(__xludf.DUMMYFUNCTION("""COMPUTED_VALUE"""),"Land of Spira")</f>
        <v>Land of Spira</v>
      </c>
    </row>
    <row r="190">
      <c r="A190" s="1" t="str">
        <f>IFERROR(__xludf.DUMMYFUNCTION("""COMPUTED_VALUE"""),"Poison water")</f>
        <v>Poison water</v>
      </c>
      <c r="B190" s="1"/>
      <c r="C190" s="1" t="str">
        <f>IFERROR(__xludf.DUMMYFUNCTION("""COMPUTED_VALUE"""),"Item")</f>
        <v>Item</v>
      </c>
      <c r="D190" s="1" t="str">
        <f>IFERROR(__xludf.DUMMYFUNCTION("""COMPUTED_VALUE"""),"Land of Spira")</f>
        <v>Land of Spira</v>
      </c>
    </row>
    <row r="191">
      <c r="A191" s="1" t="str">
        <f>IFERROR(__xludf.DUMMYFUNCTION("""COMPUTED_VALUE"""),"Poison Mushroom")</f>
        <v>Poison Mushroom</v>
      </c>
      <c r="B191" s="1" t="str">
        <f>IFERROR(__xludf.DUMMYFUNCTION("""COMPUTED_VALUE"""),"-100 Hunger, Causes poison 100 for 10 days of travel.")</f>
        <v>-100 Hunger, Causes poison 100 for 10 days of travel.</v>
      </c>
      <c r="C191" s="1" t="str">
        <f>IFERROR(__xludf.DUMMYFUNCTION("""COMPUTED_VALUE"""),"Crop")</f>
        <v>Crop</v>
      </c>
      <c r="D191" s="1" t="str">
        <f>IFERROR(__xludf.DUMMYFUNCTION("""COMPUTED_VALUE"""),"Land of Spira")</f>
        <v>Land of Spira</v>
      </c>
    </row>
    <row r="192">
      <c r="A192" s="1" t="str">
        <f>IFERROR(__xludf.DUMMYFUNCTION("""COMPUTED_VALUE"""),"Vile of Poison")</f>
        <v>Vile of Poison</v>
      </c>
      <c r="B192" s="1" t="str">
        <f>IFERROR(__xludf.DUMMYFUNCTION("""COMPUTED_VALUE"""),"Crafting Material, roll a d20 to see how many you get if this is a loot drop.")</f>
        <v>Crafting Material, roll a d20 to see how many you get if this is a loot drop.</v>
      </c>
      <c r="C192" s="1" t="str">
        <f>IFERROR(__xludf.DUMMYFUNCTION("""COMPUTED_VALUE"""),"Item")</f>
        <v>Item</v>
      </c>
      <c r="D192" s="1" t="str">
        <f>IFERROR(__xludf.DUMMYFUNCTION("""COMPUTED_VALUE"""),"Land of Spira")</f>
        <v>Land of Spira</v>
      </c>
    </row>
    <row r="193">
      <c r="A193" s="1" t="str">
        <f>IFERROR(__xludf.DUMMYFUNCTION("""COMPUTED_VALUE"""),"Explosive Arrow")</f>
        <v>Explosive Arrow</v>
      </c>
      <c r="B193" s="1" t="str">
        <f>IFERROR(__xludf.DUMMYFUNCTION("""COMPUTED_VALUE"""),"Bow Ammunition. +1000 fire damage to the enemy it hits. +500 fire damage to all other enemies. roll a d20 to see how many you get if this is a loot drop.")</f>
        <v>Bow Ammunition. +1000 fire damage to the enemy it hits. +500 fire damage to all other enemies. roll a d20 to see how many you get if this is a loot drop.</v>
      </c>
      <c r="C193" s="1" t="str">
        <f>IFERROR(__xludf.DUMMYFUNCTION("""COMPUTED_VALUE"""),"Item")</f>
        <v>Item</v>
      </c>
      <c r="D193" s="1" t="str">
        <f>IFERROR(__xludf.DUMMYFUNCTION("""COMPUTED_VALUE"""),"Land of Spira")</f>
        <v>Land of Spira</v>
      </c>
    </row>
    <row r="194">
      <c r="A194" s="1" t="str">
        <f>IFERROR(__xludf.DUMMYFUNCTION("""COMPUTED_VALUE"""),"Frost diamond")</f>
        <v>Frost diamond</v>
      </c>
      <c r="B194" s="1" t="str">
        <f>IFERROR(__xludf.DUMMYFUNCTION("""COMPUTED_VALUE"""),"Crafting Material, roll a d20 to see how many you get if this is a loot drop.")</f>
        <v>Crafting Material, roll a d20 to see how many you get if this is a loot drop.</v>
      </c>
      <c r="C194" s="1" t="str">
        <f>IFERROR(__xludf.DUMMYFUNCTION("""COMPUTED_VALUE"""),"Item")</f>
        <v>Item</v>
      </c>
      <c r="D194" s="1" t="str">
        <f>IFERROR(__xludf.DUMMYFUNCTION("""COMPUTED_VALUE"""),"Land of Spira")</f>
        <v>Land of Spira</v>
      </c>
    </row>
    <row r="195">
      <c r="A195" s="1" t="str">
        <f>IFERROR(__xludf.DUMMYFUNCTION("""COMPUTED_VALUE"""),"Big Frost Owl Feathers")</f>
        <v>Big Frost Owl Feathers</v>
      </c>
      <c r="B195" s="1" t="str">
        <f>IFERROR(__xludf.DUMMYFUNCTION("""COMPUTED_VALUE"""),"Crafting Material, roll a d20 to see how many you get if this is a loot drop.")</f>
        <v>Crafting Material, roll a d20 to see how many you get if this is a loot drop.</v>
      </c>
      <c r="C195" s="1" t="str">
        <f>IFERROR(__xludf.DUMMYFUNCTION("""COMPUTED_VALUE"""),"Item")</f>
        <v>Item</v>
      </c>
      <c r="D195" s="1" t="str">
        <f>IFERROR(__xludf.DUMMYFUNCTION("""COMPUTED_VALUE"""),"Land of Spira")</f>
        <v>Land of Spira</v>
      </c>
    </row>
    <row r="196">
      <c r="A196" s="1" t="str">
        <f>IFERROR(__xludf.DUMMYFUNCTION("""COMPUTED_VALUE"""),"Big Frost Owl egg")</f>
        <v>Big Frost Owl egg</v>
      </c>
      <c r="B196" s="1"/>
      <c r="C196" s="1" t="str">
        <f>IFERROR(__xludf.DUMMYFUNCTION("""COMPUTED_VALUE"""),"Item")</f>
        <v>Item</v>
      </c>
      <c r="D196" s="1" t="str">
        <f>IFERROR(__xludf.DUMMYFUNCTION("""COMPUTED_VALUE"""),"Land of Spira")</f>
        <v>Land of Spira</v>
      </c>
    </row>
    <row r="197">
      <c r="A197" s="1" t="str">
        <f>IFERROR(__xludf.DUMMYFUNCTION("""COMPUTED_VALUE"""),"Giant Frost Diamond")</f>
        <v>Giant Frost Diamond</v>
      </c>
      <c r="B197" s="1" t="str">
        <f>IFERROR(__xludf.DUMMYFUNCTION("""COMPUTED_VALUE"""),"Crafting Material, roll a d20 to see how many you get if this is a loot drop.")</f>
        <v>Crafting Material, roll a d20 to see how many you get if this is a loot drop.</v>
      </c>
      <c r="C197" s="1" t="str">
        <f>IFERROR(__xludf.DUMMYFUNCTION("""COMPUTED_VALUE"""),"Item")</f>
        <v>Item</v>
      </c>
      <c r="D197" s="1" t="str">
        <f>IFERROR(__xludf.DUMMYFUNCTION("""COMPUTED_VALUE"""),"Land of Spira")</f>
        <v>Land of Spira</v>
      </c>
    </row>
    <row r="198">
      <c r="A198" s="1" t="str">
        <f>IFERROR(__xludf.DUMMYFUNCTION("""COMPUTED_VALUE"""),"Gold Brick")</f>
        <v>Gold Brick</v>
      </c>
      <c r="B198" s="1" t="str">
        <f>IFERROR(__xludf.DUMMYFUNCTION("""COMPUTED_VALUE"""),"Crafting Material, roll a d20 to see how many you get if this is a loot drop.")</f>
        <v>Crafting Material, roll a d20 to see how many you get if this is a loot drop.</v>
      </c>
      <c r="C198" s="1" t="str">
        <f>IFERROR(__xludf.DUMMYFUNCTION("""COMPUTED_VALUE"""),"Item")</f>
        <v>Item</v>
      </c>
      <c r="D198" s="1" t="str">
        <f>IFERROR(__xludf.DUMMYFUNCTION("""COMPUTED_VALUE"""),"Land of Spira")</f>
        <v>Land of Spira</v>
      </c>
    </row>
    <row r="199">
      <c r="A199" s="1" t="str">
        <f>IFERROR(__xludf.DUMMYFUNCTION("""COMPUTED_VALUE"""),"Arrow of Mutiplying ")</f>
        <v>Arrow of Mutiplying </v>
      </c>
      <c r="B199" s="1" t="str">
        <f>IFERROR(__xludf.DUMMYFUNCTION("""COMPUTED_VALUE"""),"Bow Ammunition. +1000 damage. +This arrow will summon X copies of itself which will also strike the target being attacked. X is equal to a d20 roll. roll a d20 to see how many you get if this is a loot drop.")</f>
        <v>Bow Ammunition. +1000 damage. +This arrow will summon X copies of itself which will also strike the target being attacked. X is equal to a d20 roll. roll a d20 to see how many you get if this is a loot drop.</v>
      </c>
      <c r="C199" s="1" t="str">
        <f>IFERROR(__xludf.DUMMYFUNCTION("""COMPUTED_VALUE"""),"Item")</f>
        <v>Item</v>
      </c>
      <c r="D199" s="1" t="str">
        <f>IFERROR(__xludf.DUMMYFUNCTION("""COMPUTED_VALUE"""),"Land of Spira")</f>
        <v>Land of Spira</v>
      </c>
    </row>
    <row r="200">
      <c r="A200" s="1" t="str">
        <f>IFERROR(__xludf.DUMMYFUNCTION("""COMPUTED_VALUE"""),"Water Gem")</f>
        <v>Water Gem</v>
      </c>
      <c r="B200" s="1" t="str">
        <f>IFERROR(__xludf.DUMMYFUNCTION("""COMPUTED_VALUE"""),"Crafting Material, roll a d20 to see how many you get if this is a loot drop.")</f>
        <v>Crafting Material, roll a d20 to see how many you get if this is a loot drop.</v>
      </c>
      <c r="C200" s="1" t="str">
        <f>IFERROR(__xludf.DUMMYFUNCTION("""COMPUTED_VALUE"""),"Item")</f>
        <v>Item</v>
      </c>
      <c r="D200" s="1" t="str">
        <f>IFERROR(__xludf.DUMMYFUNCTION("""COMPUTED_VALUE"""),"Land of Spira")</f>
        <v>Land of Spira</v>
      </c>
    </row>
    <row r="201">
      <c r="A201" s="1" t="str">
        <f>IFERROR(__xludf.DUMMYFUNCTION("""COMPUTED_VALUE"""),"Goose Meat")</f>
        <v>Goose Meat</v>
      </c>
      <c r="B201" s="1" t="str">
        <f>IFERROR(__xludf.DUMMYFUNCTION("""COMPUTED_VALUE"""),"-200 hunger to any character that is not owner by Hunter Gooseman. +500 Hunger to any character Hunter Owns.")</f>
        <v>-200 hunger to any character that is not owner by Hunter Gooseman. +500 Hunger to any character Hunter Owns.</v>
      </c>
      <c r="C201" s="1" t="str">
        <f>IFERROR(__xludf.DUMMYFUNCTION("""COMPUTED_VALUE"""),"Crop")</f>
        <v>Crop</v>
      </c>
      <c r="D201" s="1" t="str">
        <f>IFERROR(__xludf.DUMMYFUNCTION("""COMPUTED_VALUE"""),"Land of Spira")</f>
        <v>Land of Spira</v>
      </c>
    </row>
    <row r="202">
      <c r="A202" s="1" t="str">
        <f>IFERROR(__xludf.DUMMYFUNCTION("""COMPUTED_VALUE"""),"Mysterious Gem")</f>
        <v>Mysterious Gem</v>
      </c>
      <c r="B202" s="1" t="str">
        <f>IFERROR(__xludf.DUMMYFUNCTION("""COMPUTED_VALUE"""),"Crafting Material, roll a d20 to see how many you get if this is a loot drop.")</f>
        <v>Crafting Material, roll a d20 to see how many you get if this is a loot drop.</v>
      </c>
      <c r="C202" s="1" t="str">
        <f>IFERROR(__xludf.DUMMYFUNCTION("""COMPUTED_VALUE"""),"Item")</f>
        <v>Item</v>
      </c>
      <c r="D202" s="1" t="str">
        <f>IFERROR(__xludf.DUMMYFUNCTION("""COMPUTED_VALUE"""),"Land of Spira")</f>
        <v>Land of Spira</v>
      </c>
    </row>
    <row r="203">
      <c r="A203" s="1" t="str">
        <f>IFERROR(__xludf.DUMMYFUNCTION("""COMPUTED_VALUE"""),"Turtle Shell")</f>
        <v>Turtle Shell</v>
      </c>
      <c r="B203" s="1" t="str">
        <f>IFERROR(__xludf.DUMMYFUNCTION("""COMPUTED_VALUE"""),"Crafting Material, roll a d20 to see how many you get if this is a loot drop.")</f>
        <v>Crafting Material, roll a d20 to see how many you get if this is a loot drop.</v>
      </c>
      <c r="C203" s="1" t="str">
        <f>IFERROR(__xludf.DUMMYFUNCTION("""COMPUTED_VALUE"""),"Item")</f>
        <v>Item</v>
      </c>
      <c r="D203" s="1" t="str">
        <f>IFERROR(__xludf.DUMMYFUNCTION("""COMPUTED_VALUE"""),"Land of Spira")</f>
        <v>Land of Spira</v>
      </c>
    </row>
    <row r="204">
      <c r="A204" s="1" t="str">
        <f>IFERROR(__xludf.DUMMYFUNCTION("""COMPUTED_VALUE"""),"Pumpkin Diamond")</f>
        <v>Pumpkin Diamond</v>
      </c>
      <c r="B204" s="1" t="str">
        <f>IFERROR(__xludf.DUMMYFUNCTION("""COMPUTED_VALUE"""),"Crafting Material, roll a d20 to see how many you get if this is a loot drop.")</f>
        <v>Crafting Material, roll a d20 to see how many you get if this is a loot drop.</v>
      </c>
      <c r="C204" s="1" t="str">
        <f>IFERROR(__xludf.DUMMYFUNCTION("""COMPUTED_VALUE"""),"Item")</f>
        <v>Item</v>
      </c>
      <c r="D204" s="1" t="str">
        <f>IFERROR(__xludf.DUMMYFUNCTION("""COMPUTED_VALUE"""),"Land of Spira")</f>
        <v>Land of Spira</v>
      </c>
    </row>
    <row r="205">
      <c r="A205" s="1" t="str">
        <f>IFERROR(__xludf.DUMMYFUNCTION("""COMPUTED_VALUE"""),"Shadow Diamond")</f>
        <v>Shadow Diamond</v>
      </c>
      <c r="B205" s="1" t="str">
        <f>IFERROR(__xludf.DUMMYFUNCTION("""COMPUTED_VALUE"""),"Crafting Material, roll a d20 to see how many you get if this is a loot drop.")</f>
        <v>Crafting Material, roll a d20 to see how many you get if this is a loot drop.</v>
      </c>
      <c r="C205" s="1" t="str">
        <f>IFERROR(__xludf.DUMMYFUNCTION("""COMPUTED_VALUE"""),"Item")</f>
        <v>Item</v>
      </c>
      <c r="D205" s="1" t="str">
        <f>IFERROR(__xludf.DUMMYFUNCTION("""COMPUTED_VALUE"""),"Land of Spira")</f>
        <v>Land of Spira</v>
      </c>
    </row>
    <row r="206">
      <c r="A206" s="1" t="str">
        <f>IFERROR(__xludf.DUMMYFUNCTION("""COMPUTED_VALUE"""),"Rank 6 Earth tome")</f>
        <v>Rank 6 Earth tome</v>
      </c>
      <c r="B206" s="1" t="str">
        <f>IFERROR(__xludf.DUMMYFUNCTION("""COMPUTED_VALUE"""),"Allows use of up to Rank 6 Earth Powers")</f>
        <v>Allows use of up to Rank 6 Earth Powers</v>
      </c>
      <c r="C206" s="1" t="str">
        <f>IFERROR(__xludf.DUMMYFUNCTION("""COMPUTED_VALUE"""),"Item")</f>
        <v>Item</v>
      </c>
      <c r="D206" s="1" t="str">
        <f>IFERROR(__xludf.DUMMYFUNCTION("""COMPUTED_VALUE"""),"Land of Spira")</f>
        <v>Land of Spira</v>
      </c>
    </row>
    <row r="207">
      <c r="A207" s="1" t="str">
        <f>IFERROR(__xludf.DUMMYFUNCTION("""COMPUTED_VALUE"""),"Demon Claw")</f>
        <v>Demon Claw</v>
      </c>
      <c r="B207" s="1" t="str">
        <f>IFERROR(__xludf.DUMMYFUNCTION("""COMPUTED_VALUE"""),"Crafting Material, roll a d20 to see how many you get if this is a loot drop.")</f>
        <v>Crafting Material, roll a d20 to see how many you get if this is a loot drop.</v>
      </c>
      <c r="C207" s="1" t="str">
        <f>IFERROR(__xludf.DUMMYFUNCTION("""COMPUTED_VALUE"""),"Item")</f>
        <v>Item</v>
      </c>
      <c r="D207" s="1" t="str">
        <f>IFERROR(__xludf.DUMMYFUNCTION("""COMPUTED_VALUE"""),"Land of Spira")</f>
        <v>Land of Spira</v>
      </c>
    </row>
    <row r="208">
      <c r="A208" s="1" t="str">
        <f>IFERROR(__xludf.DUMMYFUNCTION("""COMPUTED_VALUE"""),"Golden Bug")</f>
        <v>Golden Bug</v>
      </c>
      <c r="B208" s="1" t="str">
        <f>IFERROR(__xludf.DUMMYFUNCTION("""COMPUTED_VALUE"""),"Crafting Material, roll a d20 to see how many you get if this is a loot drop.")</f>
        <v>Crafting Material, roll a d20 to see how many you get if this is a loot drop.</v>
      </c>
      <c r="C208" s="1" t="str">
        <f>IFERROR(__xludf.DUMMYFUNCTION("""COMPUTED_VALUE"""),"Item")</f>
        <v>Item</v>
      </c>
      <c r="D208" s="1" t="str">
        <f>IFERROR(__xludf.DUMMYFUNCTION("""COMPUTED_VALUE"""),"Land of Spira")</f>
        <v>Land of Spira</v>
      </c>
    </row>
    <row r="209">
      <c r="A209" s="1" t="str">
        <f>IFERROR(__xludf.DUMMYFUNCTION("""COMPUTED_VALUE"""),"Dragon Orb")</f>
        <v>Dragon Orb</v>
      </c>
      <c r="B209" s="1" t="str">
        <f>IFERROR(__xludf.DUMMYFUNCTION("""COMPUTED_VALUE"""),"Crafting Material, roll a d20 to see how many you get if this is a loot drop.")</f>
        <v>Crafting Material, roll a d20 to see how many you get if this is a loot drop.</v>
      </c>
      <c r="C209" s="1" t="str">
        <f>IFERROR(__xludf.DUMMYFUNCTION("""COMPUTED_VALUE"""),"Item")</f>
        <v>Item</v>
      </c>
      <c r="D209" s="1" t="str">
        <f>IFERROR(__xludf.DUMMYFUNCTION("""COMPUTED_VALUE"""),"Land of Spira")</f>
        <v>Land of Spira</v>
      </c>
    </row>
    <row r="210">
      <c r="A210" s="1" t="str">
        <f>IFERROR(__xludf.DUMMYFUNCTION("""COMPUTED_VALUE"""),"Water potion")</f>
        <v>Water potion</v>
      </c>
      <c r="B210" s="1" t="str">
        <f>IFERROR(__xludf.DUMMYFUNCTION("""COMPUTED_VALUE"""),"Gives water immunity for 1 round")</f>
        <v>Gives water immunity for 1 round</v>
      </c>
      <c r="C210" s="1" t="str">
        <f>IFERROR(__xludf.DUMMYFUNCTION("""COMPUTED_VALUE"""),"Item")</f>
        <v>Item</v>
      </c>
      <c r="D210" s="1" t="str">
        <f>IFERROR(__xludf.DUMMYFUNCTION("""COMPUTED_VALUE"""),"Land of Spira")</f>
        <v>Land of Spira</v>
      </c>
    </row>
    <row r="211">
      <c r="A211" s="1" t="str">
        <f>IFERROR(__xludf.DUMMYFUNCTION("""COMPUTED_VALUE"""),"Jellyfish Stinger")</f>
        <v>Jellyfish Stinger</v>
      </c>
      <c r="B211" s="1" t="str">
        <f>IFERROR(__xludf.DUMMYFUNCTION("""COMPUTED_VALUE"""),"Crafting Material, roll a d20 to see how many you get if this is a loot drop.")</f>
        <v>Crafting Material, roll a d20 to see how many you get if this is a loot drop.</v>
      </c>
      <c r="C211" s="1" t="str">
        <f>IFERROR(__xludf.DUMMYFUNCTION("""COMPUTED_VALUE"""),"Item")</f>
        <v>Item</v>
      </c>
      <c r="D211" s="1" t="str">
        <f>IFERROR(__xludf.DUMMYFUNCTION("""COMPUTED_VALUE"""),"Land of Spira")</f>
        <v>Land of Spira</v>
      </c>
    </row>
    <row r="212">
      <c r="A212" s="1" t="str">
        <f>IFERROR(__xludf.DUMMYFUNCTION("""COMPUTED_VALUE"""),"Bee Stinger ")</f>
        <v>Bee Stinger </v>
      </c>
      <c r="B212" s="1" t="str">
        <f>IFERROR(__xludf.DUMMYFUNCTION("""COMPUTED_VALUE"""),"Crafting Material, roll a d20 to see how many you get if this is a loot drop.")</f>
        <v>Crafting Material, roll a d20 to see how many you get if this is a loot drop.</v>
      </c>
      <c r="C212" s="1" t="str">
        <f>IFERROR(__xludf.DUMMYFUNCTION("""COMPUTED_VALUE"""),"Item")</f>
        <v>Item</v>
      </c>
      <c r="D212" s="1" t="str">
        <f>IFERROR(__xludf.DUMMYFUNCTION("""COMPUTED_VALUE"""),"Land of Spira")</f>
        <v>Land of Spira</v>
      </c>
    </row>
    <row r="213">
      <c r="A213" s="1" t="str">
        <f>IFERROR(__xludf.DUMMYFUNCTION("""COMPUTED_VALUE"""),"Squid Ink")</f>
        <v>Squid Ink</v>
      </c>
      <c r="B213" s="1" t="str">
        <f>IFERROR(__xludf.DUMMYFUNCTION("""COMPUTED_VALUE"""),"Crafting Material, roll a d20 to see how many you get if this is a loot drop.")</f>
        <v>Crafting Material, roll a d20 to see how many you get if this is a loot drop.</v>
      </c>
      <c r="C213" s="1" t="str">
        <f>IFERROR(__xludf.DUMMYFUNCTION("""COMPUTED_VALUE"""),"Item")</f>
        <v>Item</v>
      </c>
      <c r="D213" s="1" t="str">
        <f>IFERROR(__xludf.DUMMYFUNCTION("""COMPUTED_VALUE"""),"Land of Spira")</f>
        <v>Land of Spira</v>
      </c>
    </row>
    <row r="214">
      <c r="A214" s="1" t="str">
        <f>IFERROR(__xludf.DUMMYFUNCTION("""COMPUTED_VALUE"""),"Potion of Water Breathing")</f>
        <v>Potion of Water Breathing</v>
      </c>
      <c r="B214" s="1" t="str">
        <f>IFERROR(__xludf.DUMMYFUNCTION("""COMPUTED_VALUE"""),"Immune to water for for 3 rounds in battle or 3 days of travel.")</f>
        <v>Immune to water for for 3 rounds in battle or 3 days of travel.</v>
      </c>
      <c r="C214" s="1" t="str">
        <f>IFERROR(__xludf.DUMMYFUNCTION("""COMPUTED_VALUE"""),"Item")</f>
        <v>Item</v>
      </c>
      <c r="D214" s="1" t="str">
        <f>IFERROR(__xludf.DUMMYFUNCTION("""COMPUTED_VALUE"""),"Land of Spira")</f>
        <v>Land of Spira</v>
      </c>
    </row>
    <row r="215">
      <c r="A215" s="1" t="str">
        <f>IFERROR(__xludf.DUMMYFUNCTION("""COMPUTED_VALUE"""),"Shark Fin")</f>
        <v>Shark Fin</v>
      </c>
      <c r="B215" s="1" t="str">
        <f>IFERROR(__xludf.DUMMYFUNCTION("""COMPUTED_VALUE"""),"Restores 10 Hunger, +1 ATK until rest")</f>
        <v>Restores 10 Hunger, +1 ATK until rest</v>
      </c>
      <c r="C215" s="1" t="str">
        <f>IFERROR(__xludf.DUMMYFUNCTION("""COMPUTED_VALUE"""),"Crop")</f>
        <v>Crop</v>
      </c>
      <c r="D215" s="1" t="str">
        <f>IFERROR(__xludf.DUMMYFUNCTION("""COMPUTED_VALUE"""),"Land of Spira")</f>
        <v>Land of Spira</v>
      </c>
    </row>
    <row r="216">
      <c r="A216" s="1" t="str">
        <f>IFERROR(__xludf.DUMMYFUNCTION("""COMPUTED_VALUE"""),"Shark Teeth")</f>
        <v>Shark Teeth</v>
      </c>
      <c r="B216" s="1" t="str">
        <f>IFERROR(__xludf.DUMMYFUNCTION("""COMPUTED_VALUE"""),"100 = permanently increase Atk by 1")</f>
        <v>100 = permanently increase Atk by 1</v>
      </c>
      <c r="C216" s="1" t="str">
        <f>IFERROR(__xludf.DUMMYFUNCTION("""COMPUTED_VALUE"""),"Item")</f>
        <v>Item</v>
      </c>
      <c r="D216" s="1" t="str">
        <f>IFERROR(__xludf.DUMMYFUNCTION("""COMPUTED_VALUE"""),"Land of Spira")</f>
        <v>Land of Spira</v>
      </c>
    </row>
    <row r="217">
      <c r="A217" s="1" t="str">
        <f>IFERROR(__xludf.DUMMYFUNCTION("""COMPUTED_VALUE"""),"Fish")</f>
        <v>Fish</v>
      </c>
      <c r="B217" s="1" t="str">
        <f>IFERROR(__xludf.DUMMYFUNCTION("""COMPUTED_VALUE"""),"5 Hunger, +100 water Resist until rest")</f>
        <v>5 Hunger, +100 water Resist until rest</v>
      </c>
      <c r="C217" s="1" t="str">
        <f>IFERROR(__xludf.DUMMYFUNCTION("""COMPUTED_VALUE"""),"Crop")</f>
        <v>Crop</v>
      </c>
      <c r="D217" s="1" t="str">
        <f>IFERROR(__xludf.DUMMYFUNCTION("""COMPUTED_VALUE"""),"Land of Spira")</f>
        <v>Land of Spira</v>
      </c>
    </row>
    <row r="218">
      <c r="A218" s="1" t="str">
        <f>IFERROR(__xludf.DUMMYFUNCTION("""COMPUTED_VALUE"""),"Huge Teeth")</f>
        <v>Huge Teeth</v>
      </c>
      <c r="B218" s="1" t="str">
        <f>IFERROR(__xludf.DUMMYFUNCTION("""COMPUTED_VALUE"""),"Worth 1000G at a shop.")</f>
        <v>Worth 1000G at a shop.</v>
      </c>
      <c r="C218" s="1" t="str">
        <f>IFERROR(__xludf.DUMMYFUNCTION("""COMPUTED_VALUE"""),"Item")</f>
        <v>Item</v>
      </c>
      <c r="D218" s="1" t="str">
        <f>IFERROR(__xludf.DUMMYFUNCTION("""COMPUTED_VALUE"""),"Land of Spira")</f>
        <v>Land of Spira</v>
      </c>
    </row>
    <row r="219">
      <c r="A219" s="1" t="str">
        <f>IFERROR(__xludf.DUMMYFUNCTION("""COMPUTED_VALUE"""),"Enchanted Teeth")</f>
        <v>Enchanted Teeth</v>
      </c>
      <c r="B219" s="1" t="str">
        <f>IFERROR(__xludf.DUMMYFUNCTION("""COMPUTED_VALUE"""),"Worth 5000G at a shop.")</f>
        <v>Worth 5000G at a shop.</v>
      </c>
      <c r="C219" s="1" t="str">
        <f>IFERROR(__xludf.DUMMYFUNCTION("""COMPUTED_VALUE"""),"Item")</f>
        <v>Item</v>
      </c>
      <c r="D219" s="1" t="str">
        <f>IFERROR(__xludf.DUMMYFUNCTION("""COMPUTED_VALUE"""),"Land of Spira")</f>
        <v>Land of Spira</v>
      </c>
    </row>
    <row r="220">
      <c r="A220" s="1"/>
      <c r="B220" s="1"/>
      <c r="C220" s="1" t="str">
        <f>IFERROR(__xludf.DUMMYFUNCTION("""COMPUTED_VALUE"""),"Item")</f>
        <v>Item</v>
      </c>
      <c r="D220" s="1" t="str">
        <f>IFERROR(__xludf.DUMMYFUNCTION("""COMPUTED_VALUE"""),"Land of Spira")</f>
        <v>Land of Spira</v>
      </c>
    </row>
    <row r="221">
      <c r="A221" s="1" t="str">
        <f>IFERROR(__xludf.DUMMYFUNCTION("""COMPUTED_VALUE"""),"Sea Dinosaur Bones")</f>
        <v>Sea Dinosaur Bones</v>
      </c>
      <c r="B221" s="1" t="str">
        <f>IFERROR(__xludf.DUMMYFUNCTION("""COMPUTED_VALUE"""),"Crafting Material, roll a d20 to see how many you get if this is a loot drop.")</f>
        <v>Crafting Material, roll a d20 to see how many you get if this is a loot drop.</v>
      </c>
      <c r="C221" s="1" t="str">
        <f>IFERROR(__xludf.DUMMYFUNCTION("""COMPUTED_VALUE"""),"Item")</f>
        <v>Item</v>
      </c>
      <c r="D221" s="1" t="str">
        <f>IFERROR(__xludf.DUMMYFUNCTION("""COMPUTED_VALUE"""),"Land of Spira")</f>
        <v>Land of Spira</v>
      </c>
    </row>
    <row r="222">
      <c r="A222" s="1" t="str">
        <f>IFERROR(__xludf.DUMMYFUNCTION("""COMPUTED_VALUE"""),"Ancient Sea Dinosaur Egg")</f>
        <v>Ancient Sea Dinosaur Egg</v>
      </c>
      <c r="B222" s="1"/>
      <c r="C222" s="1" t="str">
        <f>IFERROR(__xludf.DUMMYFUNCTION("""COMPUTED_VALUE"""),"Item")</f>
        <v>Item</v>
      </c>
      <c r="D222" s="1" t="str">
        <f>IFERROR(__xludf.DUMMYFUNCTION("""COMPUTED_VALUE"""),"Land of Spira")</f>
        <v>Land of Spira</v>
      </c>
    </row>
    <row r="223">
      <c r="A223" s="1" t="str">
        <f>IFERROR(__xludf.DUMMYFUNCTION("""COMPUTED_VALUE"""),"Water Abyss Key")</f>
        <v>Water Abyss Key</v>
      </c>
      <c r="B223" s="1" t="str">
        <f>IFERROR(__xludf.DUMMYFUNCTION("""COMPUTED_VALUE"""),"Gain access to the Abyss Dungeon. Cannot be duplicated")</f>
        <v>Gain access to the Abyss Dungeon. Cannot be duplicated</v>
      </c>
      <c r="C223" s="1" t="str">
        <f>IFERROR(__xludf.DUMMYFUNCTION("""COMPUTED_VALUE"""),"Item")</f>
        <v>Item</v>
      </c>
      <c r="D223" s="1" t="str">
        <f>IFERROR(__xludf.DUMMYFUNCTION("""COMPUTED_VALUE"""),"Land of Spira")</f>
        <v>Land of Spira</v>
      </c>
    </row>
    <row r="224">
      <c r="A224" s="1" t="str">
        <f>IFERROR(__xludf.DUMMYFUNCTION("""COMPUTED_VALUE"""),"Fire Diamond")</f>
        <v>Fire Diamond</v>
      </c>
      <c r="B224" s="1" t="str">
        <f>IFERROR(__xludf.DUMMYFUNCTION("""COMPUTED_VALUE"""),"Crafting Material, roll a d20 to see how many you get if this is a loot drop.")</f>
        <v>Crafting Material, roll a d20 to see how many you get if this is a loot drop.</v>
      </c>
      <c r="C224" s="1" t="str">
        <f>IFERROR(__xludf.DUMMYFUNCTION("""COMPUTED_VALUE"""),"Item")</f>
        <v>Item</v>
      </c>
      <c r="D224" s="1" t="str">
        <f>IFERROR(__xludf.DUMMYFUNCTION("""COMPUTED_VALUE"""),"Land of Spira")</f>
        <v>Land of Spira</v>
      </c>
    </row>
    <row r="225">
      <c r="A225" s="1" t="str">
        <f>IFERROR(__xludf.DUMMYFUNCTION("""COMPUTED_VALUE"""),"Giant Fire Diamond")</f>
        <v>Giant Fire Diamond</v>
      </c>
      <c r="B225" s="1" t="str">
        <f>IFERROR(__xludf.DUMMYFUNCTION("""COMPUTED_VALUE"""),"Crafting Material, roll a d20 to see how many you get if this is a loot drop.")</f>
        <v>Crafting Material, roll a d20 to see how many you get if this is a loot drop.</v>
      </c>
      <c r="C225" s="1" t="str">
        <f>IFERROR(__xludf.DUMMYFUNCTION("""COMPUTED_VALUE"""),"Item")</f>
        <v>Item</v>
      </c>
      <c r="D225" s="1" t="str">
        <f>IFERROR(__xludf.DUMMYFUNCTION("""COMPUTED_VALUE"""),"Land of Spira")</f>
        <v>Land of Spira</v>
      </c>
    </row>
    <row r="226">
      <c r="A226" s="1" t="str">
        <f>IFERROR(__xludf.DUMMYFUNCTION("""COMPUTED_VALUE"""),"Heatmore Flame Golem Soul")</f>
        <v>Heatmore Flame Golem Soul</v>
      </c>
      <c r="B226" s="1"/>
      <c r="C226" s="1" t="str">
        <f>IFERROR(__xludf.DUMMYFUNCTION("""COMPUTED_VALUE"""),"Item")</f>
        <v>Item</v>
      </c>
      <c r="D226" s="1" t="str">
        <f>IFERROR(__xludf.DUMMYFUNCTION("""COMPUTED_VALUE"""),"Land of Spira")</f>
        <v>Land of Spira</v>
      </c>
    </row>
    <row r="227">
      <c r="A227" s="1" t="str">
        <f>IFERROR(__xludf.DUMMYFUNCTION("""COMPUTED_VALUE"""),"Flaming Feathers")</f>
        <v>Flaming Feathers</v>
      </c>
      <c r="B227" s="1" t="str">
        <f>IFERROR(__xludf.DUMMYFUNCTION("""COMPUTED_VALUE"""),"Crafting Material, roll a d20 to see how many you get if this is a loot drop.")</f>
        <v>Crafting Material, roll a d20 to see how many you get if this is a loot drop.</v>
      </c>
      <c r="C227" s="1" t="str">
        <f>IFERROR(__xludf.DUMMYFUNCTION("""COMPUTED_VALUE"""),"Item")</f>
        <v>Item</v>
      </c>
      <c r="D227" s="1" t="str">
        <f>IFERROR(__xludf.DUMMYFUNCTION("""COMPUTED_VALUE"""),"Land of Spira")</f>
        <v>Land of Spira</v>
      </c>
    </row>
    <row r="228">
      <c r="A228" s="1" t="str">
        <f>IFERROR(__xludf.DUMMYFUNCTION("""COMPUTED_VALUE"""),"Flaming Horns")</f>
        <v>Flaming Horns</v>
      </c>
      <c r="B228" s="1" t="str">
        <f>IFERROR(__xludf.DUMMYFUNCTION("""COMPUTED_VALUE"""),"Crafting Material, roll a d20 to see how many you get if this is a loot drop.")</f>
        <v>Crafting Material, roll a d20 to see how many you get if this is a loot drop.</v>
      </c>
      <c r="C228" s="1" t="str">
        <f>IFERROR(__xludf.DUMMYFUNCTION("""COMPUTED_VALUE"""),"Item")</f>
        <v>Item</v>
      </c>
      <c r="D228" s="1" t="str">
        <f>IFERROR(__xludf.DUMMYFUNCTION("""COMPUTED_VALUE"""),"Land of Spira")</f>
        <v>Land of Spira</v>
      </c>
    </row>
    <row r="229">
      <c r="A229" s="1" t="str">
        <f>IFERROR(__xludf.DUMMYFUNCTION("""COMPUTED_VALUE"""),"Cooked Yak Meat")</f>
        <v>Cooked Yak Meat</v>
      </c>
      <c r="B229" s="1" t="str">
        <f>IFERROR(__xludf.DUMMYFUNCTION("""COMPUTED_VALUE"""),"Restores 10 hunger and energy")</f>
        <v>Restores 10 hunger and energy</v>
      </c>
      <c r="C229" s="1" t="str">
        <f>IFERROR(__xludf.DUMMYFUNCTION("""COMPUTED_VALUE"""),"Crop")</f>
        <v>Crop</v>
      </c>
      <c r="D229" s="1" t="str">
        <f>IFERROR(__xludf.DUMMYFUNCTION("""COMPUTED_VALUE"""),"Land of Spira")</f>
        <v>Land of Spira</v>
      </c>
    </row>
    <row r="230">
      <c r="A230" s="1" t="str">
        <f>IFERROR(__xludf.DUMMYFUNCTION("""COMPUTED_VALUE"""),"Leaf Of The Ancient Tree Of Flames")</f>
        <v>Leaf Of The Ancient Tree Of Flames</v>
      </c>
      <c r="B230" s="1" t="str">
        <f>IFERROR(__xludf.DUMMYFUNCTION("""COMPUTED_VALUE"""),"Gain 1 free fire power of choosing. (Can only be obtained once per player)")</f>
        <v>Gain 1 free fire power of choosing. (Can only be obtained once per player)</v>
      </c>
      <c r="C230" s="1" t="str">
        <f>IFERROR(__xludf.DUMMYFUNCTION("""COMPUTED_VALUE"""),"Item")</f>
        <v>Item</v>
      </c>
      <c r="D230" s="1" t="str">
        <f>IFERROR(__xludf.DUMMYFUNCTION("""COMPUTED_VALUE"""),"Land of Spira")</f>
        <v>Land of Spira</v>
      </c>
    </row>
    <row r="231">
      <c r="A231" s="1" t="str">
        <f>IFERROR(__xludf.DUMMYFUNCTION("""COMPUTED_VALUE"""),"Ancient Volcanic Worm Egg")</f>
        <v>Ancient Volcanic Worm Egg</v>
      </c>
      <c r="B231" s="1"/>
      <c r="C231" s="1" t="str">
        <f>IFERROR(__xludf.DUMMYFUNCTION("""COMPUTED_VALUE"""),"Item")</f>
        <v>Item</v>
      </c>
      <c r="D231" s="1" t="str">
        <f>IFERROR(__xludf.DUMMYFUNCTION("""COMPUTED_VALUE"""),"Land of Spira")</f>
        <v>Land of Spira</v>
      </c>
    </row>
    <row r="232">
      <c r="A232" s="1" t="str">
        <f>IFERROR(__xludf.DUMMYFUNCTION("""COMPUTED_VALUE"""),"Ancient Volcanic Worm Core")</f>
        <v>Ancient Volcanic Worm Core</v>
      </c>
      <c r="B232" s="1" t="str">
        <f>IFERROR(__xludf.DUMMYFUNCTION("""COMPUTED_VALUE"""),"Consume to gain permanent 2000 fire resistance. (Can only obtain 1 per player)")</f>
        <v>Consume to gain permanent 2000 fire resistance. (Can only obtain 1 per player)</v>
      </c>
      <c r="C232" s="1" t="str">
        <f>IFERROR(__xludf.DUMMYFUNCTION("""COMPUTED_VALUE"""),"Item")</f>
        <v>Item</v>
      </c>
      <c r="D232" s="1" t="str">
        <f>IFERROR(__xludf.DUMMYFUNCTION("""COMPUTED_VALUE"""),"Land of Spira")</f>
        <v>Land of Spira</v>
      </c>
    </row>
    <row r="233">
      <c r="A233" s="1" t="str">
        <f>IFERROR(__xludf.DUMMYFUNCTION("""COMPUTED_VALUE"""),"Lava Tiger Skin")</f>
        <v>Lava Tiger Skin</v>
      </c>
      <c r="B233" s="1" t="str">
        <f>IFERROR(__xludf.DUMMYFUNCTION("""COMPUTED_VALUE"""),"Crafting Material, roll a d20 to see how many you get if this is a loot drop.")</f>
        <v>Crafting Material, roll a d20 to see how many you get if this is a loot drop.</v>
      </c>
      <c r="C233" s="1" t="str">
        <f>IFERROR(__xludf.DUMMYFUNCTION("""COMPUTED_VALUE"""),"Item")</f>
        <v>Item</v>
      </c>
      <c r="D233" s="1" t="str">
        <f>IFERROR(__xludf.DUMMYFUNCTION("""COMPUTED_VALUE"""),"Land of Spira")</f>
        <v>Land of Spira</v>
      </c>
    </row>
    <row r="234">
      <c r="A234" s="1" t="str">
        <f>IFERROR(__xludf.DUMMYFUNCTION("""COMPUTED_VALUE"""),"Cooked Tiger Meat")</f>
        <v>Cooked Tiger Meat</v>
      </c>
      <c r="B234" s="1" t="str">
        <f>IFERROR(__xludf.DUMMYFUNCTION("""COMPUTED_VALUE"""),"restores 20 hunger and energy")</f>
        <v>restores 20 hunger and energy</v>
      </c>
      <c r="C234" s="1" t="str">
        <f>IFERROR(__xludf.DUMMYFUNCTION("""COMPUTED_VALUE"""),"Crop")</f>
        <v>Crop</v>
      </c>
      <c r="D234" s="1" t="str">
        <f>IFERROR(__xludf.DUMMYFUNCTION("""COMPUTED_VALUE"""),"Land of Spira")</f>
        <v>Land of Spira</v>
      </c>
    </row>
    <row r="235">
      <c r="A235" s="1" t="str">
        <f>IFERROR(__xludf.DUMMYFUNCTION("""COMPUTED_VALUE"""),"Liches Eye")</f>
        <v>Liches Eye</v>
      </c>
      <c r="B235" s="1" t="str">
        <f>IFERROR(__xludf.DUMMYFUNCTION("""COMPUTED_VALUE"""),"Consumable, 100= permanent +5 to accuracy")</f>
        <v>Consumable, 100= permanent +5 to accuracy</v>
      </c>
      <c r="C235" s="1" t="str">
        <f>IFERROR(__xludf.DUMMYFUNCTION("""COMPUTED_VALUE"""),"Item")</f>
        <v>Item</v>
      </c>
      <c r="D235" s="1" t="str">
        <f>IFERROR(__xludf.DUMMYFUNCTION("""COMPUTED_VALUE"""),"Land of Spira")</f>
        <v>Land of Spira</v>
      </c>
    </row>
    <row r="236">
      <c r="A236" s="1" t="str">
        <f>IFERROR(__xludf.DUMMYFUNCTION("""COMPUTED_VALUE"""),"Rank 9 Fire Tome")</f>
        <v>Rank 9 Fire Tome</v>
      </c>
      <c r="B236" s="1" t="str">
        <f>IFERROR(__xludf.DUMMYFUNCTION("""COMPUTED_VALUE"""),"Can only obtain 1 per player")</f>
        <v>Can only obtain 1 per player</v>
      </c>
      <c r="C236" s="1" t="str">
        <f>IFERROR(__xludf.DUMMYFUNCTION("""COMPUTED_VALUE"""),"Item")</f>
        <v>Item</v>
      </c>
      <c r="D236" s="1" t="str">
        <f>IFERROR(__xludf.DUMMYFUNCTION("""COMPUTED_VALUE"""),"Land of Spira")</f>
        <v>Land of Spira</v>
      </c>
    </row>
    <row r="237">
      <c r="A237" s="1" t="str">
        <f>IFERROR(__xludf.DUMMYFUNCTION("""COMPUTED_VALUE"""),"Ancient Fire Serpent Egg")</f>
        <v>Ancient Fire Serpent Egg</v>
      </c>
      <c r="B237" s="1"/>
      <c r="C237" s="1" t="str">
        <f>IFERROR(__xludf.DUMMYFUNCTION("""COMPUTED_VALUE"""),"Item")</f>
        <v>Item</v>
      </c>
      <c r="D237" s="1" t="str">
        <f>IFERROR(__xludf.DUMMYFUNCTION("""COMPUTED_VALUE"""),"Land of Spira")</f>
        <v>Land of Spira</v>
      </c>
    </row>
    <row r="238">
      <c r="A238" s="1" t="str">
        <f>IFERROR(__xludf.DUMMYFUNCTION("""COMPUTED_VALUE"""),"Demons Eye")</f>
        <v>Demons Eye</v>
      </c>
      <c r="B238" s="1" t="str">
        <f>IFERROR(__xludf.DUMMYFUNCTION("""COMPUTED_VALUE"""),"Crafting Material, roll a d20 to see how many you get if this is a loot drop.")</f>
        <v>Crafting Material, roll a d20 to see how many you get if this is a loot drop.</v>
      </c>
      <c r="C238" s="1" t="str">
        <f>IFERROR(__xludf.DUMMYFUNCTION("""COMPUTED_VALUE"""),"Item")</f>
        <v>Item</v>
      </c>
      <c r="D238" s="1" t="str">
        <f>IFERROR(__xludf.DUMMYFUNCTION("""COMPUTED_VALUE"""),"Land of Spira")</f>
        <v>Land of Spira</v>
      </c>
    </row>
    <row r="239">
      <c r="A239" s="1" t="str">
        <f>IFERROR(__xludf.DUMMYFUNCTION("""COMPUTED_VALUE"""),"Demon Core")</f>
        <v>Demon Core</v>
      </c>
      <c r="B239" s="1" t="str">
        <f>IFERROR(__xludf.DUMMYFUNCTION("""COMPUTED_VALUE"""),"Consumable, 1 free chaos power of choice. (Can only obtain 1 per player)")</f>
        <v>Consumable, 1 free chaos power of choice. (Can only obtain 1 per player)</v>
      </c>
      <c r="C239" s="1" t="str">
        <f>IFERROR(__xludf.DUMMYFUNCTION("""COMPUTED_VALUE"""),"Item")</f>
        <v>Item</v>
      </c>
      <c r="D239" s="1" t="str">
        <f>IFERROR(__xludf.DUMMYFUNCTION("""COMPUTED_VALUE"""),"Land of Spira")</f>
        <v>Land of Spira</v>
      </c>
    </row>
    <row r="240">
      <c r="A240" s="1" t="str">
        <f>IFERROR(__xludf.DUMMYFUNCTION("""COMPUTED_VALUE"""),"Sentinel Core")</f>
        <v>Sentinel Core</v>
      </c>
      <c r="B240" s="1" t="str">
        <f>IFERROR(__xludf.DUMMYFUNCTION("""COMPUTED_VALUE"""),"Summon an Ancient Fire Sentinel to battle, Level determined by DM/GM. Can only be used once.")</f>
        <v>Summon an Ancient Fire Sentinel to battle, Level determined by DM/GM. Can only be used once.</v>
      </c>
      <c r="C240" s="1" t="str">
        <f>IFERROR(__xludf.DUMMYFUNCTION("""COMPUTED_VALUE"""),"Item")</f>
        <v>Item</v>
      </c>
      <c r="D240" s="1" t="str">
        <f>IFERROR(__xludf.DUMMYFUNCTION("""COMPUTED_VALUE"""),"Land of Spira")</f>
        <v>Land of Spira</v>
      </c>
    </row>
    <row r="241">
      <c r="A241" s="1" t="str">
        <f>IFERROR(__xludf.DUMMYFUNCTION("""COMPUTED_VALUE"""),"Fire Gem")</f>
        <v>Fire Gem</v>
      </c>
      <c r="B241" s="1" t="str">
        <f>IFERROR(__xludf.DUMMYFUNCTION("""COMPUTED_VALUE"""),"Crafting Material, roll a d20 to see how many you get if this is a loot drop.")</f>
        <v>Crafting Material, roll a d20 to see how many you get if this is a loot drop.</v>
      </c>
      <c r="C241" s="1" t="str">
        <f>IFERROR(__xludf.DUMMYFUNCTION("""COMPUTED_VALUE"""),"Item")</f>
        <v>Item</v>
      </c>
      <c r="D241" s="1" t="str">
        <f>IFERROR(__xludf.DUMMYFUNCTION("""COMPUTED_VALUE"""),"Land of Spira")</f>
        <v>Land of Spira</v>
      </c>
    </row>
    <row r="242">
      <c r="A242" s="1" t="str">
        <f>IFERROR(__xludf.DUMMYFUNCTION("""COMPUTED_VALUE"""),"Aquatic Diamond")</f>
        <v>Aquatic Diamond</v>
      </c>
      <c r="B242" s="1" t="str">
        <f>IFERROR(__xludf.DUMMYFUNCTION("""COMPUTED_VALUE"""),"Crafting Material, roll a d20 to see how many you get if this is a loot drop.")</f>
        <v>Crafting Material, roll a d20 to see how many you get if this is a loot drop.</v>
      </c>
      <c r="C242" s="1" t="str">
        <f>IFERROR(__xludf.DUMMYFUNCTION("""COMPUTED_VALUE"""),"Item")</f>
        <v>Item</v>
      </c>
      <c r="D242" s="1" t="str">
        <f>IFERROR(__xludf.DUMMYFUNCTION("""COMPUTED_VALUE"""),"Land of Spira")</f>
        <v>Land of Spira</v>
      </c>
    </row>
    <row r="243">
      <c r="A243" s="1" t="str">
        <f>IFERROR(__xludf.DUMMYFUNCTION("""COMPUTED_VALUE"""),"Corrupted Twilight Knight Soul")</f>
        <v>Corrupted Twilight Knight Soul</v>
      </c>
      <c r="B243" s="1"/>
      <c r="C243" s="1" t="str">
        <f>IFERROR(__xludf.DUMMYFUNCTION("""COMPUTED_VALUE"""),"Item")</f>
        <v>Item</v>
      </c>
      <c r="D243" s="1" t="str">
        <f>IFERROR(__xludf.DUMMYFUNCTION("""COMPUTED_VALUE"""),"Land of Spira")</f>
        <v>Land of Spira</v>
      </c>
    </row>
    <row r="244">
      <c r="A244" s="1" t="str">
        <f>IFERROR(__xludf.DUMMYFUNCTION("""COMPUTED_VALUE"""),"Hay")</f>
        <v>Hay</v>
      </c>
      <c r="B244" s="1" t="str">
        <f>IFERROR(__xludf.DUMMYFUNCTION("""COMPUTED_VALUE"""),"Restores 5 hunger.")</f>
        <v>Restores 5 hunger.</v>
      </c>
      <c r="C244" s="1" t="str">
        <f>IFERROR(__xludf.DUMMYFUNCTION("""COMPUTED_VALUE"""),"Crop")</f>
        <v>Crop</v>
      </c>
      <c r="D244" s="1" t="str">
        <f>IFERROR(__xludf.DUMMYFUNCTION("""COMPUTED_VALUE"""),"Land of Spira")</f>
        <v>Land of Spira</v>
      </c>
    </row>
    <row r="245">
      <c r="A245" s="1" t="str">
        <f>IFERROR(__xludf.DUMMYFUNCTION("""COMPUTED_VALUE"""),"Shadow Suit of armor Soul")</f>
        <v>Shadow Suit of armor Soul</v>
      </c>
      <c r="B245" s="1"/>
      <c r="C245" s="1" t="str">
        <f>IFERROR(__xludf.DUMMYFUNCTION("""COMPUTED_VALUE"""),"Item")</f>
        <v>Item</v>
      </c>
      <c r="D245" s="1" t="str">
        <f>IFERROR(__xludf.DUMMYFUNCTION("""COMPUTED_VALUE"""),"Land of Spira")</f>
        <v>Land of Spira</v>
      </c>
    </row>
    <row r="246">
      <c r="A246" s="1" t="str">
        <f>IFERROR(__xludf.DUMMYFUNCTION("""COMPUTED_VALUE"""),"Mana Potion")</f>
        <v>Mana Potion</v>
      </c>
      <c r="B246" s="1" t="str">
        <f>IFERROR(__xludf.DUMMYFUNCTION("""COMPUTED_VALUE"""),"Regain 10 SP")</f>
        <v>Regain 10 SP</v>
      </c>
      <c r="C246" s="1" t="str">
        <f>IFERROR(__xludf.DUMMYFUNCTION("""COMPUTED_VALUE"""),"Item")</f>
        <v>Item</v>
      </c>
      <c r="D246" s="1" t="str">
        <f>IFERROR(__xludf.DUMMYFUNCTION("""COMPUTED_VALUE"""),"Land of Spira")</f>
        <v>Land of Spira</v>
      </c>
    </row>
    <row r="247">
      <c r="A247" s="1" t="str">
        <f>IFERROR(__xludf.DUMMYFUNCTION("""COMPUTED_VALUE"""),"Werewolf Pelt")</f>
        <v>Werewolf Pelt</v>
      </c>
      <c r="B247" s="1" t="str">
        <f>IFERROR(__xludf.DUMMYFUNCTION("""COMPUTED_VALUE"""),"Crafting Material, roll a d20 to see how many you get if this is a loot drop.")</f>
        <v>Crafting Material, roll a d20 to see how many you get if this is a loot drop.</v>
      </c>
      <c r="C247" s="1" t="str">
        <f>IFERROR(__xludf.DUMMYFUNCTION("""COMPUTED_VALUE"""),"Item")</f>
        <v>Item</v>
      </c>
      <c r="D247" s="1" t="str">
        <f>IFERROR(__xludf.DUMMYFUNCTION("""COMPUTED_VALUE"""),"Land of Spira")</f>
        <v>Land of Spira</v>
      </c>
    </row>
    <row r="248">
      <c r="A248" s="1" t="str">
        <f>IFERROR(__xludf.DUMMYFUNCTION("""COMPUTED_VALUE"""),"Halloween Emerald")</f>
        <v>Halloween Emerald</v>
      </c>
      <c r="B248" s="1" t="str">
        <f>IFERROR(__xludf.DUMMYFUNCTION("""COMPUTED_VALUE"""),"Crafting Material, roll a d20 to see how many you get if this is a loot drop.")</f>
        <v>Crafting Material, roll a d20 to see how many you get if this is a loot drop.</v>
      </c>
      <c r="C248" s="1" t="str">
        <f>IFERROR(__xludf.DUMMYFUNCTION("""COMPUTED_VALUE"""),"Item")</f>
        <v>Item</v>
      </c>
      <c r="D248" s="1" t="str">
        <f>IFERROR(__xludf.DUMMYFUNCTION("""COMPUTED_VALUE"""),"Halloween Kingdom")</f>
        <v>Halloween Kingdom</v>
      </c>
    </row>
    <row r="249">
      <c r="A249" s="1" t="str">
        <f>IFERROR(__xludf.DUMMYFUNCTION("""COMPUTED_VALUE"""),"Giant Halloween Diamond")</f>
        <v>Giant Halloween Diamond</v>
      </c>
      <c r="B249" s="1" t="str">
        <f>IFERROR(__xludf.DUMMYFUNCTION("""COMPUTED_VALUE"""),"Crafting Material, roll a d20 to see how many you get if this is a loot drop.")</f>
        <v>Crafting Material, roll a d20 to see how many you get if this is a loot drop.</v>
      </c>
      <c r="C249" s="1" t="str">
        <f>IFERROR(__xludf.DUMMYFUNCTION("""COMPUTED_VALUE"""),"Item")</f>
        <v>Item</v>
      </c>
      <c r="D249" s="1" t="str">
        <f>IFERROR(__xludf.DUMMYFUNCTION("""COMPUTED_VALUE"""),"Halloween Kingdom")</f>
        <v>Halloween Kingdom</v>
      </c>
    </row>
    <row r="250">
      <c r="A250" s="1" t="str">
        <f>IFERROR(__xludf.DUMMYFUNCTION("""COMPUTED_VALUE"""),"Rank 9 Twilight Tome")</f>
        <v>Rank 9 Twilight Tome</v>
      </c>
      <c r="B250" s="1" t="str">
        <f>IFERROR(__xludf.DUMMYFUNCTION("""COMPUTED_VALUE"""),"Allows use of up to Rank 9 Twilight Powers")</f>
        <v>Allows use of up to Rank 9 Twilight Powers</v>
      </c>
      <c r="C250" s="1" t="str">
        <f>IFERROR(__xludf.DUMMYFUNCTION("""COMPUTED_VALUE"""),"Item")</f>
        <v>Item</v>
      </c>
      <c r="D250" s="1" t="str">
        <f>IFERROR(__xludf.DUMMYFUNCTION("""COMPUTED_VALUE"""),"Land of Spira")</f>
        <v>Land of Spira</v>
      </c>
    </row>
    <row r="251">
      <c r="A251" s="1" t="str">
        <f>IFERROR(__xludf.DUMMYFUNCTION("""COMPUTED_VALUE"""),"Stasis Tome Rank 9")</f>
        <v>Stasis Tome Rank 9</v>
      </c>
      <c r="B251" s="1" t="str">
        <f>IFERROR(__xludf.DUMMYFUNCTION("""COMPUTED_VALUE"""),"Allows use of up to Rank 9 Stasis Powers")</f>
        <v>Allows use of up to Rank 9 Stasis Powers</v>
      </c>
      <c r="C251" s="1" t="str">
        <f>IFERROR(__xludf.DUMMYFUNCTION("""COMPUTED_VALUE"""),"Item")</f>
        <v>Item</v>
      </c>
      <c r="D251" s="1" t="str">
        <f>IFERROR(__xludf.DUMMYFUNCTION("""COMPUTED_VALUE"""),"Land of Spira")</f>
        <v>Land of Spira</v>
      </c>
    </row>
    <row r="252">
      <c r="A252" s="1" t="str">
        <f>IFERROR(__xludf.DUMMYFUNCTION("""COMPUTED_VALUE"""),"Celestial Core")</f>
        <v>Celestial Core</v>
      </c>
      <c r="B252" s="1" t="str">
        <f>IFERROR(__xludf.DUMMYFUNCTION("""COMPUTED_VALUE"""),"Crafting Material, roll a d20 to see how many you get if this is a loot drop.")</f>
        <v>Crafting Material, roll a d20 to see how many you get if this is a loot drop.</v>
      </c>
      <c r="C252" s="1" t="str">
        <f>IFERROR(__xludf.DUMMYFUNCTION("""COMPUTED_VALUE"""),"Item")</f>
        <v>Item</v>
      </c>
      <c r="D252" s="1" t="str">
        <f>IFERROR(__xludf.DUMMYFUNCTION("""COMPUTED_VALUE"""),"Land of Spira")</f>
        <v>Land of Spira</v>
      </c>
    </row>
    <row r="253">
      <c r="A253" s="1" t="str">
        <f>IFERROR(__xludf.DUMMYFUNCTION("""COMPUTED_VALUE"""),"Vampires Tooth")</f>
        <v>Vampires Tooth</v>
      </c>
      <c r="B253" s="1" t="str">
        <f>IFERROR(__xludf.DUMMYFUNCTION("""COMPUTED_VALUE"""),"Crafting Material, roll a d20 to see how many you get if this is a loot drop.")</f>
        <v>Crafting Material, roll a d20 to see how many you get if this is a loot drop.</v>
      </c>
      <c r="C253" s="1" t="str">
        <f>IFERROR(__xludf.DUMMYFUNCTION("""COMPUTED_VALUE"""),"Item")</f>
        <v>Item</v>
      </c>
      <c r="D253" s="1" t="str">
        <f>IFERROR(__xludf.DUMMYFUNCTION("""COMPUTED_VALUE"""),"Land of Spira")</f>
        <v>Land of Spira</v>
      </c>
    </row>
    <row r="254">
      <c r="A254" s="1" t="str">
        <f>IFERROR(__xludf.DUMMYFUNCTION("""COMPUTED_VALUE"""),"Cursed Statue Of Knowing")</f>
        <v>Cursed Statue Of Knowing</v>
      </c>
      <c r="B254" s="1" t="str">
        <f>IFERROR(__xludf.DUMMYFUNCTION("""COMPUTED_VALUE"""),"Quest item.")</f>
        <v>Quest item.</v>
      </c>
      <c r="C254" s="1" t="str">
        <f>IFERROR(__xludf.DUMMYFUNCTION("""COMPUTED_VALUE"""),"Item")</f>
        <v>Item</v>
      </c>
      <c r="D254" s="1" t="str">
        <f>IFERROR(__xludf.DUMMYFUNCTION("""COMPUTED_VALUE"""),"Land of Spira")</f>
        <v>Land of Spira</v>
      </c>
    </row>
    <row r="255">
      <c r="A255" s="1" t="str">
        <f>IFERROR(__xludf.DUMMYFUNCTION("""COMPUTED_VALUE"""),"Orb Of Shadows")</f>
        <v>Orb Of Shadows</v>
      </c>
      <c r="B255" s="1" t="str">
        <f>IFERROR(__xludf.DUMMYFUNCTION("""COMPUTED_VALUE"""),"Quest item.")</f>
        <v>Quest item.</v>
      </c>
      <c r="C255" s="1" t="str">
        <f>IFERROR(__xludf.DUMMYFUNCTION("""COMPUTED_VALUE"""),"Item")</f>
        <v>Item</v>
      </c>
      <c r="D255" s="1" t="str">
        <f>IFERROR(__xludf.DUMMYFUNCTION("""COMPUTED_VALUE"""),"Land of Spira")</f>
        <v>Land of Spira</v>
      </c>
    </row>
    <row r="256">
      <c r="A256" s="1" t="str">
        <f>IFERROR(__xludf.DUMMYFUNCTION("""COMPUTED_VALUE"""),"Blessed Torch")</f>
        <v>Blessed Torch</v>
      </c>
      <c r="B256" s="1" t="str">
        <f>IFERROR(__xludf.DUMMYFUNCTION("""COMPUTED_VALUE"""),"Lights a bonfire. (guaranteed drop)")</f>
        <v>Lights a bonfire. (guaranteed drop)</v>
      </c>
      <c r="C256" s="1" t="str">
        <f>IFERROR(__xludf.DUMMYFUNCTION("""COMPUTED_VALUE"""),"Item")</f>
        <v>Item</v>
      </c>
      <c r="D256" s="1" t="str">
        <f>IFERROR(__xludf.DUMMYFUNCTION("""COMPUTED_VALUE"""),"Land of Spira")</f>
        <v>Land of Spira</v>
      </c>
    </row>
    <row r="257">
      <c r="A257" s="1" t="str">
        <f>IFERROR(__xludf.DUMMYFUNCTION("""COMPUTED_VALUE"""),"Pebble of Fertility")</f>
        <v>Pebble of Fertility</v>
      </c>
      <c r="B257" s="1" t="str">
        <f>IFERROR(__xludf.DUMMYFUNCTION("""COMPUTED_VALUE"""),"double the loot when consumed before battle.")</f>
        <v>double the loot when consumed before battle.</v>
      </c>
      <c r="C257" s="1" t="str">
        <f>IFERROR(__xludf.DUMMYFUNCTION("""COMPUTED_VALUE"""),"Item")</f>
        <v>Item</v>
      </c>
      <c r="D257" s="1" t="str">
        <f>IFERROR(__xludf.DUMMYFUNCTION("""COMPUTED_VALUE"""),"Land of Spira")</f>
        <v>Land of Spira</v>
      </c>
    </row>
    <row r="258">
      <c r="A258" s="1" t="str">
        <f>IFERROR(__xludf.DUMMYFUNCTION("""COMPUTED_VALUE"""),"Forest Faery Egg")</f>
        <v>Forest Faery Egg</v>
      </c>
      <c r="B258" s="1" t="str">
        <f>IFERROR(__xludf.DUMMYFUNCTION("""COMPUTED_VALUE"""),"Gives a Faery companion (60) (must be in a forest for the egg to hatch)")</f>
        <v>Gives a Faery companion (60) (must be in a forest for the egg to hatch)</v>
      </c>
      <c r="C258" s="1" t="str">
        <f>IFERROR(__xludf.DUMMYFUNCTION("""COMPUTED_VALUE"""),"Item")</f>
        <v>Item</v>
      </c>
      <c r="D258" s="1" t="str">
        <f>IFERROR(__xludf.DUMMYFUNCTION("""COMPUTED_VALUE"""),"Land of Spira")</f>
        <v>Land of Spira</v>
      </c>
    </row>
    <row r="259">
      <c r="A259" s="1" t="str">
        <f>IFERROR(__xludf.DUMMYFUNCTION("""COMPUTED_VALUE"""),"Pandan flower")</f>
        <v>Pandan flower</v>
      </c>
      <c r="B259" s="1" t="str">
        <f>IFERROR(__xludf.DUMMYFUNCTION("""COMPUTED_VALUE"""),"Cures 1 curse")</f>
        <v>Cures 1 curse</v>
      </c>
      <c r="C259" s="1" t="str">
        <f>IFERROR(__xludf.DUMMYFUNCTION("""COMPUTED_VALUE"""),"Item")</f>
        <v>Item</v>
      </c>
      <c r="D259" s="1" t="str">
        <f>IFERROR(__xludf.DUMMYFUNCTION("""COMPUTED_VALUE"""),"Land of Spira")</f>
        <v>Land of Spira</v>
      </c>
    </row>
    <row r="260">
      <c r="A260" s="1" t="str">
        <f>IFERROR(__xludf.DUMMYFUNCTION("""COMPUTED_VALUE"""),"Rank 5 Earth Tome")</f>
        <v>Rank 5 Earth Tome</v>
      </c>
      <c r="B260" s="1" t="str">
        <f>IFERROR(__xludf.DUMMYFUNCTION("""COMPUTED_VALUE"""),"Allows use of up to Rank 5 Earth Powers")</f>
        <v>Allows use of up to Rank 5 Earth Powers</v>
      </c>
      <c r="C260" s="1" t="str">
        <f>IFERROR(__xludf.DUMMYFUNCTION("""COMPUTED_VALUE"""),"Item")</f>
        <v>Item</v>
      </c>
      <c r="D260" s="1" t="str">
        <f>IFERROR(__xludf.DUMMYFUNCTION("""COMPUTED_VALUE"""),"Land of Spira")</f>
        <v>Land of Spira</v>
      </c>
    </row>
    <row r="261">
      <c r="A261" s="1" t="str">
        <f>IFERROR(__xludf.DUMMYFUNCTION("""COMPUTED_VALUE"""),"Earth Gem")</f>
        <v>Earth Gem</v>
      </c>
      <c r="B261" s="1" t="str">
        <f>IFERROR(__xludf.DUMMYFUNCTION("""COMPUTED_VALUE"""),"Crafting Material, roll a d20 to see how many you get if this is a loot drop.")</f>
        <v>Crafting Material, roll a d20 to see how many you get if this is a loot drop.</v>
      </c>
      <c r="C261" s="1" t="str">
        <f>IFERROR(__xludf.DUMMYFUNCTION("""COMPUTED_VALUE"""),"Item")</f>
        <v>Item</v>
      </c>
      <c r="D261" s="1" t="str">
        <f>IFERROR(__xludf.DUMMYFUNCTION("""COMPUTED_VALUE"""),"Land of Spira")</f>
        <v>Land of Spira</v>
      </c>
    </row>
    <row r="262">
      <c r="A262" s="1" t="str">
        <f>IFERROR(__xludf.DUMMYFUNCTION("""COMPUTED_VALUE"""),"Key Of Knowledge")</f>
        <v>Key Of Knowledge</v>
      </c>
      <c r="B262" s="1" t="str">
        <f>IFERROR(__xludf.DUMMYFUNCTION("""COMPUTED_VALUE"""),"grants access to the room of knowledge")</f>
        <v>grants access to the room of knowledge</v>
      </c>
      <c r="C262" s="1" t="str">
        <f>IFERROR(__xludf.DUMMYFUNCTION("""COMPUTED_VALUE"""),"Item")</f>
        <v>Item</v>
      </c>
      <c r="D262" s="1" t="str">
        <f>IFERROR(__xludf.DUMMYFUNCTION("""COMPUTED_VALUE"""),"Land of Spira")</f>
        <v>Land of Spira</v>
      </c>
    </row>
    <row r="263">
      <c r="A263" s="1" t="str">
        <f>IFERROR(__xludf.DUMMYFUNCTION("""COMPUTED_VALUE"""),"Medallion 1")</f>
        <v>Medallion 1</v>
      </c>
      <c r="B263" s="1" t="str">
        <f>IFERROR(__xludf.DUMMYFUNCTION("""COMPUTED_VALUE"""),"Grants access to the Ruins of Mana.")</f>
        <v>Grants access to the Ruins of Mana.</v>
      </c>
      <c r="C263" s="1" t="str">
        <f>IFERROR(__xludf.DUMMYFUNCTION("""COMPUTED_VALUE"""),"Item")</f>
        <v>Item</v>
      </c>
      <c r="D263" s="1" t="str">
        <f>IFERROR(__xludf.DUMMYFUNCTION("""COMPUTED_VALUE"""),"Land of Spira")</f>
        <v>Land of Spira</v>
      </c>
    </row>
    <row r="264">
      <c r="A264" s="1" t="str">
        <f>IFERROR(__xludf.DUMMYFUNCTION("""COMPUTED_VALUE"""),"Medallion 2")</f>
        <v>Medallion 2</v>
      </c>
      <c r="B264" s="1" t="str">
        <f>IFERROR(__xludf.DUMMYFUNCTION("""COMPUTED_VALUE"""),"Grants access to the Ruins of Mana.")</f>
        <v>Grants access to the Ruins of Mana.</v>
      </c>
      <c r="C264" s="1" t="str">
        <f>IFERROR(__xludf.DUMMYFUNCTION("""COMPUTED_VALUE"""),"Item")</f>
        <v>Item</v>
      </c>
      <c r="D264" s="1" t="str">
        <f>IFERROR(__xludf.DUMMYFUNCTION("""COMPUTED_VALUE"""),"Land of Spira")</f>
        <v>Land of Spira</v>
      </c>
    </row>
    <row r="265">
      <c r="A265" s="1" t="str">
        <f>IFERROR(__xludf.DUMMYFUNCTION("""COMPUTED_VALUE"""),"Medallion 3")</f>
        <v>Medallion 3</v>
      </c>
      <c r="B265" s="1" t="str">
        <f>IFERROR(__xludf.DUMMYFUNCTION("""COMPUTED_VALUE"""),"Grants access to the Ruins of Mana.")</f>
        <v>Grants access to the Ruins of Mana.</v>
      </c>
      <c r="C265" s="1" t="str">
        <f>IFERROR(__xludf.DUMMYFUNCTION("""COMPUTED_VALUE"""),"Item")</f>
        <v>Item</v>
      </c>
      <c r="D265" s="1" t="str">
        <f>IFERROR(__xludf.DUMMYFUNCTION("""COMPUTED_VALUE"""),"Land of Spira")</f>
        <v>Land of Spira</v>
      </c>
    </row>
    <row r="266">
      <c r="A266" s="1" t="str">
        <f>IFERROR(__xludf.DUMMYFUNCTION("""COMPUTED_VALUE"""),"Medallion 4")</f>
        <v>Medallion 4</v>
      </c>
      <c r="B266" s="1" t="str">
        <f>IFERROR(__xludf.DUMMYFUNCTION("""COMPUTED_VALUE"""),"Grants access to the Ruins of Mana.")</f>
        <v>Grants access to the Ruins of Mana.</v>
      </c>
      <c r="C266" s="1" t="str">
        <f>IFERROR(__xludf.DUMMYFUNCTION("""COMPUTED_VALUE"""),"Item")</f>
        <v>Item</v>
      </c>
      <c r="D266" s="1" t="str">
        <f>IFERROR(__xludf.DUMMYFUNCTION("""COMPUTED_VALUE"""),"Land of Spira")</f>
        <v>Land of Spira</v>
      </c>
    </row>
    <row r="267">
      <c r="A267" s="1" t="str">
        <f>IFERROR(__xludf.DUMMYFUNCTION("""COMPUTED_VALUE"""),"Enchanted Ice Gem")</f>
        <v>Enchanted Ice Gem</v>
      </c>
      <c r="B267" s="1" t="str">
        <f>IFERROR(__xludf.DUMMYFUNCTION("""COMPUTED_VALUE"""),"Crafting Material, roll a d20 to see how many you get if this is a loot drop., can be forged into an weapon to give it +5%  chance of freezing 1 target. can forge multiple of these gems together to increase the percentage to a max of 100%")</f>
        <v>Crafting Material, roll a d20 to see how many you get if this is a loot drop., can be forged into an weapon to give it +5%  chance of freezing 1 target. can forge multiple of these gems together to increase the percentage to a max of 100%</v>
      </c>
      <c r="C267" s="1" t="str">
        <f>IFERROR(__xludf.DUMMYFUNCTION("""COMPUTED_VALUE"""),"Item")</f>
        <v>Item</v>
      </c>
      <c r="D267" s="1" t="str">
        <f>IFERROR(__xludf.DUMMYFUNCTION("""COMPUTED_VALUE"""),"Land of Spira")</f>
        <v>Land of Spira</v>
      </c>
    </row>
    <row r="268">
      <c r="A268" s="1" t="str">
        <f>IFERROR(__xludf.DUMMYFUNCTION("""COMPUTED_VALUE"""),"Carnelian Crystal")</f>
        <v>Carnelian Crystal</v>
      </c>
      <c r="B268" s="1" t="str">
        <f>IFERROR(__xludf.DUMMYFUNCTION("""COMPUTED_VALUE"""),"Can be forged into armor, one crystal max inside forged equipment. +2 Mobility  ")</f>
        <v>Can be forged into armor, one crystal max inside forged equipment. +2 Mobility  </v>
      </c>
      <c r="C268" s="1" t="str">
        <f>IFERROR(__xludf.DUMMYFUNCTION("""COMPUTED_VALUE"""),"Item")</f>
        <v>Item</v>
      </c>
      <c r="D268" s="1" t="str">
        <f>IFERROR(__xludf.DUMMYFUNCTION("""COMPUTED_VALUE"""),"Land of Spira")</f>
        <v>Land of Spira</v>
      </c>
    </row>
    <row r="269">
      <c r="A269" s="1" t="str">
        <f>IFERROR(__xludf.DUMMYFUNCTION("""COMPUTED_VALUE"""),"Citrine Crystal")</f>
        <v>Citrine Crystal</v>
      </c>
      <c r="B269" s="1" t="str">
        <f>IFERROR(__xludf.DUMMYFUNCTION("""COMPUTED_VALUE"""),"Can be forged into armor, one crystal max inside forged equipment. 25% chance to move up one spot in the turn order this effect is unnaffected by other forged items/effects.")</f>
        <v>Can be forged into armor, one crystal max inside forged equipment. 25% chance to move up one spot in the turn order this effect is unnaffected by other forged items/effects.</v>
      </c>
      <c r="C269" s="1" t="str">
        <f>IFERROR(__xludf.DUMMYFUNCTION("""COMPUTED_VALUE"""),"Item")</f>
        <v>Item</v>
      </c>
      <c r="D269" s="1" t="str">
        <f>IFERROR(__xludf.DUMMYFUNCTION("""COMPUTED_VALUE"""),"Land of Spira")</f>
        <v>Land of Spira</v>
      </c>
    </row>
    <row r="270">
      <c r="A270" s="1" t="str">
        <f>IFERROR(__xludf.DUMMYFUNCTION("""COMPUTED_VALUE"""),"Tiger's Eye Crystal")</f>
        <v>Tiger's Eye Crystal</v>
      </c>
      <c r="B270" s="1" t="str">
        <f>IFERROR(__xludf.DUMMYFUNCTION("""COMPUTED_VALUE"""),"Can be forged into a weapon, one crystal max inside forged equipment. 25% chance to dodge an attack, this effect is unnaffected by other forged items/effects.")</f>
        <v>Can be forged into a weapon, one crystal max inside forged equipment. 25% chance to dodge an attack, this effect is unnaffected by other forged items/effects.</v>
      </c>
      <c r="C270" s="1" t="str">
        <f>IFERROR(__xludf.DUMMYFUNCTION("""COMPUTED_VALUE"""),"Item")</f>
        <v>Item</v>
      </c>
      <c r="D270" s="1" t="str">
        <f>IFERROR(__xludf.DUMMYFUNCTION("""COMPUTED_VALUE"""),"Land of Spira")</f>
        <v>Land of Spira</v>
      </c>
    </row>
    <row r="271">
      <c r="A271" s="1" t="str">
        <f>IFERROR(__xludf.DUMMYFUNCTION("""COMPUTED_VALUE"""),"Lodestone Crystal")</f>
        <v>Lodestone Crystal</v>
      </c>
      <c r="B271" s="1" t="str">
        <f>IFERROR(__xludf.DUMMYFUNCTION("""COMPUTED_VALUE"""),"Can be forged into a weapon, one crystal max inside forged equipment. absorbs the first attack of each battle.")</f>
        <v>Can be forged into a weapon, one crystal max inside forged equipment. absorbs the first attack of each battle.</v>
      </c>
      <c r="C271" s="1" t="str">
        <f>IFERROR(__xludf.DUMMYFUNCTION("""COMPUTED_VALUE"""),"Item")</f>
        <v>Item</v>
      </c>
      <c r="D271" s="1" t="str">
        <f>IFERROR(__xludf.DUMMYFUNCTION("""COMPUTED_VALUE"""),"Land of Spira")</f>
        <v>Land of Spira</v>
      </c>
    </row>
    <row r="272">
      <c r="A272" s="1" t="str">
        <f>IFERROR(__xludf.DUMMYFUNCTION("""COMPUTED_VALUE"""),"Peridot Crystal")</f>
        <v>Peridot Crystal</v>
      </c>
      <c r="B272" s="1" t="str">
        <f>IFERROR(__xludf.DUMMYFUNCTION("""COMPUTED_VALUE"""),"Can be forged into a armor, one crystal max inside forged equipment. +300HP per round.")</f>
        <v>Can be forged into a armor, one crystal max inside forged equipment. +300HP per round.</v>
      </c>
      <c r="C272" s="1" t="str">
        <f>IFERROR(__xludf.DUMMYFUNCTION("""COMPUTED_VALUE"""),"Item")</f>
        <v>Item</v>
      </c>
      <c r="D272" s="1" t="str">
        <f>IFERROR(__xludf.DUMMYFUNCTION("""COMPUTED_VALUE"""),"Land of Spira")</f>
        <v>Land of Spira</v>
      </c>
    </row>
    <row r="273">
      <c r="A273" s="1" t="str">
        <f>IFERROR(__xludf.DUMMYFUNCTION("""COMPUTED_VALUE"""),"Golden Topaz")</f>
        <v>Golden Topaz</v>
      </c>
      <c r="B273" s="1" t="str">
        <f>IFERROR(__xludf.DUMMYFUNCTION("""COMPUTED_VALUE"""),"Can be forged into a armor, one crystal max inside forged equipment. 50% chance to cure a curse for user only while cursed, this effect is unnaffected by other forged items/effects.")</f>
        <v>Can be forged into a armor, one crystal max inside forged equipment. 50% chance to cure a curse for user only while cursed, this effect is unnaffected by other forged items/effects.</v>
      </c>
      <c r="C273" s="1" t="str">
        <f>IFERROR(__xludf.DUMMYFUNCTION("""COMPUTED_VALUE"""),"Item")</f>
        <v>Item</v>
      </c>
      <c r="D273" s="1" t="str">
        <f>IFERROR(__xludf.DUMMYFUNCTION("""COMPUTED_VALUE"""),"Land of Spira")</f>
        <v>Land of Spira</v>
      </c>
    </row>
    <row r="274">
      <c r="A274" s="1" t="str">
        <f>IFERROR(__xludf.DUMMYFUNCTION("""COMPUTED_VALUE"""),"Sea Crystal ")</f>
        <v>Sea Crystal </v>
      </c>
      <c r="B274" s="1" t="str">
        <f>IFERROR(__xludf.DUMMYFUNCTION("""COMPUTED_VALUE"""),"Can be forged into an item. all water damage now gives hp and sp back equal to the amount of damage caused. Cannot be duplicated.")</f>
        <v>Can be forged into an item. all water damage now gives hp and sp back equal to the amount of damage caused. Cannot be duplicated.</v>
      </c>
      <c r="C274" s="1" t="str">
        <f>IFERROR(__xludf.DUMMYFUNCTION("""COMPUTED_VALUE"""),"Item")</f>
        <v>Item</v>
      </c>
      <c r="D274" s="1" t="str">
        <f>IFERROR(__xludf.DUMMYFUNCTION("""COMPUTED_VALUE"""),"Land of The Forgotten")</f>
        <v>Land of The Forgotten</v>
      </c>
    </row>
    <row r="275">
      <c r="A275" s="1" t="str">
        <f>IFERROR(__xludf.DUMMYFUNCTION("""COMPUTED_VALUE"""),"The Root Of Nature")</f>
        <v>The Root Of Nature</v>
      </c>
      <c r="B275" s="1" t="str">
        <f>IFERROR(__xludf.DUMMYFUNCTION("""COMPUTED_VALUE"""),"Can be brewed into a potion then consumed to give the user permanant immunity to nature and give the user a permanant x10 to nature damage. Cannot be duplicated.")</f>
        <v>Can be brewed into a potion then consumed to give the user permanant immunity to nature and give the user a permanant x10 to nature damage. Cannot be duplicated.</v>
      </c>
      <c r="C275" s="1" t="str">
        <f>IFERROR(__xludf.DUMMYFUNCTION("""COMPUTED_VALUE"""),"Item")</f>
        <v>Item</v>
      </c>
      <c r="D275" s="1" t="str">
        <f>IFERROR(__xludf.DUMMYFUNCTION("""COMPUTED_VALUE"""),"Land of The Forgotten")</f>
        <v>Land of The Forgotten</v>
      </c>
    </row>
    <row r="276">
      <c r="A276" s="1" t="str">
        <f>IFERROR(__xludf.DUMMYFUNCTION("""COMPUTED_VALUE"""),"Rich Sand")</f>
        <v>Rich Sand</v>
      </c>
      <c r="B276" s="1" t="str">
        <f>IFERROR(__xludf.DUMMYFUNCTION("""COMPUTED_VALUE"""),"can be forged into armor to give the user an immunity to earth and X10 earth damage. Cannot be duplicated.")</f>
        <v>can be forged into armor to give the user an immunity to earth and X10 earth damage. Cannot be duplicated.</v>
      </c>
      <c r="C276" s="1" t="str">
        <f>IFERROR(__xludf.DUMMYFUNCTION("""COMPUTED_VALUE"""),"Item")</f>
        <v>Item</v>
      </c>
      <c r="D276" s="1" t="str">
        <f>IFERROR(__xludf.DUMMYFUNCTION("""COMPUTED_VALUE"""),"Land of The Forgotten")</f>
        <v>Land of The Forgotten</v>
      </c>
    </row>
    <row r="277">
      <c r="A277" s="1" t="str">
        <f>IFERROR(__xludf.DUMMYFUNCTION("""COMPUTED_VALUE"""),"Sacred Sap")</f>
        <v>Sacred Sap</v>
      </c>
      <c r="B277" s="1" t="str">
        <f>IFERROR(__xludf.DUMMYFUNCTION("""COMPUTED_VALUE"""),"Can be brewed into a potion then consumed to gain 200 levels. Cannot be duplicated.")</f>
        <v>Can be brewed into a potion then consumed to gain 200 levels. Cannot be duplicated.</v>
      </c>
      <c r="C277" s="1" t="str">
        <f>IFERROR(__xludf.DUMMYFUNCTION("""COMPUTED_VALUE"""),"Item")</f>
        <v>Item</v>
      </c>
      <c r="D277" s="1" t="str">
        <f>IFERROR(__xludf.DUMMYFUNCTION("""COMPUTED_VALUE"""),"Land of The Forgotten")</f>
        <v>Land of The Forgotten</v>
      </c>
    </row>
    <row r="278">
      <c r="A278" s="1" t="str">
        <f>IFERROR(__xludf.DUMMYFUNCTION("""COMPUTED_VALUE"""),"Frozen Shard")</f>
        <v>Frozen Shard</v>
      </c>
      <c r="B278" s="1" t="str">
        <f>IFERROR(__xludf.DUMMYFUNCTION("""COMPUTED_VALUE"""),"Can be forged into a weapon to give it a 100% chance to freeze a target it hits, or forged into a piece of armor to give you immunity to freezing. Cannot be duplicated.")</f>
        <v>Can be forged into a weapon to give it a 100% chance to freeze a target it hits, or forged into a piece of armor to give you immunity to freezing. Cannot be duplicated.</v>
      </c>
      <c r="C278" s="1" t="str">
        <f>IFERROR(__xludf.DUMMYFUNCTION("""COMPUTED_VALUE"""),"Item")</f>
        <v>Item</v>
      </c>
      <c r="D278" s="1" t="str">
        <f>IFERROR(__xludf.DUMMYFUNCTION("""COMPUTED_VALUE"""),"Land of The Forgotten")</f>
        <v>Land of The Forgotten</v>
      </c>
    </row>
    <row r="279">
      <c r="A279" s="1" t="str">
        <f>IFERROR(__xludf.DUMMYFUNCTION("""COMPUTED_VALUE"""),"Tome of Chaotic Darkness")</f>
        <v>Tome of Chaotic Darkness</v>
      </c>
      <c r="B279" s="1" t="str">
        <f>IFERROR(__xludf.DUMMYFUNCTION("""COMPUTED_VALUE"""),"Allows use of up to Rank 9 Dark and Chaos Powers.")</f>
        <v>Allows use of up to Rank 9 Dark and Chaos Powers.</v>
      </c>
      <c r="C279" s="1" t="str">
        <f>IFERROR(__xludf.DUMMYFUNCTION("""COMPUTED_VALUE"""),"Item")</f>
        <v>Item</v>
      </c>
      <c r="D279" s="1" t="str">
        <f>IFERROR(__xludf.DUMMYFUNCTION("""COMPUTED_VALUE"""),"Abstara")</f>
        <v>Abstara</v>
      </c>
    </row>
    <row r="280">
      <c r="A280" s="1" t="str">
        <f>IFERROR(__xludf.DUMMYFUNCTION("""COMPUTED_VALUE"""),"The Land of The Forgotten Map")</f>
        <v>The Land of The Forgotten Map</v>
      </c>
      <c r="B280" s="1" t="str">
        <f>IFERROR(__xludf.DUMMYFUNCTION("""COMPUTED_VALUE"""),"Shows you where to find The Land of The Forgotten.")</f>
        <v>Shows you where to find The Land of The Forgotten.</v>
      </c>
      <c r="C280" s="1" t="str">
        <f>IFERROR(__xludf.DUMMYFUNCTION("""COMPUTED_VALUE"""),"Item")</f>
        <v>Item</v>
      </c>
      <c r="D280" s="1" t="str">
        <f>IFERROR(__xludf.DUMMYFUNCTION("""COMPUTED_VALUE"""),"Land of The Forgotten")</f>
        <v>Land of The Forgotten</v>
      </c>
    </row>
    <row r="281">
      <c r="A281" s="1" t="str">
        <f>IFERROR(__xludf.DUMMYFUNCTION("""COMPUTED_VALUE"""),"Corn On The Cob")</f>
        <v>Corn On The Cob</v>
      </c>
      <c r="B281" s="1" t="str">
        <f>IFERROR(__xludf.DUMMYFUNCTION("""COMPUTED_VALUE"""),"Restores 10 hunger.")</f>
        <v>Restores 10 hunger.</v>
      </c>
      <c r="C281" s="1" t="str">
        <f>IFERROR(__xludf.DUMMYFUNCTION("""COMPUTED_VALUE"""),"Crop")</f>
        <v>Crop</v>
      </c>
      <c r="D281" s="1" t="str">
        <f>IFERROR(__xludf.DUMMYFUNCTION("""COMPUTED_VALUE"""),"Land of Spira")</f>
        <v>Land of Spira</v>
      </c>
    </row>
    <row r="282">
      <c r="A282" s="1" t="str">
        <f>IFERROR(__xludf.DUMMYFUNCTION("""COMPUTED_VALUE"""),"Festival Bread Loaf")</f>
        <v>Festival Bread Loaf</v>
      </c>
      <c r="B282" s="1" t="str">
        <f>IFERROR(__xludf.DUMMYFUNCTION("""COMPUTED_VALUE"""),"Restores 30 hunger and decreases 10 thirst.")</f>
        <v>Restores 30 hunger and decreases 10 thirst.</v>
      </c>
      <c r="C282" s="1" t="str">
        <f>IFERROR(__xludf.DUMMYFUNCTION("""COMPUTED_VALUE"""),"Crop")</f>
        <v>Crop</v>
      </c>
      <c r="D282" s="1" t="str">
        <f>IFERROR(__xludf.DUMMYFUNCTION("""COMPUTED_VALUE"""),"Land of Spira")</f>
        <v>Land of Spira</v>
      </c>
    </row>
    <row r="283">
      <c r="A283" s="1" t="str">
        <f>IFERROR(__xludf.DUMMYFUNCTION("""COMPUTED_VALUE"""),"Fruit Cake")</f>
        <v>Fruit Cake</v>
      </c>
      <c r="B283" s="1" t="str">
        <f>IFERROR(__xludf.DUMMYFUNCTION("""COMPUTED_VALUE"""),"Restores 20 energy and hunger")</f>
        <v>Restores 20 energy and hunger</v>
      </c>
      <c r="C283" s="1" t="str">
        <f>IFERROR(__xludf.DUMMYFUNCTION("""COMPUTED_VALUE"""),"Crop")</f>
        <v>Crop</v>
      </c>
      <c r="D283" s="1" t="str">
        <f>IFERROR(__xludf.DUMMYFUNCTION("""COMPUTED_VALUE"""),"Land of Spira")</f>
        <v>Land of Spira</v>
      </c>
    </row>
    <row r="284">
      <c r="A284" s="1" t="str">
        <f>IFERROR(__xludf.DUMMYFUNCTION("""COMPUTED_VALUE"""),"Festival Mead")</f>
        <v>Festival Mead</v>
      </c>
      <c r="B284" s="1" t="str">
        <f>IFERROR(__xludf.DUMMYFUNCTION("""COMPUTED_VALUE"""),"Restores 20 thirst.")</f>
        <v>Restores 20 thirst.</v>
      </c>
      <c r="C284" s="1" t="str">
        <f>IFERROR(__xludf.DUMMYFUNCTION("""COMPUTED_VALUE"""),"Item")</f>
        <v>Item</v>
      </c>
      <c r="D284" s="1" t="str">
        <f>IFERROR(__xludf.DUMMYFUNCTION("""COMPUTED_VALUE"""),"Land of Spira")</f>
        <v>Land of Spira</v>
      </c>
    </row>
    <row r="285">
      <c r="A285" s="1" t="str">
        <f>IFERROR(__xludf.DUMMYFUNCTION("""COMPUTED_VALUE"""),"Lemonade")</f>
        <v>Lemonade</v>
      </c>
      <c r="B285" s="1" t="str">
        <f>IFERROR(__xludf.DUMMYFUNCTION("""COMPUTED_VALUE"""),"Restores 10 thirst and energy.")</f>
        <v>Restores 10 thirst and energy.</v>
      </c>
      <c r="C285" s="1" t="str">
        <f>IFERROR(__xludf.DUMMYFUNCTION("""COMPUTED_VALUE"""),"Item")</f>
        <v>Item</v>
      </c>
      <c r="D285" s="1" t="str">
        <f>IFERROR(__xludf.DUMMYFUNCTION("""COMPUTED_VALUE"""),"Land of Spira")</f>
        <v>Land of Spira</v>
      </c>
    </row>
    <row r="286">
      <c r="A286" s="1" t="str">
        <f>IFERROR(__xludf.DUMMYFUNCTION("""COMPUTED_VALUE"""),"Forbidden Amulet Shard")</f>
        <v>Forbidden Amulet Shard</v>
      </c>
      <c r="B286" s="1" t="str">
        <f>IFERROR(__xludf.DUMMYFUNCTION("""COMPUTED_VALUE"""),"A piece of shard that is used to create The Forbidden Amulet of The Halloween Kingdom when you collect all of the pieces.")</f>
        <v>A piece of shard that is used to create The Forbidden Amulet of The Halloween Kingdom when you collect all of the pieces.</v>
      </c>
      <c r="C286" s="1" t="str">
        <f>IFERROR(__xludf.DUMMYFUNCTION("""COMPUTED_VALUE"""),"Item")</f>
        <v>Item</v>
      </c>
      <c r="D286" s="1" t="str">
        <f>IFERROR(__xludf.DUMMYFUNCTION("""COMPUTED_VALUE"""),"Halloween Kingdom")</f>
        <v>Halloween Kingdom</v>
      </c>
    </row>
    <row r="287">
      <c r="A287" s="1" t="str">
        <f>IFERROR(__xludf.DUMMYFUNCTION("""COMPUTED_VALUE"""),"The Forbidden Amulet of The Halloween Kingdom.")</f>
        <v>The Forbidden Amulet of The Halloween Kingdom.</v>
      </c>
      <c r="B287" s="1" t="str">
        <f>IFERROR(__xludf.DUMMYFUNCTION("""COMPUTED_VALUE"""),"An amulet used to break the barrier on Lord Dreadfuls castle in the Halloween Kingdom.")</f>
        <v>An amulet used to break the barrier on Lord Dreadfuls castle in the Halloween Kingdom.</v>
      </c>
      <c r="C287" s="1" t="str">
        <f>IFERROR(__xludf.DUMMYFUNCTION("""COMPUTED_VALUE"""),"Item")</f>
        <v>Item</v>
      </c>
      <c r="D287" s="1" t="str">
        <f>IFERROR(__xludf.DUMMYFUNCTION("""COMPUTED_VALUE"""),"Halloween Kingdom")</f>
        <v>Halloween Kingdom</v>
      </c>
    </row>
    <row r="288">
      <c r="A288" s="1" t="str">
        <f>IFERROR(__xludf.DUMMYFUNCTION("""COMPUTED_VALUE"""),"Slime Jelly")</f>
        <v>Slime Jelly</v>
      </c>
      <c r="B288" s="1" t="str">
        <f>IFERROR(__xludf.DUMMYFUNCTION("""COMPUTED_VALUE"""),"Restores 50 HP, 75 Mana, 50 Hunger, and 50 Thirst, -30 Energy cause it tastes bad")</f>
        <v>Restores 50 HP, 75 Mana, 50 Hunger, and 50 Thirst, -30 Energy cause it tastes bad</v>
      </c>
      <c r="C288" s="1" t="str">
        <f>IFERROR(__xludf.DUMMYFUNCTION("""COMPUTED_VALUE"""),"Crop")</f>
        <v>Crop</v>
      </c>
      <c r="D288" s="1" t="str">
        <f>IFERROR(__xludf.DUMMYFUNCTION("""COMPUTED_VALUE"""),"Land of Spira")</f>
        <v>Land of Spira</v>
      </c>
    </row>
    <row r="289">
      <c r="A289" s="1" t="str">
        <f>IFERROR(__xludf.DUMMYFUNCTION("""COMPUTED_VALUE"""),"Broken Robot")</f>
        <v>Broken Robot</v>
      </c>
      <c r="B289" s="1" t="str">
        <f>IFERROR(__xludf.DUMMYFUNCTION("""COMPUTED_VALUE"""),"An item that is purchased and given to a mysterious cloaked figure. ")</f>
        <v>An item that is purchased and given to a mysterious cloaked figure. </v>
      </c>
      <c r="C289" s="1" t="str">
        <f>IFERROR(__xludf.DUMMYFUNCTION("""COMPUTED_VALUE"""),"Item")</f>
        <v>Item</v>
      </c>
      <c r="D289" s="1" t="str">
        <f>IFERROR(__xludf.DUMMYFUNCTION("""COMPUTED_VALUE"""),"Land of Spira")</f>
        <v>Land of Spira</v>
      </c>
    </row>
    <row r="290">
      <c r="A290" s="1" t="str">
        <f>IFERROR(__xludf.DUMMYFUNCTION("""COMPUTED_VALUE"""),"Boar Hide")</f>
        <v>Boar Hide</v>
      </c>
      <c r="B290" s="1" t="str">
        <f>IFERROR(__xludf.DUMMYFUNCTION("""COMPUTED_VALUE"""),"Crafting Material, roll a d20 to see how many you get if this is a loot drop.")</f>
        <v>Crafting Material, roll a d20 to see how many you get if this is a loot drop.</v>
      </c>
      <c r="C290" s="1" t="str">
        <f>IFERROR(__xludf.DUMMYFUNCTION("""COMPUTED_VALUE"""),"Item")</f>
        <v>Item</v>
      </c>
      <c r="D290" s="1" t="str">
        <f>IFERROR(__xludf.DUMMYFUNCTION("""COMPUTED_VALUE"""),"Land of Spira")</f>
        <v>Land of Spira</v>
      </c>
    </row>
    <row r="291">
      <c r="A291" s="1" t="str">
        <f>IFERROR(__xludf.DUMMYFUNCTION("""COMPUTED_VALUE"""),"Bullet")</f>
        <v>Bullet</v>
      </c>
      <c r="B291" s="1" t="str">
        <f>IFERROR(__xludf.DUMMYFUNCTION("""COMPUTED_VALUE"""),"Firearm Ammunition. +100 damage. roll a d20 to see how many you get if this is a loot drop.")</f>
        <v>Firearm Ammunition. +100 damage. roll a d20 to see how many you get if this is a loot drop.</v>
      </c>
      <c r="C291" s="1" t="str">
        <f>IFERROR(__xludf.DUMMYFUNCTION("""COMPUTED_VALUE"""),"Item")</f>
        <v>Item</v>
      </c>
      <c r="D291" s="1" t="str">
        <f>IFERROR(__xludf.DUMMYFUNCTION("""COMPUTED_VALUE"""),"Land of Spira")</f>
        <v>Land of Spira</v>
      </c>
    </row>
    <row r="292">
      <c r="A292" s="1" t="str">
        <f>IFERROR(__xludf.DUMMYFUNCTION("""COMPUTED_VALUE"""),"The Ancient Medallion of Frost")</f>
        <v>The Ancient Medallion of Frost</v>
      </c>
      <c r="B292" s="1" t="str">
        <f>IFERROR(__xludf.DUMMYFUNCTION("""COMPUTED_VALUE"""),"The key to getting into the final tower of the winter event.")</f>
        <v>The key to getting into the final tower of the winter event.</v>
      </c>
      <c r="C292" s="1" t="str">
        <f>IFERROR(__xludf.DUMMYFUNCTION("""COMPUTED_VALUE"""),"Item")</f>
        <v>Item</v>
      </c>
      <c r="D292" s="1" t="str">
        <f>IFERROR(__xludf.DUMMYFUNCTION("""COMPUTED_VALUE"""),"Land of Spira")</f>
        <v>Land of Spira</v>
      </c>
    </row>
    <row r="293">
      <c r="A293" s="1" t="str">
        <f>IFERROR(__xludf.DUMMYFUNCTION("""COMPUTED_VALUE"""),"Gargoyle Stone Tablet")</f>
        <v>Gargoyle Stone Tablet</v>
      </c>
      <c r="B293" s="1" t="str">
        <f>IFERROR(__xludf.DUMMYFUNCTION("""COMPUTED_VALUE"""),"Tells you the Location of 3 Tiny Gargoyles. This item can only be used once.")</f>
        <v>Tells you the Location of 3 Tiny Gargoyles. This item can only be used once.</v>
      </c>
      <c r="C293" s="1" t="str">
        <f>IFERROR(__xludf.DUMMYFUNCTION("""COMPUTED_VALUE"""),"Item")</f>
        <v>Item</v>
      </c>
      <c r="D293" s="1" t="str">
        <f>IFERROR(__xludf.DUMMYFUNCTION("""COMPUTED_VALUE"""),"Abstara")</f>
        <v>Abstara</v>
      </c>
    </row>
    <row r="294">
      <c r="A294" s="1" t="str">
        <f>IFERROR(__xludf.DUMMYFUNCTION("""COMPUTED_VALUE"""),"Map of the Gargoyle’s")</f>
        <v>Map of the Gargoyle’s</v>
      </c>
      <c r="B294" s="1" t="str">
        <f>IFERROR(__xludf.DUMMYFUNCTION("""COMPUTED_VALUE"""),"Allows Use to see Special Gargoyle’s")</f>
        <v>Allows Use to see Special Gargoyle’s</v>
      </c>
      <c r="C294" s="1" t="str">
        <f>IFERROR(__xludf.DUMMYFUNCTION("""COMPUTED_VALUE"""),"Item")</f>
        <v>Item</v>
      </c>
      <c r="D294" s="1" t="str">
        <f>IFERROR(__xludf.DUMMYFUNCTION("""COMPUTED_VALUE"""),"Abstara")</f>
        <v>Abstara</v>
      </c>
    </row>
    <row r="295">
      <c r="A295" s="1" t="str">
        <f>IFERROR(__xludf.DUMMYFUNCTION("""COMPUTED_VALUE"""),"The Tome of Abstara")</f>
        <v>The Tome of Abstara</v>
      </c>
      <c r="B295" s="1" t="str">
        <f>IFERROR(__xludf.DUMMYFUNCTION("""COMPUTED_VALUE"""),"Can use up to Rank 9 Fire, Chaos, and Dark spells.")</f>
        <v>Can use up to Rank 9 Fire, Chaos, and Dark spells.</v>
      </c>
      <c r="C295" s="1" t="str">
        <f>IFERROR(__xludf.DUMMYFUNCTION("""COMPUTED_VALUE"""),"Item")</f>
        <v>Item</v>
      </c>
      <c r="D295" s="1" t="str">
        <f>IFERROR(__xludf.DUMMYFUNCTION("""COMPUTED_VALUE"""),"Abstara")</f>
        <v>Abstara</v>
      </c>
    </row>
    <row r="296">
      <c r="A296" s="1" t="str">
        <f>IFERROR(__xludf.DUMMYFUNCTION("""COMPUTED_VALUE"""),"Gargoyle’s Fishing Pole")</f>
        <v>Gargoyle’s Fishing Pole</v>
      </c>
      <c r="B296" s="1" t="str">
        <f>IFERROR(__xludf.DUMMYFUNCTION("""COMPUTED_VALUE"""),"500/500 Uses. Used for lava fishing. Made of Stone.")</f>
        <v>500/500 Uses. Used for lava fishing. Made of Stone.</v>
      </c>
      <c r="C296" s="1" t="str">
        <f>IFERROR(__xludf.DUMMYFUNCTION("""COMPUTED_VALUE"""),"Item")</f>
        <v>Item</v>
      </c>
      <c r="D296" s="1" t="str">
        <f>IFERROR(__xludf.DUMMYFUNCTION("""COMPUTED_VALUE"""),"Abstara")</f>
        <v>Abstara</v>
      </c>
    </row>
    <row r="297">
      <c r="A297" s="1" t="str">
        <f>IFERROR(__xludf.DUMMYFUNCTION("""COMPUTED_VALUE"""),"Stone Worm")</f>
        <v>Stone Worm</v>
      </c>
      <c r="B297" s="1" t="str">
        <f>IFERROR(__xludf.DUMMYFUNCTION("""COMPUTED_VALUE"""),"Fishing bait. Used for lava fishing.")</f>
        <v>Fishing bait. Used for lava fishing.</v>
      </c>
      <c r="C297" s="1" t="str">
        <f>IFERROR(__xludf.DUMMYFUNCTION("""COMPUTED_VALUE"""),"Item")</f>
        <v>Item</v>
      </c>
      <c r="D297" s="1" t="str">
        <f>IFERROR(__xludf.DUMMYFUNCTION("""COMPUTED_VALUE"""),"Abstara")</f>
        <v>Abstara</v>
      </c>
    </row>
    <row r="298">
      <c r="A298" s="1" t="str">
        <f>IFERROR(__xludf.DUMMYFUNCTION("""COMPUTED_VALUE"""),"Rock Soup")</f>
        <v>Rock Soup</v>
      </c>
      <c r="B298" s="1" t="str">
        <f>IFERROR(__xludf.DUMMYFUNCTION("""COMPUTED_VALUE"""),"25 Hunger and +15 Thirst")</f>
        <v>25 Hunger and +15 Thirst</v>
      </c>
      <c r="C298" s="1" t="str">
        <f>IFERROR(__xludf.DUMMYFUNCTION("""COMPUTED_VALUE"""),"Crop")</f>
        <v>Crop</v>
      </c>
      <c r="D298" s="1" t="str">
        <f>IFERROR(__xludf.DUMMYFUNCTION("""COMPUTED_VALUE"""),"Abstara")</f>
        <v>Abstara</v>
      </c>
    </row>
    <row r="299">
      <c r="A299" s="1" t="str">
        <f>IFERROR(__xludf.DUMMYFUNCTION("""COMPUTED_VALUE"""),"Gargoyle’s slumbering mead")</f>
        <v>Gargoyle’s slumbering mead</v>
      </c>
      <c r="B299" s="1" t="str">
        <f>IFERROR(__xludf.DUMMYFUNCTION("""COMPUTED_VALUE"""),"100 Thirst +100 Energy")</f>
        <v>100 Thirst +100 Energy</v>
      </c>
      <c r="C299" s="1" t="str">
        <f>IFERROR(__xludf.DUMMYFUNCTION("""COMPUTED_VALUE"""),"Item")</f>
        <v>Item</v>
      </c>
      <c r="D299" s="1" t="str">
        <f>IFERROR(__xludf.DUMMYFUNCTION("""COMPUTED_VALUE"""),"Abstara")</f>
        <v>Abstara</v>
      </c>
    </row>
    <row r="300">
      <c r="A300" s="1" t="str">
        <f>IFERROR(__xludf.DUMMYFUNCTION("""COMPUTED_VALUE"""),"Dark rum")</f>
        <v>Dark rum</v>
      </c>
      <c r="B300" s="1" t="str">
        <f>IFERROR(__xludf.DUMMYFUNCTION("""COMPUTED_VALUE"""),"200 Thirst +200 Energy")</f>
        <v>200 Thirst +200 Energy</v>
      </c>
      <c r="C300" s="1" t="str">
        <f>IFERROR(__xludf.DUMMYFUNCTION("""COMPUTED_VALUE"""),"Item")</f>
        <v>Item</v>
      </c>
      <c r="D300" s="1" t="str">
        <f>IFERROR(__xludf.DUMMYFUNCTION("""COMPUTED_VALUE"""),"Abstara")</f>
        <v>Abstara</v>
      </c>
    </row>
    <row r="301">
      <c r="A301" s="1" t="str">
        <f>IFERROR(__xludf.DUMMYFUNCTION("""COMPUTED_VALUE"""),"Blank steak")</f>
        <v>Blank steak</v>
      </c>
      <c r="B301" s="1" t="str">
        <f>IFERROR(__xludf.DUMMYFUNCTION("""COMPUTED_VALUE"""),"25 Hunger")</f>
        <v>25 Hunger</v>
      </c>
      <c r="C301" s="1" t="str">
        <f>IFERROR(__xludf.DUMMYFUNCTION("""COMPUTED_VALUE"""),"Crop")</f>
        <v>Crop</v>
      </c>
      <c r="D301" s="1" t="str">
        <f>IFERROR(__xludf.DUMMYFUNCTION("""COMPUTED_VALUE"""),"Abstara")</f>
        <v>Abstara</v>
      </c>
    </row>
    <row r="302">
      <c r="A302" s="1" t="str">
        <f>IFERROR(__xludf.DUMMYFUNCTION("""COMPUTED_VALUE"""),"Geode jello")</f>
        <v>Geode jello</v>
      </c>
      <c r="B302" s="1" t="str">
        <f>IFERROR(__xludf.DUMMYFUNCTION("""COMPUTED_VALUE"""),"20 Thirst")</f>
        <v>20 Thirst</v>
      </c>
      <c r="C302" s="1" t="str">
        <f>IFERROR(__xludf.DUMMYFUNCTION("""COMPUTED_VALUE"""),"Item")</f>
        <v>Item</v>
      </c>
      <c r="D302" s="1" t="str">
        <f>IFERROR(__xludf.DUMMYFUNCTION("""COMPUTED_VALUE"""),"Abstara")</f>
        <v>Abstara</v>
      </c>
    </row>
    <row r="303">
      <c r="A303" s="1" t="str">
        <f>IFERROR(__xludf.DUMMYFUNCTION("""COMPUTED_VALUE"""),"Black baked potatoes")</f>
        <v>Black baked potatoes</v>
      </c>
      <c r="B303" s="1" t="str">
        <f>IFERROR(__xludf.DUMMYFUNCTION("""COMPUTED_VALUE"""),"50 Hunger")</f>
        <v>50 Hunger</v>
      </c>
      <c r="C303" s="1" t="str">
        <f>IFERROR(__xludf.DUMMYFUNCTION("""COMPUTED_VALUE"""),"Crop")</f>
        <v>Crop</v>
      </c>
      <c r="D303" s="1" t="str">
        <f>IFERROR(__xludf.DUMMYFUNCTION("""COMPUTED_VALUE"""),"Abstara")</f>
        <v>Abstara</v>
      </c>
    </row>
    <row r="304">
      <c r="A304" s="1" t="str">
        <f>IFERROR(__xludf.DUMMYFUNCTION("""COMPUTED_VALUE"""),"Human Steak")</f>
        <v>Human Steak</v>
      </c>
      <c r="B304" s="1" t="str">
        <f>IFERROR(__xludf.DUMMYFUNCTION("""COMPUTED_VALUE"""),"300 Hunger")</f>
        <v>300 Hunger</v>
      </c>
      <c r="C304" s="1" t="str">
        <f>IFERROR(__xludf.DUMMYFUNCTION("""COMPUTED_VALUE"""),"Crop")</f>
        <v>Crop</v>
      </c>
      <c r="D304" s="1" t="str">
        <f>IFERROR(__xludf.DUMMYFUNCTION("""COMPUTED_VALUE"""),"Abstara")</f>
        <v>Abstara</v>
      </c>
    </row>
    <row r="305">
      <c r="A305" s="1" t="str">
        <f>IFERROR(__xludf.DUMMYFUNCTION("""COMPUTED_VALUE"""),"Black Sheep mutton")</f>
        <v>Black Sheep mutton</v>
      </c>
      <c r="B305" s="1" t="str">
        <f>IFERROR(__xludf.DUMMYFUNCTION("""COMPUTED_VALUE"""),"250 Hunger")</f>
        <v>250 Hunger</v>
      </c>
      <c r="C305" s="1" t="str">
        <f>IFERROR(__xludf.DUMMYFUNCTION("""COMPUTED_VALUE"""),"Crop")</f>
        <v>Crop</v>
      </c>
      <c r="D305" s="1" t="str">
        <f>IFERROR(__xludf.DUMMYFUNCTION("""COMPUTED_VALUE"""),"Abstara")</f>
        <v>Abstara</v>
      </c>
    </row>
    <row r="306">
      <c r="A306" s="1" t="str">
        <f>IFERROR(__xludf.DUMMYFUNCTION("""COMPUTED_VALUE"""),"Ebony Caviar")</f>
        <v>Ebony Caviar</v>
      </c>
      <c r="B306" s="1" t="str">
        <f>IFERROR(__xludf.DUMMYFUNCTION("""COMPUTED_VALUE"""),"100 Hunger +105 Energy")</f>
        <v>100 Hunger +105 Energy</v>
      </c>
      <c r="C306" s="1" t="str">
        <f>IFERROR(__xludf.DUMMYFUNCTION("""COMPUTED_VALUE"""),"Crop")</f>
        <v>Crop</v>
      </c>
      <c r="D306" s="1" t="str">
        <f>IFERROR(__xludf.DUMMYFUNCTION("""COMPUTED_VALUE"""),"Abstara")</f>
        <v>Abstara</v>
      </c>
    </row>
    <row r="307">
      <c r="A307" s="1" t="str">
        <f>IFERROR(__xludf.DUMMYFUNCTION("""COMPUTED_VALUE"""),"Black Kale")</f>
        <v>Black Kale</v>
      </c>
      <c r="B307" s="1" t="str">
        <f>IFERROR(__xludf.DUMMYFUNCTION("""COMPUTED_VALUE"""),"140 Hunger")</f>
        <v>140 Hunger</v>
      </c>
      <c r="C307" s="1" t="str">
        <f>IFERROR(__xludf.DUMMYFUNCTION("""COMPUTED_VALUE"""),"Crop")</f>
        <v>Crop</v>
      </c>
      <c r="D307" s="1" t="str">
        <f>IFERROR(__xludf.DUMMYFUNCTION("""COMPUTED_VALUE"""),"Abstara")</f>
        <v>Abstara</v>
      </c>
    </row>
    <row r="308">
      <c r="A308" s="1" t="str">
        <f>IFERROR(__xludf.DUMMYFUNCTION("""COMPUTED_VALUE"""),"Smokey Champagne")</f>
        <v>Smokey Champagne</v>
      </c>
      <c r="B308" s="1" t="str">
        <f>IFERROR(__xludf.DUMMYFUNCTION("""COMPUTED_VALUE"""),"140 Thirst")</f>
        <v>140 Thirst</v>
      </c>
      <c r="C308" s="1" t="str">
        <f>IFERROR(__xludf.DUMMYFUNCTION("""COMPUTED_VALUE"""),"Item")</f>
        <v>Item</v>
      </c>
      <c r="D308" s="1" t="str">
        <f>IFERROR(__xludf.DUMMYFUNCTION("""COMPUTED_VALUE"""),"Abstara")</f>
        <v>Abstara</v>
      </c>
    </row>
    <row r="309">
      <c r="A309" s="1" t="str">
        <f>IFERROR(__xludf.DUMMYFUNCTION("""COMPUTED_VALUE"""),"Dead Island iced tea")</f>
        <v>Dead Island iced tea</v>
      </c>
      <c r="B309" s="1" t="str">
        <f>IFERROR(__xludf.DUMMYFUNCTION("""COMPUTED_VALUE"""),"150 Thirst +125 Energy")</f>
        <v>150 Thirst +125 Energy</v>
      </c>
      <c r="C309" s="1" t="str">
        <f>IFERROR(__xludf.DUMMYFUNCTION("""COMPUTED_VALUE"""),"Item")</f>
        <v>Item</v>
      </c>
      <c r="D309" s="1" t="str">
        <f>IFERROR(__xludf.DUMMYFUNCTION("""COMPUTED_VALUE"""),"Abstara")</f>
        <v>Abstara</v>
      </c>
    </row>
    <row r="310">
      <c r="A310" s="1" t="str">
        <f>IFERROR(__xludf.DUMMYFUNCTION("""COMPUTED_VALUE"""),"Black russian")</f>
        <v>Black russian</v>
      </c>
      <c r="B310" s="1" t="str">
        <f>IFERROR(__xludf.DUMMYFUNCTION("""COMPUTED_VALUE"""),"200 Thirst +200 Energy")</f>
        <v>200 Thirst +200 Energy</v>
      </c>
      <c r="C310" s="1" t="str">
        <f>IFERROR(__xludf.DUMMYFUNCTION("""COMPUTED_VALUE"""),"Item")</f>
        <v>Item</v>
      </c>
      <c r="D310" s="1" t="str">
        <f>IFERROR(__xludf.DUMMYFUNCTION("""COMPUTED_VALUE"""),"Abstara")</f>
        <v>Abstara</v>
      </c>
    </row>
    <row r="311">
      <c r="A311" s="1" t="str">
        <f>IFERROR(__xludf.DUMMYFUNCTION("""COMPUTED_VALUE"""),"Obsidian Lobster")</f>
        <v>Obsidian Lobster</v>
      </c>
      <c r="B311" s="1" t="str">
        <f>IFERROR(__xludf.DUMMYFUNCTION("""COMPUTED_VALUE"""),"200 Hunger +200 Energy")</f>
        <v>200 Hunger +200 Energy</v>
      </c>
      <c r="C311" s="1" t="str">
        <f>IFERROR(__xludf.DUMMYFUNCTION("""COMPUTED_VALUE"""),"Crop")</f>
        <v>Crop</v>
      </c>
      <c r="D311" s="1" t="str">
        <f>IFERROR(__xludf.DUMMYFUNCTION("""COMPUTED_VALUE"""),"Abstara")</f>
        <v>Abstara</v>
      </c>
    </row>
    <row r="312">
      <c r="A312" s="1" t="str">
        <f>IFERROR(__xludf.DUMMYFUNCTION("""COMPUTED_VALUE"""),"Charcoal Truffles")</f>
        <v>Charcoal Truffles</v>
      </c>
      <c r="B312" s="1" t="str">
        <f>IFERROR(__xludf.DUMMYFUNCTION("""COMPUTED_VALUE"""),"100 Hunger +100 Energy")</f>
        <v>100 Hunger +100 Energy</v>
      </c>
      <c r="C312" s="1" t="str">
        <f>IFERROR(__xludf.DUMMYFUNCTION("""COMPUTED_VALUE"""),"Crop")</f>
        <v>Crop</v>
      </c>
      <c r="D312" s="1" t="str">
        <f>IFERROR(__xludf.DUMMYFUNCTION("""COMPUTED_VALUE"""),"Abstara")</f>
        <v>Abstara</v>
      </c>
    </row>
    <row r="313">
      <c r="A313" s="1" t="str">
        <f>IFERROR(__xludf.DUMMYFUNCTION("""COMPUTED_VALUE"""),"Italian spaghetti and meatballs")</f>
        <v>Italian spaghetti and meatballs</v>
      </c>
      <c r="B313" s="1" t="str">
        <f>IFERROR(__xludf.DUMMYFUNCTION("""COMPUTED_VALUE"""),"Full HP, Energy, Hunger, Thirst")</f>
        <v>Full HP, Energy, Hunger, Thirst</v>
      </c>
      <c r="C313" s="1" t="str">
        <f>IFERROR(__xludf.DUMMYFUNCTION("""COMPUTED_VALUE"""),"Crop")</f>
        <v>Crop</v>
      </c>
      <c r="D313" s="1" t="str">
        <f>IFERROR(__xludf.DUMMYFUNCTION("""COMPUTED_VALUE"""),"Abstara")</f>
        <v>Abstara</v>
      </c>
    </row>
    <row r="314">
      <c r="A314" s="1" t="str">
        <f>IFERROR(__xludf.DUMMYFUNCTION("""COMPUTED_VALUE"""),"Enclosed Spirits (enchantment)")</f>
        <v>Enclosed Spirits (enchantment)</v>
      </c>
      <c r="B314" s="1" t="str">
        <f>IFERROR(__xludf.DUMMYFUNCTION("""COMPUTED_VALUE"""),"Add 1000 Spirit damage or resistance to any Spirit related Weapon or armor.")</f>
        <v>Add 1000 Spirit damage or resistance to any Spirit related Weapon or armor.</v>
      </c>
      <c r="C314" s="1" t="str">
        <f>IFERROR(__xludf.DUMMYFUNCTION("""COMPUTED_VALUE"""),"Item")</f>
        <v>Item</v>
      </c>
      <c r="D314" s="1" t="str">
        <f>IFERROR(__xludf.DUMMYFUNCTION("""COMPUTED_VALUE"""),"Abstara")</f>
        <v>Abstara</v>
      </c>
    </row>
    <row r="315">
      <c r="A315" s="1" t="str">
        <f>IFERROR(__xludf.DUMMYFUNCTION("""COMPUTED_VALUE"""),"Goat’s eye")</f>
        <v>Goat’s eye</v>
      </c>
      <c r="B315" s="1" t="str">
        <f>IFERROR(__xludf.DUMMYFUNCTION("""COMPUTED_VALUE"""),"Crafting Material, roll a d20 to see how many you get if this is a loot drop.")</f>
        <v>Crafting Material, roll a d20 to see how many you get if this is a loot drop.</v>
      </c>
      <c r="C315" s="1" t="str">
        <f>IFERROR(__xludf.DUMMYFUNCTION("""COMPUTED_VALUE"""),"Item")</f>
        <v>Item</v>
      </c>
      <c r="D315" s="1" t="str">
        <f>IFERROR(__xludf.DUMMYFUNCTION("""COMPUTED_VALUE"""),"Abstara")</f>
        <v>Abstara</v>
      </c>
    </row>
    <row r="316">
      <c r="A316" s="1" t="str">
        <f>IFERROR(__xludf.DUMMYFUNCTION("""COMPUTED_VALUE"""),"Heart of the Demon")</f>
        <v>Heart of the Demon</v>
      </c>
      <c r="B316" s="1" t="str">
        <f>IFERROR(__xludf.DUMMYFUNCTION("""COMPUTED_VALUE"""),"Crafting Material, roll a d20 to see how many you get if this is a loot drop.")</f>
        <v>Crafting Material, roll a d20 to see how many you get if this is a loot drop.</v>
      </c>
      <c r="C316" s="1" t="str">
        <f>IFERROR(__xludf.DUMMYFUNCTION("""COMPUTED_VALUE"""),"Item")</f>
        <v>Item</v>
      </c>
      <c r="D316" s="1" t="str">
        <f>IFERROR(__xludf.DUMMYFUNCTION("""COMPUTED_VALUE"""),"Abstara")</f>
        <v>Abstara</v>
      </c>
    </row>
    <row r="317">
      <c r="A317" s="1" t="str">
        <f>IFERROR(__xludf.DUMMYFUNCTION("""COMPUTED_VALUE"""),"Tooth of the Volcanic Serpent")</f>
        <v>Tooth of the Volcanic Serpent</v>
      </c>
      <c r="B317" s="1" t="str">
        <f>IFERROR(__xludf.DUMMYFUNCTION("""COMPUTED_VALUE"""),"Crafting Material, roll a d20 to see how many you get if this is a loot drop.")</f>
        <v>Crafting Material, roll a d20 to see how many you get if this is a loot drop.</v>
      </c>
      <c r="C317" s="1" t="str">
        <f>IFERROR(__xludf.DUMMYFUNCTION("""COMPUTED_VALUE"""),"Item")</f>
        <v>Item</v>
      </c>
      <c r="D317" s="1" t="str">
        <f>IFERROR(__xludf.DUMMYFUNCTION("""COMPUTED_VALUE"""),"Abstara")</f>
        <v>Abstara</v>
      </c>
    </row>
    <row r="318">
      <c r="A318" s="1" t="str">
        <f>IFERROR(__xludf.DUMMYFUNCTION("""COMPUTED_VALUE"""),"Fire Jaguars Leather Skin")</f>
        <v>Fire Jaguars Leather Skin</v>
      </c>
      <c r="B318" s="1" t="str">
        <f>IFERROR(__xludf.DUMMYFUNCTION("""COMPUTED_VALUE"""),"Crafting Material, roll a d20 to see how many you get if this is a loot drop.")</f>
        <v>Crafting Material, roll a d20 to see how many you get if this is a loot drop.</v>
      </c>
      <c r="C318" s="1" t="str">
        <f>IFERROR(__xludf.DUMMYFUNCTION("""COMPUTED_VALUE"""),"Item")</f>
        <v>Item</v>
      </c>
      <c r="D318" s="1" t="str">
        <f>IFERROR(__xludf.DUMMYFUNCTION("""COMPUTED_VALUE"""),"Abstara")</f>
        <v>Abstara</v>
      </c>
    </row>
    <row r="319">
      <c r="A319" s="1" t="str">
        <f>IFERROR(__xludf.DUMMYFUNCTION("""COMPUTED_VALUE"""),"Black Lake Soup")</f>
        <v>Black Lake Soup</v>
      </c>
      <c r="B319" s="1" t="str">
        <f>IFERROR(__xludf.DUMMYFUNCTION("""COMPUTED_VALUE"""),"500 Thirst and 400 Hunger")</f>
        <v>500 Thirst and 400 Hunger</v>
      </c>
      <c r="C319" s="1" t="str">
        <f>IFERROR(__xludf.DUMMYFUNCTION("""COMPUTED_VALUE"""),"Crop")</f>
        <v>Crop</v>
      </c>
      <c r="D319" s="1" t="str">
        <f>IFERROR(__xludf.DUMMYFUNCTION("""COMPUTED_VALUE"""),"Abstara")</f>
        <v>Abstara</v>
      </c>
    </row>
    <row r="320">
      <c r="A320" s="1" t="str">
        <f>IFERROR(__xludf.DUMMYFUNCTION("""COMPUTED_VALUE"""),"Basilisk Veal")</f>
        <v>Basilisk Veal</v>
      </c>
      <c r="B320" s="1" t="str">
        <f>IFERROR(__xludf.DUMMYFUNCTION("""COMPUTED_VALUE"""),"500 Hunger")</f>
        <v>500 Hunger</v>
      </c>
      <c r="C320" s="1" t="str">
        <f>IFERROR(__xludf.DUMMYFUNCTION("""COMPUTED_VALUE"""),"Crop")</f>
        <v>Crop</v>
      </c>
      <c r="D320" s="1" t="str">
        <f>IFERROR(__xludf.DUMMYFUNCTION("""COMPUTED_VALUE"""),"Abstara")</f>
        <v>Abstara</v>
      </c>
    </row>
    <row r="321">
      <c r="A321" s="1" t="str">
        <f>IFERROR(__xludf.DUMMYFUNCTION("""COMPUTED_VALUE"""),"Black Cactus juice")</f>
        <v>Black Cactus juice</v>
      </c>
      <c r="B321" s="1" t="str">
        <f>IFERROR(__xludf.DUMMYFUNCTION("""COMPUTED_VALUE"""),"500 Thirst")</f>
        <v>500 Thirst</v>
      </c>
      <c r="C321" s="1" t="str">
        <f>IFERROR(__xludf.DUMMYFUNCTION("""COMPUTED_VALUE"""),"Item")</f>
        <v>Item</v>
      </c>
      <c r="D321" s="1" t="str">
        <f>IFERROR(__xludf.DUMMYFUNCTION("""COMPUTED_VALUE"""),"Abstara")</f>
        <v>Abstara</v>
      </c>
    </row>
    <row r="322">
      <c r="A322" s="1" t="str">
        <f>IFERROR(__xludf.DUMMYFUNCTION("""COMPUTED_VALUE"""),"Black Lake Purified Water")</f>
        <v>Black Lake Purified Water</v>
      </c>
      <c r="B322" s="1" t="str">
        <f>IFERROR(__xludf.DUMMYFUNCTION("""COMPUTED_VALUE"""),"650 Thirst")</f>
        <v>650 Thirst</v>
      </c>
      <c r="C322" s="1" t="str">
        <f>IFERROR(__xludf.DUMMYFUNCTION("""COMPUTED_VALUE"""),"Item")</f>
        <v>Item</v>
      </c>
      <c r="D322" s="1" t="str">
        <f>IFERROR(__xludf.DUMMYFUNCTION("""COMPUTED_VALUE"""),"Abstara")</f>
        <v>Abstara</v>
      </c>
    </row>
    <row r="323">
      <c r="A323" s="1" t="str">
        <f>IFERROR(__xludf.DUMMYFUNCTION("""COMPUTED_VALUE"""),"Neutralized Basilisk Venom Shot")</f>
        <v>Neutralized Basilisk Venom Shot</v>
      </c>
      <c r="B323" s="1" t="str">
        <f>IFERROR(__xludf.DUMMYFUNCTION("""COMPUTED_VALUE"""),"1000 Thirst")</f>
        <v>1000 Thirst</v>
      </c>
      <c r="C323" s="1" t="str">
        <f>IFERROR(__xludf.DUMMYFUNCTION("""COMPUTED_VALUE"""),"Item")</f>
        <v>Item</v>
      </c>
      <c r="D323" s="1" t="str">
        <f>IFERROR(__xludf.DUMMYFUNCTION("""COMPUTED_VALUE"""),"Abstara")</f>
        <v>Abstara</v>
      </c>
    </row>
    <row r="324">
      <c r="A324" s="1" t="str">
        <f>IFERROR(__xludf.DUMMYFUNCTION("""COMPUTED_VALUE"""),"Ebony Mushrooms")</f>
        <v>Ebony Mushrooms</v>
      </c>
      <c r="B324" s="1" t="str">
        <f>IFERROR(__xludf.DUMMYFUNCTION("""COMPUTED_VALUE"""),"250 Hunger")</f>
        <v>250 Hunger</v>
      </c>
      <c r="C324" s="1" t="str">
        <f>IFERROR(__xludf.DUMMYFUNCTION("""COMPUTED_VALUE"""),"Crop")</f>
        <v>Crop</v>
      </c>
      <c r="D324" s="1" t="str">
        <f>IFERROR(__xludf.DUMMYFUNCTION("""COMPUTED_VALUE"""),"Abstara")</f>
        <v>Abstara</v>
      </c>
    </row>
    <row r="325">
      <c r="A325" s="1" t="str">
        <f>IFERROR(__xludf.DUMMYFUNCTION("""COMPUTED_VALUE"""),"Black Sludge")</f>
        <v>Black Sludge</v>
      </c>
      <c r="B325" s="1" t="str">
        <f>IFERROR(__xludf.DUMMYFUNCTION("""COMPUTED_VALUE"""),"Make a fail/succeed roll
Success - +500 Hunger and Thirst
Fail - -250 Hunger and Thirst From Vomiting.")</f>
        <v>Make a fail/succeed roll
Success - +500 Hunger and Thirst
Fail - -250 Hunger and Thirst From Vomiting.</v>
      </c>
      <c r="C325" s="1" t="str">
        <f>IFERROR(__xludf.DUMMYFUNCTION("""COMPUTED_VALUE"""),"Crop")</f>
        <v>Crop</v>
      </c>
      <c r="D325" s="1" t="str">
        <f>IFERROR(__xludf.DUMMYFUNCTION("""COMPUTED_VALUE"""),"Abstara")</f>
        <v>Abstara</v>
      </c>
    </row>
    <row r="326">
      <c r="A326" s="1" t="str">
        <f>IFERROR(__xludf.DUMMYFUNCTION("""COMPUTED_VALUE"""),"Black Sepent Dragon Scales")</f>
        <v>Black Sepent Dragon Scales</v>
      </c>
      <c r="B326" s="1" t="str">
        <f>IFERROR(__xludf.DUMMYFUNCTION("""COMPUTED_VALUE"""),"Crafting Material, roll a d20 to see how many you get if this is a loot drop.")</f>
        <v>Crafting Material, roll a d20 to see how many you get if this is a loot drop.</v>
      </c>
      <c r="C326" s="1" t="str">
        <f>IFERROR(__xludf.DUMMYFUNCTION("""COMPUTED_VALUE"""),"Item")</f>
        <v>Item</v>
      </c>
      <c r="D326" s="1" t="str">
        <f>IFERROR(__xludf.DUMMYFUNCTION("""COMPUTED_VALUE"""),"Abstara")</f>
        <v>Abstara</v>
      </c>
    </row>
    <row r="327">
      <c r="A327" s="1" t="str">
        <f>IFERROR(__xludf.DUMMYFUNCTION("""COMPUTED_VALUE"""),"Chaotic Shadow Dragon Scales")</f>
        <v>Chaotic Shadow Dragon Scales</v>
      </c>
      <c r="B327" s="1" t="str">
        <f>IFERROR(__xludf.DUMMYFUNCTION("""COMPUTED_VALUE"""),"Crafting Material, roll a d20 to see how many you get if this is a loot drop.")</f>
        <v>Crafting Material, roll a d20 to see how many you get if this is a loot drop.</v>
      </c>
      <c r="C327" s="1" t="str">
        <f>IFERROR(__xludf.DUMMYFUNCTION("""COMPUTED_VALUE"""),"Item")</f>
        <v>Item</v>
      </c>
      <c r="D327" s="1" t="str">
        <f>IFERROR(__xludf.DUMMYFUNCTION("""COMPUTED_VALUE"""),"Land of Spira")</f>
        <v>Land of Spira</v>
      </c>
    </row>
    <row r="328">
      <c r="A328" s="1" t="str">
        <f>IFERROR(__xludf.DUMMYFUNCTION("""COMPUTED_VALUE"""),"Chaotic Shadow Dragon Skull")</f>
        <v>Chaotic Shadow Dragon Skull</v>
      </c>
      <c r="B328" s="1" t="str">
        <f>IFERROR(__xludf.DUMMYFUNCTION("""COMPUTED_VALUE"""),"can be consumed to obtain 1 free dark or chaos power. (Only one per character)")</f>
        <v>can be consumed to obtain 1 free dark or chaos power. (Only one per character)</v>
      </c>
      <c r="C328" s="1" t="str">
        <f>IFERROR(__xludf.DUMMYFUNCTION("""COMPUTED_VALUE"""),"Item")</f>
        <v>Item</v>
      </c>
      <c r="D328" s="1" t="str">
        <f>IFERROR(__xludf.DUMMYFUNCTION("""COMPUTED_VALUE"""),"Land of Spira")</f>
        <v>Land of Spira</v>
      </c>
    </row>
    <row r="329">
      <c r="A329" s="1" t="str">
        <f>IFERROR(__xludf.DUMMYFUNCTION("""COMPUTED_VALUE"""),"Sharp Teeth")</f>
        <v>Sharp Teeth</v>
      </c>
      <c r="B329" s="1" t="str">
        <f>IFERROR(__xludf.DUMMYFUNCTION("""COMPUTED_VALUE"""),"Consumable, 100 sharp teeth = permanantly increase attack by 1.")</f>
        <v>Consumable, 100 sharp teeth = permanantly increase attack by 1.</v>
      </c>
      <c r="C329" s="1" t="str">
        <f>IFERROR(__xludf.DUMMYFUNCTION("""COMPUTED_VALUE"""),"Item")</f>
        <v>Item</v>
      </c>
      <c r="D329" s="1" t="str">
        <f>IFERROR(__xludf.DUMMYFUNCTION("""COMPUTED_VALUE"""),"Land of Spira")</f>
        <v>Land of Spira</v>
      </c>
    </row>
    <row r="330">
      <c r="A330" s="1" t="str">
        <f>IFERROR(__xludf.DUMMYFUNCTION("""COMPUTED_VALUE"""),"Letter from the Warden")</f>
        <v>Letter from the Warden</v>
      </c>
      <c r="B330" s="1" t="str">
        <f>IFERROR(__xludf.DUMMYFUNCTION("""COMPUTED_VALUE"""),"Get out of jail for free. Can only be used once, Cannot be duplicated.")</f>
        <v>Get out of jail for free. Can only be used once, Cannot be duplicated.</v>
      </c>
      <c r="C330" s="1" t="str">
        <f>IFERROR(__xludf.DUMMYFUNCTION("""COMPUTED_VALUE"""),"Item")</f>
        <v>Item</v>
      </c>
      <c r="D330" s="1" t="str">
        <f>IFERROR(__xludf.DUMMYFUNCTION("""COMPUTED_VALUE"""),"Land of Spira")</f>
        <v>Land of Spira</v>
      </c>
    </row>
    <row r="331">
      <c r="A331" s="1" t="str">
        <f>IFERROR(__xludf.DUMMYFUNCTION("""COMPUTED_VALUE"""),"Rank 9 Light Tome")</f>
        <v>Rank 9 Light Tome</v>
      </c>
      <c r="B331" s="1" t="str">
        <f>IFERROR(__xludf.DUMMYFUNCTION("""COMPUTED_VALUE"""),"Allows you to use up to Rank 9 Light Powers.")</f>
        <v>Allows you to use up to Rank 9 Light Powers.</v>
      </c>
      <c r="C331" s="1" t="str">
        <f>IFERROR(__xludf.DUMMYFUNCTION("""COMPUTED_VALUE"""),"Item")</f>
        <v>Item</v>
      </c>
      <c r="D331" s="1" t="str">
        <f>IFERROR(__xludf.DUMMYFUNCTION("""COMPUTED_VALUE"""),"Land of Spira")</f>
        <v>Land of Spira</v>
      </c>
    </row>
    <row r="332">
      <c r="A332" s="1" t="str">
        <f>IFERROR(__xludf.DUMMYFUNCTION("""COMPUTED_VALUE"""),"Lesser Healing Potion")</f>
        <v>Lesser Healing Potion</v>
      </c>
      <c r="B332" s="1" t="str">
        <f>IFERROR(__xludf.DUMMYFUNCTION("""COMPUTED_VALUE"""),": + +25HP")</f>
        <v>: + +25HP</v>
      </c>
      <c r="C332" s="1" t="str">
        <f>IFERROR(__xludf.DUMMYFUNCTION("""COMPUTED_VALUE"""),"Item")</f>
        <v>Item</v>
      </c>
      <c r="D332" s="1" t="str">
        <f>IFERROR(__xludf.DUMMYFUNCTION("""COMPUTED_VALUE"""),"Land of Spira")</f>
        <v>Land of Spira</v>
      </c>
    </row>
    <row r="333">
      <c r="A333" s="1" t="str">
        <f>IFERROR(__xludf.DUMMYFUNCTION("""COMPUTED_VALUE"""),"Blackhorn Healing Potion")</f>
        <v>Blackhorn Healing Potion</v>
      </c>
      <c r="B333" s="1" t="str">
        <f>IFERROR(__xludf.DUMMYFUNCTION("""COMPUTED_VALUE"""),": + +75HP")</f>
        <v>: + +75HP</v>
      </c>
      <c r="C333" s="1" t="str">
        <f>IFERROR(__xludf.DUMMYFUNCTION("""COMPUTED_VALUE"""),"Item")</f>
        <v>Item</v>
      </c>
      <c r="D333" s="1" t="str">
        <f>IFERROR(__xludf.DUMMYFUNCTION("""COMPUTED_VALUE"""),"Land of Spira")</f>
        <v>Land of Spira</v>
      </c>
    </row>
    <row r="334">
      <c r="A334" s="1" t="str">
        <f>IFERROR(__xludf.DUMMYFUNCTION("""COMPUTED_VALUE"""),"Greater Healing Potion")</f>
        <v>Greater Healing Potion</v>
      </c>
      <c r="B334" s="1" t="str">
        <f>IFERROR(__xludf.DUMMYFUNCTION("""COMPUTED_VALUE"""),": + +100HP")</f>
        <v>: + +100HP</v>
      </c>
      <c r="C334" s="1" t="str">
        <f>IFERROR(__xludf.DUMMYFUNCTION("""COMPUTED_VALUE"""),"Item")</f>
        <v>Item</v>
      </c>
      <c r="D334" s="1" t="str">
        <f>IFERROR(__xludf.DUMMYFUNCTION("""COMPUTED_VALUE"""),"Land of Spira")</f>
        <v>Land of Spira</v>
      </c>
    </row>
    <row r="335">
      <c r="A335" s="1" t="str">
        <f>IFERROR(__xludf.DUMMYFUNCTION("""COMPUTED_VALUE"""),"Awkward Potion")</f>
        <v>Awkward Potion</v>
      </c>
      <c r="B335" s="1" t="str">
        <f>IFERROR(__xludf.DUMMYFUNCTION("""COMPUTED_VALUE"""),": + +100HP And 100 SP")</f>
        <v>: + +100HP And 100 SP</v>
      </c>
      <c r="C335" s="1" t="str">
        <f>IFERROR(__xludf.DUMMYFUNCTION("""COMPUTED_VALUE"""),"Item")</f>
        <v>Item</v>
      </c>
      <c r="D335" s="1" t="str">
        <f>IFERROR(__xludf.DUMMYFUNCTION("""COMPUTED_VALUE"""),"Land of Spira")</f>
        <v>Land of Spira</v>
      </c>
    </row>
    <row r="336">
      <c r="A336" s="1" t="str">
        <f>IFERROR(__xludf.DUMMYFUNCTION("""COMPUTED_VALUE"""),"Defensive Potion")</f>
        <v>Defensive Potion</v>
      </c>
      <c r="B336" s="1" t="str">
        <f>IFERROR(__xludf.DUMMYFUNCTION("""COMPUTED_VALUE"""),": + +1000 def for 3 rounds")</f>
        <v>: + +1000 def for 3 rounds</v>
      </c>
      <c r="C336" s="1" t="str">
        <f>IFERROR(__xludf.DUMMYFUNCTION("""COMPUTED_VALUE"""),"Item")</f>
        <v>Item</v>
      </c>
      <c r="D336" s="1" t="str">
        <f>IFERROR(__xludf.DUMMYFUNCTION("""COMPUTED_VALUE"""),"Land of Spira")</f>
        <v>Land of Spira</v>
      </c>
    </row>
    <row r="337">
      <c r="A337" s="1" t="str">
        <f>IFERROR(__xludf.DUMMYFUNCTION("""COMPUTED_VALUE"""),"Offensive Potion")</f>
        <v>Offensive Potion</v>
      </c>
      <c r="B337" s="1" t="str">
        <f>IFERROR(__xludf.DUMMYFUNCTION("""COMPUTED_VALUE"""),": + +1000 atk for 3 rounds")</f>
        <v>: + +1000 atk for 3 rounds</v>
      </c>
      <c r="C337" s="1" t="str">
        <f>IFERROR(__xludf.DUMMYFUNCTION("""COMPUTED_VALUE"""),"Item")</f>
        <v>Item</v>
      </c>
      <c r="D337" s="1" t="str">
        <f>IFERROR(__xludf.DUMMYFUNCTION("""COMPUTED_VALUE"""),"Land of Spira")</f>
        <v>Land of Spira</v>
      </c>
    </row>
    <row r="338">
      <c r="A338" s="1" t="str">
        <f>IFERROR(__xludf.DUMMYFUNCTION("""COMPUTED_VALUE"""),"Potion of Swift")</f>
        <v>Potion of Swift</v>
      </c>
      <c r="B338" s="1" t="str">
        <f>IFERROR(__xludf.DUMMYFUNCTION("""COMPUTED_VALUE"""),": + +add 5 evasion for 3 rounds")</f>
        <v>: + +add 5 evasion for 3 rounds</v>
      </c>
      <c r="C338" s="1" t="str">
        <f>IFERROR(__xludf.DUMMYFUNCTION("""COMPUTED_VALUE"""),"Item")</f>
        <v>Item</v>
      </c>
      <c r="D338" s="1" t="str">
        <f>IFERROR(__xludf.DUMMYFUNCTION("""COMPUTED_VALUE"""),"Land of Spira")</f>
        <v>Land of Spira</v>
      </c>
    </row>
    <row r="339">
      <c r="A339" s="1" t="str">
        <f>IFERROR(__xludf.DUMMYFUNCTION("""COMPUTED_VALUE"""),"Potion of Mana Regeneration")</f>
        <v>Potion of Mana Regeneration</v>
      </c>
      <c r="B339" s="1" t="str">
        <f>IFERROR(__xludf.DUMMYFUNCTION("""COMPUTED_VALUE"""),": + +500SP p/r for 3 rounds")</f>
        <v>: + +500SP p/r for 3 rounds</v>
      </c>
      <c r="C339" s="1" t="str">
        <f>IFERROR(__xludf.DUMMYFUNCTION("""COMPUTED_VALUE"""),"Item")</f>
        <v>Item</v>
      </c>
      <c r="D339" s="1" t="str">
        <f>IFERROR(__xludf.DUMMYFUNCTION("""COMPUTED_VALUE"""),"Land of Spira")</f>
        <v>Land of Spira</v>
      </c>
    </row>
    <row r="340">
      <c r="A340" s="1" t="str">
        <f>IFERROR(__xludf.DUMMYFUNCTION("""COMPUTED_VALUE"""),"Potion of Thorns")</f>
        <v>Potion of Thorns</v>
      </c>
      <c r="B340" s="1" t="str">
        <f>IFERROR(__xludf.DUMMYFUNCTION("""COMPUTED_VALUE"""),": + +When a target deals damage to you they take the same amount of damage back.")</f>
        <v>: + +When a target deals damage to you they take the same amount of damage back.</v>
      </c>
      <c r="C340" s="1" t="str">
        <f>IFERROR(__xludf.DUMMYFUNCTION("""COMPUTED_VALUE"""),"Item")</f>
        <v>Item</v>
      </c>
      <c r="D340" s="1" t="str">
        <f>IFERROR(__xludf.DUMMYFUNCTION("""COMPUTED_VALUE"""),"Land of Spira")</f>
        <v>Land of Spira</v>
      </c>
    </row>
    <row r="341">
      <c r="A341" s="1" t="str">
        <f>IFERROR(__xludf.DUMMYFUNCTION("""COMPUTED_VALUE"""),"Potion of Resistance")</f>
        <v>Potion of Resistance</v>
      </c>
      <c r="B341" s="1" t="str">
        <f>IFERROR(__xludf.DUMMYFUNCTION("""COMPUTED_VALUE"""),": + +1000 resistance to all attacks for 3 rounds.")</f>
        <v>: + +1000 resistance to all attacks for 3 rounds.</v>
      </c>
      <c r="C341" s="1" t="str">
        <f>IFERROR(__xludf.DUMMYFUNCTION("""COMPUTED_VALUE"""),"Item")</f>
        <v>Item</v>
      </c>
      <c r="D341" s="1" t="str">
        <f>IFERROR(__xludf.DUMMYFUNCTION("""COMPUTED_VALUE"""),"Land of Spira")</f>
        <v>Land of Spira</v>
      </c>
    </row>
    <row r="342">
      <c r="A342" s="1" t="str">
        <f>IFERROR(__xludf.DUMMYFUNCTION("""COMPUTED_VALUE"""),"Potion of Speed")</f>
        <v>Potion of Speed</v>
      </c>
      <c r="B342" s="1" t="str">
        <f>IFERROR(__xludf.DUMMYFUNCTION("""COMPUTED_VALUE"""),": + +Allows 2 additional turns in one on your next turn.")</f>
        <v>: + +Allows 2 additional turns in one on your next turn.</v>
      </c>
      <c r="C342" s="1" t="str">
        <f>IFERROR(__xludf.DUMMYFUNCTION("""COMPUTED_VALUE"""),"Item")</f>
        <v>Item</v>
      </c>
      <c r="D342" s="1" t="str">
        <f>IFERROR(__xludf.DUMMYFUNCTION("""COMPUTED_VALUE"""),"Land of Spira")</f>
        <v>Land of Spira</v>
      </c>
    </row>
    <row r="343">
      <c r="A343" s="1" t="str">
        <f>IFERROR(__xludf.DUMMYFUNCTION("""COMPUTED_VALUE"""),"Potion of Luck")</f>
        <v>Potion of Luck</v>
      </c>
      <c r="B343" s="1" t="str">
        <f>IFERROR(__xludf.DUMMYFUNCTION("""COMPUTED_VALUE"""),": + +Allows you to get an enemies highest loot role (Must be used during battle)")</f>
        <v>: + +Allows you to get an enemies highest loot role (Must be used during battle)</v>
      </c>
      <c r="C343" s="1" t="str">
        <f>IFERROR(__xludf.DUMMYFUNCTION("""COMPUTED_VALUE"""),"Item")</f>
        <v>Item</v>
      </c>
      <c r="D343" s="1" t="str">
        <f>IFERROR(__xludf.DUMMYFUNCTION("""COMPUTED_VALUE"""),"Land of Spira")</f>
        <v>Land of Spira</v>
      </c>
    </row>
    <row r="344">
      <c r="A344" s="1" t="str">
        <f>IFERROR(__xludf.DUMMYFUNCTION("""COMPUTED_VALUE"""),"Potion of Regeneration")</f>
        <v>Potion of Regeneration</v>
      </c>
      <c r="B344" s="1" t="str">
        <f>IFERROR(__xludf.DUMMYFUNCTION("""COMPUTED_VALUE"""),": + +500HP p/r for 3 rounds.")</f>
        <v>: + +500HP p/r for 3 rounds.</v>
      </c>
      <c r="C344" s="1" t="str">
        <f>IFERROR(__xludf.DUMMYFUNCTION("""COMPUTED_VALUE"""),"Item")</f>
        <v>Item</v>
      </c>
      <c r="D344" s="1" t="str">
        <f>IFERROR(__xludf.DUMMYFUNCTION("""COMPUTED_VALUE"""),"Land of Spira")</f>
        <v>Land of Spira</v>
      </c>
    </row>
    <row r="345">
      <c r="A345" s="1" t="str">
        <f>IFERROR(__xludf.DUMMYFUNCTION("""COMPUTED_VALUE"""),"Potion of Immunity")</f>
        <v>Potion of Immunity</v>
      </c>
      <c r="B345" s="1" t="str">
        <f>IFERROR(__xludf.DUMMYFUNCTION("""COMPUTED_VALUE"""),": + +Gain immunity to all attacks for 3 rounds.")</f>
        <v>: + +Gain immunity to all attacks for 3 rounds.</v>
      </c>
      <c r="C345" s="1" t="str">
        <f>IFERROR(__xludf.DUMMYFUNCTION("""COMPUTED_VALUE"""),"Item")</f>
        <v>Item</v>
      </c>
      <c r="D345" s="1" t="str">
        <f>IFERROR(__xludf.DUMMYFUNCTION("""COMPUTED_VALUE"""),"Land of Spira")</f>
        <v>Land of Spira</v>
      </c>
    </row>
    <row r="346">
      <c r="A346" s="1" t="str">
        <f>IFERROR(__xludf.DUMMYFUNCTION("""COMPUTED_VALUE"""),"Apple")</f>
        <v>Apple</v>
      </c>
      <c r="B346" s="1" t="str">
        <f>IFERROR(__xludf.DUMMYFUNCTION("""COMPUTED_VALUE"""),"5 hunger and thirst.")</f>
        <v>5 hunger and thirst.</v>
      </c>
      <c r="C346" s="1" t="str">
        <f>IFERROR(__xludf.DUMMYFUNCTION("""COMPUTED_VALUE"""),"Crop")</f>
        <v>Crop</v>
      </c>
      <c r="D346" s="1" t="str">
        <f>IFERROR(__xludf.DUMMYFUNCTION("""COMPUTED_VALUE"""),"Land of Spira")</f>
        <v>Land of Spira</v>
      </c>
    </row>
    <row r="347">
      <c r="A347" s="1" t="str">
        <f>IFERROR(__xludf.DUMMYFUNCTION("""COMPUTED_VALUE"""),"Watermelon")</f>
        <v>Watermelon</v>
      </c>
      <c r="B347" s="1" t="str">
        <f>IFERROR(__xludf.DUMMYFUNCTION("""COMPUTED_VALUE"""),"100 hunger, thirst, and energy. Feeds self and up to 2 party members.")</f>
        <v>100 hunger, thirst, and energy. Feeds self and up to 2 party members.</v>
      </c>
      <c r="C347" s="1" t="str">
        <f>IFERROR(__xludf.DUMMYFUNCTION("""COMPUTED_VALUE"""),"Crop")</f>
        <v>Crop</v>
      </c>
      <c r="D347" s="1" t="str">
        <f>IFERROR(__xludf.DUMMYFUNCTION("""COMPUTED_VALUE"""),"Land of Spira")</f>
        <v>Land of Spira</v>
      </c>
    </row>
    <row r="348">
      <c r="A348" s="1" t="str">
        <f>IFERROR(__xludf.DUMMYFUNCTION("""COMPUTED_VALUE"""),"Orange")</f>
        <v>Orange</v>
      </c>
      <c r="B348" s="1" t="str">
        <f>IFERROR(__xludf.DUMMYFUNCTION("""COMPUTED_VALUE"""),"5 hunger and thirst.")</f>
        <v>5 hunger and thirst.</v>
      </c>
      <c r="C348" s="1" t="str">
        <f>IFERROR(__xludf.DUMMYFUNCTION("""COMPUTED_VALUE"""),"Crop")</f>
        <v>Crop</v>
      </c>
      <c r="D348" s="1" t="str">
        <f>IFERROR(__xludf.DUMMYFUNCTION("""COMPUTED_VALUE"""),"Land of Spira")</f>
        <v>Land of Spira</v>
      </c>
    </row>
    <row r="349">
      <c r="A349" s="1" t="str">
        <f>IFERROR(__xludf.DUMMYFUNCTION("""COMPUTED_VALUE"""),"Pear")</f>
        <v>Pear</v>
      </c>
      <c r="B349" s="1" t="str">
        <f>IFERROR(__xludf.DUMMYFUNCTION("""COMPUTED_VALUE"""),"5 hunger and thirst.")</f>
        <v>5 hunger and thirst.</v>
      </c>
      <c r="C349" s="1" t="str">
        <f>IFERROR(__xludf.DUMMYFUNCTION("""COMPUTED_VALUE"""),"Crop")</f>
        <v>Crop</v>
      </c>
      <c r="D349" s="1" t="str">
        <f>IFERROR(__xludf.DUMMYFUNCTION("""COMPUTED_VALUE"""),"Land of Spira")</f>
        <v>Land of Spira</v>
      </c>
    </row>
    <row r="350">
      <c r="A350" s="1" t="str">
        <f>IFERROR(__xludf.DUMMYFUNCTION("""COMPUTED_VALUE"""),"Cherry")</f>
        <v>Cherry</v>
      </c>
      <c r="B350" s="1" t="str">
        <f>IFERROR(__xludf.DUMMYFUNCTION("""COMPUTED_VALUE"""),"5 hunger and thirst.")</f>
        <v>5 hunger and thirst.</v>
      </c>
      <c r="C350" s="1" t="str">
        <f>IFERROR(__xludf.DUMMYFUNCTION("""COMPUTED_VALUE"""),"Crop")</f>
        <v>Crop</v>
      </c>
      <c r="D350" s="1" t="str">
        <f>IFERROR(__xludf.DUMMYFUNCTION("""COMPUTED_VALUE"""),"Land of Spira")</f>
        <v>Land of Spira</v>
      </c>
    </row>
    <row r="351">
      <c r="A351" s="1" t="str">
        <f>IFERROR(__xludf.DUMMYFUNCTION("""COMPUTED_VALUE"""),"Strawberries")</f>
        <v>Strawberries</v>
      </c>
      <c r="B351" s="1" t="str">
        <f>IFERROR(__xludf.DUMMYFUNCTION("""COMPUTED_VALUE"""),"5 hunger and thirst.")</f>
        <v>5 hunger and thirst.</v>
      </c>
      <c r="C351" s="1" t="str">
        <f>IFERROR(__xludf.DUMMYFUNCTION("""COMPUTED_VALUE"""),"Crop")</f>
        <v>Crop</v>
      </c>
      <c r="D351" s="1" t="str">
        <f>IFERROR(__xludf.DUMMYFUNCTION("""COMPUTED_VALUE"""),"Land of Spira")</f>
        <v>Land of Spira</v>
      </c>
    </row>
    <row r="352">
      <c r="A352" s="1" t="str">
        <f>IFERROR(__xludf.DUMMYFUNCTION("""COMPUTED_VALUE"""),"Nectarine")</f>
        <v>Nectarine</v>
      </c>
      <c r="B352" s="1" t="str">
        <f>IFERROR(__xludf.DUMMYFUNCTION("""COMPUTED_VALUE"""),"5 hunger and thirst.")</f>
        <v>5 hunger and thirst.</v>
      </c>
      <c r="C352" s="1" t="str">
        <f>IFERROR(__xludf.DUMMYFUNCTION("""COMPUTED_VALUE"""),"Crop")</f>
        <v>Crop</v>
      </c>
      <c r="D352" s="1" t="str">
        <f>IFERROR(__xludf.DUMMYFUNCTION("""COMPUTED_VALUE"""),"Land of Spira")</f>
        <v>Land of Spira</v>
      </c>
    </row>
    <row r="353">
      <c r="A353" s="1" t="str">
        <f>IFERROR(__xludf.DUMMYFUNCTION("""COMPUTED_VALUE"""),"Grapes")</f>
        <v>Grapes</v>
      </c>
      <c r="B353" s="1" t="str">
        <f>IFERROR(__xludf.DUMMYFUNCTION("""COMPUTED_VALUE"""),"5 hunger and thirst.")</f>
        <v>5 hunger and thirst.</v>
      </c>
      <c r="C353" s="1" t="str">
        <f>IFERROR(__xludf.DUMMYFUNCTION("""COMPUTED_VALUE"""),"Crop")</f>
        <v>Crop</v>
      </c>
      <c r="D353" s="1" t="str">
        <f>IFERROR(__xludf.DUMMYFUNCTION("""COMPUTED_VALUE"""),"Land of Spira")</f>
        <v>Land of Spira</v>
      </c>
    </row>
    <row r="354">
      <c r="A354" s="1" t="str">
        <f>IFERROR(__xludf.DUMMYFUNCTION("""COMPUTED_VALUE"""),"Mango")</f>
        <v>Mango</v>
      </c>
      <c r="B354" s="1" t="str">
        <f>IFERROR(__xludf.DUMMYFUNCTION("""COMPUTED_VALUE"""),"5 hunger and thirst.")</f>
        <v>5 hunger and thirst.</v>
      </c>
      <c r="C354" s="1" t="str">
        <f>IFERROR(__xludf.DUMMYFUNCTION("""COMPUTED_VALUE"""),"Crop")</f>
        <v>Crop</v>
      </c>
      <c r="D354" s="1" t="str">
        <f>IFERROR(__xludf.DUMMYFUNCTION("""COMPUTED_VALUE"""),"Land of Spira")</f>
        <v>Land of Spira</v>
      </c>
    </row>
    <row r="355">
      <c r="A355" s="1" t="str">
        <f>IFERROR(__xludf.DUMMYFUNCTION("""COMPUTED_VALUE"""),"Blueberries")</f>
        <v>Blueberries</v>
      </c>
      <c r="B355" s="1" t="str">
        <f>IFERROR(__xludf.DUMMYFUNCTION("""COMPUTED_VALUE"""),"5 hunger and thirst.")</f>
        <v>5 hunger and thirst.</v>
      </c>
      <c r="C355" s="1" t="str">
        <f>IFERROR(__xludf.DUMMYFUNCTION("""COMPUTED_VALUE"""),"Crop")</f>
        <v>Crop</v>
      </c>
      <c r="D355" s="1" t="str">
        <f>IFERROR(__xludf.DUMMYFUNCTION("""COMPUTED_VALUE"""),"Land of Spira")</f>
        <v>Land of Spira</v>
      </c>
    </row>
    <row r="356">
      <c r="A356" s="1" t="str">
        <f>IFERROR(__xludf.DUMMYFUNCTION("""COMPUTED_VALUE"""),"Pomegranate")</f>
        <v>Pomegranate</v>
      </c>
      <c r="B356" s="1" t="str">
        <f>IFERROR(__xludf.DUMMYFUNCTION("""COMPUTED_VALUE"""),"10 hunger and thirst.")</f>
        <v>10 hunger and thirst.</v>
      </c>
      <c r="C356" s="1" t="str">
        <f>IFERROR(__xludf.DUMMYFUNCTION("""COMPUTED_VALUE"""),"Crop")</f>
        <v>Crop</v>
      </c>
      <c r="D356" s="1" t="str">
        <f>IFERROR(__xludf.DUMMYFUNCTION("""COMPUTED_VALUE"""),"Land of Spira")</f>
        <v>Land of Spira</v>
      </c>
    </row>
    <row r="357">
      <c r="A357" s="1" t="str">
        <f>IFERROR(__xludf.DUMMYFUNCTION("""COMPUTED_VALUE"""),"StarFruit")</f>
        <v>StarFruit</v>
      </c>
      <c r="B357" s="1" t="str">
        <f>IFERROR(__xludf.DUMMYFUNCTION("""COMPUTED_VALUE"""),"5 hunger and thirst.")</f>
        <v>5 hunger and thirst.</v>
      </c>
      <c r="C357" s="1" t="str">
        <f>IFERROR(__xludf.DUMMYFUNCTION("""COMPUTED_VALUE"""),"Crop")</f>
        <v>Crop</v>
      </c>
      <c r="D357" s="1" t="str">
        <f>IFERROR(__xludf.DUMMYFUNCTION("""COMPUTED_VALUE"""),"Land of Spira")</f>
        <v>Land of Spira</v>
      </c>
    </row>
    <row r="358">
      <c r="A358" s="1" t="str">
        <f>IFERROR(__xludf.DUMMYFUNCTION("""COMPUTED_VALUE"""),"Plum")</f>
        <v>Plum</v>
      </c>
      <c r="B358" s="1" t="str">
        <f>IFERROR(__xludf.DUMMYFUNCTION("""COMPUTED_VALUE"""),"5 hunger and thirst.")</f>
        <v>5 hunger and thirst.</v>
      </c>
      <c r="C358" s="1" t="str">
        <f>IFERROR(__xludf.DUMMYFUNCTION("""COMPUTED_VALUE"""),"Crop")</f>
        <v>Crop</v>
      </c>
      <c r="D358" s="1" t="str">
        <f>IFERROR(__xludf.DUMMYFUNCTION("""COMPUTED_VALUE"""),"Land of Spira")</f>
        <v>Land of Spira</v>
      </c>
    </row>
    <row r="359">
      <c r="A359" s="1" t="str">
        <f>IFERROR(__xludf.DUMMYFUNCTION("""COMPUTED_VALUE"""),"Bananas")</f>
        <v>Bananas</v>
      </c>
      <c r="B359" s="1" t="str">
        <f>IFERROR(__xludf.DUMMYFUNCTION("""COMPUTED_VALUE"""),"10 hunger.")</f>
        <v>10 hunger.</v>
      </c>
      <c r="C359" s="1" t="str">
        <f>IFERROR(__xludf.DUMMYFUNCTION("""COMPUTED_VALUE"""),"Crop")</f>
        <v>Crop</v>
      </c>
      <c r="D359" s="1" t="str">
        <f>IFERROR(__xludf.DUMMYFUNCTION("""COMPUTED_VALUE"""),"Land of Spira")</f>
        <v>Land of Spira</v>
      </c>
    </row>
    <row r="360">
      <c r="A360" s="1" t="str">
        <f>IFERROR(__xludf.DUMMYFUNCTION("""COMPUTED_VALUE"""),"Raspberry")</f>
        <v>Raspberry</v>
      </c>
      <c r="B360" s="1" t="str">
        <f>IFERROR(__xludf.DUMMYFUNCTION("""COMPUTED_VALUE"""),"5 hunger and thirst.")</f>
        <v>5 hunger and thirst.</v>
      </c>
      <c r="C360" s="1" t="str">
        <f>IFERROR(__xludf.DUMMYFUNCTION("""COMPUTED_VALUE"""),"Crop")</f>
        <v>Crop</v>
      </c>
      <c r="D360" s="1" t="str">
        <f>IFERROR(__xludf.DUMMYFUNCTION("""COMPUTED_VALUE"""),"Land of Spira")</f>
        <v>Land of Spira</v>
      </c>
    </row>
    <row r="361">
      <c r="A361" s="1" t="str">
        <f>IFERROR(__xludf.DUMMYFUNCTION("""COMPUTED_VALUE"""),"Mandarin")</f>
        <v>Mandarin</v>
      </c>
      <c r="B361" s="1" t="str">
        <f>IFERROR(__xludf.DUMMYFUNCTION("""COMPUTED_VALUE"""),"5 hunger and thirst.")</f>
        <v>5 hunger and thirst.</v>
      </c>
      <c r="C361" s="1" t="str">
        <f>IFERROR(__xludf.DUMMYFUNCTION("""COMPUTED_VALUE"""),"Crop")</f>
        <v>Crop</v>
      </c>
      <c r="D361" s="1" t="str">
        <f>IFERROR(__xludf.DUMMYFUNCTION("""COMPUTED_VALUE"""),"Land of Spira")</f>
        <v>Land of Spira</v>
      </c>
    </row>
    <row r="362">
      <c r="A362" s="1" t="str">
        <f>IFERROR(__xludf.DUMMYFUNCTION("""COMPUTED_VALUE"""),"Jackfruit")</f>
        <v>Jackfruit</v>
      </c>
      <c r="B362" s="1" t="str">
        <f>IFERROR(__xludf.DUMMYFUNCTION("""COMPUTED_VALUE"""),"5 hunger and thirst.")</f>
        <v>5 hunger and thirst.</v>
      </c>
      <c r="C362" s="1" t="str">
        <f>IFERROR(__xludf.DUMMYFUNCTION("""COMPUTED_VALUE"""),"Crop")</f>
        <v>Crop</v>
      </c>
      <c r="D362" s="1" t="str">
        <f>IFERROR(__xludf.DUMMYFUNCTION("""COMPUTED_VALUE"""),"Land of Spira")</f>
        <v>Land of Spira</v>
      </c>
    </row>
    <row r="363">
      <c r="A363" s="1" t="str">
        <f>IFERROR(__xludf.DUMMYFUNCTION("""COMPUTED_VALUE"""),"Papaya")</f>
        <v>Papaya</v>
      </c>
      <c r="B363" s="1" t="str">
        <f>IFERROR(__xludf.DUMMYFUNCTION("""COMPUTED_VALUE"""),"10 hunger and thirst.")</f>
        <v>10 hunger and thirst.</v>
      </c>
      <c r="C363" s="1" t="str">
        <f>IFERROR(__xludf.DUMMYFUNCTION("""COMPUTED_VALUE"""),"Crop")</f>
        <v>Crop</v>
      </c>
      <c r="D363" s="1" t="str">
        <f>IFERROR(__xludf.DUMMYFUNCTION("""COMPUTED_VALUE"""),"Land of Spira")</f>
        <v>Land of Spira</v>
      </c>
    </row>
    <row r="364">
      <c r="A364" s="1" t="str">
        <f>IFERROR(__xludf.DUMMYFUNCTION("""COMPUTED_VALUE"""),"Kiwi")</f>
        <v>Kiwi</v>
      </c>
      <c r="B364" s="1" t="str">
        <f>IFERROR(__xludf.DUMMYFUNCTION("""COMPUTED_VALUE"""),"5 hunger and thirst.")</f>
        <v>5 hunger and thirst.</v>
      </c>
      <c r="C364" s="1" t="str">
        <f>IFERROR(__xludf.DUMMYFUNCTION("""COMPUTED_VALUE"""),"Crop")</f>
        <v>Crop</v>
      </c>
      <c r="D364" s="1" t="str">
        <f>IFERROR(__xludf.DUMMYFUNCTION("""COMPUTED_VALUE"""),"Land of Spira")</f>
        <v>Land of Spira</v>
      </c>
    </row>
    <row r="365">
      <c r="A365" s="1" t="str">
        <f>IFERROR(__xludf.DUMMYFUNCTION("""COMPUTED_VALUE"""),"Pineapple")</f>
        <v>Pineapple</v>
      </c>
      <c r="B365" s="1" t="str">
        <f>IFERROR(__xludf.DUMMYFUNCTION("""COMPUTED_VALUE"""),"20 hunger and thirst.")</f>
        <v>20 hunger and thirst.</v>
      </c>
      <c r="C365" s="1" t="str">
        <f>IFERROR(__xludf.DUMMYFUNCTION("""COMPUTED_VALUE"""),"Crop")</f>
        <v>Crop</v>
      </c>
      <c r="D365" s="1" t="str">
        <f>IFERROR(__xludf.DUMMYFUNCTION("""COMPUTED_VALUE"""),"Land of Spira")</f>
        <v>Land of Spira</v>
      </c>
    </row>
    <row r="366">
      <c r="A366" s="1" t="str">
        <f>IFERROR(__xludf.DUMMYFUNCTION("""COMPUTED_VALUE"""),"Lime")</f>
        <v>Lime</v>
      </c>
      <c r="B366" s="1" t="str">
        <f>IFERROR(__xludf.DUMMYFUNCTION("""COMPUTED_VALUE"""),"5 hunger and thirst or 25% chance to lose 10 hunger and thirst.")</f>
        <v>5 hunger and thirst or 25% chance to lose 10 hunger and thirst.</v>
      </c>
      <c r="C366" s="1" t="str">
        <f>IFERROR(__xludf.DUMMYFUNCTION("""COMPUTED_VALUE"""),"Crop")</f>
        <v>Crop</v>
      </c>
      <c r="D366" s="1" t="str">
        <f>IFERROR(__xludf.DUMMYFUNCTION("""COMPUTED_VALUE"""),"Land of Spira")</f>
        <v>Land of Spira</v>
      </c>
    </row>
    <row r="367">
      <c r="A367" s="1" t="str">
        <f>IFERROR(__xludf.DUMMYFUNCTION("""COMPUTED_VALUE"""),"Lemon")</f>
        <v>Lemon</v>
      </c>
      <c r="B367" s="1" t="str">
        <f>IFERROR(__xludf.DUMMYFUNCTION("""COMPUTED_VALUE"""),"5 hunger and thirst or 50% chance to lose 10 hunger and thirst.")</f>
        <v>5 hunger and thirst or 50% chance to lose 10 hunger and thirst.</v>
      </c>
      <c r="C367" s="1" t="str">
        <f>IFERROR(__xludf.DUMMYFUNCTION("""COMPUTED_VALUE"""),"Crop")</f>
        <v>Crop</v>
      </c>
      <c r="D367" s="1" t="str">
        <f>IFERROR(__xludf.DUMMYFUNCTION("""COMPUTED_VALUE"""),"Land of Spira")</f>
        <v>Land of Spira</v>
      </c>
    </row>
    <row r="368">
      <c r="A368" s="1" t="str">
        <f>IFERROR(__xludf.DUMMYFUNCTION("""COMPUTED_VALUE"""),"Apricot")</f>
        <v>Apricot</v>
      </c>
      <c r="B368" s="1" t="str">
        <f>IFERROR(__xludf.DUMMYFUNCTION("""COMPUTED_VALUE"""),"5 hunger and thirst.")</f>
        <v>5 hunger and thirst.</v>
      </c>
      <c r="C368" s="1" t="str">
        <f>IFERROR(__xludf.DUMMYFUNCTION("""COMPUTED_VALUE"""),"Crop")</f>
        <v>Crop</v>
      </c>
      <c r="D368" s="1" t="str">
        <f>IFERROR(__xludf.DUMMYFUNCTION("""COMPUTED_VALUE"""),"Land of Spira")</f>
        <v>Land of Spira</v>
      </c>
    </row>
    <row r="369">
      <c r="A369" s="1" t="str">
        <f>IFERROR(__xludf.DUMMYFUNCTION("""COMPUTED_VALUE"""),"Grapefruit")</f>
        <v>Grapefruit</v>
      </c>
      <c r="B369" s="1" t="str">
        <f>IFERROR(__xludf.DUMMYFUNCTION("""COMPUTED_VALUE"""),"10 hunger and thirst.")</f>
        <v>10 hunger and thirst.</v>
      </c>
      <c r="C369" s="1" t="str">
        <f>IFERROR(__xludf.DUMMYFUNCTION("""COMPUTED_VALUE"""),"Crop")</f>
        <v>Crop</v>
      </c>
      <c r="D369" s="1" t="str">
        <f>IFERROR(__xludf.DUMMYFUNCTION("""COMPUTED_VALUE"""),"Land of Spira")</f>
        <v>Land of Spira</v>
      </c>
    </row>
    <row r="370">
      <c r="A370" s="1" t="str">
        <f>IFERROR(__xludf.DUMMYFUNCTION("""COMPUTED_VALUE"""),"Coconut")</f>
        <v>Coconut</v>
      </c>
      <c r="B370" s="1" t="str">
        <f>IFERROR(__xludf.DUMMYFUNCTION("""COMPUTED_VALUE"""),"10 hunger and thirst.")</f>
        <v>10 hunger and thirst.</v>
      </c>
      <c r="C370" s="1" t="str">
        <f>IFERROR(__xludf.DUMMYFUNCTION("""COMPUTED_VALUE"""),"Crop")</f>
        <v>Crop</v>
      </c>
      <c r="D370" s="1" t="str">
        <f>IFERROR(__xludf.DUMMYFUNCTION("""COMPUTED_VALUE"""),"Land of Spira")</f>
        <v>Land of Spira</v>
      </c>
    </row>
    <row r="371">
      <c r="A371" s="1" t="str">
        <f>IFERROR(__xludf.DUMMYFUNCTION("""COMPUTED_VALUE"""),"Avocado")</f>
        <v>Avocado</v>
      </c>
      <c r="B371" s="1" t="str">
        <f>IFERROR(__xludf.DUMMYFUNCTION("""COMPUTED_VALUE"""),"5 hunger.")</f>
        <v>5 hunger.</v>
      </c>
      <c r="C371" s="1" t="str">
        <f>IFERROR(__xludf.DUMMYFUNCTION("""COMPUTED_VALUE"""),"Crop")</f>
        <v>Crop</v>
      </c>
      <c r="D371" s="1" t="str">
        <f>IFERROR(__xludf.DUMMYFUNCTION("""COMPUTED_VALUE"""),"Land of Spira")</f>
        <v>Land of Spira</v>
      </c>
    </row>
    <row r="372">
      <c r="A372" s="1" t="str">
        <f>IFERROR(__xludf.DUMMYFUNCTION("""COMPUTED_VALUE"""),"Peach")</f>
        <v>Peach</v>
      </c>
      <c r="B372" s="1" t="str">
        <f>IFERROR(__xludf.DUMMYFUNCTION("""COMPUTED_VALUE"""),"5 hunger and thirst.")</f>
        <v>5 hunger and thirst.</v>
      </c>
      <c r="C372" s="1" t="str">
        <f>IFERROR(__xludf.DUMMYFUNCTION("""COMPUTED_VALUE"""),"Crop")</f>
        <v>Crop</v>
      </c>
      <c r="D372" s="1" t="str">
        <f>IFERROR(__xludf.DUMMYFUNCTION("""COMPUTED_VALUE"""),"Land of Spira")</f>
        <v>Land of Spira</v>
      </c>
    </row>
    <row r="373">
      <c r="A373" s="1" t="str">
        <f>IFERROR(__xludf.DUMMYFUNCTION("""COMPUTED_VALUE"""),"Corn")</f>
        <v>Corn</v>
      </c>
      <c r="B373" s="1" t="str">
        <f>IFERROR(__xludf.DUMMYFUNCTION("""COMPUTED_VALUE"""),"10 hunger.")</f>
        <v>10 hunger.</v>
      </c>
      <c r="C373" s="1" t="str">
        <f>IFERROR(__xludf.DUMMYFUNCTION("""COMPUTED_VALUE"""),"Crop")</f>
        <v>Crop</v>
      </c>
      <c r="D373" s="1" t="str">
        <f>IFERROR(__xludf.DUMMYFUNCTION("""COMPUTED_VALUE"""),"Land of Spira")</f>
        <v>Land of Spira</v>
      </c>
    </row>
    <row r="374">
      <c r="A374" s="1" t="str">
        <f>IFERROR(__xludf.DUMMYFUNCTION("""COMPUTED_VALUE"""),"Mushroom")</f>
        <v>Mushroom</v>
      </c>
      <c r="B374" s="1" t="str">
        <f>IFERROR(__xludf.DUMMYFUNCTION("""COMPUTED_VALUE"""),"10 hunger, 25% chance of wandering away from the party.")</f>
        <v>10 hunger, 25% chance of wandering away from the party.</v>
      </c>
      <c r="C374" s="1" t="str">
        <f>IFERROR(__xludf.DUMMYFUNCTION("""COMPUTED_VALUE"""),"Crop")</f>
        <v>Crop</v>
      </c>
      <c r="D374" s="1" t="str">
        <f>IFERROR(__xludf.DUMMYFUNCTION("""COMPUTED_VALUE"""),"Land of Spira")</f>
        <v>Land of Spira</v>
      </c>
    </row>
    <row r="375">
      <c r="A375" s="1" t="str">
        <f>IFERROR(__xludf.DUMMYFUNCTION("""COMPUTED_VALUE"""),"Broccoli")</f>
        <v>Broccoli</v>
      </c>
      <c r="B375" s="1" t="str">
        <f>IFERROR(__xludf.DUMMYFUNCTION("""COMPUTED_VALUE"""),"5 hunger")</f>
        <v>5 hunger</v>
      </c>
      <c r="C375" s="1" t="str">
        <f>IFERROR(__xludf.DUMMYFUNCTION("""COMPUTED_VALUE"""),"Crop")</f>
        <v>Crop</v>
      </c>
      <c r="D375" s="1" t="str">
        <f>IFERROR(__xludf.DUMMYFUNCTION("""COMPUTED_VALUE"""),"Land of Spira")</f>
        <v>Land of Spira</v>
      </c>
    </row>
    <row r="376">
      <c r="A376" s="1" t="str">
        <f>IFERROR(__xludf.DUMMYFUNCTION("""COMPUTED_VALUE"""),"Cucumber")</f>
        <v>Cucumber</v>
      </c>
      <c r="B376" s="1" t="str">
        <f>IFERROR(__xludf.DUMMYFUNCTION("""COMPUTED_VALUE"""),"5 hunger")</f>
        <v>5 hunger</v>
      </c>
      <c r="C376" s="1" t="str">
        <f>IFERROR(__xludf.DUMMYFUNCTION("""COMPUTED_VALUE"""),"Crop")</f>
        <v>Crop</v>
      </c>
      <c r="D376" s="1" t="str">
        <f>IFERROR(__xludf.DUMMYFUNCTION("""COMPUTED_VALUE"""),"Land of Spira")</f>
        <v>Land of Spira</v>
      </c>
    </row>
    <row r="377">
      <c r="A377" s="1" t="str">
        <f>IFERROR(__xludf.DUMMYFUNCTION("""COMPUTED_VALUE"""),"Red Pepper/Red Bell Pepper")</f>
        <v>Red Pepper/Red Bell Pepper</v>
      </c>
      <c r="B377" s="1" t="str">
        <f>IFERROR(__xludf.DUMMYFUNCTION("""COMPUTED_VALUE"""),"5 hunger")</f>
        <v>5 hunger</v>
      </c>
      <c r="C377" s="1" t="str">
        <f>IFERROR(__xludf.DUMMYFUNCTION("""COMPUTED_VALUE"""),"Crop")</f>
        <v>Crop</v>
      </c>
      <c r="D377" s="1" t="str">
        <f>IFERROR(__xludf.DUMMYFUNCTION("""COMPUTED_VALUE"""),"Land of Spira")</f>
        <v>Land of Spira</v>
      </c>
    </row>
    <row r="378">
      <c r="A378" s="1" t="str">
        <f>IFERROR(__xludf.DUMMYFUNCTION("""COMPUTED_VALUE"""),"Tomato")</f>
        <v>Tomato</v>
      </c>
      <c r="B378" s="1" t="str">
        <f>IFERROR(__xludf.DUMMYFUNCTION("""COMPUTED_VALUE"""),"5 hunger and thirst")</f>
        <v>5 hunger and thirst</v>
      </c>
      <c r="C378" s="1" t="str">
        <f>IFERROR(__xludf.DUMMYFUNCTION("""COMPUTED_VALUE"""),"Crop")</f>
        <v>Crop</v>
      </c>
      <c r="D378" s="1" t="str">
        <f>IFERROR(__xludf.DUMMYFUNCTION("""COMPUTED_VALUE"""),"Land of Spira")</f>
        <v>Land of Spira</v>
      </c>
    </row>
    <row r="379">
      <c r="A379" s="1" t="str">
        <f>IFERROR(__xludf.DUMMYFUNCTION("""COMPUTED_VALUE"""),"Carrot")</f>
        <v>Carrot</v>
      </c>
      <c r="B379" s="1" t="str">
        <f>IFERROR(__xludf.DUMMYFUNCTION("""COMPUTED_VALUE"""),"5 hunger")</f>
        <v>5 hunger</v>
      </c>
      <c r="C379" s="1" t="str">
        <f>IFERROR(__xludf.DUMMYFUNCTION("""COMPUTED_VALUE"""),"Crop")</f>
        <v>Crop</v>
      </c>
      <c r="D379" s="1" t="str">
        <f>IFERROR(__xludf.DUMMYFUNCTION("""COMPUTED_VALUE"""),"Land of Spira")</f>
        <v>Land of Spira</v>
      </c>
    </row>
    <row r="380">
      <c r="A380" s="1" t="str">
        <f>IFERROR(__xludf.DUMMYFUNCTION("""COMPUTED_VALUE"""),"Brussels Sprout")</f>
        <v>Brussels Sprout</v>
      </c>
      <c r="B380" s="1" t="str">
        <f>IFERROR(__xludf.DUMMYFUNCTION("""COMPUTED_VALUE"""),"5 hunger")</f>
        <v>5 hunger</v>
      </c>
      <c r="C380" s="1" t="str">
        <f>IFERROR(__xludf.DUMMYFUNCTION("""COMPUTED_VALUE"""),"Crop")</f>
        <v>Crop</v>
      </c>
      <c r="D380" s="1" t="str">
        <f>IFERROR(__xludf.DUMMYFUNCTION("""COMPUTED_VALUE"""),"Land of Spira")</f>
        <v>Land of Spira</v>
      </c>
    </row>
    <row r="381">
      <c r="A381" s="1" t="str">
        <f>IFERROR(__xludf.DUMMYFUNCTION("""COMPUTED_VALUE"""),"Cabbage")</f>
        <v>Cabbage</v>
      </c>
      <c r="B381" s="1" t="str">
        <f>IFERROR(__xludf.DUMMYFUNCTION("""COMPUTED_VALUE"""),"10 hunger")</f>
        <v>10 hunger</v>
      </c>
      <c r="C381" s="1" t="str">
        <f>IFERROR(__xludf.DUMMYFUNCTION("""COMPUTED_VALUE"""),"Crop")</f>
        <v>Crop</v>
      </c>
      <c r="D381" s="1" t="str">
        <f>IFERROR(__xludf.DUMMYFUNCTION("""COMPUTED_VALUE"""),"Land of Spira")</f>
        <v>Land of Spira</v>
      </c>
    </row>
    <row r="382">
      <c r="A382" s="1" t="str">
        <f>IFERROR(__xludf.DUMMYFUNCTION("""COMPUTED_VALUE"""),"Potato")</f>
        <v>Potato</v>
      </c>
      <c r="B382" s="1" t="str">
        <f>IFERROR(__xludf.DUMMYFUNCTION("""COMPUTED_VALUE"""),"5 hunger")</f>
        <v>5 hunger</v>
      </c>
      <c r="C382" s="1" t="str">
        <f>IFERROR(__xludf.DUMMYFUNCTION("""COMPUTED_VALUE"""),"Crop")</f>
        <v>Crop</v>
      </c>
      <c r="D382" s="1" t="str">
        <f>IFERROR(__xludf.DUMMYFUNCTION("""COMPUTED_VALUE"""),"Land of Spira")</f>
        <v>Land of Spira</v>
      </c>
    </row>
    <row r="383">
      <c r="A383" s="1" t="str">
        <f>IFERROR(__xludf.DUMMYFUNCTION("""COMPUTED_VALUE"""),"Eggplant")</f>
        <v>Eggplant</v>
      </c>
      <c r="B383" s="1" t="str">
        <f>IFERROR(__xludf.DUMMYFUNCTION("""COMPUTED_VALUE"""),"10 hunger")</f>
        <v>10 hunger</v>
      </c>
      <c r="C383" s="1" t="str">
        <f>IFERROR(__xludf.DUMMYFUNCTION("""COMPUTED_VALUE"""),"Crop")</f>
        <v>Crop</v>
      </c>
      <c r="D383" s="1" t="str">
        <f>IFERROR(__xludf.DUMMYFUNCTION("""COMPUTED_VALUE"""),"Land of Spira")</f>
        <v>Land of Spira</v>
      </c>
    </row>
    <row r="384">
      <c r="A384" s="1" t="str">
        <f>IFERROR(__xludf.DUMMYFUNCTION("""COMPUTED_VALUE"""),"Sweet Potato")</f>
        <v>Sweet Potato</v>
      </c>
      <c r="B384" s="1" t="str">
        <f>IFERROR(__xludf.DUMMYFUNCTION("""COMPUTED_VALUE"""),"5 hunger")</f>
        <v>5 hunger</v>
      </c>
      <c r="C384" s="1" t="str">
        <f>IFERROR(__xludf.DUMMYFUNCTION("""COMPUTED_VALUE"""),"Crop")</f>
        <v>Crop</v>
      </c>
      <c r="D384" s="1" t="str">
        <f>IFERROR(__xludf.DUMMYFUNCTION("""COMPUTED_VALUE"""),"Land of Spira")</f>
        <v>Land of Spira</v>
      </c>
    </row>
    <row r="385">
      <c r="A385" s="1" t="str">
        <f>IFERROR(__xludf.DUMMYFUNCTION("""COMPUTED_VALUE"""),"Turnip")</f>
        <v>Turnip</v>
      </c>
      <c r="B385" s="1" t="str">
        <f>IFERROR(__xludf.DUMMYFUNCTION("""COMPUTED_VALUE"""),"5 hunger")</f>
        <v>5 hunger</v>
      </c>
      <c r="C385" s="1" t="str">
        <f>IFERROR(__xludf.DUMMYFUNCTION("""COMPUTED_VALUE"""),"Crop")</f>
        <v>Crop</v>
      </c>
      <c r="D385" s="1" t="str">
        <f>IFERROR(__xludf.DUMMYFUNCTION("""COMPUTED_VALUE"""),"Land of Spira")</f>
        <v>Land of Spira</v>
      </c>
    </row>
    <row r="386">
      <c r="A386" s="1" t="str">
        <f>IFERROR(__xludf.DUMMYFUNCTION("""COMPUTED_VALUE"""),"Green Chilli")</f>
        <v>Green Chilli</v>
      </c>
      <c r="B386" s="1" t="str">
        <f>IFERROR(__xludf.DUMMYFUNCTION("""COMPUTED_VALUE"""),"5 hunger")</f>
        <v>5 hunger</v>
      </c>
      <c r="C386" s="1" t="str">
        <f>IFERROR(__xludf.DUMMYFUNCTION("""COMPUTED_VALUE"""),"Crop")</f>
        <v>Crop</v>
      </c>
      <c r="D386" s="1" t="str">
        <f>IFERROR(__xludf.DUMMYFUNCTION("""COMPUTED_VALUE"""),"Land of Spira")</f>
        <v>Land of Spira</v>
      </c>
    </row>
    <row r="387">
      <c r="A387" s="1" t="str">
        <f>IFERROR(__xludf.DUMMYFUNCTION("""COMPUTED_VALUE"""),"Onion")</f>
        <v>Onion</v>
      </c>
      <c r="B387" s="1" t="str">
        <f>IFERROR(__xludf.DUMMYFUNCTION("""COMPUTED_VALUE"""),"5 hunger, 50% Blindness 3 during the next battle.")</f>
        <v>5 hunger, 50% Blindness 3 during the next battle.</v>
      </c>
      <c r="C387" s="1" t="str">
        <f>IFERROR(__xludf.DUMMYFUNCTION("""COMPUTED_VALUE"""),"Crop")</f>
        <v>Crop</v>
      </c>
      <c r="D387" s="1" t="str">
        <f>IFERROR(__xludf.DUMMYFUNCTION("""COMPUTED_VALUE"""),"Land of Spira")</f>
        <v>Land of Spira</v>
      </c>
    </row>
    <row r="388">
      <c r="A388" s="1" t="str">
        <f>IFERROR(__xludf.DUMMYFUNCTION("""COMPUTED_VALUE"""),"Lettuce")</f>
        <v>Lettuce</v>
      </c>
      <c r="B388" s="1" t="str">
        <f>IFERROR(__xludf.DUMMYFUNCTION("""COMPUTED_VALUE"""),"5 hunger")</f>
        <v>5 hunger</v>
      </c>
      <c r="C388" s="1" t="str">
        <f>IFERROR(__xludf.DUMMYFUNCTION("""COMPUTED_VALUE"""),"Crop")</f>
        <v>Crop</v>
      </c>
      <c r="D388" s="1" t="str">
        <f>IFERROR(__xludf.DUMMYFUNCTION("""COMPUTED_VALUE"""),"Land of Spira")</f>
        <v>Land of Spira</v>
      </c>
    </row>
    <row r="389">
      <c r="A389" s="1" t="str">
        <f>IFERROR(__xludf.DUMMYFUNCTION("""COMPUTED_VALUE"""),"Radish")</f>
        <v>Radish</v>
      </c>
      <c r="B389" s="1" t="str">
        <f>IFERROR(__xludf.DUMMYFUNCTION("""COMPUTED_VALUE"""),"5 hunger")</f>
        <v>5 hunger</v>
      </c>
      <c r="C389" s="1" t="str">
        <f>IFERROR(__xludf.DUMMYFUNCTION("""COMPUTED_VALUE"""),"Crop")</f>
        <v>Crop</v>
      </c>
      <c r="D389" s="1" t="str">
        <f>IFERROR(__xludf.DUMMYFUNCTION("""COMPUTED_VALUE"""),"Land of Spira")</f>
        <v>Land of Spira</v>
      </c>
    </row>
    <row r="390">
      <c r="A390" s="1" t="str">
        <f>IFERROR(__xludf.DUMMYFUNCTION("""COMPUTED_VALUE"""),"Peas")</f>
        <v>Peas</v>
      </c>
      <c r="B390" s="1" t="str">
        <f>IFERROR(__xludf.DUMMYFUNCTION("""COMPUTED_VALUE"""),"5 hunger")</f>
        <v>5 hunger</v>
      </c>
      <c r="C390" s="1" t="str">
        <f>IFERROR(__xludf.DUMMYFUNCTION("""COMPUTED_VALUE"""),"Crop")</f>
        <v>Crop</v>
      </c>
      <c r="D390" s="1" t="str">
        <f>IFERROR(__xludf.DUMMYFUNCTION("""COMPUTED_VALUE"""),"Land of Spira")</f>
        <v>Land of Spira</v>
      </c>
    </row>
    <row r="391">
      <c r="A391" s="1" t="str">
        <f>IFERROR(__xludf.DUMMYFUNCTION("""COMPUTED_VALUE"""),"Asparagus")</f>
        <v>Asparagus</v>
      </c>
      <c r="B391" s="1" t="str">
        <f>IFERROR(__xludf.DUMMYFUNCTION("""COMPUTED_VALUE"""),"5 hunger")</f>
        <v>5 hunger</v>
      </c>
      <c r="C391" s="1" t="str">
        <f>IFERROR(__xludf.DUMMYFUNCTION("""COMPUTED_VALUE"""),"Crop")</f>
        <v>Crop</v>
      </c>
      <c r="D391" s="1" t="str">
        <f>IFERROR(__xludf.DUMMYFUNCTION("""COMPUTED_VALUE"""),"Land of Spira")</f>
        <v>Land of Spira</v>
      </c>
    </row>
    <row r="392">
      <c r="A392" s="1" t="str">
        <f>IFERROR(__xludf.DUMMYFUNCTION("""COMPUTED_VALUE"""),"Celery")</f>
        <v>Celery</v>
      </c>
      <c r="B392" s="1" t="str">
        <f>IFERROR(__xludf.DUMMYFUNCTION("""COMPUTED_VALUE"""),"5 hunger")</f>
        <v>5 hunger</v>
      </c>
      <c r="C392" s="1" t="str">
        <f>IFERROR(__xludf.DUMMYFUNCTION("""COMPUTED_VALUE"""),"Crop")</f>
        <v>Crop</v>
      </c>
      <c r="D392" s="1" t="str">
        <f>IFERROR(__xludf.DUMMYFUNCTION("""COMPUTED_VALUE"""),"Land of Spira")</f>
        <v>Land of Spira</v>
      </c>
    </row>
    <row r="393">
      <c r="A393" s="1" t="str">
        <f>IFERROR(__xludf.DUMMYFUNCTION("""COMPUTED_VALUE"""),"Green Pepper")</f>
        <v>Green Pepper</v>
      </c>
      <c r="B393" s="1" t="str">
        <f>IFERROR(__xludf.DUMMYFUNCTION("""COMPUTED_VALUE"""),"5 hunger")</f>
        <v>5 hunger</v>
      </c>
      <c r="C393" s="1" t="str">
        <f>IFERROR(__xludf.DUMMYFUNCTION("""COMPUTED_VALUE"""),"Crop")</f>
        <v>Crop</v>
      </c>
      <c r="D393" s="1" t="str">
        <f>IFERROR(__xludf.DUMMYFUNCTION("""COMPUTED_VALUE"""),"Land of Spira")</f>
        <v>Land of Spira</v>
      </c>
    </row>
    <row r="394">
      <c r="A394" s="1" t="str">
        <f>IFERROR(__xludf.DUMMYFUNCTION("""COMPUTED_VALUE"""),"French Beans")</f>
        <v>French Beans</v>
      </c>
      <c r="B394" s="1" t="str">
        <f>IFERROR(__xludf.DUMMYFUNCTION("""COMPUTED_VALUE"""),"5 hunger")</f>
        <v>5 hunger</v>
      </c>
      <c r="C394" s="1" t="str">
        <f>IFERROR(__xludf.DUMMYFUNCTION("""COMPUTED_VALUE"""),"Crop")</f>
        <v>Crop</v>
      </c>
      <c r="D394" s="1" t="str">
        <f>IFERROR(__xludf.DUMMYFUNCTION("""COMPUTED_VALUE"""),"Land of Spira")</f>
        <v>Land of Spira</v>
      </c>
    </row>
    <row r="395">
      <c r="A395" s="1" t="str">
        <f>IFERROR(__xludf.DUMMYFUNCTION("""COMPUTED_VALUE"""),"Spinach")</f>
        <v>Spinach</v>
      </c>
      <c r="B395" s="1" t="str">
        <f>IFERROR(__xludf.DUMMYFUNCTION("""COMPUTED_VALUE"""),"5 hunger")</f>
        <v>5 hunger</v>
      </c>
      <c r="C395" s="1" t="str">
        <f>IFERROR(__xludf.DUMMYFUNCTION("""COMPUTED_VALUE"""),"Crop")</f>
        <v>Crop</v>
      </c>
      <c r="D395" s="1" t="str">
        <f>IFERROR(__xludf.DUMMYFUNCTION("""COMPUTED_VALUE"""),"Land of Spira")</f>
        <v>Land of Spira</v>
      </c>
    </row>
    <row r="396">
      <c r="A396" s="1" t="str">
        <f>IFERROR(__xludf.DUMMYFUNCTION("""COMPUTED_VALUE"""),"Beetroot")</f>
        <v>Beetroot</v>
      </c>
      <c r="B396" s="1" t="str">
        <f>IFERROR(__xludf.DUMMYFUNCTION("""COMPUTED_VALUE"""),"5 hunger")</f>
        <v>5 hunger</v>
      </c>
      <c r="C396" s="1" t="str">
        <f>IFERROR(__xludf.DUMMYFUNCTION("""COMPUTED_VALUE"""),"Crop")</f>
        <v>Crop</v>
      </c>
      <c r="D396" s="1" t="str">
        <f>IFERROR(__xludf.DUMMYFUNCTION("""COMPUTED_VALUE"""),"Land of Spira")</f>
        <v>Land of Spira</v>
      </c>
    </row>
    <row r="397">
      <c r="A397" s="1" t="str">
        <f>IFERROR(__xludf.DUMMYFUNCTION("""COMPUTED_VALUE"""),"Red Chili Peppers ")</f>
        <v>Red Chili Peppers </v>
      </c>
      <c r="B397" s="1" t="str">
        <f>IFERROR(__xludf.DUMMYFUNCTION("""COMPUTED_VALUE"""),"5 hunger")</f>
        <v>5 hunger</v>
      </c>
      <c r="C397" s="1" t="str">
        <f>IFERROR(__xludf.DUMMYFUNCTION("""COMPUTED_VALUE"""),"Crop")</f>
        <v>Crop</v>
      </c>
      <c r="D397" s="1" t="str">
        <f>IFERROR(__xludf.DUMMYFUNCTION("""COMPUTED_VALUE"""),"Land of Spira")</f>
        <v>Land of Spira</v>
      </c>
    </row>
    <row r="398">
      <c r="A398" s="1"/>
      <c r="B398" s="1"/>
      <c r="C398" s="1" t="str">
        <f>IFERROR(__xludf.DUMMYFUNCTION("""COMPUTED_VALUE"""),"Item")</f>
        <v>Item</v>
      </c>
      <c r="D398" s="1" t="str">
        <f>IFERROR(__xludf.DUMMYFUNCTION("""COMPUTED_VALUE"""),"Land of Spira")</f>
        <v>Land of Spira</v>
      </c>
    </row>
    <row r="399">
      <c r="A399" s="1" t="str">
        <f>IFERROR(__xludf.DUMMYFUNCTION("""COMPUTED_VALUE"""),"Crystal Apple")</f>
        <v>Crystal Apple</v>
      </c>
      <c r="B399" s="1" t="str">
        <f>IFERROR(__xludf.DUMMYFUNCTION("""COMPUTED_VALUE"""),"When consumed X2 additional Damage towards the users weapons. (Can only use 1 per battle)")</f>
        <v>When consumed X2 additional Damage towards the users weapons. (Can only use 1 per battle)</v>
      </c>
      <c r="C399" s="1" t="str">
        <f>IFERROR(__xludf.DUMMYFUNCTION("""COMPUTED_VALUE"""),"Item")</f>
        <v>Item</v>
      </c>
      <c r="D399" s="1" t="str">
        <f>IFERROR(__xludf.DUMMYFUNCTION("""COMPUTED_VALUE"""),"Land of Spira")</f>
        <v>Land of Spira</v>
      </c>
    </row>
    <row r="400">
      <c r="A400" s="1" t="str">
        <f>IFERROR(__xludf.DUMMYFUNCTION("""COMPUTED_VALUE"""),"Dark Crystal Shard")</f>
        <v>Dark Crystal Shard</v>
      </c>
      <c r="B400" s="1" t="str">
        <f>IFERROR(__xludf.DUMMYFUNCTION("""COMPUTED_VALUE"""),"Quest item, Crafting Material, roll a d20 to see how many you get if this is a loot drop.")</f>
        <v>Quest item, Crafting Material, roll a d20 to see how many you get if this is a loot drop.</v>
      </c>
      <c r="C400" s="1" t="str">
        <f>IFERROR(__xludf.DUMMYFUNCTION("""COMPUTED_VALUE"""),"Item")</f>
        <v>Item</v>
      </c>
      <c r="D400" s="1" t="str">
        <f>IFERROR(__xludf.DUMMYFUNCTION("""COMPUTED_VALUE"""),"Land of Spira")</f>
        <v>Land of Spira</v>
      </c>
    </row>
    <row r="401">
      <c r="A401" s="1" t="str">
        <f>IFERROR(__xludf.DUMMYFUNCTION("""COMPUTED_VALUE"""),"Small Fuel Canister")</f>
        <v>Small Fuel Canister</v>
      </c>
      <c r="B401" s="1" t="str">
        <f>IFERROR(__xludf.DUMMYFUNCTION("""COMPUTED_VALUE"""),"Restores 100 Fuel")</f>
        <v>Restores 100 Fuel</v>
      </c>
      <c r="C401" s="1" t="str">
        <f>IFERROR(__xludf.DUMMYFUNCTION("""COMPUTED_VALUE"""),"Item")</f>
        <v>Item</v>
      </c>
      <c r="D401" s="1" t="str">
        <f>IFERROR(__xludf.DUMMYFUNCTION("""COMPUTED_VALUE"""),"Land of Spira")</f>
        <v>Land of Spira</v>
      </c>
    </row>
    <row r="402">
      <c r="A402" s="1" t="str">
        <f>IFERROR(__xludf.DUMMYFUNCTION("""COMPUTED_VALUE"""),"Medium Fuel Canister")</f>
        <v>Medium Fuel Canister</v>
      </c>
      <c r="B402" s="1" t="str">
        <f>IFERROR(__xludf.DUMMYFUNCTION("""COMPUTED_VALUE"""),"Restores 250 Fuel")</f>
        <v>Restores 250 Fuel</v>
      </c>
      <c r="C402" s="1" t="str">
        <f>IFERROR(__xludf.DUMMYFUNCTION("""COMPUTED_VALUE"""),"Item")</f>
        <v>Item</v>
      </c>
      <c r="D402" s="1" t="str">
        <f>IFERROR(__xludf.DUMMYFUNCTION("""COMPUTED_VALUE"""),"Land of Spira")</f>
        <v>Land of Spira</v>
      </c>
    </row>
    <row r="403">
      <c r="A403" s="1" t="str">
        <f>IFERROR(__xludf.DUMMYFUNCTION("""COMPUTED_VALUE"""),"Large Fuel Canister")</f>
        <v>Large Fuel Canister</v>
      </c>
      <c r="B403" s="1" t="str">
        <f>IFERROR(__xludf.DUMMYFUNCTION("""COMPUTED_VALUE"""),"Restores 500 Fuel")</f>
        <v>Restores 500 Fuel</v>
      </c>
      <c r="C403" s="1" t="str">
        <f>IFERROR(__xludf.DUMMYFUNCTION("""COMPUTED_VALUE"""),"Item")</f>
        <v>Item</v>
      </c>
      <c r="D403" s="1" t="str">
        <f>IFERROR(__xludf.DUMMYFUNCTION("""COMPUTED_VALUE"""),"Land of Spira")</f>
        <v>Land of Spira</v>
      </c>
    </row>
    <row r="404">
      <c r="A404" s="1" t="str">
        <f>IFERROR(__xludf.DUMMYFUNCTION("""COMPUTED_VALUE"""),"Letter from the Lord of Spira")</f>
        <v>Letter from the Lord of Spira</v>
      </c>
      <c r="B404" s="1" t="str">
        <f>IFERROR(__xludf.DUMMYFUNCTION("""COMPUTED_VALUE"""),"Absolved from all crimes whitin The Land of Spira. Can only be used once, Cannot be duplicated")</f>
        <v>Absolved from all crimes whitin The Land of Spira. Can only be used once, Cannot be duplicated</v>
      </c>
      <c r="C404" s="1" t="str">
        <f>IFERROR(__xludf.DUMMYFUNCTION("""COMPUTED_VALUE"""),"Item")</f>
        <v>Item</v>
      </c>
      <c r="D404" s="1" t="str">
        <f>IFERROR(__xludf.DUMMYFUNCTION("""COMPUTED_VALUE"""),"Land of Spira")</f>
        <v>Land of Spira</v>
      </c>
    </row>
    <row r="405">
      <c r="A405" s="1" t="str">
        <f>IFERROR(__xludf.DUMMYFUNCTION("""COMPUTED_VALUE"""),"Scroll of Bad Dreams")</f>
        <v>Scroll of Bad Dreams</v>
      </c>
      <c r="B405" s="1" t="str">
        <f>IFERROR(__xludf.DUMMYFUNCTION("""COMPUTED_VALUE"""),"if you can learn the power you may absorb it and put it in your spell book, otherwise you can read the scroll to use the power once")</f>
        <v>if you can learn the power you may absorb it and put it in your spell book, otherwise you can read the scroll to use the power once</v>
      </c>
      <c r="C405" s="1" t="str">
        <f>IFERROR(__xludf.DUMMYFUNCTION("""COMPUTED_VALUE"""),"Item")</f>
        <v>Item</v>
      </c>
      <c r="D405" s="1" t="str">
        <f>IFERROR(__xludf.DUMMYFUNCTION("""COMPUTED_VALUE"""),"Abstara")</f>
        <v>Abstara</v>
      </c>
    </row>
    <row r="406">
      <c r="A406" s="1" t="str">
        <f>IFERROR(__xludf.DUMMYFUNCTION("""COMPUTED_VALUE"""),"A Jar of Blood")</f>
        <v>A Jar of Blood</v>
      </c>
      <c r="B406" s="1" t="str">
        <f>IFERROR(__xludf.DUMMYFUNCTION("""COMPUTED_VALUE"""),"Crafting Material, roll a d20 to see how many you get if this is a loot drop.")</f>
        <v>Crafting Material, roll a d20 to see how many you get if this is a loot drop.</v>
      </c>
      <c r="C406" s="1" t="str">
        <f>IFERROR(__xludf.DUMMYFUNCTION("""COMPUTED_VALUE"""),"Item")</f>
        <v>Item</v>
      </c>
      <c r="D406" s="1" t="str">
        <f>IFERROR(__xludf.DUMMYFUNCTION("""COMPUTED_VALUE"""),"Abstara")</f>
        <v>Abstara</v>
      </c>
    </row>
    <row r="407">
      <c r="A407" s="1" t="str">
        <f>IFERROR(__xludf.DUMMYFUNCTION("""COMPUTED_VALUE"""),"Demon Blood")</f>
        <v>Demon Blood</v>
      </c>
      <c r="B407" s="1" t="str">
        <f>IFERROR(__xludf.DUMMYFUNCTION("""COMPUTED_VALUE"""),"Crafting Material, roll a d20 to see how many you get if this is a loot drop.")</f>
        <v>Crafting Material, roll a d20 to see how many you get if this is a loot drop.</v>
      </c>
      <c r="C407" s="1" t="str">
        <f>IFERROR(__xludf.DUMMYFUNCTION("""COMPUTED_VALUE"""),"Item")</f>
        <v>Item</v>
      </c>
      <c r="D407" s="1" t="str">
        <f>IFERROR(__xludf.DUMMYFUNCTION("""COMPUTED_VALUE"""),"Abstara")</f>
        <v>Abstara</v>
      </c>
    </row>
    <row r="408">
      <c r="A408" s="1" t="str">
        <f>IFERROR(__xludf.DUMMYFUNCTION("""COMPUTED_VALUE"""),"Demon Skull")</f>
        <v>Demon Skull</v>
      </c>
      <c r="B408" s="1" t="str">
        <f>IFERROR(__xludf.DUMMYFUNCTION("""COMPUTED_VALUE"""),"Crafting Material, roll a d20 to see how many you get if this is a loot drop.")</f>
        <v>Crafting Material, roll a d20 to see how many you get if this is a loot drop.</v>
      </c>
      <c r="C408" s="1" t="str">
        <f>IFERROR(__xludf.DUMMYFUNCTION("""COMPUTED_VALUE"""),"Item")</f>
        <v>Item</v>
      </c>
      <c r="D408" s="1" t="str">
        <f>IFERROR(__xludf.DUMMYFUNCTION("""COMPUTED_VALUE"""),"Abstara")</f>
        <v>Abstara</v>
      </c>
    </row>
    <row r="409">
      <c r="A409" s="1" t="str">
        <f>IFERROR(__xludf.DUMMYFUNCTION("""COMPUTED_VALUE"""),"Volcanic Teeth")</f>
        <v>Volcanic Teeth</v>
      </c>
      <c r="B409" s="1" t="str">
        <f>IFERROR(__xludf.DUMMYFUNCTION("""COMPUTED_VALUE"""),"Crafting Material, roll a d20 to see how many you get if this is a loot drop.")</f>
        <v>Crafting Material, roll a d20 to see how many you get if this is a loot drop.</v>
      </c>
      <c r="C409" s="1" t="str">
        <f>IFERROR(__xludf.DUMMYFUNCTION("""COMPUTED_VALUE"""),"Item")</f>
        <v>Item</v>
      </c>
      <c r="D409" s="1" t="str">
        <f>IFERROR(__xludf.DUMMYFUNCTION("""COMPUTED_VALUE"""),"Abstara")</f>
        <v>Abstara</v>
      </c>
    </row>
    <row r="410">
      <c r="A410" s="1" t="str">
        <f>IFERROR(__xludf.DUMMYFUNCTION("""COMPUTED_VALUE"""),"Volcanic Serpent Teeth ")</f>
        <v>Volcanic Serpent Teeth </v>
      </c>
      <c r="B410" s="1" t="str">
        <f>IFERROR(__xludf.DUMMYFUNCTION("""COMPUTED_VALUE"""),"Crafting Material, roll a d20 to see how many you get if this is a loot drop.")</f>
        <v>Crafting Material, roll a d20 to see how many you get if this is a loot drop.</v>
      </c>
      <c r="C410" s="1" t="str">
        <f>IFERROR(__xludf.DUMMYFUNCTION("""COMPUTED_VALUE"""),"Item")</f>
        <v>Item</v>
      </c>
      <c r="D410" s="1" t="str">
        <f>IFERROR(__xludf.DUMMYFUNCTION("""COMPUTED_VALUE"""),"Abstara")</f>
        <v>Abstara</v>
      </c>
    </row>
    <row r="411">
      <c r="A411" s="1" t="str">
        <f>IFERROR(__xludf.DUMMYFUNCTION("""COMPUTED_VALUE"""),"Volcanic Serpent Scales")</f>
        <v>Volcanic Serpent Scales</v>
      </c>
      <c r="B411" s="1" t="str">
        <f>IFERROR(__xludf.DUMMYFUNCTION("""COMPUTED_VALUE"""),"Crafting Material, roll a d20 to see how many you get if this is a loot drop.")</f>
        <v>Crafting Material, roll a d20 to see how many you get if this is a loot drop.</v>
      </c>
      <c r="C411" s="1" t="str">
        <f>IFERROR(__xludf.DUMMYFUNCTION("""COMPUTED_VALUE"""),"Item")</f>
        <v>Item</v>
      </c>
      <c r="D411" s="1" t="str">
        <f>IFERROR(__xludf.DUMMYFUNCTION("""COMPUTED_VALUE"""),"Abstara")</f>
        <v>Abstara</v>
      </c>
    </row>
    <row r="412">
      <c r="A412" s="1" t="str">
        <f>IFERROR(__xludf.DUMMYFUNCTION("""COMPUTED_VALUE"""),"Lava Panther Leather")</f>
        <v>Lava Panther Leather</v>
      </c>
      <c r="B412" s="1" t="str">
        <f>IFERROR(__xludf.DUMMYFUNCTION("""COMPUTED_VALUE"""),"Crafting Material, roll a d20 to see how many you get if this is a loot drop.")</f>
        <v>Crafting Material, roll a d20 to see how many you get if this is a loot drop.</v>
      </c>
      <c r="C412" s="1" t="str">
        <f>IFERROR(__xludf.DUMMYFUNCTION("""COMPUTED_VALUE"""),"Item")</f>
        <v>Item</v>
      </c>
      <c r="D412" s="1" t="str">
        <f>IFERROR(__xludf.DUMMYFUNCTION("""COMPUTED_VALUE"""),"Abstara")</f>
        <v>Abstara</v>
      </c>
    </row>
    <row r="413">
      <c r="A413" s="1" t="str">
        <f>IFERROR(__xludf.DUMMYFUNCTION("""COMPUTED_VALUE"""),"Endless Dark Core")</f>
        <v>Endless Dark Core</v>
      </c>
      <c r="B413" s="1" t="str">
        <f>IFERROR(__xludf.DUMMYFUNCTION("""COMPUTED_VALUE"""),"Return a banished character from banishment without having to fight the Keeper of the Banished. (1 use)")</f>
        <v>Return a banished character from banishment without having to fight the Keeper of the Banished. (1 use)</v>
      </c>
      <c r="C413" s="1" t="str">
        <f>IFERROR(__xludf.DUMMYFUNCTION("""COMPUTED_VALUE"""),"Item")</f>
        <v>Item</v>
      </c>
      <c r="D413" s="1" t="str">
        <f>IFERROR(__xludf.DUMMYFUNCTION("""COMPUTED_VALUE"""),"Abstara")</f>
        <v>Abstara</v>
      </c>
    </row>
    <row r="414">
      <c r="A414" s="1" t="str">
        <f>IFERROR(__xludf.DUMMYFUNCTION("""COMPUTED_VALUE"""),"Endless Dark Dragon Scales")</f>
        <v>Endless Dark Dragon Scales</v>
      </c>
      <c r="B414" s="1" t="str">
        <f>IFERROR(__xludf.DUMMYFUNCTION("""COMPUTED_VALUE"""),"Crafting Material, roll a d20 to see how many you get if this is a loot drop.")</f>
        <v>Crafting Material, roll a d20 to see how many you get if this is a loot drop.</v>
      </c>
      <c r="C414" s="1" t="str">
        <f>IFERROR(__xludf.DUMMYFUNCTION("""COMPUTED_VALUE"""),"Item")</f>
        <v>Item</v>
      </c>
      <c r="D414" s="1" t="str">
        <f>IFERROR(__xludf.DUMMYFUNCTION("""COMPUTED_VALUE"""),"Abstara")</f>
        <v>Abstara</v>
      </c>
    </row>
    <row r="415">
      <c r="A415" s="1" t="str">
        <f>IFERROR(__xludf.DUMMYFUNCTION("""COMPUTED_VALUE"""),"Magma Stone")</f>
        <v>Magma Stone</v>
      </c>
      <c r="B415" s="1" t="str">
        <f>IFERROR(__xludf.DUMMYFUNCTION("""COMPUTED_VALUE"""),"Crafting Material, roll a d20 to see how many you get if this is a loot drop.")</f>
        <v>Crafting Material, roll a d20 to see how many you get if this is a loot drop.</v>
      </c>
      <c r="C415" s="1" t="str">
        <f>IFERROR(__xludf.DUMMYFUNCTION("""COMPUTED_VALUE"""),"Item")</f>
        <v>Item</v>
      </c>
      <c r="D415" s="1" t="str">
        <f>IFERROR(__xludf.DUMMYFUNCTION("""COMPUTED_VALUE"""),"Abstara")</f>
        <v>Abstara</v>
      </c>
    </row>
    <row r="416">
      <c r="A416" s="1" t="str">
        <f>IFERROR(__xludf.DUMMYFUNCTION("""COMPUTED_VALUE"""),"Inferno Feather")</f>
        <v>Inferno Feather</v>
      </c>
      <c r="B416" s="1" t="str">
        <f>IFERROR(__xludf.DUMMYFUNCTION("""COMPUTED_VALUE"""),"Crafting Material, roll a d20 to see how many you get if this is a loot drop.")</f>
        <v>Crafting Material, roll a d20 to see how many you get if this is a loot drop.</v>
      </c>
      <c r="C416" s="1" t="str">
        <f>IFERROR(__xludf.DUMMYFUNCTION("""COMPUTED_VALUE"""),"Item")</f>
        <v>Item</v>
      </c>
      <c r="D416" s="1" t="str">
        <f>IFERROR(__xludf.DUMMYFUNCTION("""COMPUTED_VALUE"""),"Abstara")</f>
        <v>Abstara</v>
      </c>
    </row>
    <row r="417">
      <c r="A417" s="1" t="str">
        <f>IFERROR(__xludf.DUMMYFUNCTION("""COMPUTED_VALUE"""),"Ancient Stone Medallion")</f>
        <v>Ancient Stone Medallion</v>
      </c>
      <c r="B417" s="1" t="str">
        <f>IFERROR(__xludf.DUMMYFUNCTION("""COMPUTED_VALUE"""),"Allows access to the Ruins of Mana.")</f>
        <v>Allows access to the Ruins of Mana.</v>
      </c>
      <c r="C417" s="1" t="str">
        <f>IFERROR(__xludf.DUMMYFUNCTION("""COMPUTED_VALUE"""),"Item")</f>
        <v>Item</v>
      </c>
      <c r="D417" s="1" t="str">
        <f>IFERROR(__xludf.DUMMYFUNCTION("""COMPUTED_VALUE"""),"Land of Spira")</f>
        <v>Land of Spira</v>
      </c>
    </row>
    <row r="418">
      <c r="A418" s="1" t="str">
        <f>IFERROR(__xludf.DUMMYFUNCTION("""COMPUTED_VALUE"""),"Vial of Unknown Liquid")</f>
        <v>Vial of Unknown Liquid</v>
      </c>
      <c r="B418" s="1" t="str">
        <f>IFERROR(__xludf.DUMMYFUNCTION("""COMPUTED_VALUE"""),"When consumed, roll a d20. For the next 3 rounds, lose the result d20x100 health and gain the result d20x500SP.")</f>
        <v>When consumed, roll a d20. For the next 3 rounds, lose the result d20x100 health and gain the result d20x500SP.</v>
      </c>
      <c r="C418" s="1" t="str">
        <f>IFERROR(__xludf.DUMMYFUNCTION("""COMPUTED_VALUE"""),"Item")</f>
        <v>Item</v>
      </c>
      <c r="D418" s="1" t="str">
        <f>IFERROR(__xludf.DUMMYFUNCTION("""COMPUTED_VALUE"""),"Land of Spira")</f>
        <v>Land of Spira</v>
      </c>
    </row>
    <row r="419">
      <c r="A419" s="1" t="str">
        <f>IFERROR(__xludf.DUMMYFUNCTION("""COMPUTED_VALUE"""),"Diamond Fishing Pole ")</f>
        <v>Diamond Fishing Pole </v>
      </c>
      <c r="B419" s="1" t="str">
        <f>IFERROR(__xludf.DUMMYFUNCTION("""COMPUTED_VALUE"""),"100/100 Uses. Used for fishing.")</f>
        <v>100/100 Uses. Used for fishing.</v>
      </c>
      <c r="C419" s="1" t="str">
        <f>IFERROR(__xludf.DUMMYFUNCTION("""COMPUTED_VALUE"""),"Item")</f>
        <v>Item</v>
      </c>
      <c r="D419" s="1" t="str">
        <f>IFERROR(__xludf.DUMMYFUNCTION("""COMPUTED_VALUE"""),"Land of Spira")</f>
        <v>Land of Spira</v>
      </c>
    </row>
    <row r="420">
      <c r="A420" s="1" t="str">
        <f>IFERROR(__xludf.DUMMYFUNCTION("""COMPUTED_VALUE"""),"Obsidian Fishing Pole ")</f>
        <v>Obsidian Fishing Pole </v>
      </c>
      <c r="B420" s="1" t="str">
        <f>IFERROR(__xludf.DUMMYFUNCTION("""COMPUTED_VALUE"""),"120/120 Uses. Used for fishing.")</f>
        <v>120/120 Uses. Used for fishing.</v>
      </c>
      <c r="C420" s="1" t="str">
        <f>IFERROR(__xludf.DUMMYFUNCTION("""COMPUTED_VALUE"""),"Item")</f>
        <v>Item</v>
      </c>
      <c r="D420" s="1" t="str">
        <f>IFERROR(__xludf.DUMMYFUNCTION("""COMPUTED_VALUE"""),"Land of Spira")</f>
        <v>Land of Spira</v>
      </c>
    </row>
    <row r="421">
      <c r="A421" s="1" t="str">
        <f>IFERROR(__xludf.DUMMYFUNCTION("""COMPUTED_VALUE"""),"Golden Pickaxe")</f>
        <v>Golden Pickaxe</v>
      </c>
      <c r="B421" s="1" t="str">
        <f>IFERROR(__xludf.DUMMYFUNCTION("""COMPUTED_VALUE"""),"80/80 Uses. Used for mining.")</f>
        <v>80/80 Uses. Used for mining.</v>
      </c>
      <c r="C421" s="1" t="str">
        <f>IFERROR(__xludf.DUMMYFUNCTION("""COMPUTED_VALUE"""),"Item")</f>
        <v>Item</v>
      </c>
      <c r="D421" s="1" t="str">
        <f>IFERROR(__xludf.DUMMYFUNCTION("""COMPUTED_VALUE"""),"Land of Spira")</f>
        <v>Land of Spira</v>
      </c>
    </row>
    <row r="422">
      <c r="A422" s="1" t="str">
        <f>IFERROR(__xludf.DUMMYFUNCTION("""COMPUTED_VALUE"""),"Wooden Pickaxe")</f>
        <v>Wooden Pickaxe</v>
      </c>
      <c r="B422" s="1" t="str">
        <f>IFERROR(__xludf.DUMMYFUNCTION("""COMPUTED_VALUE"""),"10/10 Uses. Used for mining.")</f>
        <v>10/10 Uses. Used for mining.</v>
      </c>
      <c r="C422" s="1" t="str">
        <f>IFERROR(__xludf.DUMMYFUNCTION("""COMPUTED_VALUE"""),"Item")</f>
        <v>Item</v>
      </c>
      <c r="D422" s="1" t="str">
        <f>IFERROR(__xludf.DUMMYFUNCTION("""COMPUTED_VALUE"""),"Land of Spira")</f>
        <v>Land of Spira</v>
      </c>
    </row>
    <row r="423">
      <c r="A423" s="1" t="str">
        <f>IFERROR(__xludf.DUMMYFUNCTION("""COMPUTED_VALUE"""),"Iron Pickaxe")</f>
        <v>Iron Pickaxe</v>
      </c>
      <c r="B423" s="1" t="str">
        <f>IFERROR(__xludf.DUMMYFUNCTION("""COMPUTED_VALUE"""),"20/20 Uses. Used for mining.")</f>
        <v>20/20 Uses. Used for mining.</v>
      </c>
      <c r="C423" s="1" t="str">
        <f>IFERROR(__xludf.DUMMYFUNCTION("""COMPUTED_VALUE"""),"Item")</f>
        <v>Item</v>
      </c>
      <c r="D423" s="1" t="str">
        <f>IFERROR(__xludf.DUMMYFUNCTION("""COMPUTED_VALUE"""),"Land of Spira")</f>
        <v>Land of Spira</v>
      </c>
    </row>
    <row r="424">
      <c r="A424" s="1" t="str">
        <f>IFERROR(__xludf.DUMMYFUNCTION("""COMPUTED_VALUE"""),"Silver Pickaxe")</f>
        <v>Silver Pickaxe</v>
      </c>
      <c r="B424" s="1" t="str">
        <f>IFERROR(__xludf.DUMMYFUNCTION("""COMPUTED_VALUE"""),"60/60 Uses. Used for mining.")</f>
        <v>60/60 Uses. Used for mining.</v>
      </c>
      <c r="C424" s="1" t="str">
        <f>IFERROR(__xludf.DUMMYFUNCTION("""COMPUTED_VALUE"""),"Item")</f>
        <v>Item</v>
      </c>
      <c r="D424" s="1" t="str">
        <f>IFERROR(__xludf.DUMMYFUNCTION("""COMPUTED_VALUE"""),"Land of Spira")</f>
        <v>Land of Spira</v>
      </c>
    </row>
    <row r="425">
      <c r="A425" s="1" t="str">
        <f>IFERROR(__xludf.DUMMYFUNCTION("""COMPUTED_VALUE"""),"Diamond Pickaxe")</f>
        <v>Diamond Pickaxe</v>
      </c>
      <c r="B425" s="1" t="str">
        <f>IFERROR(__xludf.DUMMYFUNCTION("""COMPUTED_VALUE"""),"100/100 Uses. Used for mining.")</f>
        <v>100/100 Uses. Used for mining.</v>
      </c>
      <c r="C425" s="1" t="str">
        <f>IFERROR(__xludf.DUMMYFUNCTION("""COMPUTED_VALUE"""),"Item")</f>
        <v>Item</v>
      </c>
      <c r="D425" s="1" t="str">
        <f>IFERROR(__xludf.DUMMYFUNCTION("""COMPUTED_VALUE"""),"Land of Spira")</f>
        <v>Land of Spira</v>
      </c>
    </row>
    <row r="426">
      <c r="A426" s="1" t="str">
        <f>IFERROR(__xludf.DUMMYFUNCTION("""COMPUTED_VALUE"""),"Obsidian Pickaxe")</f>
        <v>Obsidian Pickaxe</v>
      </c>
      <c r="B426" s="1" t="str">
        <f>IFERROR(__xludf.DUMMYFUNCTION("""COMPUTED_VALUE"""),"120/120 Uses. Used for mining.")</f>
        <v>120/120 Uses. Used for mining.</v>
      </c>
      <c r="C426" s="1" t="str">
        <f>IFERROR(__xludf.DUMMYFUNCTION("""COMPUTED_VALUE"""),"Item")</f>
        <v>Item</v>
      </c>
      <c r="D426" s="1" t="str">
        <f>IFERROR(__xludf.DUMMYFUNCTION("""COMPUTED_VALUE"""),"Land of Spira")</f>
        <v>Land of Spira</v>
      </c>
    </row>
    <row r="427">
      <c r="A427" s="1" t="str">
        <f>IFERROR(__xludf.DUMMYFUNCTION("""COMPUTED_VALUE"""),"Fire Fishing Pole ")</f>
        <v>Fire Fishing Pole </v>
      </c>
      <c r="B427" s="1" t="str">
        <f>IFERROR(__xludf.DUMMYFUNCTION("""COMPUTED_VALUE"""),"Made out of Iron. 20/20 Uses. Will cook fish caught giving them an additional hunger. Used for fishing.")</f>
        <v>Made out of Iron. 20/20 Uses. Will cook fish caught giving them an additional hunger. Used for fishing.</v>
      </c>
      <c r="C427" s="1" t="str">
        <f>IFERROR(__xludf.DUMMYFUNCTION("""COMPUTED_VALUE"""),"Crop")</f>
        <v>Crop</v>
      </c>
      <c r="D427" s="1" t="str">
        <f>IFERROR(__xludf.DUMMYFUNCTION("""COMPUTED_VALUE"""),"Land of Spira")</f>
        <v>Land of Spira</v>
      </c>
    </row>
    <row r="428">
      <c r="A428" s="1" t="str">
        <f>IFERROR(__xludf.DUMMYFUNCTION("""COMPUTED_VALUE"""),"Golden Fishing Pole ")</f>
        <v>Golden Fishing Pole </v>
      </c>
      <c r="B428" s="1" t="str">
        <f>IFERROR(__xludf.DUMMYFUNCTION("""COMPUTED_VALUE"""),"80/80 uses. Used for fishing.")</f>
        <v>80/80 uses. Used for fishing.</v>
      </c>
      <c r="C428" s="1" t="str">
        <f>IFERROR(__xludf.DUMMYFUNCTION("""COMPUTED_VALUE"""),"Item")</f>
        <v>Item</v>
      </c>
      <c r="D428" s="1" t="str">
        <f>IFERROR(__xludf.DUMMYFUNCTION("""COMPUTED_VALUE"""),"Land of Spira")</f>
        <v>Land of Spira</v>
      </c>
    </row>
    <row r="429">
      <c r="A429" s="1" t="str">
        <f>IFERROR(__xludf.DUMMYFUNCTION("""COMPUTED_VALUE"""),"Wooden Fishing Pole ")</f>
        <v>Wooden Fishing Pole </v>
      </c>
      <c r="B429" s="1" t="str">
        <f>IFERROR(__xludf.DUMMYFUNCTION("""COMPUTED_VALUE"""),"10/10 uses. Used for fishing.")</f>
        <v>10/10 uses. Used for fishing.</v>
      </c>
      <c r="C429" s="1" t="str">
        <f>IFERROR(__xludf.DUMMYFUNCTION("""COMPUTED_VALUE"""),"Item")</f>
        <v>Item</v>
      </c>
      <c r="D429" s="1" t="str">
        <f>IFERROR(__xludf.DUMMYFUNCTION("""COMPUTED_VALUE"""),"Land of Spira")</f>
        <v>Land of Spira</v>
      </c>
    </row>
    <row r="430">
      <c r="A430" s="1" t="str">
        <f>IFERROR(__xludf.DUMMYFUNCTION("""COMPUTED_VALUE"""),"Steel Fishing Pole ")</f>
        <v>Steel Fishing Pole </v>
      </c>
      <c r="B430" s="1" t="str">
        <f>IFERROR(__xludf.DUMMYFUNCTION("""COMPUTED_VALUE"""),"40/40 Uses. Used for fishing.")</f>
        <v>40/40 Uses. Used for fishing.</v>
      </c>
      <c r="C430" s="1" t="str">
        <f>IFERROR(__xludf.DUMMYFUNCTION("""COMPUTED_VALUE"""),"Item")</f>
        <v>Item</v>
      </c>
      <c r="D430" s="1" t="str">
        <f>IFERROR(__xludf.DUMMYFUNCTION("""COMPUTED_VALUE"""),"Land of Spira")</f>
        <v>Land of Spira</v>
      </c>
    </row>
    <row r="431">
      <c r="A431" s="1" t="str">
        <f>IFERROR(__xludf.DUMMYFUNCTION("""COMPUTED_VALUE"""),"Silver Fishing Pole ")</f>
        <v>Silver Fishing Pole </v>
      </c>
      <c r="B431" s="1" t="str">
        <f>IFERROR(__xludf.DUMMYFUNCTION("""COMPUTED_VALUE"""),"60/60 Uses. Used for fishing.")</f>
        <v>60/60 Uses. Used for fishing.</v>
      </c>
      <c r="C431" s="1" t="str">
        <f>IFERROR(__xludf.DUMMYFUNCTION("""COMPUTED_VALUE"""),"Item")</f>
        <v>Item</v>
      </c>
      <c r="D431" s="1" t="str">
        <f>IFERROR(__xludf.DUMMYFUNCTION("""COMPUTED_VALUE"""),"Land of Spira")</f>
        <v>Land of Spira</v>
      </c>
    </row>
    <row r="432">
      <c r="A432" s="1" t="str">
        <f>IFERROR(__xludf.DUMMYFUNCTION("""COMPUTED_VALUE"""),"Iron Fishing Pole ")</f>
        <v>Iron Fishing Pole </v>
      </c>
      <c r="B432" s="1" t="str">
        <f>IFERROR(__xludf.DUMMYFUNCTION("""COMPUTED_VALUE"""),"20/20 Uses. Used for fishing.")</f>
        <v>20/20 Uses. Used for fishing.</v>
      </c>
      <c r="C432" s="1" t="str">
        <f>IFERROR(__xludf.DUMMYFUNCTION("""COMPUTED_VALUE"""),"Item")</f>
        <v>Item</v>
      </c>
      <c r="D432" s="1" t="str">
        <f>IFERROR(__xludf.DUMMYFUNCTION("""COMPUTED_VALUE"""),"Land of Spira")</f>
        <v>Land of Spira</v>
      </c>
    </row>
    <row r="433">
      <c r="A433" s="1" t="str">
        <f>IFERROR(__xludf.DUMMYFUNCTION("""COMPUTED_VALUE"""),"Elemental Crystal")</f>
        <v>Elemental Crystal</v>
      </c>
      <c r="B433" s="1" t="str">
        <f>IFERROR(__xludf.DUMMYFUNCTION("""COMPUTED_VALUE"""),"Crafting Material, roll a d20 to see how many you get if this is a loot drop.")</f>
        <v>Crafting Material, roll a d20 to see how many you get if this is a loot drop.</v>
      </c>
      <c r="C433" s="1" t="str">
        <f>IFERROR(__xludf.DUMMYFUNCTION("""COMPUTED_VALUE"""),"Item")</f>
        <v>Item</v>
      </c>
      <c r="D433" s="1" t="str">
        <f>IFERROR(__xludf.DUMMYFUNCTION("""COMPUTED_VALUE"""),"Land of Spira")</f>
        <v>Land of Spira</v>
      </c>
    </row>
    <row r="434">
      <c r="A434" s="1" t="str">
        <f>IFERROR(__xludf.DUMMYFUNCTION("""COMPUTED_VALUE"""),"Leather")</f>
        <v>Leather</v>
      </c>
      <c r="B434" s="1" t="str">
        <f>IFERROR(__xludf.DUMMYFUNCTION("""COMPUTED_VALUE"""),"Crafting Material, roll a d20 to see how many you get if this is a loot drop.")</f>
        <v>Crafting Material, roll a d20 to see how many you get if this is a loot drop.</v>
      </c>
      <c r="C434" s="1" t="str">
        <f>IFERROR(__xludf.DUMMYFUNCTION("""COMPUTED_VALUE"""),"Item")</f>
        <v>Item</v>
      </c>
      <c r="D434" s="1" t="str">
        <f>IFERROR(__xludf.DUMMYFUNCTION("""COMPUTED_VALUE"""),"Land of Spira")</f>
        <v>Land of Spira</v>
      </c>
    </row>
    <row r="435">
      <c r="A435" s="1" t="str">
        <f>IFERROR(__xludf.DUMMYFUNCTION("""COMPUTED_VALUE"""),"Pearlescent Fishing Rod ")</f>
        <v>Pearlescent Fishing Rod </v>
      </c>
      <c r="B435" s="1" t="str">
        <f>IFERROR(__xludf.DUMMYFUNCTION("""COMPUTED_VALUE"""),"Allows lava fishing, Unbreakable.")</f>
        <v>Allows lava fishing, Unbreakable.</v>
      </c>
      <c r="C435" s="1" t="str">
        <f>IFERROR(__xludf.DUMMYFUNCTION("""COMPUTED_VALUE"""),"Item")</f>
        <v>Item</v>
      </c>
      <c r="D435" s="1" t="str">
        <f>IFERROR(__xludf.DUMMYFUNCTION("""COMPUTED_VALUE"""),"Abstara")</f>
        <v>Abstara</v>
      </c>
    </row>
    <row r="436">
      <c r="A436" s="1" t="str">
        <f>IFERROR(__xludf.DUMMYFUNCTION("""COMPUTED_VALUE"""),"Mithril")</f>
        <v>Mithril</v>
      </c>
      <c r="B436" s="1" t="str">
        <f>IFERROR(__xludf.DUMMYFUNCTION("""COMPUTED_VALUE"""),"Crafting Material, roll a d20 to see how many you get if this is a loot drop. A celestial stone holding minor heavenly power.")</f>
        <v>Crafting Material, roll a d20 to see how many you get if this is a loot drop. A celestial stone holding minor heavenly power.</v>
      </c>
      <c r="C436" s="1" t="str">
        <f>IFERROR(__xludf.DUMMYFUNCTION("""COMPUTED_VALUE"""),"Item")</f>
        <v>Item</v>
      </c>
      <c r="D436" s="1" t="str">
        <f>IFERROR(__xludf.DUMMYFUNCTION("""COMPUTED_VALUE"""),"Land of Spira")</f>
        <v>Land of Spira</v>
      </c>
    </row>
    <row r="437">
      <c r="A437" s="1" t="str">
        <f>IFERROR(__xludf.DUMMYFUNCTION("""COMPUTED_VALUE"""),"Enchanted Leather")</f>
        <v>Enchanted Leather</v>
      </c>
      <c r="B437" s="1" t="str">
        <f>IFERROR(__xludf.DUMMYFUNCTION("""COMPUTED_VALUE"""),"Crafting Material, roll a d20 to see how many you get if this is a loot drop.")</f>
        <v>Crafting Material, roll a d20 to see how many you get if this is a loot drop.</v>
      </c>
      <c r="C437" s="1" t="str">
        <f>IFERROR(__xludf.DUMMYFUNCTION("""COMPUTED_VALUE"""),"Item")</f>
        <v>Item</v>
      </c>
      <c r="D437" s="1" t="str">
        <f>IFERROR(__xludf.DUMMYFUNCTION("""COMPUTED_VALUE"""),"Dragonscale Island")</f>
        <v>Dragonscale Island</v>
      </c>
    </row>
    <row r="438">
      <c r="A438" s="1" t="str">
        <f>IFERROR(__xludf.DUMMYFUNCTION("""COMPUTED_VALUE"""),"Dart")</f>
        <v>Dart</v>
      </c>
      <c r="B438" s="1" t="str">
        <f>IFERROR(__xludf.DUMMYFUNCTION("""COMPUTED_VALUE"""),"Ammo")</f>
        <v>Ammo</v>
      </c>
      <c r="C438" s="1" t="str">
        <f>IFERROR(__xludf.DUMMYFUNCTION("""COMPUTED_VALUE"""),"Item")</f>
        <v>Item</v>
      </c>
      <c r="D438" s="1" t="str">
        <f>IFERROR(__xludf.DUMMYFUNCTION("""COMPUTED_VALUE"""),"Dragonscale Island")</f>
        <v>Dragonscale Island</v>
      </c>
    </row>
    <row r="439">
      <c r="A439" s="1" t="str">
        <f>IFERROR(__xludf.DUMMYFUNCTION("""COMPUTED_VALUE"""),"Golden Coin")</f>
        <v>Golden Coin</v>
      </c>
      <c r="B439" s="1" t="str">
        <f>IFERROR(__xludf.DUMMYFUNCTION("""COMPUTED_VALUE"""),"Flip: If heads 11-20 gain +5 Wisdom and Evasion until the end of battle. If tails 1-10 Half evasion and Wisdom. This item can only be used once per Battle/RP action. Cannot be duplicated.")</f>
        <v>Flip: If heads 11-20 gain +5 Wisdom and Evasion until the end of battle. If tails 1-10 Half evasion and Wisdom. This item can only be used once per Battle/RP action. Cannot be duplicated.</v>
      </c>
      <c r="C439" s="1" t="str">
        <f>IFERROR(__xludf.DUMMYFUNCTION("""COMPUTED_VALUE"""),"Item")</f>
        <v>Item</v>
      </c>
      <c r="D439" s="1" t="str">
        <f>IFERROR(__xludf.DUMMYFUNCTION("""COMPUTED_VALUE"""),"Land of Spira")</f>
        <v>Land of Spira</v>
      </c>
    </row>
    <row r="440">
      <c r="A440" s="1" t="str">
        <f>IFERROR(__xludf.DUMMYFUNCTION("""COMPUTED_VALUE"""),"Oil lamp")</f>
        <v>Oil lamp</v>
      </c>
      <c r="B440" s="1" t="str">
        <f>IFERROR(__xludf.DUMMYFUNCTION("""COMPUTED_VALUE"""),"Illuminates your path or any room your in")</f>
        <v>Illuminates your path or any room your in</v>
      </c>
      <c r="C440" s="1" t="str">
        <f>IFERROR(__xludf.DUMMYFUNCTION("""COMPUTED_VALUE"""),"Item")</f>
        <v>Item</v>
      </c>
      <c r="D440" s="1" t="str">
        <f>IFERROR(__xludf.DUMMYFUNCTION("""COMPUTED_VALUE"""),"Land of Spira")</f>
        <v>Land of Spira</v>
      </c>
    </row>
    <row r="441">
      <c r="A441" s="1" t="str">
        <f>IFERROR(__xludf.DUMMYFUNCTION("""COMPUTED_VALUE"""),"Seed")</f>
        <v>Seed</v>
      </c>
      <c r="B441" s="1" t="str">
        <f>IFERROR(__xludf.DUMMYFUNCTION("""COMPUTED_VALUE"""),"Can harvest in X/X days.")</f>
        <v>Can harvest in X/X days.</v>
      </c>
      <c r="C441" s="1" t="str">
        <f>IFERROR(__xludf.DUMMYFUNCTION("""COMPUTED_VALUE"""),"Item")</f>
        <v>Item</v>
      </c>
      <c r="D441" s="1" t="str">
        <f>IFERROR(__xludf.DUMMYFUNCTION("""COMPUTED_VALUE"""),"Land of Spira")</f>
        <v>Land of Spira</v>
      </c>
    </row>
    <row r="442">
      <c r="A442" s="1" t="str">
        <f>IFERROR(__xludf.DUMMYFUNCTION("""COMPUTED_VALUE"""),"Potion of Cure Disease")</f>
        <v>Potion of Cure Disease</v>
      </c>
      <c r="B442" s="1" t="str">
        <f>IFERROR(__xludf.DUMMYFUNCTION("""COMPUTED_VALUE"""),"Disease Antidote.")</f>
        <v>Disease Antidote.</v>
      </c>
      <c r="C442" s="1" t="str">
        <f>IFERROR(__xludf.DUMMYFUNCTION("""COMPUTED_VALUE"""),"Item")</f>
        <v>Item</v>
      </c>
      <c r="D442" s="1" t="str">
        <f>IFERROR(__xludf.DUMMYFUNCTION("""COMPUTED_VALUE"""),"Land of Spira")</f>
        <v>Land of Spira</v>
      </c>
    </row>
    <row r="443">
      <c r="A443" s="1" t="str">
        <f>IFERROR(__xludf.DUMMYFUNCTION("""COMPUTED_VALUE"""),"Poison Vial")</f>
        <v>Poison Vial</v>
      </c>
      <c r="B443" s="1" t="str">
        <f>IFERROR(__xludf.DUMMYFUNCTION("""COMPUTED_VALUE"""),"Using this will make all your weapon or natural attacks inflict an enemy with Poison 500 for 3 rounds.")</f>
        <v>Using this will make all your weapon or natural attacks inflict an enemy with Poison 500 for 3 rounds.</v>
      </c>
      <c r="C443" s="1" t="str">
        <f>IFERROR(__xludf.DUMMYFUNCTION("""COMPUTED_VALUE"""),"Item")</f>
        <v>Item</v>
      </c>
      <c r="D443" s="1" t="str">
        <f>IFERROR(__xludf.DUMMYFUNCTION("""COMPUTED_VALUE"""),"Land of Spira")</f>
        <v>Land of Spira</v>
      </c>
    </row>
    <row r="444">
      <c r="A444" s="1" t="str">
        <f>IFERROR(__xludf.DUMMYFUNCTION("""COMPUTED_VALUE"""),"Stag Meat")</f>
        <v>Stag Meat</v>
      </c>
      <c r="B444" s="1" t="str">
        <f>IFERROR(__xludf.DUMMYFUNCTION("""COMPUTED_VALUE"""),"Restores 20 hunger")</f>
        <v>Restores 20 hunger</v>
      </c>
      <c r="C444" s="1" t="str">
        <f>IFERROR(__xludf.DUMMYFUNCTION("""COMPUTED_VALUE"""),"Crop")</f>
        <v>Crop</v>
      </c>
      <c r="D444" s="1" t="str">
        <f>IFERROR(__xludf.DUMMYFUNCTION("""COMPUTED_VALUE"""),"Land of Spira")</f>
        <v>Land of Spira</v>
      </c>
    </row>
    <row r="445">
      <c r="A445" s="1" t="str">
        <f>IFERROR(__xludf.DUMMYFUNCTION("""COMPUTED_VALUE"""),"Steed Meat")</f>
        <v>Steed Meat</v>
      </c>
      <c r="B445" s="1" t="str">
        <f>IFERROR(__xludf.DUMMYFUNCTION("""COMPUTED_VALUE"""),"Restores 20 hunger")</f>
        <v>Restores 20 hunger</v>
      </c>
      <c r="C445" s="1" t="str">
        <f>IFERROR(__xludf.DUMMYFUNCTION("""COMPUTED_VALUE"""),"Crop")</f>
        <v>Crop</v>
      </c>
      <c r="D445" s="1" t="str">
        <f>IFERROR(__xludf.DUMMYFUNCTION("""COMPUTED_VALUE"""),"Land of Spira")</f>
        <v>Land of Spira</v>
      </c>
    </row>
    <row r="446">
      <c r="A446" s="1" t="str">
        <f>IFERROR(__xludf.DUMMYFUNCTION("""COMPUTED_VALUE"""),"Moonstone")</f>
        <v>Moonstone</v>
      </c>
      <c r="B446" s="1" t="str">
        <f>IFERROR(__xludf.DUMMYFUNCTION("""COMPUTED_VALUE"""),"Crafting Material, roll a d20 to see how many you get if this is a loot drop.")</f>
        <v>Crafting Material, roll a d20 to see how many you get if this is a loot drop.</v>
      </c>
      <c r="C446" s="1" t="str">
        <f>IFERROR(__xludf.DUMMYFUNCTION("""COMPUTED_VALUE"""),"Item")</f>
        <v>Item</v>
      </c>
      <c r="D446" s="1" t="str">
        <f>IFERROR(__xludf.DUMMYFUNCTION("""COMPUTED_VALUE"""),"Land of Spira")</f>
        <v>Land of Spira</v>
      </c>
    </row>
    <row r="447">
      <c r="A447" s="1" t="str">
        <f>IFERROR(__xludf.DUMMYFUNCTION("""COMPUTED_VALUE"""),"Sunstone")</f>
        <v>Sunstone</v>
      </c>
      <c r="B447" s="1" t="str">
        <f>IFERROR(__xludf.DUMMYFUNCTION("""COMPUTED_VALUE"""),"Crafting Material, roll a d20 to see how many you get if this is a loot drop.")</f>
        <v>Crafting Material, roll a d20 to see how many you get if this is a loot drop.</v>
      </c>
      <c r="C447" s="1" t="str">
        <f>IFERROR(__xludf.DUMMYFUNCTION("""COMPUTED_VALUE"""),"Item")</f>
        <v>Item</v>
      </c>
      <c r="D447" s="1" t="str">
        <f>IFERROR(__xludf.DUMMYFUNCTION("""COMPUTED_VALUE"""),"Land of Spira")</f>
        <v>Land of Spira</v>
      </c>
    </row>
    <row r="448">
      <c r="A448" s="1" t="str">
        <f>IFERROR(__xludf.DUMMYFUNCTION("""COMPUTED_VALUE"""),"Tier 1 Treasure Chest (Non-Magical)")</f>
        <v>Tier 1 Treasure Chest (Non-Magical)</v>
      </c>
      <c r="B448" s="1" t="str">
        <f>IFERROR(__xludf.DUMMYFUNCTION("""COMPUTED_VALUE"""),"Requires a Treasure Chest key to open")</f>
        <v>Requires a Treasure Chest key to open</v>
      </c>
      <c r="C448" s="1" t="str">
        <f>IFERROR(__xludf.DUMMYFUNCTION("""COMPUTED_VALUE"""),"Item")</f>
        <v>Item</v>
      </c>
      <c r="D448" s="1" t="str">
        <f>IFERROR(__xludf.DUMMYFUNCTION("""COMPUTED_VALUE"""),"Land of Spira")</f>
        <v>Land of Spira</v>
      </c>
    </row>
    <row r="449">
      <c r="A449" s="1" t="str">
        <f>IFERROR(__xludf.DUMMYFUNCTION("""COMPUTED_VALUE"""),"Tier 2 Treasure Chest (Non-Magical)")</f>
        <v>Tier 2 Treasure Chest (Non-Magical)</v>
      </c>
      <c r="B449" s="1" t="str">
        <f>IFERROR(__xludf.DUMMYFUNCTION("""COMPUTED_VALUE"""),"Requires a Treasure Chest key to open")</f>
        <v>Requires a Treasure Chest key to open</v>
      </c>
      <c r="C449" s="1" t="str">
        <f>IFERROR(__xludf.DUMMYFUNCTION("""COMPUTED_VALUE"""),"Item")</f>
        <v>Item</v>
      </c>
      <c r="D449" s="1" t="str">
        <f>IFERROR(__xludf.DUMMYFUNCTION("""COMPUTED_VALUE"""),"Land of Spira")</f>
        <v>Land of Spira</v>
      </c>
    </row>
    <row r="450">
      <c r="A450" s="1" t="str">
        <f>IFERROR(__xludf.DUMMYFUNCTION("""COMPUTED_VALUE"""),"Tier 3 Treasure Chest (Non-Magical)")</f>
        <v>Tier 3 Treasure Chest (Non-Magical)</v>
      </c>
      <c r="B450" s="1" t="str">
        <f>IFERROR(__xludf.DUMMYFUNCTION("""COMPUTED_VALUE"""),"Requires a Treasure Chest key to open")</f>
        <v>Requires a Treasure Chest key to open</v>
      </c>
      <c r="C450" s="1" t="str">
        <f>IFERROR(__xludf.DUMMYFUNCTION("""COMPUTED_VALUE"""),"Item")</f>
        <v>Item</v>
      </c>
      <c r="D450" s="1" t="str">
        <f>IFERROR(__xludf.DUMMYFUNCTION("""COMPUTED_VALUE"""),"Land of Spira")</f>
        <v>Land of Spira</v>
      </c>
    </row>
    <row r="451">
      <c r="A451" s="1" t="str">
        <f>IFERROR(__xludf.DUMMYFUNCTION("""COMPUTED_VALUE"""),"Treasure Chest Key (Non-Magical)")</f>
        <v>Treasure Chest Key (Non-Magical)</v>
      </c>
      <c r="B451" s="1" t="str">
        <f>IFERROR(__xludf.DUMMYFUNCTION("""COMPUTED_VALUE"""),"Unlocks Tier 1-3 Treasure Chests.")</f>
        <v>Unlocks Tier 1-3 Treasure Chests.</v>
      </c>
      <c r="C451" s="1" t="str">
        <f>IFERROR(__xludf.DUMMYFUNCTION("""COMPUTED_VALUE"""),"Item")</f>
        <v>Item</v>
      </c>
      <c r="D451" s="1" t="str">
        <f>IFERROR(__xludf.DUMMYFUNCTION("""COMPUTED_VALUE"""),"Land of Spira")</f>
        <v>Land of Spira</v>
      </c>
    </row>
    <row r="452">
      <c r="A452" s="1" t="str">
        <f>IFERROR(__xludf.DUMMYFUNCTION("""COMPUTED_VALUE"""),"Random Dragon Egg")</f>
        <v>Random Dragon Egg</v>
      </c>
      <c r="B452" s="1" t="str">
        <f>IFERROR(__xludf.DUMMYFUNCTION("""COMPUTED_VALUE"""),"determined by DM/GM")</f>
        <v>determined by DM/GM</v>
      </c>
      <c r="C452" s="1" t="str">
        <f>IFERROR(__xludf.DUMMYFUNCTION("""COMPUTED_VALUE"""),"Item")</f>
        <v>Item</v>
      </c>
      <c r="D452" s="1" t="str">
        <f>IFERROR(__xludf.DUMMYFUNCTION("""COMPUTED_VALUE"""),"Land of Spira")</f>
        <v>Land of Spira</v>
      </c>
    </row>
    <row r="453">
      <c r="A453" s="1" t="str">
        <f>IFERROR(__xludf.DUMMYFUNCTION("""COMPUTED_VALUE"""),"Poisoned Bolts")</f>
        <v>Poisoned Bolts</v>
      </c>
      <c r="B453" s="1" t="str">
        <f>IFERROR(__xludf.DUMMYFUNCTION("""COMPUTED_VALUE"""),"+5000 poison damage per round for 3 rounds")</f>
        <v>+5000 poison damage per round for 3 rounds</v>
      </c>
      <c r="C453" s="1" t="str">
        <f>IFERROR(__xludf.DUMMYFUNCTION("""COMPUTED_VALUE"""),"Item")</f>
        <v>Item</v>
      </c>
      <c r="D453" s="1" t="str">
        <f>IFERROR(__xludf.DUMMYFUNCTION("""COMPUTED_VALUE"""),"Land of Spira")</f>
        <v>Land of Spira</v>
      </c>
    </row>
    <row r="454">
      <c r="A454" s="1" t="str">
        <f>IFERROR(__xludf.DUMMYFUNCTION("""COMPUTED_VALUE"""),"Standard Missile")</f>
        <v>Standard Missile</v>
      </c>
      <c r="B454" s="1" t="str">
        <f>IFERROR(__xludf.DUMMYFUNCTION("""COMPUTED_VALUE"""),"Missile Turret Ammunition.+50,000 Damage. +50,000 Fire Damage. roll a d5 to see how many you get if this is a loot drop.")</f>
        <v>Missile Turret Ammunition.+50,000 Damage. +50,000 Fire Damage. roll a d5 to see how many you get if this is a loot drop.</v>
      </c>
      <c r="C454" s="1" t="str">
        <f>IFERROR(__xludf.DUMMYFUNCTION("""COMPUTED_VALUE"""),"Item")</f>
        <v>Item</v>
      </c>
      <c r="D454" s="1" t="str">
        <f>IFERROR(__xludf.DUMMYFUNCTION("""COMPUTED_VALUE"""),"Land of Spira")</f>
        <v>Land of Spira</v>
      </c>
    </row>
    <row r="455">
      <c r="A455" s="1" t="str">
        <f>IFERROR(__xludf.DUMMYFUNCTION("""COMPUTED_VALUE"""),"Nuclear Missile")</f>
        <v>Nuclear Missile</v>
      </c>
      <c r="B455" s="1" t="str">
        <f>IFERROR(__xludf.DUMMYFUNCTION("""COMPUTED_VALUE"""),"Missile Turret Ammunition.+100,000 Damage. +100,000 Fire Damage. +Burn 10,000. +Poison 10,000. roll a d5 to see how many you get if this is a loot drop.")</f>
        <v>Missile Turret Ammunition.+100,000 Damage. +100,000 Fire Damage. +Burn 10,000. +Poison 10,000. roll a d5 to see how many you get if this is a loot drop.</v>
      </c>
      <c r="C455" s="1" t="str">
        <f>IFERROR(__xludf.DUMMYFUNCTION("""COMPUTED_VALUE"""),"Item")</f>
        <v>Item</v>
      </c>
      <c r="D455" s="1" t="str">
        <f>IFERROR(__xludf.DUMMYFUNCTION("""COMPUTED_VALUE"""),"Land of Spira")</f>
        <v>Land of Spira</v>
      </c>
    </row>
    <row r="456">
      <c r="A456" s="1" t="str">
        <f>IFERROR(__xludf.DUMMYFUNCTION("""COMPUTED_VALUE"""),"EMP Missile")</f>
        <v>EMP Missile</v>
      </c>
      <c r="B456" s="1" t="str">
        <f>IFERROR(__xludf.DUMMYFUNCTION("""COMPUTED_VALUE"""),"Missile Turret Ammunition. +50,000 Damage. +50,000 Storm Damage. +25% chance the target(s) losses it's next turn. roll a d5 to see how many you get if this is a loot drop.")</f>
        <v>Missile Turret Ammunition. +50,000 Damage. +50,000 Storm Damage. +25% chance the target(s) losses it's next turn. roll a d5 to see how many you get if this is a loot drop.</v>
      </c>
      <c r="C456" s="1" t="str">
        <f>IFERROR(__xludf.DUMMYFUNCTION("""COMPUTED_VALUE"""),"Item")</f>
        <v>Item</v>
      </c>
      <c r="D456" s="1" t="str">
        <f>IFERROR(__xludf.DUMMYFUNCTION("""COMPUTED_VALUE"""),"Land of Spira")</f>
        <v>Land of Spira</v>
      </c>
    </row>
    <row r="457">
      <c r="A457" s="1" t="str">
        <f>IFERROR(__xludf.DUMMYFUNCTION("""COMPUTED_VALUE"""),"Chaos Bullet")</f>
        <v>Chaos Bullet</v>
      </c>
      <c r="B457" s="1" t="str">
        <f>IFERROR(__xludf.DUMMYFUNCTION("""COMPUTED_VALUE"""),"Firearm Ammunition. +100 chaos damage. roll a d20 to see how many you get if this is a loot drop.")</f>
        <v>Firearm Ammunition. +100 chaos damage. roll a d20 to see how many you get if this is a loot drop.</v>
      </c>
      <c r="C457" s="1" t="str">
        <f>IFERROR(__xludf.DUMMYFUNCTION("""COMPUTED_VALUE"""),"Item")</f>
        <v>Item</v>
      </c>
      <c r="D457" s="1" t="str">
        <f>IFERROR(__xludf.DUMMYFUNCTION("""COMPUTED_VALUE"""),"Land of Spira")</f>
        <v>Land of Spira</v>
      </c>
    </row>
    <row r="458">
      <c r="A458" s="1" t="str">
        <f>IFERROR(__xludf.DUMMYFUNCTION("""COMPUTED_VALUE"""),"Dark Bullet")</f>
        <v>Dark Bullet</v>
      </c>
      <c r="B458" s="1" t="str">
        <f>IFERROR(__xludf.DUMMYFUNCTION("""COMPUTED_VALUE"""),"Firearm Ammunition. +100 dark damage. roll a d20 to see how many you get if this is a loot drop.")</f>
        <v>Firearm Ammunition. +100 dark damage. roll a d20 to see how many you get if this is a loot drop.</v>
      </c>
      <c r="C458" s="1" t="str">
        <f>IFERROR(__xludf.DUMMYFUNCTION("""COMPUTED_VALUE"""),"Item")</f>
        <v>Item</v>
      </c>
      <c r="D458" s="1" t="str">
        <f>IFERROR(__xludf.DUMMYFUNCTION("""COMPUTED_VALUE"""),"Land of Spira")</f>
        <v>Land of Spira</v>
      </c>
    </row>
    <row r="459">
      <c r="A459" s="1" t="str">
        <f>IFERROR(__xludf.DUMMYFUNCTION("""COMPUTED_VALUE"""),"Earth Bullet")</f>
        <v>Earth Bullet</v>
      </c>
      <c r="B459" s="1" t="str">
        <f>IFERROR(__xludf.DUMMYFUNCTION("""COMPUTED_VALUE"""),"Firearm Ammunition. +100 earth damage. roll a d20 to see how many you get if this is a loot drop.")</f>
        <v>Firearm Ammunition. +100 earth damage. roll a d20 to see how many you get if this is a loot drop.</v>
      </c>
      <c r="C459" s="1" t="str">
        <f>IFERROR(__xludf.DUMMYFUNCTION("""COMPUTED_VALUE"""),"Item")</f>
        <v>Item</v>
      </c>
      <c r="D459" s="1" t="str">
        <f>IFERROR(__xludf.DUMMYFUNCTION("""COMPUTED_VALUE"""),"Land of Spira")</f>
        <v>Land of Spira</v>
      </c>
    </row>
    <row r="460">
      <c r="A460" s="1" t="str">
        <f>IFERROR(__xludf.DUMMYFUNCTION("""COMPUTED_VALUE"""),"Fire Bullet")</f>
        <v>Fire Bullet</v>
      </c>
      <c r="B460" s="1" t="str">
        <f>IFERROR(__xludf.DUMMYFUNCTION("""COMPUTED_VALUE"""),"Firearm Ammunition. +100 fire damage. roll a d20 to see how many you get if this is a loot drop.")</f>
        <v>Firearm Ammunition. +100 fire damage. roll a d20 to see how many you get if this is a loot drop.</v>
      </c>
      <c r="C460" s="1" t="str">
        <f>IFERROR(__xludf.DUMMYFUNCTION("""COMPUTED_VALUE"""),"Item")</f>
        <v>Item</v>
      </c>
      <c r="D460" s="1" t="str">
        <f>IFERROR(__xludf.DUMMYFUNCTION("""COMPUTED_VALUE"""),"Land of Spira")</f>
        <v>Land of Spira</v>
      </c>
    </row>
    <row r="461">
      <c r="A461" s="1" t="str">
        <f>IFERROR(__xludf.DUMMYFUNCTION("""COMPUTED_VALUE"""),"Light Bullet")</f>
        <v>Light Bullet</v>
      </c>
      <c r="B461" s="1" t="str">
        <f>IFERROR(__xludf.DUMMYFUNCTION("""COMPUTED_VALUE"""),"Firearm Ammunition. +100 light damage. roll a d20 to see how many you get if this is a loot drop.")</f>
        <v>Firearm Ammunition. +100 light damage. roll a d20 to see how many you get if this is a loot drop.</v>
      </c>
      <c r="C461" s="1" t="str">
        <f>IFERROR(__xludf.DUMMYFUNCTION("""COMPUTED_VALUE"""),"Item")</f>
        <v>Item</v>
      </c>
      <c r="D461" s="1" t="str">
        <f>IFERROR(__xludf.DUMMYFUNCTION("""COMPUTED_VALUE"""),"Land of Spira")</f>
        <v>Land of Spira</v>
      </c>
    </row>
    <row r="462">
      <c r="A462" s="1" t="str">
        <f>IFERROR(__xludf.DUMMYFUNCTION("""COMPUTED_VALUE"""),"Spectral Bullet")</f>
        <v>Spectral Bullet</v>
      </c>
      <c r="B462" s="1" t="str">
        <f>IFERROR(__xludf.DUMMYFUNCTION("""COMPUTED_VALUE"""),"Firearm Ammunition. +100 spirit damage. roll a d20 to see how many you get if this is a loot drop.")</f>
        <v>Firearm Ammunition. +100 spirit damage. roll a d20 to see how many you get if this is a loot drop.</v>
      </c>
      <c r="C462" s="1" t="str">
        <f>IFERROR(__xludf.DUMMYFUNCTION("""COMPUTED_VALUE"""),"Item")</f>
        <v>Item</v>
      </c>
      <c r="D462" s="1" t="str">
        <f>IFERROR(__xludf.DUMMYFUNCTION("""COMPUTED_VALUE"""),"Land of Spira")</f>
        <v>Land of Spira</v>
      </c>
    </row>
    <row r="463">
      <c r="A463" s="1" t="str">
        <f>IFERROR(__xludf.DUMMYFUNCTION("""COMPUTED_VALUE"""),"Stunning Bullet")</f>
        <v>Stunning Bullet</v>
      </c>
      <c r="B463" s="1" t="str">
        <f>IFERROR(__xludf.DUMMYFUNCTION("""COMPUTED_VALUE"""),"Firearm Ammunition. +100 storm damage. +25% chance of Stun 3 to the enemy if using no more than 1 bullet. roll a d20 to see how many you get if this is a loot drop.")</f>
        <v>Firearm Ammunition. +100 storm damage. +25% chance of Stun 3 to the enemy if using no more than 1 bullet. roll a d20 to see how many you get if this is a loot drop.</v>
      </c>
      <c r="C463" s="1" t="str">
        <f>IFERROR(__xludf.DUMMYFUNCTION("""COMPUTED_VALUE"""),"Item")</f>
        <v>Item</v>
      </c>
      <c r="D463" s="1" t="str">
        <f>IFERROR(__xludf.DUMMYFUNCTION("""COMPUTED_VALUE"""),"Land of Spira")</f>
        <v>Land of Spira</v>
      </c>
    </row>
    <row r="464">
      <c r="A464" s="1" t="str">
        <f>IFERROR(__xludf.DUMMYFUNCTION("""COMPUTED_VALUE"""),"Freezing Bullet")</f>
        <v>Freezing Bullet</v>
      </c>
      <c r="B464" s="1" t="str">
        <f>IFERROR(__xludf.DUMMYFUNCTION("""COMPUTED_VALUE"""),"Firearm Ammunition. +100 fire damage. +25% chance of Freeze to the enemy if using no more than 1 bullet. roll a d20 to see how many you get if this is a loot drop.")</f>
        <v>Firearm Ammunition. +100 fire damage. +25% chance of Freeze to the enemy if using no more than 1 bullet. roll a d20 to see how many you get if this is a loot drop.</v>
      </c>
      <c r="C464" s="1" t="str">
        <f>IFERROR(__xludf.DUMMYFUNCTION("""COMPUTED_VALUE"""),"Item")</f>
        <v>Item</v>
      </c>
      <c r="D464" s="1" t="str">
        <f>IFERROR(__xludf.DUMMYFUNCTION("""COMPUTED_VALUE"""),"Land of Spira")</f>
        <v>Land of Spira</v>
      </c>
    </row>
    <row r="465">
      <c r="A465" s="1" t="str">
        <f>IFERROR(__xludf.DUMMYFUNCTION("""COMPUTED_VALUE"""),"Healing Bullet")</f>
        <v>Healing Bullet</v>
      </c>
      <c r="B465" s="1" t="str">
        <f>IFERROR(__xludf.DUMMYFUNCTION("""COMPUTED_VALUE"""),"Firearm Ammunition. +Restores 1000 HP and SP to the target if using no more than 1 bullet. roll a d20 to see how many you get if this is a loot drop.")</f>
        <v>Firearm Ammunition. +Restores 1000 HP and SP to the target if using no more than 1 bullet. roll a d20 to see how many you get if this is a loot drop.</v>
      </c>
      <c r="C465" s="1" t="str">
        <f>IFERROR(__xludf.DUMMYFUNCTION("""COMPUTED_VALUE"""),"Item")</f>
        <v>Item</v>
      </c>
      <c r="D465" s="1" t="str">
        <f>IFERROR(__xludf.DUMMYFUNCTION("""COMPUTED_VALUE"""),"Land of Spira")</f>
        <v>Land of Spira</v>
      </c>
    </row>
    <row r="466">
      <c r="A466" s="1" t="str">
        <f>IFERROR(__xludf.DUMMYFUNCTION("""COMPUTED_VALUE"""),"Celestial Arrow")</f>
        <v>Celestial Arrow</v>
      </c>
      <c r="B466" s="1" t="str">
        <f>IFERROR(__xludf.DUMMYFUNCTION("""COMPUTED_VALUE"""),"Bow Ammunition. +500 celestial damage. roll a d20 to see how many you get if this is a loot drop.")</f>
        <v>Bow Ammunition. +500 celestial damage. roll a d20 to see how many you get if this is a loot drop.</v>
      </c>
      <c r="C466" s="1" t="str">
        <f>IFERROR(__xludf.DUMMYFUNCTION("""COMPUTED_VALUE"""),"Item")</f>
        <v>Item</v>
      </c>
      <c r="D466" s="1" t="str">
        <f>IFERROR(__xludf.DUMMYFUNCTION("""COMPUTED_VALUE"""),"Land of Spira")</f>
        <v>Land of Spira</v>
      </c>
    </row>
    <row r="467">
      <c r="A467" s="1" t="str">
        <f>IFERROR(__xludf.DUMMYFUNCTION("""COMPUTED_VALUE"""),"Chaos Arrow")</f>
        <v>Chaos Arrow</v>
      </c>
      <c r="B467" s="1" t="str">
        <f>IFERROR(__xludf.DUMMYFUNCTION("""COMPUTED_VALUE"""),"Bow Ammunition. +500 chaos damage. roll a d20 to see how many you get if this is a loot drop.")</f>
        <v>Bow Ammunition. +500 chaos damage. roll a d20 to see how many you get if this is a loot drop.</v>
      </c>
      <c r="C467" s="1" t="str">
        <f>IFERROR(__xludf.DUMMYFUNCTION("""COMPUTED_VALUE"""),"Item")</f>
        <v>Item</v>
      </c>
      <c r="D467" s="1" t="str">
        <f>IFERROR(__xludf.DUMMYFUNCTION("""COMPUTED_VALUE"""),"Land of Spira")</f>
        <v>Land of Spira</v>
      </c>
    </row>
    <row r="468">
      <c r="A468" s="1" t="str">
        <f>IFERROR(__xludf.DUMMYFUNCTION("""COMPUTED_VALUE"""),"Dark Arrow")</f>
        <v>Dark Arrow</v>
      </c>
      <c r="B468" s="1" t="str">
        <f>IFERROR(__xludf.DUMMYFUNCTION("""COMPUTED_VALUE"""),"Bow Ammunition. +500 dark damage. roll a d20 to see how many you get if this is a loot drop.")</f>
        <v>Bow Ammunition. +500 dark damage. roll a d20 to see how many you get if this is a loot drop.</v>
      </c>
      <c r="C468" s="1" t="str">
        <f>IFERROR(__xludf.DUMMYFUNCTION("""COMPUTED_VALUE"""),"Item")</f>
        <v>Item</v>
      </c>
      <c r="D468" s="1" t="str">
        <f>IFERROR(__xludf.DUMMYFUNCTION("""COMPUTED_VALUE"""),"Land of Spira")</f>
        <v>Land of Spira</v>
      </c>
    </row>
    <row r="469">
      <c r="A469" s="1" t="str">
        <f>IFERROR(__xludf.DUMMYFUNCTION("""COMPUTED_VALUE"""),"Earth Arrow")</f>
        <v>Earth Arrow</v>
      </c>
      <c r="B469" s="1" t="str">
        <f>IFERROR(__xludf.DUMMYFUNCTION("""COMPUTED_VALUE"""),"Bow Ammunition. +500 earth damage. roll a d20 to see how many you get if this is a loot drop.")</f>
        <v>Bow Ammunition. +500 earth damage. roll a d20 to see how many you get if this is a loot drop.</v>
      </c>
      <c r="C469" s="1" t="str">
        <f>IFERROR(__xludf.DUMMYFUNCTION("""COMPUTED_VALUE"""),"Item")</f>
        <v>Item</v>
      </c>
      <c r="D469" s="1" t="str">
        <f>IFERROR(__xludf.DUMMYFUNCTION("""COMPUTED_VALUE"""),"Land of Spira")</f>
        <v>Land of Spira</v>
      </c>
    </row>
    <row r="470">
      <c r="A470" s="1" t="str">
        <f>IFERROR(__xludf.DUMMYFUNCTION("""COMPUTED_VALUE"""),"Fire Arrow")</f>
        <v>Fire Arrow</v>
      </c>
      <c r="B470" s="1" t="str">
        <f>IFERROR(__xludf.DUMMYFUNCTION("""COMPUTED_VALUE"""),"Bow Ammunition. +500 fire damage. roll a d20 to see how many you get if this is a loot drop.")</f>
        <v>Bow Ammunition. +500 fire damage. roll a d20 to see how many you get if this is a loot drop.</v>
      </c>
      <c r="C470" s="1" t="str">
        <f>IFERROR(__xludf.DUMMYFUNCTION("""COMPUTED_VALUE"""),"Item")</f>
        <v>Item</v>
      </c>
      <c r="D470" s="1" t="str">
        <f>IFERROR(__xludf.DUMMYFUNCTION("""COMPUTED_VALUE"""),"Land of Spira")</f>
        <v>Land of Spira</v>
      </c>
    </row>
    <row r="471">
      <c r="A471" s="1" t="str">
        <f>IFERROR(__xludf.DUMMYFUNCTION("""COMPUTED_VALUE"""),"Light Arrow")</f>
        <v>Light Arrow</v>
      </c>
      <c r="B471" s="1" t="str">
        <f>IFERROR(__xludf.DUMMYFUNCTION("""COMPUTED_VALUE"""),"Bow Ammunition. +500 light damage. roll a d20 to see how many you get if this is a loot drop.")</f>
        <v>Bow Ammunition. +500 light damage. roll a d20 to see how many you get if this is a loot drop.</v>
      </c>
      <c r="C471" s="1" t="str">
        <f>IFERROR(__xludf.DUMMYFUNCTION("""COMPUTED_VALUE"""),"Item")</f>
        <v>Item</v>
      </c>
      <c r="D471" s="1" t="str">
        <f>IFERROR(__xludf.DUMMYFUNCTION("""COMPUTED_VALUE"""),"Land of Spira")</f>
        <v>Land of Spira</v>
      </c>
    </row>
    <row r="472">
      <c r="A472" s="1" t="str">
        <f>IFERROR(__xludf.DUMMYFUNCTION("""COMPUTED_VALUE"""),"Spectral Arrow")</f>
        <v>Spectral Arrow</v>
      </c>
      <c r="B472" s="1" t="str">
        <f>IFERROR(__xludf.DUMMYFUNCTION("""COMPUTED_VALUE"""),"Bow Ammunition. +500 spirit damage. roll a d20 to see how many you get if this is a loot drop.")</f>
        <v>Bow Ammunition. +500 spirit damage. roll a d20 to see how many you get if this is a loot drop.</v>
      </c>
      <c r="C472" s="1" t="str">
        <f>IFERROR(__xludf.DUMMYFUNCTION("""COMPUTED_VALUE"""),"Item")</f>
        <v>Item</v>
      </c>
      <c r="D472" s="1" t="str">
        <f>IFERROR(__xludf.DUMMYFUNCTION("""COMPUTED_VALUE"""),"Land of Spira")</f>
        <v>Land of Spira</v>
      </c>
    </row>
    <row r="473">
      <c r="A473" s="1" t="str">
        <f>IFERROR(__xludf.DUMMYFUNCTION("""COMPUTED_VALUE"""),"Stunning Arrow")</f>
        <v>Stunning Arrow</v>
      </c>
      <c r="B473" s="1" t="str">
        <f>IFERROR(__xludf.DUMMYFUNCTION("""COMPUTED_VALUE"""),"Bow Ammunition. +500 storm damage. +25% chance of Stun 3. roll a d20 to see how many you get if this is a loot drop.")</f>
        <v>Bow Ammunition. +500 storm damage. +25% chance of Stun 3. roll a d20 to see how many you get if this is a loot drop.</v>
      </c>
      <c r="C473" s="1" t="str">
        <f>IFERROR(__xludf.DUMMYFUNCTION("""COMPUTED_VALUE"""),"Item")</f>
        <v>Item</v>
      </c>
      <c r="D473" s="1" t="str">
        <f>IFERROR(__xludf.DUMMYFUNCTION("""COMPUTED_VALUE"""),"Land of Spira")</f>
        <v>Land of Spira</v>
      </c>
    </row>
    <row r="474">
      <c r="A474" s="1" t="str">
        <f>IFERROR(__xludf.DUMMYFUNCTION("""COMPUTED_VALUE"""),"Freezing Arrow")</f>
        <v>Freezing Arrow</v>
      </c>
      <c r="B474" s="1" t="str">
        <f>IFERROR(__xludf.DUMMYFUNCTION("""COMPUTED_VALUE"""),"Bow Ammunition. +500 water damage. +25% chance of Freeze to the enemy. roll a d20 to see how many you get if this is a loot drop.")</f>
        <v>Bow Ammunition. +500 water damage. +25% chance of Freeze to the enemy. roll a d20 to see how many you get if this is a loot drop.</v>
      </c>
      <c r="C474" s="1" t="str">
        <f>IFERROR(__xludf.DUMMYFUNCTION("""COMPUTED_VALUE"""),"Item")</f>
        <v>Item</v>
      </c>
      <c r="D474" s="1" t="str">
        <f>IFERROR(__xludf.DUMMYFUNCTION("""COMPUTED_VALUE"""),"Land of Spira")</f>
        <v>Land of Spira</v>
      </c>
    </row>
    <row r="475">
      <c r="A475" s="1" t="str">
        <f>IFERROR(__xludf.DUMMYFUNCTION("""COMPUTED_VALUE"""),"Healing Arrow")</f>
        <v>Healing Arrow</v>
      </c>
      <c r="B475" s="1" t="str">
        <f>IFERROR(__xludf.DUMMYFUNCTION("""COMPUTED_VALUE"""),"Bow Ammunition. +Restores 1000 HP and SP to the target. roll a d20 to see how many you get if this is a loot drop.")</f>
        <v>Bow Ammunition. +Restores 1000 HP and SP to the target. roll a d20 to see how many you get if this is a loot drop.</v>
      </c>
      <c r="C475" s="1" t="str">
        <f>IFERROR(__xludf.DUMMYFUNCTION("""COMPUTED_VALUE"""),"Item")</f>
        <v>Item</v>
      </c>
      <c r="D475" s="1" t="str">
        <f>IFERROR(__xludf.DUMMYFUNCTION("""COMPUTED_VALUE"""),"Land of Spira")</f>
        <v>Land of Spira</v>
      </c>
    </row>
    <row r="476">
      <c r="A476" s="1" t="str">
        <f>IFERROR(__xludf.DUMMYFUNCTION("""COMPUTED_VALUE"""),"Celestial Bullet")</f>
        <v>Celestial Bullet</v>
      </c>
      <c r="B476" s="1" t="str">
        <f>IFERROR(__xludf.DUMMYFUNCTION("""COMPUTED_VALUE"""),"Firearm Ammunition. +100 celestial damage. roll a d20 to see how many you get if this is a loot drop.")</f>
        <v>Firearm Ammunition. +100 celestial damage. roll a d20 to see how many you get if this is a loot drop.</v>
      </c>
      <c r="C476" s="1" t="str">
        <f>IFERROR(__xludf.DUMMYFUNCTION("""COMPUTED_VALUE"""),"Item")</f>
        <v>Item</v>
      </c>
      <c r="D476" s="1" t="str">
        <f>IFERROR(__xludf.DUMMYFUNCTION("""COMPUTED_VALUE"""),"Land of Spira")</f>
        <v>Land of Spira</v>
      </c>
    </row>
    <row r="477">
      <c r="A477" s="1" t="str">
        <f>IFERROR(__xludf.DUMMYFUNCTION("""COMPUTED_VALUE"""),"Fire Cannon Ball")</f>
        <v>Fire Cannon Ball</v>
      </c>
      <c r="B477" s="1" t="str">
        <f>IFERROR(__xludf.DUMMYFUNCTION("""COMPUTED_VALUE"""),"Fireball Cannon Ammunition, +5000 fire damage. roll a d20 to see how many you get if this is a loot drop.")</f>
        <v>Fireball Cannon Ammunition, +5000 fire damage. roll a d20 to see how many you get if this is a loot drop.</v>
      </c>
      <c r="C477" s="1" t="str">
        <f>IFERROR(__xludf.DUMMYFUNCTION("""COMPUTED_VALUE"""),"Item")</f>
        <v>Item</v>
      </c>
      <c r="D477" s="1" t="str">
        <f>IFERROR(__xludf.DUMMYFUNCTION("""COMPUTED_VALUE"""),"Land of Spira")</f>
        <v>Land of Spira</v>
      </c>
    </row>
    <row r="478">
      <c r="A478" s="1" t="str">
        <f>IFERROR(__xludf.DUMMYFUNCTION("""COMPUTED_VALUE"""),"Torpedo")</f>
        <v>Torpedo</v>
      </c>
      <c r="B478" s="1" t="str">
        <f>IFERROR(__xludf.DUMMYFUNCTION("""COMPUTED_VALUE"""),"Torpedo Launcher Ammunition. +10,000 damage. roll a d20 to see how many you get if this is a loot drop.")</f>
        <v>Torpedo Launcher Ammunition. +10,000 damage. roll a d20 to see how many you get if this is a loot drop.</v>
      </c>
      <c r="C478" s="1" t="str">
        <f>IFERROR(__xludf.DUMMYFUNCTION("""COMPUTED_VALUE"""),"Item")</f>
        <v>Item</v>
      </c>
      <c r="D478" s="1" t="str">
        <f>IFERROR(__xludf.DUMMYFUNCTION("""COMPUTED_VALUE"""),"Land of Spira")</f>
        <v>Land of Spira</v>
      </c>
    </row>
    <row r="479">
      <c r="A479" s="1" t="str">
        <f>IFERROR(__xludf.DUMMYFUNCTION("""COMPUTED_VALUE"""),"Fragmentation Grenade")</f>
        <v>Fragmentation Grenade</v>
      </c>
      <c r="B479" s="1" t="str">
        <f>IFERROR(__xludf.DUMMYFUNCTION("""COMPUTED_VALUE"""),"Deals 10000 damage to all enemies.")</f>
        <v>Deals 10000 damage to all enemies.</v>
      </c>
      <c r="C479" s="1" t="str">
        <f>IFERROR(__xludf.DUMMYFUNCTION("""COMPUTED_VALUE"""),"Grenade")</f>
        <v>Grenade</v>
      </c>
      <c r="D479" s="1" t="str">
        <f>IFERROR(__xludf.DUMMYFUNCTION("""COMPUTED_VALUE"""),"Land of Spira")</f>
        <v>Land of Spira</v>
      </c>
    </row>
    <row r="480">
      <c r="A480" s="1" t="str">
        <f>IFERROR(__xludf.DUMMYFUNCTION("""COMPUTED_VALUE"""),"Flashbang")</f>
        <v>Flashbang</v>
      </c>
      <c r="B480" s="1" t="str">
        <f>IFERROR(__xludf.DUMMYFUNCTION("""COMPUTED_VALUE"""),"Deals 5000 Light damage and has a 15% chance to inflict Blindness 2 to all enemies.")</f>
        <v>Deals 5000 Light damage and has a 15% chance to inflict Blindness 2 to all enemies.</v>
      </c>
      <c r="C480" s="1" t="str">
        <f>IFERROR(__xludf.DUMMYFUNCTION("""COMPUTED_VALUE"""),"Grenade")</f>
        <v>Grenade</v>
      </c>
      <c r="D480" s="1" t="str">
        <f>IFERROR(__xludf.DUMMYFUNCTION("""COMPUTED_VALUE"""),"Land of Spira")</f>
        <v>Land of Spira</v>
      </c>
    </row>
    <row r="481">
      <c r="A481" s="1" t="str">
        <f>IFERROR(__xludf.DUMMYFUNCTION("""COMPUTED_VALUE"""),"Earth Golem Core")</f>
        <v>Earth Golem Core</v>
      </c>
      <c r="B481" s="1" t="str">
        <f>IFERROR(__xludf.DUMMYFUNCTION("""COMPUTED_VALUE"""),"Summons an Earth Golem to battle (Can only be used once)")</f>
        <v>Summons an Earth Golem to battle (Can only be used once)</v>
      </c>
      <c r="C481" s="1" t="str">
        <f>IFERROR(__xludf.DUMMYFUNCTION("""COMPUTED_VALUE"""),"Item")</f>
        <v>Item</v>
      </c>
      <c r="D481" s="1" t="str">
        <f>IFERROR(__xludf.DUMMYFUNCTION("""COMPUTED_VALUE"""),"Land of Spira")</f>
        <v>Land of Spira</v>
      </c>
    </row>
    <row r="482">
      <c r="A482" s="1" t="str">
        <f>IFERROR(__xludf.DUMMYFUNCTION("""COMPUTED_VALUE"""),"Nailbomb")</f>
        <v>Nailbomb</v>
      </c>
      <c r="B482" s="1" t="str">
        <f>IFERROR(__xludf.DUMMYFUNCTION("""COMPUTED_VALUE"""),"Deals 5000 bleed damage and has a 25% chance of inflicting bleed 2500 for 3 rounds to all enemies.")</f>
        <v>Deals 5000 bleed damage and has a 25% chance of inflicting bleed 2500 for 3 rounds to all enemies.</v>
      </c>
      <c r="C482" s="1" t="str">
        <f>IFERROR(__xludf.DUMMYFUNCTION("""COMPUTED_VALUE"""),"Grenade")</f>
        <v>Grenade</v>
      </c>
      <c r="D482" s="1" t="str">
        <f>IFERROR(__xludf.DUMMYFUNCTION("""COMPUTED_VALUE"""),"Land of Spira")</f>
        <v>Land of Spira</v>
      </c>
    </row>
    <row r="483">
      <c r="A483" s="1" t="str">
        <f>IFERROR(__xludf.DUMMYFUNCTION("""COMPUTED_VALUE"""),"Molotov")</f>
        <v>Molotov</v>
      </c>
      <c r="B483" s="1" t="str">
        <f>IFERROR(__xludf.DUMMYFUNCTION("""COMPUTED_VALUE"""),"Deals 5000 fire damage and has a 25% chance of inflicting burn 2500 for 3 rounds to all enemies.")</f>
        <v>Deals 5000 fire damage and has a 25% chance of inflicting burn 2500 for 3 rounds to all enemies.</v>
      </c>
      <c r="C483" s="1" t="str">
        <f>IFERROR(__xludf.DUMMYFUNCTION("""COMPUTED_VALUE"""),"Grenade")</f>
        <v>Grenade</v>
      </c>
      <c r="D483" s="1" t="str">
        <f>IFERROR(__xludf.DUMMYFUNCTION("""COMPUTED_VALUE"""),"Land of Spira")</f>
        <v>Land of Spira</v>
      </c>
    </row>
    <row r="484">
      <c r="A484" s="1" t="str">
        <f>IFERROR(__xludf.DUMMYFUNCTION("""COMPUTED_VALUE"""),"Smoke Bomb")</f>
        <v>Smoke Bomb</v>
      </c>
      <c r="B484" s="1" t="str">
        <f>IFERROR(__xludf.DUMMYFUNCTION("""COMPUTED_VALUE"""),"Conceals you and gives you +5 mobility when fleeing.")</f>
        <v>Conceals you and gives you +5 mobility when fleeing.</v>
      </c>
      <c r="C484" s="1" t="str">
        <f>IFERROR(__xludf.DUMMYFUNCTION("""COMPUTED_VALUE"""),"Grenade")</f>
        <v>Grenade</v>
      </c>
      <c r="D484" s="1" t="str">
        <f>IFERROR(__xludf.DUMMYFUNCTION("""COMPUTED_VALUE"""),"Land of Spira")</f>
        <v>Land of Spira</v>
      </c>
    </row>
    <row r="485">
      <c r="A485" s="1" t="str">
        <f>IFERROR(__xludf.DUMMYFUNCTION("""COMPUTED_VALUE"""),"Gas Grenade")</f>
        <v>Gas Grenade</v>
      </c>
      <c r="B485" s="1" t="str">
        <f>IFERROR(__xludf.DUMMYFUNCTION("""COMPUTED_VALUE"""),"Inflicts poison 5000 for 3 rounds to all enemies.")</f>
        <v>Inflicts poison 5000 for 3 rounds to all enemies.</v>
      </c>
      <c r="C485" s="1" t="str">
        <f>IFERROR(__xludf.DUMMYFUNCTION("""COMPUTED_VALUE"""),"Grenade")</f>
        <v>Grenade</v>
      </c>
      <c r="D485" s="1" t="str">
        <f>IFERROR(__xludf.DUMMYFUNCTION("""COMPUTED_VALUE"""),"Land of Spira")</f>
        <v>Land of Spira</v>
      </c>
    </row>
    <row r="486">
      <c r="A486" s="1" t="str">
        <f>IFERROR(__xludf.DUMMYFUNCTION("""COMPUTED_VALUE"""),"Booze Bomb")</f>
        <v>Booze Bomb</v>
      </c>
      <c r="B486" s="1" t="str">
        <f>IFERROR(__xludf.DUMMYFUNCTION("""COMPUTED_VALUE"""),"75% to inflict disoriented 5 to all enemies.")</f>
        <v>75% to inflict disoriented 5 to all enemies.</v>
      </c>
      <c r="C486" s="1" t="str">
        <f>IFERROR(__xludf.DUMMYFUNCTION("""COMPUTED_VALUE"""),"Grenade")</f>
        <v>Grenade</v>
      </c>
      <c r="D486" s="1" t="str">
        <f>IFERROR(__xludf.DUMMYFUNCTION("""COMPUTED_VALUE"""),"Land of Spira")</f>
        <v>Land of Spira</v>
      </c>
    </row>
    <row r="487">
      <c r="A487" s="1" t="str">
        <f>IFERROR(__xludf.DUMMYFUNCTION("""COMPUTED_VALUE"""),"Ice bomb")</f>
        <v>Ice bomb</v>
      </c>
      <c r="B487" s="1" t="str">
        <f>IFERROR(__xludf.DUMMYFUNCTION("""COMPUTED_VALUE"""),"50% chance to freeze targets to all enemies.")</f>
        <v>50% chance to freeze targets to all enemies.</v>
      </c>
      <c r="C487" s="1" t="str">
        <f>IFERROR(__xludf.DUMMYFUNCTION("""COMPUTED_VALUE"""),"Grenade")</f>
        <v>Grenade</v>
      </c>
      <c r="D487" s="1" t="str">
        <f>IFERROR(__xludf.DUMMYFUNCTION("""COMPUTED_VALUE"""),"Land of Spira")</f>
        <v>Land of Spira</v>
      </c>
    </row>
    <row r="488">
      <c r="A488" s="1" t="str">
        <f>IFERROR(__xludf.DUMMYFUNCTION("""COMPUTED_VALUE"""),"Holy Water")</f>
        <v>Holy Water</v>
      </c>
      <c r="B488" s="1" t="str">
        <f>IFERROR(__xludf.DUMMYFUNCTION("""COMPUTED_VALUE"""),"Deals 10000 Light Damage")</f>
        <v>Deals 10000 Light Damage</v>
      </c>
      <c r="C488" s="1" t="str">
        <f>IFERROR(__xludf.DUMMYFUNCTION("""COMPUTED_VALUE"""),"Grenade")</f>
        <v>Grenade</v>
      </c>
      <c r="D488" s="1" t="str">
        <f>IFERROR(__xludf.DUMMYFUNCTION("""COMPUTED_VALUE"""),"Land of Spira")</f>
        <v>Land of Spira</v>
      </c>
    </row>
    <row r="489">
      <c r="A489" s="1" t="str">
        <f>IFERROR(__xludf.DUMMYFUNCTION("""COMPUTED_VALUE"""),"Salve Grenade")</f>
        <v>Salve Grenade</v>
      </c>
      <c r="B489" s="1" t="str">
        <f>IFERROR(__xludf.DUMMYFUNCTION("""COMPUTED_VALUE"""),"Heals 2500 Hp")</f>
        <v>Heals 2500 Hp</v>
      </c>
      <c r="C489" s="1" t="str">
        <f>IFERROR(__xludf.DUMMYFUNCTION("""COMPUTED_VALUE"""),"Grenade")</f>
        <v>Grenade</v>
      </c>
      <c r="D489" s="1" t="str">
        <f>IFERROR(__xludf.DUMMYFUNCTION("""COMPUTED_VALUE"""),"Land of Spira")</f>
        <v>Land of Spira</v>
      </c>
    </row>
    <row r="490">
      <c r="A490" s="1" t="str">
        <f>IFERROR(__xludf.DUMMYFUNCTION("""COMPUTED_VALUE"""),"Potion of Banishment")</f>
        <v>Potion of Banishment</v>
      </c>
      <c r="B490" s="1" t="str">
        <f>IFERROR(__xludf.DUMMYFUNCTION("""COMPUTED_VALUE"""),"Banishes an enemy")</f>
        <v>Banishes an enemy</v>
      </c>
      <c r="C490" s="1" t="str">
        <f>IFERROR(__xludf.DUMMYFUNCTION("""COMPUTED_VALUE"""),"Item")</f>
        <v>Item</v>
      </c>
      <c r="D490" s="1" t="str">
        <f>IFERROR(__xludf.DUMMYFUNCTION("""COMPUTED_VALUE"""),"Land of Spira")</f>
        <v>Land of Spira</v>
      </c>
    </row>
    <row r="491">
      <c r="A491" s="1" t="str">
        <f>IFERROR(__xludf.DUMMYFUNCTION("""COMPUTED_VALUE"""),"Wooden Arrow")</f>
        <v>Wooden Arrow</v>
      </c>
      <c r="B491" s="1" t="str">
        <f>IFERROR(__xludf.DUMMYFUNCTION("""COMPUTED_VALUE"""),"Bow Ammunition +50 Damage. roll a d20 to see how many you get if this is a loot drop.")</f>
        <v>Bow Ammunition +50 Damage. roll a d20 to see how many you get if this is a loot drop.</v>
      </c>
      <c r="C491" s="1" t="str">
        <f>IFERROR(__xludf.DUMMYFUNCTION("""COMPUTED_VALUE"""),"Item")</f>
        <v>Item</v>
      </c>
      <c r="D491" s="1" t="str">
        <f>IFERROR(__xludf.DUMMYFUNCTION("""COMPUTED_VALUE"""),"Land of Spira")</f>
        <v>Land of Spira</v>
      </c>
    </row>
    <row r="492">
      <c r="A492" s="1" t="str">
        <f>IFERROR(__xludf.DUMMYFUNCTION("""COMPUTED_VALUE"""),"Bone Tipped Arrow")</f>
        <v>Bone Tipped Arrow</v>
      </c>
      <c r="B492" s="1" t="str">
        <f>IFERROR(__xludf.DUMMYFUNCTION("""COMPUTED_VALUE"""),"Bow Ammunition +250 Blood damage. roll a d20 to see how many you get if this is a loot drop")</f>
        <v>Bow Ammunition +250 Blood damage. roll a d20 to see how many you get if this is a loot drop</v>
      </c>
      <c r="C492" s="1" t="str">
        <f>IFERROR(__xludf.DUMMYFUNCTION("""COMPUTED_VALUE"""),"Item")</f>
        <v>Item</v>
      </c>
      <c r="D492" s="1" t="str">
        <f>IFERROR(__xludf.DUMMYFUNCTION("""COMPUTED_VALUE"""),"Land of Spira")</f>
        <v>Land of Spira</v>
      </c>
    </row>
    <row r="493">
      <c r="A493" s="1" t="str">
        <f>IFERROR(__xludf.DUMMYFUNCTION("""COMPUTED_VALUE"""),"Holy Arrow")</f>
        <v>Holy Arrow</v>
      </c>
      <c r="B493" s="1" t="str">
        <f>IFERROR(__xludf.DUMMYFUNCTION("""COMPUTED_VALUE"""),"Bow Ammunition +250 light damage +20x damage against undead.roll a d20 to see how many you get if this is a loot drop")</f>
        <v>Bow Ammunition +250 light damage +20x damage against undead.roll a d20 to see how many you get if this is a loot drop</v>
      </c>
      <c r="C493" s="1" t="str">
        <f>IFERROR(__xludf.DUMMYFUNCTION("""COMPUTED_VALUE"""),"Item")</f>
        <v>Item</v>
      </c>
      <c r="D493" s="1" t="str">
        <f>IFERROR(__xludf.DUMMYFUNCTION("""COMPUTED_VALUE"""),"Land of Spira")</f>
        <v>Land of Spira</v>
      </c>
    </row>
    <row r="494">
      <c r="A494" s="1" t="str">
        <f>IFERROR(__xludf.DUMMYFUNCTION("""COMPUTED_VALUE"""),"Small Bang")</f>
        <v>Small Bang</v>
      </c>
      <c r="B494" s="1" t="str">
        <f>IFERROR(__xludf.DUMMYFUNCTION("""COMPUTED_VALUE"""),"500,000 Damage")</f>
        <v>500,000 Damage</v>
      </c>
      <c r="C494" s="1" t="str">
        <f>IFERROR(__xludf.DUMMYFUNCTION("""COMPUTED_VALUE"""),"Grenade")</f>
        <v>Grenade</v>
      </c>
      <c r="D494" s="1" t="str">
        <f>IFERROR(__xludf.DUMMYFUNCTION("""COMPUTED_VALUE"""),"Abstara")</f>
        <v>Abstara</v>
      </c>
    </row>
    <row r="495">
      <c r="A495" s="1" t="str">
        <f>IFERROR(__xludf.DUMMYFUNCTION("""COMPUTED_VALUE"""),"Dragon Burst")</f>
        <v>Dragon Burst</v>
      </c>
      <c r="B495" s="1" t="str">
        <f>IFERROR(__xludf.DUMMYFUNCTION("""COMPUTED_VALUE"""),"250,000 Damage")</f>
        <v>250,000 Damage</v>
      </c>
      <c r="C495" s="1" t="str">
        <f>IFERROR(__xludf.DUMMYFUNCTION("""COMPUTED_VALUE"""),"Grenade")</f>
        <v>Grenade</v>
      </c>
      <c r="D495" s="1" t="str">
        <f>IFERROR(__xludf.DUMMYFUNCTION("""COMPUTED_VALUE"""),"Dragonscale Island")</f>
        <v>Dragonscale Island</v>
      </c>
    </row>
    <row r="496">
      <c r="A496" s="1" t="str">
        <f>IFERROR(__xludf.DUMMYFUNCTION("""COMPUTED_VALUE"""),"Iguanian Assassin's Box")</f>
        <v>Iguanian Assassin's Box</v>
      </c>
      <c r="B496" s="1" t="str">
        <f>IFERROR(__xludf.DUMMYFUNCTION("""COMPUTED_VALUE"""),"Grants a random piece of Iguanian Assassin's equipment (Roll 1d7 and take the corresponding item from the equipment finder)")</f>
        <v>Grants a random piece of Iguanian Assassin's equipment (Roll 1d7 and take the corresponding item from the equipment finder)</v>
      </c>
      <c r="C496" s="1" t="str">
        <f>IFERROR(__xludf.DUMMYFUNCTION("""COMPUTED_VALUE"""),"Item")</f>
        <v>Item</v>
      </c>
      <c r="D496" s="1" t="str">
        <f>IFERROR(__xludf.DUMMYFUNCTION("""COMPUTED_VALUE"""),"Dragonscale Island")</f>
        <v>Dragonscale Island</v>
      </c>
    </row>
    <row r="497">
      <c r="A497" s="1" t="str">
        <f>IFERROR(__xludf.DUMMYFUNCTION("""COMPUTED_VALUE"""),"Lizardfolk Warrior's Box")</f>
        <v>Lizardfolk Warrior's Box</v>
      </c>
      <c r="B497" s="1" t="str">
        <f>IFERROR(__xludf.DUMMYFUNCTION("""COMPUTED_VALUE"""),"Grants a random piece of Lizard Warrior's equipment (Roll 1d9 and take the corresponding item from the equipment finder)")</f>
        <v>Grants a random piece of Lizard Warrior's equipment (Roll 1d9 and take the corresponding item from the equipment finder)</v>
      </c>
      <c r="C497" s="1" t="str">
        <f>IFERROR(__xludf.DUMMYFUNCTION("""COMPUTED_VALUE"""),"Item")</f>
        <v>Item</v>
      </c>
      <c r="D497" s="1" t="str">
        <f>IFERROR(__xludf.DUMMYFUNCTION("""COMPUTED_VALUE"""),"Dragonscale Island")</f>
        <v>Dragonscale Island</v>
      </c>
    </row>
    <row r="498">
      <c r="A498" s="1" t="str">
        <f>IFERROR(__xludf.DUMMYFUNCTION("""COMPUTED_VALUE"""),"Lizard Thief's Box")</f>
        <v>Lizard Thief's Box</v>
      </c>
      <c r="B498" s="1" t="str">
        <f>IFERROR(__xludf.DUMMYFUNCTION("""COMPUTED_VALUE"""),"Grants a random piece of Lizard Thief's equipment (Roll 1d5 and take the corresponding item from the equipment finder)")</f>
        <v>Grants a random piece of Lizard Thief's equipment (Roll 1d5 and take the corresponding item from the equipment finder)</v>
      </c>
      <c r="C498" s="1" t="str">
        <f>IFERROR(__xludf.DUMMYFUNCTION("""COMPUTED_VALUE"""),"Item")</f>
        <v>Item</v>
      </c>
      <c r="D498" s="1" t="str">
        <f>IFERROR(__xludf.DUMMYFUNCTION("""COMPUTED_VALUE"""),"Dragonscale Island")</f>
        <v>Dragonscale Island</v>
      </c>
    </row>
    <row r="499">
      <c r="A499" s="1" t="str">
        <f>IFERROR(__xludf.DUMMYFUNCTION("""COMPUTED_VALUE"""),"Lizard Wizard's Box")</f>
        <v>Lizard Wizard's Box</v>
      </c>
      <c r="B499" s="1" t="str">
        <f>IFERROR(__xludf.DUMMYFUNCTION("""COMPUTED_VALUE"""),"Grants a random piece of Lizard Wizard's equipment (Roll 1d6 and take the corresponding item from the equipment finder)")</f>
        <v>Grants a random piece of Lizard Wizard's equipment (Roll 1d6 and take the corresponding item from the equipment finder)</v>
      </c>
      <c r="C499" s="1" t="str">
        <f>IFERROR(__xludf.DUMMYFUNCTION("""COMPUTED_VALUE"""),"Item")</f>
        <v>Item</v>
      </c>
      <c r="D499" s="1" t="str">
        <f>IFERROR(__xludf.DUMMYFUNCTION("""COMPUTED_VALUE"""),"Dragonscale Island")</f>
        <v>Dragonscale Island</v>
      </c>
    </row>
    <row r="500">
      <c r="A500" s="1" t="str">
        <f>IFERROR(__xludf.DUMMYFUNCTION("""COMPUTED_VALUE"""),"Iguanian Brawler's Box")</f>
        <v>Iguanian Brawler's Box</v>
      </c>
      <c r="B500" s="1" t="str">
        <f>IFERROR(__xludf.DUMMYFUNCTION("""COMPUTED_VALUE"""),"Grants a random piece of Iguanian Brawler's equipment (Roll 1d8 and take the corresponding item from the equipment finder)")</f>
        <v>Grants a random piece of Iguanian Brawler's equipment (Roll 1d8 and take the corresponding item from the equipment finder)</v>
      </c>
      <c r="C500" s="1" t="str">
        <f>IFERROR(__xludf.DUMMYFUNCTION("""COMPUTED_VALUE"""),"Item")</f>
        <v>Item</v>
      </c>
      <c r="D500" s="1" t="str">
        <f>IFERROR(__xludf.DUMMYFUNCTION("""COMPUTED_VALUE"""),"Dragonscale Island")</f>
        <v>Dragonscale Island</v>
      </c>
    </row>
    <row r="501">
      <c r="A501" s="1" t="str">
        <f>IFERROR(__xludf.DUMMYFUNCTION("""COMPUTED_VALUE"""),"Iguanian Mage's Box")</f>
        <v>Iguanian Mage's Box</v>
      </c>
      <c r="B501" s="1" t="str">
        <f>IFERROR(__xludf.DUMMYFUNCTION("""COMPUTED_VALUE"""),"Grants a random piece of Iguanian Mage equipment (Roll 1d5 and take the corresponding item from the equipment finder)")</f>
        <v>Grants a random piece of Iguanian Mage equipment (Roll 1d5 and take the corresponding item from the equipment finder)</v>
      </c>
      <c r="C501" s="1" t="str">
        <f>IFERROR(__xludf.DUMMYFUNCTION("""COMPUTED_VALUE"""),"Item")</f>
        <v>Item</v>
      </c>
      <c r="D501" s="1" t="str">
        <f>IFERROR(__xludf.DUMMYFUNCTION("""COMPUTED_VALUE"""),"Dragonscale Island")</f>
        <v>Dragonscale Island</v>
      </c>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1"/>
      <c r="D512" s="1"/>
    </row>
    <row r="513">
      <c r="A513" s="1"/>
      <c r="B513" s="1"/>
      <c r="C513" s="1"/>
      <c r="D513" s="1"/>
    </row>
    <row r="514">
      <c r="A514" s="1"/>
      <c r="B514" s="1"/>
      <c r="C514" s="1"/>
      <c r="D514" s="1"/>
    </row>
    <row r="515">
      <c r="A515" s="1"/>
      <c r="B515" s="1"/>
      <c r="C515" s="1"/>
      <c r="D515" s="1"/>
    </row>
    <row r="516">
      <c r="A516" s="1"/>
      <c r="B516" s="1"/>
      <c r="C516" s="1"/>
      <c r="D516" s="1"/>
    </row>
    <row r="517">
      <c r="A517" s="1"/>
      <c r="B517" s="1"/>
      <c r="C517" s="1"/>
      <c r="D517" s="1"/>
    </row>
    <row r="518">
      <c r="A518" s="1"/>
      <c r="B518" s="1"/>
      <c r="C518" s="1"/>
      <c r="D518" s="1"/>
    </row>
    <row r="519">
      <c r="A519" s="1"/>
      <c r="B519" s="1"/>
      <c r="C519" s="1"/>
      <c r="D519" s="1"/>
    </row>
    <row r="520">
      <c r="A520" s="1"/>
      <c r="B520" s="1"/>
      <c r="C520" s="1"/>
      <c r="D520" s="1"/>
    </row>
    <row r="521">
      <c r="A521" s="1"/>
      <c r="B521" s="1"/>
      <c r="C521" s="1"/>
      <c r="D521" s="1"/>
    </row>
    <row r="522">
      <c r="A522" s="1"/>
      <c r="B522" s="1"/>
      <c r="C522" s="1"/>
      <c r="D522" s="1"/>
    </row>
    <row r="523">
      <c r="A523" s="1"/>
      <c r="B523" s="1"/>
      <c r="C523" s="1"/>
      <c r="D523" s="1"/>
    </row>
    <row r="524">
      <c r="A524" s="1"/>
      <c r="B524" s="1"/>
      <c r="C524" s="1"/>
      <c r="D524" s="1"/>
    </row>
    <row r="525">
      <c r="A525" s="1"/>
      <c r="B525" s="1"/>
      <c r="C525" s="1"/>
      <c r="D525" s="1"/>
    </row>
    <row r="526">
      <c r="A526" s="1"/>
      <c r="B526" s="1"/>
      <c r="C526" s="1"/>
      <c r="D526" s="1"/>
    </row>
    <row r="527">
      <c r="A527" s="1"/>
      <c r="B527" s="1"/>
      <c r="C527" s="1"/>
      <c r="D527" s="1"/>
    </row>
    <row r="528">
      <c r="A528" s="1"/>
      <c r="B528" s="1"/>
      <c r="C528" s="1"/>
      <c r="D528" s="1"/>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row>
    <row r="534">
      <c r="A534" s="1"/>
      <c r="B534" s="1"/>
      <c r="C534" s="1"/>
      <c r="D534" s="1"/>
    </row>
    <row r="535">
      <c r="A535" s="1"/>
      <c r="B535" s="1"/>
      <c r="C535" s="1"/>
      <c r="D535" s="1"/>
    </row>
    <row r="536">
      <c r="A536" s="1"/>
      <c r="B536" s="1"/>
      <c r="C536" s="1"/>
      <c r="D536" s="1"/>
    </row>
    <row r="537">
      <c r="A537" s="1"/>
      <c r="B537" s="1"/>
      <c r="C537" s="1"/>
      <c r="D537" s="1"/>
    </row>
    <row r="538">
      <c r="A538" s="1"/>
      <c r="B538" s="1"/>
      <c r="C538" s="1"/>
      <c r="D538" s="1"/>
    </row>
    <row r="539">
      <c r="A539" s="1"/>
      <c r="B539" s="1"/>
      <c r="C539" s="1"/>
      <c r="D539" s="1"/>
    </row>
    <row r="540">
      <c r="A540" s="1"/>
      <c r="B540" s="1"/>
      <c r="C540" s="1"/>
      <c r="D540" s="1"/>
    </row>
    <row r="541">
      <c r="A541" s="1"/>
      <c r="B541" s="1"/>
      <c r="C541" s="1"/>
      <c r="D541" s="1"/>
    </row>
    <row r="542">
      <c r="A542" s="1"/>
      <c r="B542" s="1"/>
      <c r="C542" s="1"/>
      <c r="D542" s="1"/>
    </row>
    <row r="543">
      <c r="A543" s="1"/>
      <c r="B543" s="1"/>
      <c r="C543" s="1"/>
      <c r="D543" s="1"/>
    </row>
    <row r="544">
      <c r="A544" s="1"/>
      <c r="B544" s="1"/>
      <c r="C544" s="1"/>
      <c r="D544" s="1"/>
    </row>
    <row r="545">
      <c r="A545" s="1"/>
      <c r="B545" s="1"/>
      <c r="C545" s="1"/>
      <c r="D545" s="1"/>
    </row>
    <row r="546">
      <c r="A546" s="1"/>
      <c r="B546" s="1"/>
      <c r="C546" s="1"/>
      <c r="D546" s="1"/>
    </row>
    <row r="547">
      <c r="A547" s="1"/>
      <c r="B547" s="1"/>
      <c r="C547" s="1"/>
      <c r="D547" s="1"/>
    </row>
    <row r="548">
      <c r="A548" s="1"/>
      <c r="B548" s="1"/>
      <c r="C548" s="1"/>
      <c r="D548" s="1"/>
    </row>
    <row r="549">
      <c r="A549" s="1"/>
      <c r="B549" s="1"/>
      <c r="C549" s="1"/>
      <c r="D549" s="1"/>
    </row>
    <row r="550">
      <c r="A550" s="1"/>
      <c r="B550" s="1"/>
      <c r="C550" s="1"/>
      <c r="D550" s="1"/>
    </row>
    <row r="551">
      <c r="A551" s="1"/>
      <c r="B551" s="1"/>
      <c r="C551" s="1"/>
      <c r="D551" s="1"/>
    </row>
    <row r="552">
      <c r="A552" s="1"/>
      <c r="B552" s="1"/>
      <c r="C552" s="1"/>
      <c r="D552" s="1"/>
    </row>
    <row r="553">
      <c r="A553" s="1"/>
      <c r="B553" s="1"/>
      <c r="C553" s="1"/>
      <c r="D553" s="1"/>
    </row>
    <row r="554">
      <c r="A554" s="1"/>
      <c r="B554" s="1"/>
      <c r="C554" s="1"/>
      <c r="D554" s="1"/>
    </row>
    <row r="555">
      <c r="A555" s="1"/>
      <c r="B555" s="1"/>
      <c r="C555" s="1"/>
      <c r="D555" s="1"/>
    </row>
    <row r="556">
      <c r="A556" s="1"/>
      <c r="B556" s="1"/>
      <c r="C556" s="1"/>
      <c r="D556" s="1"/>
    </row>
    <row r="557">
      <c r="A557" s="1"/>
      <c r="B557" s="1"/>
      <c r="C557" s="1"/>
      <c r="D557" s="1"/>
    </row>
    <row r="558">
      <c r="A558" s="1"/>
      <c r="B558" s="1"/>
      <c r="C558" s="1"/>
      <c r="D558" s="1"/>
    </row>
    <row r="559">
      <c r="A559" s="1"/>
      <c r="B559" s="1"/>
      <c r="C559" s="1"/>
      <c r="D559" s="1"/>
    </row>
    <row r="560">
      <c r="A560" s="1"/>
      <c r="B560" s="1"/>
      <c r="C560" s="1"/>
      <c r="D560" s="1"/>
    </row>
    <row r="561">
      <c r="A561" s="1"/>
      <c r="B561" s="1"/>
      <c r="C561" s="1"/>
      <c r="D561" s="1"/>
    </row>
    <row r="562">
      <c r="A562" s="1"/>
      <c r="B562" s="1"/>
      <c r="C562" s="1"/>
      <c r="D562" s="1"/>
    </row>
    <row r="563">
      <c r="A563" s="1"/>
      <c r="B563" s="1"/>
      <c r="C563" s="1"/>
      <c r="D563" s="1"/>
    </row>
    <row r="564">
      <c r="A564" s="1"/>
      <c r="B564" s="1"/>
      <c r="C564" s="1"/>
      <c r="D564" s="1"/>
    </row>
    <row r="565">
      <c r="A565" s="1"/>
      <c r="B565" s="1"/>
      <c r="C565" s="1"/>
      <c r="D565" s="1"/>
    </row>
    <row r="566">
      <c r="A566" s="1"/>
      <c r="B566" s="1"/>
      <c r="C566" s="1"/>
      <c r="D566" s="1"/>
    </row>
    <row r="567">
      <c r="A567" s="1"/>
      <c r="B567" s="1"/>
      <c r="C567" s="1"/>
      <c r="D567" s="1"/>
    </row>
    <row r="568">
      <c r="A568" s="1"/>
      <c r="B568" s="1"/>
      <c r="C568" s="1"/>
      <c r="D568" s="1"/>
    </row>
    <row r="569">
      <c r="A569" s="1"/>
      <c r="B569" s="1"/>
      <c r="C569" s="1"/>
      <c r="D569" s="1"/>
    </row>
    <row r="570">
      <c r="A570" s="1"/>
      <c r="B570" s="1"/>
      <c r="C570" s="1"/>
      <c r="D570" s="1"/>
    </row>
    <row r="571">
      <c r="A571" s="1"/>
      <c r="B571" s="1"/>
      <c r="C571" s="1"/>
      <c r="D571" s="1"/>
    </row>
    <row r="572">
      <c r="A572" s="1"/>
      <c r="B572" s="1"/>
      <c r="C572" s="1"/>
      <c r="D572" s="1"/>
    </row>
    <row r="573">
      <c r="A573" s="1"/>
      <c r="B573" s="1"/>
      <c r="C573" s="1"/>
      <c r="D573" s="1"/>
    </row>
    <row r="574">
      <c r="A574" s="1"/>
      <c r="B574" s="1"/>
      <c r="C574" s="1"/>
      <c r="D574" s="1"/>
    </row>
    <row r="575">
      <c r="A575" s="1"/>
      <c r="B575" s="1"/>
      <c r="C575" s="1"/>
      <c r="D575" s="1"/>
    </row>
    <row r="576">
      <c r="A576" s="1"/>
      <c r="B576" s="1"/>
      <c r="C576" s="1"/>
      <c r="D576" s="1"/>
    </row>
    <row r="577">
      <c r="A577" s="1"/>
      <c r="B577" s="1"/>
      <c r="C577" s="1"/>
      <c r="D577" s="1"/>
    </row>
    <row r="578">
      <c r="A578" s="1"/>
      <c r="B578" s="1"/>
      <c r="C578" s="1"/>
      <c r="D578" s="1"/>
    </row>
    <row r="579">
      <c r="A579" s="1"/>
      <c r="B579" s="1"/>
      <c r="C579" s="1"/>
      <c r="D579" s="1"/>
    </row>
    <row r="580">
      <c r="A580" s="1"/>
      <c r="B580" s="1"/>
      <c r="C580" s="1"/>
      <c r="D580" s="1"/>
    </row>
    <row r="581">
      <c r="A581" s="1"/>
      <c r="B581" s="1"/>
      <c r="C581" s="1"/>
      <c r="D581" s="1"/>
    </row>
    <row r="582">
      <c r="A582" s="1"/>
      <c r="B582" s="1"/>
      <c r="C582" s="1"/>
      <c r="D582" s="1"/>
    </row>
    <row r="583">
      <c r="A583" s="1"/>
      <c r="B583" s="1"/>
      <c r="C583" s="1"/>
      <c r="D583" s="1"/>
    </row>
    <row r="584">
      <c r="A584" s="1"/>
      <c r="B584" s="1"/>
      <c r="C584" s="1"/>
      <c r="D584" s="1"/>
    </row>
    <row r="585">
      <c r="A585" s="1"/>
      <c r="B585" s="1"/>
      <c r="C585" s="1"/>
      <c r="D585" s="1"/>
    </row>
    <row r="586">
      <c r="A586" s="1"/>
      <c r="B586" s="1"/>
      <c r="C586" s="1"/>
      <c r="D586" s="1"/>
    </row>
    <row r="587">
      <c r="A587" s="1"/>
      <c r="B587" s="1"/>
      <c r="C587" s="1"/>
      <c r="D587" s="1"/>
    </row>
    <row r="588">
      <c r="A588" s="1"/>
      <c r="B588" s="1"/>
      <c r="C588" s="1"/>
      <c r="D588" s="1"/>
    </row>
    <row r="589">
      <c r="A589" s="1"/>
      <c r="B589" s="1"/>
      <c r="C589" s="1"/>
      <c r="D589" s="1"/>
    </row>
    <row r="590">
      <c r="A590" s="1"/>
      <c r="B590" s="1"/>
      <c r="C590" s="1"/>
      <c r="D590" s="1"/>
    </row>
    <row r="591">
      <c r="A591" s="1"/>
      <c r="B591" s="1"/>
      <c r="C591" s="1"/>
      <c r="D591" s="1"/>
    </row>
    <row r="592">
      <c r="A592" s="1"/>
      <c r="B592" s="1"/>
      <c r="C592" s="1"/>
      <c r="D592" s="1"/>
    </row>
    <row r="593">
      <c r="A593" s="1"/>
      <c r="B593" s="1"/>
      <c r="C593" s="1"/>
      <c r="D593" s="1"/>
    </row>
    <row r="594">
      <c r="A594" s="1"/>
      <c r="B594" s="1"/>
      <c r="C594" s="1"/>
      <c r="D594" s="1"/>
    </row>
    <row r="595">
      <c r="A595" s="1"/>
      <c r="B595" s="1"/>
      <c r="C595" s="1"/>
      <c r="D595" s="1"/>
    </row>
    <row r="596">
      <c r="A596" s="1"/>
      <c r="B596" s="1"/>
      <c r="C596" s="1"/>
      <c r="D596" s="1"/>
    </row>
    <row r="597">
      <c r="A597" s="1"/>
      <c r="B597" s="1"/>
      <c r="C597" s="1"/>
      <c r="D597" s="1"/>
    </row>
    <row r="598">
      <c r="A598" s="1"/>
      <c r="B598" s="1"/>
      <c r="C598" s="1"/>
      <c r="D598" s="1"/>
    </row>
    <row r="599">
      <c r="A599" s="1"/>
      <c r="B599" s="1"/>
      <c r="C599" s="1"/>
      <c r="D599" s="1"/>
    </row>
    <row r="600">
      <c r="A600" s="1"/>
      <c r="B600" s="1"/>
      <c r="C600" s="1"/>
      <c r="D600" s="1"/>
    </row>
    <row r="601">
      <c r="A601" s="1"/>
      <c r="B601" s="1"/>
      <c r="C601" s="1"/>
      <c r="D601" s="1"/>
    </row>
    <row r="602">
      <c r="A602" s="1"/>
      <c r="B602" s="1"/>
      <c r="C602" s="1"/>
      <c r="D602" s="1"/>
    </row>
    <row r="603">
      <c r="A603" s="1"/>
      <c r="B603" s="1"/>
      <c r="C603" s="1"/>
      <c r="D603" s="1"/>
    </row>
    <row r="604">
      <c r="A604" s="1"/>
      <c r="B604" s="1"/>
      <c r="C604" s="1"/>
      <c r="D604" s="1"/>
    </row>
    <row r="605">
      <c r="A605" s="1"/>
      <c r="B605" s="1"/>
      <c r="C605" s="1"/>
      <c r="D605" s="1"/>
    </row>
    <row r="606">
      <c r="A606" s="1"/>
      <c r="B606" s="1"/>
      <c r="C606" s="1"/>
      <c r="D606" s="1"/>
    </row>
    <row r="607">
      <c r="A607" s="1"/>
      <c r="B607" s="1"/>
      <c r="C607" s="1"/>
      <c r="D607" s="1"/>
    </row>
    <row r="608">
      <c r="A608" s="1"/>
      <c r="B608" s="1"/>
      <c r="C608" s="1"/>
      <c r="D608" s="1"/>
    </row>
    <row r="609">
      <c r="A609" s="1"/>
      <c r="B609" s="1"/>
      <c r="C609" s="1"/>
      <c r="D609" s="1"/>
    </row>
    <row r="610">
      <c r="A610" s="1"/>
      <c r="B610" s="1"/>
      <c r="C610" s="1"/>
      <c r="D610" s="1"/>
    </row>
    <row r="611">
      <c r="A611" s="1"/>
      <c r="B611" s="1"/>
      <c r="C611" s="1"/>
      <c r="D611" s="1"/>
    </row>
    <row r="612">
      <c r="A612" s="1"/>
      <c r="B612" s="1"/>
      <c r="C612" s="1"/>
      <c r="D612" s="1"/>
    </row>
    <row r="613">
      <c r="A613" s="1"/>
      <c r="B613" s="1"/>
      <c r="C613" s="1"/>
      <c r="D613" s="1"/>
    </row>
    <row r="614">
      <c r="A614" s="1"/>
      <c r="B614" s="1"/>
      <c r="C614" s="1"/>
      <c r="D614" s="1"/>
    </row>
    <row r="615">
      <c r="A615" s="1"/>
      <c r="B615" s="1"/>
      <c r="C615" s="1"/>
      <c r="D615" s="1"/>
    </row>
    <row r="616">
      <c r="A616" s="1"/>
      <c r="B616" s="1"/>
      <c r="C616" s="1"/>
      <c r="D616" s="1"/>
    </row>
    <row r="617">
      <c r="A617" s="1"/>
      <c r="B617" s="1"/>
      <c r="C617" s="1"/>
      <c r="D617" s="1"/>
    </row>
    <row r="618">
      <c r="A618" s="1"/>
      <c r="B618" s="1"/>
      <c r="C618" s="1"/>
      <c r="D618" s="1"/>
    </row>
    <row r="619">
      <c r="A619" s="1"/>
      <c r="B619" s="1"/>
      <c r="C619" s="1"/>
      <c r="D619" s="1"/>
    </row>
    <row r="620">
      <c r="A620" s="1"/>
      <c r="B620" s="1"/>
      <c r="C620" s="1"/>
      <c r="D620" s="1"/>
    </row>
    <row r="621">
      <c r="A621" s="1"/>
      <c r="B621" s="1"/>
      <c r="C621" s="1"/>
      <c r="D621" s="1"/>
    </row>
    <row r="622">
      <c r="A622" s="1"/>
      <c r="B622" s="1"/>
      <c r="C622" s="1"/>
      <c r="D622" s="1"/>
    </row>
    <row r="623">
      <c r="A623" s="1"/>
      <c r="B623" s="1"/>
      <c r="C623" s="1"/>
      <c r="D623" s="1"/>
    </row>
    <row r="624">
      <c r="A624" s="1"/>
      <c r="B624" s="1"/>
      <c r="C624" s="1"/>
      <c r="D624" s="1"/>
    </row>
    <row r="625">
      <c r="A625" s="1"/>
      <c r="B625" s="1"/>
      <c r="C625" s="1"/>
      <c r="D625" s="1"/>
    </row>
    <row r="626">
      <c r="A626" s="1"/>
      <c r="B626" s="1"/>
      <c r="C626" s="1"/>
      <c r="D626" s="1"/>
    </row>
    <row r="627">
      <c r="A627" s="1"/>
      <c r="B627" s="1"/>
      <c r="C627" s="1"/>
      <c r="D627" s="1"/>
    </row>
    <row r="628">
      <c r="A628" s="1"/>
      <c r="B628" s="1"/>
      <c r="C628" s="1"/>
      <c r="D628" s="1"/>
    </row>
    <row r="629">
      <c r="A629" s="1"/>
      <c r="B629" s="1"/>
      <c r="C629" s="1"/>
      <c r="D629" s="1"/>
    </row>
    <row r="630">
      <c r="A630" s="1"/>
      <c r="B630" s="1"/>
      <c r="C630" s="1"/>
      <c r="D630" s="1"/>
    </row>
    <row r="631">
      <c r="A631" s="1"/>
      <c r="B631" s="1"/>
      <c r="C631" s="1"/>
      <c r="D631" s="1"/>
    </row>
    <row r="632">
      <c r="A632" s="1"/>
      <c r="B632" s="1"/>
      <c r="C632" s="1"/>
      <c r="D632" s="1"/>
    </row>
    <row r="633">
      <c r="A633" s="1"/>
      <c r="B633" s="1"/>
      <c r="C633" s="1"/>
      <c r="D633" s="1"/>
    </row>
    <row r="634">
      <c r="A634" s="1"/>
      <c r="B634" s="1"/>
      <c r="C634" s="1"/>
      <c r="D634" s="1"/>
    </row>
    <row r="635">
      <c r="A635" s="1"/>
      <c r="B635" s="1"/>
      <c r="C635" s="1"/>
      <c r="D635" s="1"/>
    </row>
    <row r="636">
      <c r="A636" s="1"/>
      <c r="B636" s="1"/>
      <c r="C636" s="1"/>
      <c r="D636" s="1"/>
    </row>
    <row r="637">
      <c r="A637" s="1"/>
      <c r="B637" s="1"/>
      <c r="C637" s="1"/>
      <c r="D637" s="1"/>
    </row>
    <row r="638">
      <c r="A638" s="1"/>
      <c r="B638" s="1"/>
      <c r="C638" s="1"/>
      <c r="D638" s="1"/>
    </row>
    <row r="639">
      <c r="A639" s="1"/>
      <c r="B639" s="1"/>
      <c r="C639" s="1"/>
      <c r="D639" s="1"/>
    </row>
    <row r="640">
      <c r="A640" s="1"/>
      <c r="B640" s="1"/>
      <c r="C640" s="1"/>
      <c r="D640" s="1"/>
    </row>
    <row r="641">
      <c r="A641" s="1"/>
      <c r="B641" s="1"/>
      <c r="C641" s="1"/>
      <c r="D641" s="1"/>
    </row>
    <row r="642">
      <c r="A642" s="1"/>
      <c r="B642" s="1"/>
      <c r="C642" s="1"/>
      <c r="D642" s="1"/>
    </row>
    <row r="643">
      <c r="A643" s="1"/>
      <c r="B643" s="1"/>
      <c r="C643" s="1"/>
      <c r="D643" s="1"/>
    </row>
    <row r="644">
      <c r="A644" s="1"/>
      <c r="B644" s="1"/>
      <c r="C644" s="1"/>
      <c r="D644" s="1"/>
    </row>
    <row r="645">
      <c r="A645" s="1"/>
      <c r="B645" s="1"/>
      <c r="C645" s="1"/>
      <c r="D645" s="1"/>
    </row>
    <row r="646">
      <c r="A646" s="1"/>
      <c r="B646" s="1"/>
      <c r="C646" s="1"/>
      <c r="D646" s="1"/>
    </row>
    <row r="647">
      <c r="A647" s="1"/>
      <c r="B647" s="1"/>
      <c r="C647" s="1"/>
      <c r="D647" s="1"/>
    </row>
    <row r="648">
      <c r="A648" s="1"/>
      <c r="B648" s="1"/>
      <c r="C648" s="1"/>
      <c r="D648" s="1"/>
    </row>
    <row r="649">
      <c r="A649" s="1"/>
      <c r="B649" s="1"/>
      <c r="C649" s="1"/>
      <c r="D649" s="1"/>
    </row>
    <row r="650">
      <c r="A650" s="1"/>
      <c r="B650" s="1"/>
      <c r="C650" s="1"/>
      <c r="D650" s="1"/>
    </row>
    <row r="651">
      <c r="A651" s="1"/>
      <c r="B651" s="1"/>
      <c r="C651" s="1"/>
      <c r="D651" s="1"/>
    </row>
    <row r="652">
      <c r="A652" s="1"/>
      <c r="B652" s="1"/>
      <c r="C652" s="1"/>
      <c r="D652" s="1"/>
    </row>
    <row r="653">
      <c r="A653" s="1"/>
      <c r="B653" s="1"/>
      <c r="C653" s="1"/>
      <c r="D653" s="1"/>
    </row>
    <row r="654">
      <c r="A654" s="1"/>
      <c r="B654" s="1"/>
      <c r="C654" s="1"/>
      <c r="D654" s="1"/>
    </row>
    <row r="655">
      <c r="A655" s="1"/>
      <c r="B655" s="1"/>
      <c r="C655" s="1"/>
      <c r="D655" s="1"/>
    </row>
    <row r="656">
      <c r="A656" s="1"/>
      <c r="B656" s="1"/>
      <c r="C656" s="1"/>
      <c r="D656" s="1"/>
    </row>
    <row r="657">
      <c r="A657" s="1"/>
      <c r="B657" s="1"/>
      <c r="C657" s="1"/>
      <c r="D657" s="1"/>
    </row>
    <row r="658">
      <c r="A658" s="1"/>
      <c r="B658" s="1"/>
      <c r="C658" s="1"/>
      <c r="D658" s="1"/>
    </row>
    <row r="659">
      <c r="A659" s="1"/>
      <c r="B659" s="1"/>
      <c r="C659" s="1"/>
      <c r="D659" s="1"/>
    </row>
    <row r="660">
      <c r="A660" s="1"/>
      <c r="B660" s="1"/>
      <c r="C660" s="1"/>
      <c r="D660" s="1"/>
    </row>
    <row r="661">
      <c r="A661" s="1"/>
      <c r="B661" s="1"/>
      <c r="C661" s="1"/>
      <c r="D661" s="1"/>
    </row>
    <row r="662">
      <c r="A662" s="1"/>
      <c r="B662" s="1"/>
      <c r="C662" s="1"/>
      <c r="D662" s="1"/>
    </row>
    <row r="663">
      <c r="A663" s="1"/>
      <c r="B663" s="1"/>
      <c r="C663" s="1"/>
      <c r="D663" s="1"/>
    </row>
    <row r="664">
      <c r="A664" s="1"/>
      <c r="B664" s="1"/>
      <c r="C664" s="1"/>
      <c r="D664" s="1"/>
    </row>
    <row r="665">
      <c r="A665" s="1"/>
      <c r="B665" s="1"/>
      <c r="C665" s="1"/>
      <c r="D665" s="1"/>
    </row>
    <row r="666">
      <c r="A666" s="1"/>
      <c r="B666" s="1"/>
      <c r="C666" s="1"/>
      <c r="D666" s="1"/>
    </row>
    <row r="667">
      <c r="A667" s="1"/>
      <c r="B667" s="1"/>
      <c r="C667" s="1"/>
      <c r="D667" s="1"/>
    </row>
    <row r="668">
      <c r="A668" s="1"/>
      <c r="B668" s="1"/>
      <c r="C668" s="1"/>
      <c r="D668" s="1"/>
    </row>
    <row r="669">
      <c r="A669" s="1"/>
      <c r="B669" s="1"/>
      <c r="C669" s="1"/>
      <c r="D669" s="1"/>
    </row>
    <row r="670">
      <c r="A670" s="1"/>
      <c r="B670" s="1"/>
      <c r="C670" s="1"/>
      <c r="D670" s="1"/>
    </row>
    <row r="671">
      <c r="A671" s="1"/>
      <c r="B671" s="1"/>
      <c r="C671" s="1"/>
      <c r="D671" s="1"/>
    </row>
    <row r="672">
      <c r="A672" s="1"/>
      <c r="B672" s="1"/>
      <c r="C672" s="1"/>
      <c r="D672" s="1"/>
    </row>
    <row r="673">
      <c r="A673" s="1"/>
      <c r="B673" s="1"/>
      <c r="C673" s="1"/>
      <c r="D673" s="1"/>
    </row>
    <row r="674">
      <c r="A674" s="1"/>
      <c r="B674" s="1"/>
      <c r="C674" s="1"/>
      <c r="D674" s="1"/>
    </row>
    <row r="675">
      <c r="A675" s="1"/>
      <c r="B675" s="1"/>
      <c r="C675" s="1"/>
      <c r="D675" s="1"/>
    </row>
    <row r="676">
      <c r="A676" s="1"/>
      <c r="B676" s="1"/>
      <c r="C676" s="1"/>
      <c r="D676" s="1"/>
    </row>
    <row r="677">
      <c r="A677" s="1"/>
      <c r="B677" s="1"/>
      <c r="C677" s="1"/>
      <c r="D677" s="1"/>
    </row>
    <row r="678">
      <c r="A678" s="1"/>
      <c r="B678" s="1"/>
      <c r="C678" s="1"/>
      <c r="D678" s="1"/>
    </row>
    <row r="679">
      <c r="A679" s="1"/>
      <c r="B679" s="1"/>
      <c r="C679" s="1"/>
      <c r="D679" s="1"/>
    </row>
    <row r="680">
      <c r="A680" s="1"/>
      <c r="B680" s="1"/>
      <c r="C680" s="1"/>
      <c r="D680" s="1"/>
    </row>
    <row r="681">
      <c r="A681" s="1"/>
      <c r="B681" s="1"/>
      <c r="C681" s="1"/>
      <c r="D681" s="1"/>
    </row>
    <row r="682">
      <c r="A682" s="1"/>
      <c r="B682" s="1"/>
      <c r="C682" s="1"/>
      <c r="D682" s="1"/>
    </row>
    <row r="683">
      <c r="A683" s="1"/>
      <c r="B683" s="1"/>
      <c r="C683" s="1"/>
      <c r="D683" s="1"/>
    </row>
    <row r="684">
      <c r="A684" s="1"/>
      <c r="B684" s="1"/>
      <c r="C684" s="1"/>
      <c r="D684" s="1"/>
    </row>
    <row r="685">
      <c r="A685" s="1"/>
      <c r="B685" s="1"/>
      <c r="C685" s="1"/>
      <c r="D685" s="1"/>
    </row>
    <row r="686">
      <c r="A686" s="1"/>
      <c r="B686" s="1"/>
      <c r="C686" s="1"/>
      <c r="D686" s="1"/>
    </row>
    <row r="687">
      <c r="A687" s="1"/>
      <c r="B687" s="1"/>
      <c r="C687" s="1"/>
      <c r="D687" s="1"/>
    </row>
    <row r="688">
      <c r="A688" s="1"/>
      <c r="B688" s="1"/>
      <c r="C688" s="1"/>
      <c r="D688" s="1"/>
    </row>
    <row r="689">
      <c r="A689" s="1"/>
      <c r="B689" s="1"/>
      <c r="C689" s="1"/>
      <c r="D689" s="1"/>
    </row>
    <row r="690">
      <c r="A690" s="1"/>
      <c r="B690" s="1"/>
      <c r="C690" s="1"/>
      <c r="D690" s="1"/>
    </row>
    <row r="691">
      <c r="A691" s="1"/>
      <c r="B691" s="1"/>
      <c r="C691" s="1"/>
      <c r="D691" s="1"/>
    </row>
    <row r="692">
      <c r="A692" s="1"/>
      <c r="B692" s="1"/>
      <c r="C692" s="1"/>
      <c r="D692" s="1"/>
    </row>
    <row r="693">
      <c r="A693" s="1"/>
      <c r="B693" s="1"/>
      <c r="C693" s="1"/>
      <c r="D693" s="1"/>
    </row>
    <row r="694">
      <c r="A694" s="1"/>
      <c r="B694" s="1"/>
      <c r="C694" s="1"/>
      <c r="D694" s="1"/>
    </row>
    <row r="695">
      <c r="A695" s="1"/>
      <c r="B695" s="1"/>
      <c r="C695" s="1"/>
      <c r="D695" s="1"/>
    </row>
    <row r="696">
      <c r="A696" s="1"/>
      <c r="B696" s="1"/>
      <c r="C696" s="1"/>
      <c r="D696" s="1"/>
    </row>
    <row r="697">
      <c r="A697" s="1"/>
      <c r="B697" s="1"/>
      <c r="C697" s="1"/>
      <c r="D697" s="1"/>
    </row>
    <row r="698">
      <c r="A698" s="1"/>
      <c r="B698" s="1"/>
      <c r="C698" s="1"/>
      <c r="D698" s="1"/>
    </row>
    <row r="699">
      <c r="A699" s="1"/>
      <c r="B699" s="1"/>
      <c r="C699" s="1"/>
      <c r="D699" s="1"/>
    </row>
    <row r="700">
      <c r="A700" s="1"/>
      <c r="B700" s="1"/>
      <c r="C700" s="1"/>
      <c r="D700" s="1"/>
    </row>
    <row r="701">
      <c r="A701" s="1"/>
      <c r="B701" s="1"/>
      <c r="C701" s="1"/>
      <c r="D701" s="1"/>
    </row>
    <row r="702">
      <c r="A702" s="1"/>
      <c r="B702" s="1"/>
      <c r="C702" s="1"/>
      <c r="D702" s="1"/>
    </row>
    <row r="703">
      <c r="A703" s="1"/>
      <c r="B703" s="1"/>
      <c r="C703" s="1"/>
      <c r="D703" s="1"/>
    </row>
    <row r="704">
      <c r="A704" s="1"/>
      <c r="B704" s="1"/>
      <c r="C704" s="1"/>
      <c r="D704" s="1"/>
    </row>
    <row r="705">
      <c r="A705" s="1"/>
      <c r="B705" s="1"/>
      <c r="C705" s="1"/>
      <c r="D705" s="1"/>
    </row>
    <row r="706">
      <c r="A706" s="1"/>
      <c r="B706" s="1"/>
      <c r="C706" s="1"/>
      <c r="D706" s="1"/>
    </row>
    <row r="707">
      <c r="A707" s="1"/>
      <c r="B707" s="1"/>
      <c r="C707" s="1"/>
      <c r="D707" s="1"/>
    </row>
    <row r="708">
      <c r="A708" s="1"/>
      <c r="B708" s="1"/>
      <c r="C708" s="1"/>
      <c r="D708" s="1"/>
    </row>
    <row r="709">
      <c r="A709" s="1"/>
      <c r="B709" s="1"/>
      <c r="C709" s="1"/>
      <c r="D709" s="1"/>
    </row>
    <row r="710">
      <c r="A710" s="1"/>
      <c r="B710" s="1"/>
      <c r="C710" s="1"/>
      <c r="D710" s="1"/>
    </row>
    <row r="711">
      <c r="A711" s="1"/>
      <c r="B711" s="1"/>
      <c r="C711" s="1"/>
      <c r="D711" s="1"/>
    </row>
    <row r="712">
      <c r="A712" s="1"/>
      <c r="B712" s="1"/>
      <c r="C712" s="1"/>
      <c r="D712" s="1"/>
    </row>
    <row r="713">
      <c r="A713" s="1"/>
      <c r="B713" s="1"/>
      <c r="C713" s="1"/>
      <c r="D713" s="1"/>
    </row>
    <row r="714">
      <c r="A714" s="1"/>
      <c r="B714" s="1"/>
      <c r="C714" s="1"/>
      <c r="D714" s="1"/>
    </row>
    <row r="715">
      <c r="A715" s="1"/>
      <c r="B715" s="1"/>
      <c r="C715" s="1"/>
      <c r="D715" s="1"/>
    </row>
    <row r="716">
      <c r="A716" s="1"/>
      <c r="B716" s="1"/>
      <c r="C716" s="1"/>
      <c r="D716" s="1"/>
    </row>
    <row r="717">
      <c r="A717" s="1"/>
      <c r="B717" s="1"/>
      <c r="C717" s="1"/>
      <c r="D717" s="1"/>
    </row>
    <row r="718">
      <c r="A718" s="1"/>
      <c r="B718" s="1"/>
      <c r="C718" s="1"/>
      <c r="D718" s="1"/>
    </row>
    <row r="719">
      <c r="A719" s="1"/>
      <c r="B719" s="1"/>
      <c r="C719" s="1"/>
      <c r="D719" s="1"/>
    </row>
    <row r="720">
      <c r="A720" s="1"/>
      <c r="B720" s="1"/>
      <c r="C720" s="1"/>
      <c r="D720" s="1"/>
    </row>
    <row r="721">
      <c r="A721" s="1"/>
      <c r="B721" s="1"/>
      <c r="C721" s="1"/>
      <c r="D721" s="1"/>
    </row>
    <row r="722">
      <c r="A722" s="1"/>
      <c r="B722" s="1"/>
      <c r="C722" s="1"/>
      <c r="D722" s="1"/>
    </row>
    <row r="723">
      <c r="A723" s="1"/>
      <c r="B723" s="1"/>
      <c r="C723" s="1"/>
      <c r="D723" s="1"/>
    </row>
    <row r="724">
      <c r="A724" s="1"/>
      <c r="B724" s="1"/>
      <c r="C724" s="1"/>
      <c r="D724" s="1"/>
    </row>
    <row r="725">
      <c r="A725" s="1"/>
      <c r="B725" s="1"/>
      <c r="C725" s="1"/>
      <c r="D725" s="1"/>
    </row>
    <row r="726">
      <c r="A726" s="1"/>
      <c r="B726" s="1"/>
      <c r="C726" s="1"/>
      <c r="D726" s="1"/>
    </row>
    <row r="727">
      <c r="A727" s="1"/>
      <c r="B727" s="1"/>
      <c r="C727" s="1"/>
      <c r="D727" s="1"/>
    </row>
    <row r="728">
      <c r="A728" s="1"/>
      <c r="B728" s="1"/>
      <c r="C728" s="1"/>
      <c r="D728" s="1"/>
    </row>
    <row r="729">
      <c r="A729" s="1"/>
      <c r="B729" s="1"/>
      <c r="C729" s="1"/>
      <c r="D729" s="1"/>
    </row>
    <row r="730">
      <c r="A730" s="1"/>
      <c r="B730" s="1"/>
      <c r="C730" s="1"/>
      <c r="D730" s="1"/>
    </row>
    <row r="731">
      <c r="A731" s="1"/>
      <c r="B731" s="1"/>
      <c r="C731" s="1"/>
      <c r="D731" s="1"/>
    </row>
    <row r="732">
      <c r="A732" s="1"/>
      <c r="B732" s="1"/>
      <c r="C732" s="1"/>
      <c r="D732" s="1"/>
    </row>
    <row r="733">
      <c r="A733" s="1"/>
      <c r="B733" s="1"/>
      <c r="C733" s="1"/>
      <c r="D733" s="1"/>
    </row>
    <row r="734">
      <c r="A734" s="1"/>
      <c r="B734" s="1"/>
      <c r="C734" s="1"/>
      <c r="D734" s="1"/>
    </row>
    <row r="735">
      <c r="A735" s="1"/>
      <c r="B735" s="1"/>
      <c r="C735" s="1"/>
      <c r="D735" s="1"/>
    </row>
    <row r="736">
      <c r="A736" s="1"/>
      <c r="B736" s="1"/>
      <c r="C736" s="1"/>
      <c r="D736" s="1"/>
    </row>
    <row r="737">
      <c r="A737" s="1"/>
      <c r="B737" s="1"/>
      <c r="C737" s="1"/>
      <c r="D737" s="1"/>
    </row>
    <row r="738">
      <c r="A738" s="1"/>
      <c r="B738" s="1"/>
      <c r="C738" s="1"/>
      <c r="D738" s="1"/>
    </row>
    <row r="739">
      <c r="A739" s="1"/>
      <c r="B739" s="1"/>
      <c r="C739" s="1"/>
      <c r="D739" s="1"/>
    </row>
    <row r="740">
      <c r="A740" s="1"/>
      <c r="B740" s="1"/>
      <c r="C740" s="1"/>
      <c r="D740" s="1"/>
    </row>
    <row r="741">
      <c r="A741" s="1"/>
      <c r="B741" s="1"/>
      <c r="C741" s="1"/>
      <c r="D741" s="1"/>
    </row>
    <row r="742">
      <c r="A742" s="1"/>
      <c r="B742" s="1"/>
      <c r="C742" s="1"/>
      <c r="D742" s="1"/>
    </row>
    <row r="743">
      <c r="A743" s="1"/>
      <c r="B743" s="1"/>
      <c r="C743" s="1"/>
      <c r="D743" s="1"/>
    </row>
    <row r="744">
      <c r="A744" s="1"/>
      <c r="B744" s="1"/>
      <c r="C744" s="1"/>
      <c r="D744" s="1"/>
    </row>
    <row r="745">
      <c r="A745" s="1"/>
      <c r="B745" s="1"/>
      <c r="C745" s="1"/>
      <c r="D745" s="1"/>
    </row>
    <row r="746">
      <c r="A746" s="1"/>
      <c r="B746" s="1"/>
      <c r="C746" s="1"/>
      <c r="D746" s="1"/>
    </row>
    <row r="747">
      <c r="A747" s="1"/>
      <c r="B747" s="1"/>
      <c r="C747" s="1"/>
      <c r="D747" s="1"/>
    </row>
    <row r="748">
      <c r="A748" s="1"/>
      <c r="B748" s="1"/>
      <c r="C748" s="1"/>
      <c r="D748" s="1"/>
    </row>
    <row r="749">
      <c r="A749" s="1"/>
      <c r="B749" s="1"/>
      <c r="C749" s="1"/>
      <c r="D749" s="1"/>
    </row>
    <row r="750">
      <c r="A750" s="1"/>
      <c r="B750" s="1"/>
      <c r="C750" s="1"/>
      <c r="D750" s="1"/>
    </row>
    <row r="751">
      <c r="A751" s="1"/>
      <c r="B751" s="1"/>
      <c r="C751" s="1"/>
      <c r="D751" s="1"/>
    </row>
    <row r="752">
      <c r="A752" s="1"/>
      <c r="B752" s="1"/>
      <c r="C752" s="1"/>
      <c r="D752" s="1"/>
    </row>
    <row r="753">
      <c r="A753" s="1"/>
      <c r="B753" s="1"/>
      <c r="C753" s="1"/>
      <c r="D753" s="1"/>
    </row>
    <row r="754">
      <c r="A754" s="1"/>
      <c r="B754" s="1"/>
      <c r="C754" s="1"/>
      <c r="D754" s="1"/>
    </row>
    <row r="755">
      <c r="A755" s="1"/>
      <c r="B755" s="1"/>
      <c r="C755" s="1"/>
      <c r="D755" s="1"/>
    </row>
    <row r="756">
      <c r="A756" s="1"/>
      <c r="B756" s="1"/>
      <c r="C756" s="1"/>
      <c r="D756" s="1"/>
    </row>
    <row r="757">
      <c r="A757" s="1"/>
      <c r="B757" s="1"/>
      <c r="C757" s="1"/>
      <c r="D757" s="1"/>
    </row>
    <row r="758">
      <c r="A758" s="1"/>
      <c r="B758" s="1"/>
      <c r="C758" s="1"/>
      <c r="D758" s="1"/>
    </row>
    <row r="759">
      <c r="A759" s="1"/>
      <c r="B759" s="1"/>
      <c r="C759" s="1"/>
      <c r="D759" s="1"/>
    </row>
    <row r="760">
      <c r="A760" s="1"/>
      <c r="B760" s="1"/>
      <c r="C760" s="1"/>
      <c r="D760" s="1"/>
    </row>
    <row r="761">
      <c r="A761" s="1"/>
      <c r="B761" s="1"/>
      <c r="C761" s="1"/>
      <c r="D761" s="1"/>
    </row>
    <row r="762">
      <c r="A762" s="1"/>
      <c r="B762" s="1"/>
      <c r="C762" s="1"/>
      <c r="D762" s="1"/>
    </row>
    <row r="763">
      <c r="A763" s="1"/>
      <c r="B763" s="1"/>
      <c r="C763" s="1"/>
      <c r="D763" s="1"/>
    </row>
    <row r="764">
      <c r="A764" s="1"/>
      <c r="B764" s="1"/>
      <c r="C764" s="1"/>
      <c r="D764" s="1"/>
    </row>
    <row r="765">
      <c r="A765" s="1"/>
      <c r="B765" s="1"/>
      <c r="C765" s="1"/>
      <c r="D765" s="1"/>
    </row>
    <row r="766">
      <c r="A766" s="1"/>
      <c r="B766" s="1"/>
      <c r="C766" s="1"/>
      <c r="D766" s="1"/>
    </row>
    <row r="767">
      <c r="A767" s="1"/>
      <c r="B767" s="1"/>
      <c r="C767" s="1"/>
      <c r="D767" s="1"/>
    </row>
    <row r="768">
      <c r="A768" s="1"/>
      <c r="B768" s="1"/>
      <c r="C768" s="1"/>
      <c r="D768" s="1"/>
    </row>
    <row r="769">
      <c r="A769" s="1"/>
      <c r="B769" s="1"/>
      <c r="C769" s="1"/>
      <c r="D769" s="1"/>
    </row>
    <row r="770">
      <c r="A770" s="1"/>
      <c r="B770" s="1"/>
      <c r="C770" s="1"/>
      <c r="D770" s="1"/>
    </row>
    <row r="771">
      <c r="A771" s="1"/>
      <c r="B771" s="1"/>
      <c r="C771" s="1"/>
      <c r="D771" s="1"/>
    </row>
    <row r="772">
      <c r="A772" s="1"/>
      <c r="B772" s="1"/>
      <c r="C772" s="1"/>
      <c r="D772" s="1"/>
    </row>
    <row r="773">
      <c r="A773" s="1"/>
      <c r="B773" s="1"/>
      <c r="C773" s="1"/>
      <c r="D773" s="1"/>
    </row>
    <row r="774">
      <c r="A774" s="1"/>
      <c r="B774" s="1"/>
      <c r="C774" s="1"/>
      <c r="D774" s="1"/>
    </row>
    <row r="775">
      <c r="A775" s="1"/>
      <c r="B775" s="1"/>
      <c r="C775" s="1"/>
      <c r="D775" s="1"/>
    </row>
    <row r="776">
      <c r="A776" s="1"/>
      <c r="B776" s="1"/>
      <c r="C776" s="1"/>
      <c r="D776" s="1"/>
    </row>
    <row r="777">
      <c r="A777" s="1"/>
      <c r="B777" s="1"/>
      <c r="C777" s="1"/>
      <c r="D777" s="1"/>
    </row>
    <row r="778">
      <c r="A778" s="1"/>
      <c r="B778" s="1"/>
      <c r="C778" s="1"/>
      <c r="D778" s="1"/>
    </row>
    <row r="779">
      <c r="A779" s="1"/>
      <c r="B779" s="1"/>
      <c r="C779" s="1"/>
      <c r="D779" s="1"/>
    </row>
    <row r="780">
      <c r="A780" s="1"/>
      <c r="B780" s="1"/>
      <c r="C780" s="1"/>
      <c r="D780" s="1"/>
    </row>
    <row r="781">
      <c r="A781" s="1"/>
      <c r="B781" s="1"/>
      <c r="C781" s="1"/>
      <c r="D781" s="1"/>
    </row>
    <row r="782">
      <c r="A782" s="1"/>
      <c r="B782" s="1"/>
      <c r="C782" s="1"/>
      <c r="D782" s="1"/>
    </row>
    <row r="783">
      <c r="A783" s="1"/>
      <c r="B783" s="1"/>
      <c r="C783" s="1"/>
      <c r="D783" s="1"/>
    </row>
    <row r="784">
      <c r="A784" s="1"/>
      <c r="B784" s="1"/>
      <c r="C784" s="1"/>
      <c r="D784" s="1"/>
    </row>
    <row r="785">
      <c r="A785" s="1"/>
      <c r="B785" s="1"/>
      <c r="C785" s="1"/>
      <c r="D785" s="1"/>
    </row>
    <row r="786">
      <c r="A786" s="1"/>
      <c r="B786" s="1"/>
      <c r="C786" s="1"/>
      <c r="D786" s="1"/>
    </row>
    <row r="787">
      <c r="A787" s="1"/>
      <c r="B787" s="1"/>
      <c r="C787" s="1"/>
      <c r="D787" s="1"/>
    </row>
    <row r="788">
      <c r="A788" s="1"/>
      <c r="B788" s="1"/>
      <c r="C788" s="1"/>
      <c r="D788" s="1"/>
    </row>
    <row r="789">
      <c r="A789" s="1"/>
      <c r="B789" s="1"/>
      <c r="C789" s="1"/>
      <c r="D789" s="1"/>
    </row>
    <row r="790">
      <c r="A790" s="1"/>
      <c r="B790" s="1"/>
      <c r="C790" s="1"/>
      <c r="D790" s="1"/>
    </row>
    <row r="791">
      <c r="A791" s="1"/>
      <c r="B791" s="1"/>
      <c r="C791" s="1"/>
      <c r="D791" s="1"/>
    </row>
    <row r="792">
      <c r="A792" s="1"/>
      <c r="B792" s="1"/>
      <c r="C792" s="1"/>
      <c r="D792" s="1"/>
    </row>
    <row r="793">
      <c r="A793" s="1"/>
      <c r="B793" s="1"/>
      <c r="C793" s="1"/>
      <c r="D793" s="1"/>
    </row>
    <row r="794">
      <c r="A794" s="1"/>
      <c r="B794" s="1"/>
      <c r="C794" s="1"/>
      <c r="D794" s="1"/>
    </row>
    <row r="795">
      <c r="A795" s="1"/>
      <c r="B795" s="1"/>
      <c r="C795" s="1"/>
      <c r="D795" s="1"/>
    </row>
    <row r="796">
      <c r="A796" s="1"/>
      <c r="B796" s="1"/>
      <c r="C796" s="1"/>
      <c r="D796" s="1"/>
    </row>
    <row r="797">
      <c r="A797" s="1"/>
      <c r="B797" s="1"/>
      <c r="C797" s="1"/>
      <c r="D797" s="1"/>
    </row>
    <row r="798">
      <c r="A798" s="1"/>
      <c r="B798" s="1"/>
      <c r="C798" s="1"/>
      <c r="D798" s="1"/>
    </row>
    <row r="799">
      <c r="A799" s="1"/>
      <c r="B799" s="1"/>
      <c r="C799" s="1"/>
      <c r="D799" s="1"/>
    </row>
    <row r="800">
      <c r="A800" s="1"/>
      <c r="B800" s="1"/>
      <c r="C800" s="1"/>
      <c r="D800" s="1"/>
    </row>
    <row r="801">
      <c r="A801" s="1"/>
      <c r="B801" s="1"/>
      <c r="C801" s="1"/>
      <c r="D801" s="1"/>
    </row>
    <row r="802">
      <c r="A802" s="1"/>
      <c r="B802" s="1"/>
      <c r="C802" s="1"/>
      <c r="D802" s="1"/>
    </row>
    <row r="803">
      <c r="A803" s="1"/>
      <c r="B803" s="1"/>
      <c r="C803" s="1"/>
      <c r="D803" s="1"/>
    </row>
    <row r="804">
      <c r="A804" s="1"/>
      <c r="B804" s="1"/>
      <c r="C804" s="1"/>
      <c r="D804" s="1"/>
    </row>
    <row r="805">
      <c r="A805" s="1"/>
      <c r="B805" s="1"/>
      <c r="C805" s="1"/>
      <c r="D805" s="1"/>
    </row>
    <row r="806">
      <c r="A806" s="1"/>
      <c r="B806" s="1"/>
      <c r="C806" s="1"/>
      <c r="D806" s="1"/>
    </row>
    <row r="807">
      <c r="A807" s="1"/>
      <c r="B807" s="1"/>
      <c r="C807" s="1"/>
      <c r="D807" s="1"/>
    </row>
    <row r="808">
      <c r="A808" s="1"/>
      <c r="B808" s="1"/>
      <c r="C808" s="1"/>
      <c r="D808" s="1"/>
    </row>
    <row r="809">
      <c r="A809" s="1"/>
      <c r="B809" s="1"/>
      <c r="C809" s="1"/>
      <c r="D809" s="1"/>
    </row>
    <row r="810">
      <c r="A810" s="1"/>
      <c r="B810" s="1"/>
      <c r="C810" s="1"/>
      <c r="D810" s="1"/>
    </row>
    <row r="811">
      <c r="A811" s="1"/>
      <c r="B811" s="1"/>
      <c r="C811" s="1"/>
      <c r="D811" s="1"/>
    </row>
    <row r="812">
      <c r="A812" s="1"/>
      <c r="B812" s="1"/>
      <c r="C812" s="1"/>
      <c r="D812" s="1"/>
    </row>
    <row r="813">
      <c r="A813" s="1"/>
      <c r="B813" s="1"/>
      <c r="C813" s="1"/>
      <c r="D813" s="1"/>
    </row>
    <row r="814">
      <c r="A814" s="1"/>
      <c r="B814" s="1"/>
      <c r="C814" s="1"/>
      <c r="D814" s="1"/>
    </row>
    <row r="815">
      <c r="A815" s="1"/>
      <c r="B815" s="1"/>
      <c r="C815" s="1"/>
      <c r="D815" s="1"/>
    </row>
    <row r="816">
      <c r="A816" s="1"/>
      <c r="B816" s="1"/>
      <c r="C816" s="1"/>
      <c r="D816" s="1"/>
    </row>
    <row r="817">
      <c r="A817" s="1"/>
      <c r="B817" s="1"/>
      <c r="C817" s="1"/>
      <c r="D817" s="1"/>
    </row>
    <row r="818">
      <c r="A818" s="1"/>
      <c r="B818" s="1"/>
      <c r="C818" s="1"/>
      <c r="D818" s="1"/>
    </row>
    <row r="819">
      <c r="A819" s="1"/>
      <c r="B819" s="1"/>
      <c r="C819" s="1"/>
      <c r="D819" s="1"/>
    </row>
    <row r="820">
      <c r="A820" s="1"/>
      <c r="B820" s="1"/>
      <c r="C820" s="1"/>
      <c r="D820" s="1"/>
    </row>
    <row r="821">
      <c r="A821" s="1"/>
      <c r="B821" s="1"/>
      <c r="C821" s="1"/>
      <c r="D821" s="1"/>
    </row>
    <row r="822">
      <c r="A822" s="1"/>
      <c r="B822" s="1"/>
      <c r="C822" s="1"/>
      <c r="D822" s="1"/>
    </row>
    <row r="823">
      <c r="A823" s="1"/>
      <c r="B823" s="1"/>
      <c r="C823" s="1"/>
      <c r="D823" s="1"/>
    </row>
    <row r="824">
      <c r="A824" s="1"/>
      <c r="B824" s="1"/>
      <c r="C824" s="1"/>
      <c r="D824" s="1"/>
    </row>
    <row r="825">
      <c r="A825" s="1"/>
      <c r="B825" s="1"/>
      <c r="C825" s="1"/>
      <c r="D825" s="1"/>
    </row>
    <row r="826">
      <c r="A826" s="1"/>
      <c r="B826" s="1"/>
      <c r="C826" s="1"/>
      <c r="D826" s="1"/>
    </row>
    <row r="827">
      <c r="A827" s="1"/>
      <c r="B827" s="1"/>
      <c r="C827" s="1"/>
      <c r="D827" s="1"/>
    </row>
    <row r="828">
      <c r="A828" s="1"/>
      <c r="B828" s="1"/>
      <c r="C828" s="1"/>
      <c r="D828" s="1"/>
    </row>
    <row r="829">
      <c r="A829" s="1"/>
      <c r="B829" s="1"/>
      <c r="C829" s="1"/>
      <c r="D829" s="1"/>
    </row>
    <row r="830">
      <c r="A830" s="1"/>
      <c r="B830" s="1"/>
      <c r="C830" s="1"/>
      <c r="D830" s="1"/>
    </row>
    <row r="831">
      <c r="A831" s="1"/>
      <c r="B831" s="1"/>
      <c r="C831" s="1"/>
      <c r="D831" s="1"/>
    </row>
    <row r="832">
      <c r="A832" s="1"/>
      <c r="B832" s="1"/>
      <c r="C832" s="1"/>
      <c r="D832" s="1"/>
    </row>
    <row r="833">
      <c r="A833" s="1"/>
      <c r="B833" s="1"/>
      <c r="C833" s="1"/>
      <c r="D833" s="1"/>
    </row>
    <row r="834">
      <c r="A834" s="1"/>
      <c r="B834" s="1"/>
      <c r="C834" s="1"/>
      <c r="D834" s="1"/>
    </row>
    <row r="835">
      <c r="A835" s="1"/>
      <c r="B835" s="1"/>
      <c r="C835" s="1"/>
      <c r="D835" s="1"/>
    </row>
    <row r="836">
      <c r="A836" s="1"/>
      <c r="B836" s="1"/>
      <c r="C836" s="1"/>
      <c r="D836" s="1"/>
    </row>
    <row r="837">
      <c r="A837" s="1"/>
      <c r="B837" s="1"/>
      <c r="C837" s="1"/>
      <c r="D837" s="1"/>
    </row>
    <row r="838">
      <c r="A838" s="1"/>
      <c r="B838" s="1"/>
      <c r="C838" s="1"/>
      <c r="D838" s="1"/>
    </row>
    <row r="839">
      <c r="A839" s="1"/>
      <c r="B839" s="1"/>
      <c r="C839" s="1"/>
      <c r="D839" s="1"/>
    </row>
    <row r="840">
      <c r="A840" s="1"/>
      <c r="B840" s="1"/>
      <c r="C840" s="1"/>
      <c r="D840" s="1"/>
    </row>
    <row r="841">
      <c r="A841" s="1"/>
      <c r="B841" s="1"/>
      <c r="C841" s="1"/>
      <c r="D841" s="1"/>
    </row>
    <row r="842">
      <c r="A842" s="1"/>
      <c r="B842" s="1"/>
      <c r="C842" s="1"/>
      <c r="D842" s="1"/>
    </row>
    <row r="843">
      <c r="A843" s="1"/>
      <c r="B843" s="1"/>
      <c r="C843" s="1"/>
      <c r="D843" s="1"/>
    </row>
    <row r="844">
      <c r="A844" s="1"/>
      <c r="B844" s="1"/>
      <c r="C844" s="1"/>
      <c r="D844" s="1"/>
    </row>
    <row r="845">
      <c r="A845" s="1"/>
      <c r="B845" s="1"/>
      <c r="C845" s="1"/>
      <c r="D845" s="1"/>
    </row>
    <row r="846">
      <c r="A846" s="1"/>
      <c r="B846" s="1"/>
      <c r="C846" s="1"/>
      <c r="D846" s="1"/>
    </row>
    <row r="847">
      <c r="A847" s="1"/>
      <c r="B847" s="1"/>
      <c r="C847" s="1"/>
      <c r="D847" s="1"/>
    </row>
    <row r="848">
      <c r="A848" s="1"/>
      <c r="B848" s="1"/>
      <c r="C848" s="1"/>
      <c r="D848" s="1"/>
    </row>
    <row r="849">
      <c r="A849" s="1"/>
      <c r="B849" s="1"/>
      <c r="C849" s="1"/>
      <c r="D849" s="1"/>
    </row>
    <row r="850">
      <c r="A850" s="1"/>
      <c r="B850" s="1"/>
      <c r="C850" s="1"/>
      <c r="D850" s="1"/>
    </row>
    <row r="851">
      <c r="A851" s="1"/>
      <c r="B851" s="1"/>
      <c r="C851" s="1"/>
      <c r="D851" s="1"/>
    </row>
    <row r="852">
      <c r="A852" s="1"/>
      <c r="B852" s="1"/>
      <c r="C852" s="1"/>
      <c r="D852" s="1"/>
    </row>
    <row r="853">
      <c r="A853" s="1"/>
      <c r="B853" s="1"/>
      <c r="C853" s="1"/>
      <c r="D853" s="1"/>
    </row>
    <row r="854">
      <c r="A854" s="1"/>
      <c r="B854" s="1"/>
      <c r="C854" s="1"/>
      <c r="D854" s="1"/>
    </row>
    <row r="855">
      <c r="A855" s="1"/>
      <c r="B855" s="1"/>
      <c r="C855" s="1"/>
      <c r="D855" s="1"/>
    </row>
    <row r="856">
      <c r="A856" s="1"/>
      <c r="B856" s="1"/>
      <c r="C856" s="1"/>
      <c r="D856" s="1"/>
    </row>
    <row r="857">
      <c r="A857" s="1"/>
      <c r="B857" s="1"/>
      <c r="C857" s="1"/>
      <c r="D857" s="1"/>
    </row>
    <row r="858">
      <c r="A858" s="1"/>
      <c r="B858" s="1"/>
      <c r="C858" s="1"/>
      <c r="D858"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12" max="12" width="21.88"/>
    <col hidden="1" min="22" max="25" width="12.63"/>
  </cols>
  <sheetData>
    <row r="1">
      <c r="A1" s="1" t="s">
        <v>18</v>
      </c>
      <c r="B1" s="1" t="s">
        <v>19</v>
      </c>
      <c r="C1" s="4" t="s">
        <v>20</v>
      </c>
      <c r="H1" s="4" t="s">
        <v>52</v>
      </c>
      <c r="I1" s="1" t="s">
        <v>53</v>
      </c>
      <c r="L1" s="12" t="s">
        <v>54</v>
      </c>
      <c r="W1" s="1" t="str">
        <f>IFERROR(__xludf.DUMMYFUNCTION("IMPORTRANGE(""https://docs.google.com/spreadsheets/d/1HXoAI5UG3zq1UHqU5n7fPdbQk93qOha2VQb1r7iRi1o"",""Items!A:A"")"),"Name")</f>
        <v>Name</v>
      </c>
    </row>
    <row r="2">
      <c r="A2" s="4" t="s">
        <v>55</v>
      </c>
      <c r="B2" s="1" t="str">
        <f>IFERROR(VLOOKUP($A2,ItemsImport!$A$2:$AD970,MATCH("Description",ItemsImport!$A$1:$AE$1,0),FALSE),"")</f>
        <v/>
      </c>
      <c r="C2" s="1" t="str">
        <f>IFERROR(VLOOKUP($A2,ItemsImport!$A$2:$AD970,MATCH("Type",ItemsImport!$A$1:$AE$1,0),FALSE),"")</f>
        <v/>
      </c>
      <c r="H2" s="4" t="b">
        <v>0</v>
      </c>
      <c r="I2" s="1" t="str">
        <f>IFERROR(VLOOKUP($A2,ItemsImport!$A$2:$AD970,MATCH("ItemLoc",ItemsImport!$A$1:$AE$1,0),FALSE),"")</f>
        <v>Land of Spira</v>
      </c>
      <c r="L2" s="1" t="str">
        <f>IFERROR(__xludf.DUMMYFUNCTION("IFNA(FILTER($X$2:$X970,$X$2:$X970&lt;&gt;""""),""All Items in List"")"),"Wind Queen's Soul")</f>
        <v>Wind Queen's Soul</v>
      </c>
      <c r="W2" s="1" t="str">
        <f>IFERROR(__xludf.DUMMYFUNCTION("""COMPUTED_VALUE"""),"Nothing")</f>
        <v>Nothing</v>
      </c>
      <c r="X2" s="1" t="str">
        <f t="shared" ref="X2:X970" si="1">IF(IFNA(VLOOKUP($W2,$A$2:$A970,1,FALSE),TRUE)=TRUE,$W2,"")</f>
        <v/>
      </c>
    </row>
    <row r="3">
      <c r="A3" s="1" t="s">
        <v>56</v>
      </c>
      <c r="B3" s="1" t="str">
        <f>IFERROR(VLOOKUP($A3,ItemsImport!$A$2:$AD970,MATCH("Description",ItemsImport!$A$1:$AE$1,0),FALSE),"")</f>
        <v>restores 5 SP; can be used to make mana potions</v>
      </c>
      <c r="C3" s="1" t="str">
        <f>IFERROR(VLOOKUP($A3,ItemsImport!$A$2:$AD970,MATCH("Type",ItemsImport!$A$1:$AE$1,0),FALSE),"")</f>
        <v>Item</v>
      </c>
      <c r="H3" s="4" t="b">
        <v>0</v>
      </c>
      <c r="I3" s="1" t="str">
        <f>IFERROR(VLOOKUP($A3,ItemsImport!$A$2:$AD970,MATCH("ItemLoc",ItemsImport!$A$1:$AE$1,0),FALSE),"")</f>
        <v>Land of Spira</v>
      </c>
      <c r="L3" s="1" t="str">
        <f>IFERROR(__xludf.DUMMYFUNCTION("""COMPUTED_VALUE"""),"Wave Queen's Soul")</f>
        <v>Wave Queen's Soul</v>
      </c>
      <c r="W3" s="1" t="str">
        <f>IFERROR(__xludf.DUMMYFUNCTION("""COMPUTED_VALUE"""),"Slime core")</f>
        <v>Slime core</v>
      </c>
      <c r="X3" s="1" t="str">
        <f t="shared" si="1"/>
        <v/>
      </c>
    </row>
    <row r="4">
      <c r="A4" s="1" t="s">
        <v>57</v>
      </c>
      <c r="B4" s="1" t="str">
        <f>IFERROR(VLOOKUP($A4,ItemsImport!$A$2:$AD970,MATCH("Description",ItemsImport!$A$1:$AE$1,0),FALSE),"")</f>
        <v>This egg will be determined by DM/GM</v>
      </c>
      <c r="C4" s="1" t="str">
        <f>IFERROR(VLOOKUP($A4,ItemsImport!$A$2:$AD970,MATCH("Type",ItemsImport!$A$1:$AE$1,0),FALSE),"")</f>
        <v>Item</v>
      </c>
      <c r="H4" s="4" t="b">
        <v>0</v>
      </c>
      <c r="I4" s="1" t="str">
        <f>IFERROR(VLOOKUP($A4,ItemsImport!$A$2:$AD970,MATCH("ItemLoc",ItemsImport!$A$1:$AE$1,0),FALSE),"")</f>
        <v>Land of Spira</v>
      </c>
      <c r="L4" s="1" t="str">
        <f>IFERROR(__xludf.DUMMYFUNCTION("""COMPUTED_VALUE"""),"Storm King's Soul")</f>
        <v>Storm King's Soul</v>
      </c>
      <c r="W4" s="1" t="str">
        <f>IFERROR(__xludf.DUMMYFUNCTION("""COMPUTED_VALUE"""),"Mysterious egg")</f>
        <v>Mysterious egg</v>
      </c>
      <c r="X4" s="1" t="str">
        <f t="shared" si="1"/>
        <v/>
      </c>
    </row>
    <row r="5">
      <c r="A5" s="1" t="s">
        <v>58</v>
      </c>
      <c r="B5" s="1" t="str">
        <f>IFERROR(VLOOKUP($A5,ItemsImport!$A$2:$AD970,MATCH("Description",ItemsImport!$A$1:$AE$1,0),FALSE),"")</f>
        <v>It’s said when holding one of these you feel like it's a happy spring day...</v>
      </c>
      <c r="C5" s="1" t="str">
        <f>IFERROR(VLOOKUP($A5,ItemsImport!$A$2:$AD970,MATCH("Type",ItemsImport!$A$1:$AE$1,0),FALSE),"")</f>
        <v>Item</v>
      </c>
      <c r="H5" s="4" t="b">
        <v>0</v>
      </c>
      <c r="I5" s="1" t="str">
        <f>IFERROR(VLOOKUP($A5,ItemsImport!$A$2:$AD970,MATCH("ItemLoc",ItemsImport!$A$1:$AE$1,0),FALSE),"")</f>
        <v>Land of Spira</v>
      </c>
      <c r="L5" s="1" t="str">
        <f>IFERROR(__xludf.DUMMYFUNCTION("""COMPUTED_VALUE"""),"Stone King's Soul")</f>
        <v>Stone King's Soul</v>
      </c>
      <c r="W5" s="1" t="str">
        <f>IFERROR(__xludf.DUMMYFUNCTION("""COMPUTED_VALUE"""),"Emerald of Luck")</f>
        <v>Emerald of Luck</v>
      </c>
      <c r="X5" s="1" t="str">
        <f t="shared" si="1"/>
        <v/>
      </c>
    </row>
    <row r="6">
      <c r="A6" s="1" t="s">
        <v>59</v>
      </c>
      <c r="B6" s="1" t="str">
        <f>IFERROR(VLOOKUP($A6,ItemsImport!$A$2:$AD970,MATCH("Description",ItemsImport!$A$1:$AE$1,0),FALSE),"")</f>
        <v>Crafting Material, roll a d20 to see how many you get if this is a loot drop.l. Can be used to repair an item.</v>
      </c>
      <c r="C6" s="1" t="str">
        <f>IFERROR(VLOOKUP($A6,ItemsImport!$A$2:$AD970,MATCH("Type",ItemsImport!$A$1:$AE$1,0),FALSE),"")</f>
        <v>Item</v>
      </c>
      <c r="H6" s="4" t="b">
        <v>0</v>
      </c>
      <c r="I6" s="1" t="str">
        <f>IFERROR(VLOOKUP($A6,ItemsImport!$A$2:$AD970,MATCH("ItemLoc",ItemsImport!$A$1:$AE$1,0),FALSE),"")</f>
        <v>Land of Spira</v>
      </c>
      <c r="L6" s="1" t="str">
        <f>IFERROR(__xludf.DUMMYFUNCTION("""COMPUTED_VALUE"""),"Inferno King Soul")</f>
        <v>Inferno King Soul</v>
      </c>
      <c r="W6" s="1" t="str">
        <f>IFERROR(__xludf.DUMMYFUNCTION("""COMPUTED_VALUE"""),"Gold")</f>
        <v>Gold</v>
      </c>
      <c r="X6" s="1" t="str">
        <f t="shared" si="1"/>
        <v/>
      </c>
    </row>
    <row r="7">
      <c r="A7" s="1" t="s">
        <v>60</v>
      </c>
      <c r="B7" s="1" t="str">
        <f>IFERROR(VLOOKUP($A7,ItemsImport!$A$2:$AD970,MATCH("Description",ItemsImport!$A$1:$AE$1,0),FALSE),"")</f>
        <v>Crafting Material, roll a d20 to see how many you get if this is a loot drop.. Can be used to repair an item.</v>
      </c>
      <c r="C7" s="1" t="str">
        <f>IFERROR(VLOOKUP($A7,ItemsImport!$A$2:$AD970,MATCH("Type",ItemsImport!$A$1:$AE$1,0),FALSE),"")</f>
        <v>Item</v>
      </c>
      <c r="H7" s="4" t="b">
        <v>0</v>
      </c>
      <c r="I7" s="1" t="str">
        <f>IFERROR(VLOOKUP($A7,ItemsImport!$A$2:$AD970,MATCH("ItemLoc",ItemsImport!$A$1:$AE$1,0),FALSE),"")</f>
        <v>Land of Spira</v>
      </c>
      <c r="L7" s="1" t="str">
        <f>IFERROR(__xludf.DUMMYFUNCTION("""COMPUTED_VALUE"""),"Random Dragon Egg")</f>
        <v>Random Dragon Egg</v>
      </c>
      <c r="W7" s="1" t="str">
        <f>IFERROR(__xludf.DUMMYFUNCTION("""COMPUTED_VALUE"""),"Iron")</f>
        <v>Iron</v>
      </c>
      <c r="X7" s="1" t="str">
        <f t="shared" si="1"/>
        <v/>
      </c>
    </row>
    <row r="8">
      <c r="A8" s="1" t="s">
        <v>61</v>
      </c>
      <c r="B8" s="1" t="str">
        <f>IFERROR(VLOOKUP($A8,ItemsImport!$A$2:$AD970,MATCH("Description",ItemsImport!$A$1:$AE$1,0),FALSE),"")</f>
        <v>Crafting Material, roll a d20 to see how many you get if this is a loot drop.. Can be used to repair an item.</v>
      </c>
      <c r="C8" s="1" t="str">
        <f>IFERROR(VLOOKUP($A8,ItemsImport!$A$2:$AD970,MATCH("Type",ItemsImport!$A$1:$AE$1,0),FALSE),"")</f>
        <v>Item</v>
      </c>
      <c r="H8" s="4" t="b">
        <v>0</v>
      </c>
      <c r="I8" s="1" t="str">
        <f>IFERROR(VLOOKUP($A8,ItemsImport!$A$2:$AD970,MATCH("ItemLoc",ItemsImport!$A$1:$AE$1,0),FALSE),"")</f>
        <v>Land of Spira</v>
      </c>
      <c r="L8" s="1" t="str">
        <f>IFERROR(__xludf.DUMMYFUNCTION("""COMPUTED_VALUE"""),"Poisoned Bolts")</f>
        <v>Poisoned Bolts</v>
      </c>
      <c r="W8" s="1" t="str">
        <f>IFERROR(__xludf.DUMMYFUNCTION("""COMPUTED_VALUE"""),"Dragon scales")</f>
        <v>Dragon scales</v>
      </c>
      <c r="X8" s="1" t="str">
        <f t="shared" si="1"/>
        <v/>
      </c>
    </row>
    <row r="9">
      <c r="A9" s="1" t="s">
        <v>62</v>
      </c>
      <c r="B9" s="1" t="str">
        <f>IFERROR(VLOOKUP($A9,ItemsImport!$A$2:$AD970,MATCH("Description",ItemsImport!$A$1:$AE$1,0),FALSE),"")</f>
        <v>Crafting Material, roll a d20 to see how many you get if this is a loot drop.. Can be used to repair an item.</v>
      </c>
      <c r="C9" s="1" t="str">
        <f>IFERROR(VLOOKUP($A9,ItemsImport!$A$2:$AD970,MATCH("Type",ItemsImport!$A$1:$AE$1,0),FALSE),"")</f>
        <v>Item</v>
      </c>
      <c r="H9" s="4" t="b">
        <v>0</v>
      </c>
      <c r="I9" s="1" t="str">
        <f>IFERROR(VLOOKUP($A9,ItemsImport!$A$2:$AD970,MATCH("ItemLoc",ItemsImport!$A$1:$AE$1,0),FALSE),"")</f>
        <v>Land of Spira</v>
      </c>
      <c r="L9" s="1" t="str">
        <f>IFERROR(__xludf.DUMMYFUNCTION("""COMPUTED_VALUE"""),"Torpedo")</f>
        <v>Torpedo</v>
      </c>
      <c r="W9" s="1" t="str">
        <f>IFERROR(__xludf.DUMMYFUNCTION("""COMPUTED_VALUE"""),"Desert Emerald")</f>
        <v>Desert Emerald</v>
      </c>
      <c r="X9" s="1" t="str">
        <f t="shared" si="1"/>
        <v/>
      </c>
    </row>
    <row r="10">
      <c r="A10" s="1" t="s">
        <v>63</v>
      </c>
      <c r="B10" s="1" t="str">
        <f>IFERROR(VLOOKUP($A10,ItemsImport!$A$2:$AD970,MATCH("Description",ItemsImport!$A$1:$AE$1,0),FALSE),"")</f>
        <v>Crafting Material, roll a d20 to see how many you get if this is a loot drop.. Can be used to repair an item.</v>
      </c>
      <c r="C10" s="1" t="str">
        <f>IFERROR(VLOOKUP($A10,ItemsImport!$A$2:$AD970,MATCH("Type",ItemsImport!$A$1:$AE$1,0),FALSE),"")</f>
        <v>Item</v>
      </c>
      <c r="H10" s="4" t="b">
        <v>0</v>
      </c>
      <c r="I10" s="1" t="str">
        <f>IFERROR(VLOOKUP($A10,ItemsImport!$A$2:$AD970,MATCH("ItemLoc",ItemsImport!$A$1:$AE$1,0),FALSE),"")</f>
        <v>Land of Spira</v>
      </c>
      <c r="L10" s="1" t="str">
        <f>IFERROR(__xludf.DUMMYFUNCTION("""COMPUTED_VALUE"""),"Fragmentation Grenade")</f>
        <v>Fragmentation Grenade</v>
      </c>
      <c r="W10" s="1" t="str">
        <f>IFERROR(__xludf.DUMMYFUNCTION("""COMPUTED_VALUE"""),"Desert Ruby")</f>
        <v>Desert Ruby</v>
      </c>
      <c r="X10" s="1" t="str">
        <f t="shared" si="1"/>
        <v/>
      </c>
    </row>
    <row r="11">
      <c r="A11" s="1" t="s">
        <v>64</v>
      </c>
      <c r="B11" s="1" t="str">
        <f>IFERROR(VLOOKUP($A11,ItemsImport!$A$2:$AD970,MATCH("Description",ItemsImport!$A$1:$AE$1,0),FALSE),"")</f>
        <v>Crafting Material, roll a d20 to see how many you get if this is a loot drop.. Can be used to repair an item.</v>
      </c>
      <c r="C11" s="1" t="str">
        <f>IFERROR(VLOOKUP($A11,ItemsImport!$A$2:$AD970,MATCH("Type",ItemsImport!$A$1:$AE$1,0),FALSE),"")</f>
        <v>Item</v>
      </c>
      <c r="H11" s="4" t="b">
        <v>0</v>
      </c>
      <c r="I11" s="1" t="str">
        <f>IFERROR(VLOOKUP($A11,ItemsImport!$A$2:$AD970,MATCH("ItemLoc",ItemsImport!$A$1:$AE$1,0),FALSE),"")</f>
        <v>Land of Spira</v>
      </c>
      <c r="L11" s="1" t="str">
        <f>IFERROR(__xludf.DUMMYFUNCTION("""COMPUTED_VALUE"""),"Flashbang")</f>
        <v>Flashbang</v>
      </c>
      <c r="W11" s="1" t="str">
        <f>IFERROR(__xludf.DUMMYFUNCTION("""COMPUTED_VALUE"""),"Diamonds")</f>
        <v>Diamonds</v>
      </c>
      <c r="X11" s="1" t="str">
        <f t="shared" si="1"/>
        <v/>
      </c>
    </row>
    <row r="12">
      <c r="A12" s="1" t="s">
        <v>65</v>
      </c>
      <c r="B12" s="1" t="str">
        <f>IFERROR(VLOOKUP($A12,ItemsImport!$A$2:$AD970,MATCH("Description",ItemsImport!$A$1:$AE$1,0),FALSE),"")</f>
        <v>Crafting Material, roll a d20 to see how many you get if this is a loot drop.. Can be used to repair an item.</v>
      </c>
      <c r="C12" s="1" t="str">
        <f>IFERROR(VLOOKUP($A12,ItemsImport!$A$2:$AD970,MATCH("Type",ItemsImport!$A$1:$AE$1,0),FALSE),"")</f>
        <v>Item</v>
      </c>
      <c r="H12" s="4" t="b">
        <v>0</v>
      </c>
      <c r="I12" s="1" t="str">
        <f>IFERROR(VLOOKUP($A12,ItemsImport!$A$2:$AD970,MATCH("ItemLoc",ItemsImport!$A$1:$AE$1,0),FALSE),"")</f>
        <v>Land of Spira</v>
      </c>
      <c r="L12" s="1" t="str">
        <f>IFERROR(__xludf.DUMMYFUNCTION("""COMPUTED_VALUE"""),"Earth Golem Core")</f>
        <v>Earth Golem Core</v>
      </c>
      <c r="W12" s="1" t="str">
        <f>IFERROR(__xludf.DUMMYFUNCTION("""COMPUTED_VALUE"""),"Bricks")</f>
        <v>Bricks</v>
      </c>
      <c r="X12" s="1" t="str">
        <f t="shared" si="1"/>
        <v/>
      </c>
    </row>
    <row r="13">
      <c r="A13" s="1" t="s">
        <v>66</v>
      </c>
      <c r="B13" s="1" t="str">
        <f>IFERROR(VLOOKUP($A13,ItemsImport!$A$2:$AD970,MATCH("Description",ItemsImport!$A$1:$AE$1,0),FALSE),"")</f>
        <v>Crafting Material, roll a d20 to see how many you get if this is a loot drop., roll a d20 to see how many you get if this is a loot drop.. Can be used to repair an item.</v>
      </c>
      <c r="C13" s="1" t="str">
        <f>IFERROR(VLOOKUP($A13,ItemsImport!$A$2:$AD970,MATCH("Type",ItemsImport!$A$1:$AE$1,0),FALSE),"")</f>
        <v>Item</v>
      </c>
      <c r="H13" s="4" t="b">
        <v>0</v>
      </c>
      <c r="I13" s="1" t="str">
        <f>IFERROR(VLOOKUP($A13,ItemsImport!$A$2:$AD970,MATCH("ItemLoc",ItemsImport!$A$1:$AE$1,0),FALSE),"")</f>
        <v>Land of Spira</v>
      </c>
      <c r="L13" s="1" t="str">
        <f>IFERROR(__xludf.DUMMYFUNCTION("""COMPUTED_VALUE"""),"Nailbomb")</f>
        <v>Nailbomb</v>
      </c>
      <c r="W13" s="1" t="str">
        <f>IFERROR(__xludf.DUMMYFUNCTION("""COMPUTED_VALUE"""),"Obsidian")</f>
        <v>Obsidian</v>
      </c>
      <c r="X13" s="1" t="str">
        <f t="shared" si="1"/>
        <v/>
      </c>
    </row>
    <row r="14">
      <c r="A14" s="1" t="s">
        <v>67</v>
      </c>
      <c r="B14" s="1" t="str">
        <f>IFERROR(VLOOKUP($A14,ItemsImport!$A$2:$AD970,MATCH("Description",ItemsImport!$A$1:$AE$1,0),FALSE),"")</f>
        <v>Crafting Material, roll a d20 to see how many you get if this is a loot drop., roll a d20 to see how many you get if this is a loot drop.</v>
      </c>
      <c r="C14" s="1" t="str">
        <f>IFERROR(VLOOKUP($A14,ItemsImport!$A$2:$AD970,MATCH("Type",ItemsImport!$A$1:$AE$1,0),FALSE),"")</f>
        <v>Item</v>
      </c>
      <c r="H14" s="4" t="b">
        <v>0</v>
      </c>
      <c r="I14" s="1" t="str">
        <f>IFERROR(VLOOKUP($A14,ItemsImport!$A$2:$AD970,MATCH("ItemLoc",ItemsImport!$A$1:$AE$1,0),FALSE),"")</f>
        <v>Land of Spira</v>
      </c>
      <c r="L14" s="1" t="str">
        <f>IFERROR(__xludf.DUMMYFUNCTION("""COMPUTED_VALUE"""),"Molotov")</f>
        <v>Molotov</v>
      </c>
      <c r="W14" s="1" t="str">
        <f>IFERROR(__xludf.DUMMYFUNCTION("""COMPUTED_VALUE"""),"Sand")</f>
        <v>Sand</v>
      </c>
      <c r="X14" s="1" t="str">
        <f t="shared" si="1"/>
        <v/>
      </c>
    </row>
    <row r="15">
      <c r="A15" s="1" t="s">
        <v>68</v>
      </c>
      <c r="B15" s="1" t="str">
        <f>IFERROR(VLOOKUP($A15,ItemsImport!$A$2:$AD970,MATCH("Description",ItemsImport!$A$1:$AE$1,0),FALSE),"")</f>
        <v> Can be forged into armor or a weapon to give it +200 additional light damage or resistance</v>
      </c>
      <c r="C15" s="1" t="str">
        <f>IFERROR(VLOOKUP($A15,ItemsImport!$A$2:$AD970,MATCH("Type",ItemsImport!$A$1:$AE$1,0),FALSE),"")</f>
        <v>Item</v>
      </c>
      <c r="H15" s="4" t="b">
        <v>0</v>
      </c>
      <c r="I15" s="1" t="str">
        <f>IFERROR(VLOOKUP($A15,ItemsImport!$A$2:$AD970,MATCH("ItemLoc",ItemsImport!$A$1:$AE$1,0),FALSE),"")</f>
        <v>Land of Spira</v>
      </c>
      <c r="L15" s="1" t="str">
        <f>IFERROR(__xludf.DUMMYFUNCTION("""COMPUTED_VALUE"""),"Smoke Bomb")</f>
        <v>Smoke Bomb</v>
      </c>
      <c r="W15" s="1" t="str">
        <f>IFERROR(__xludf.DUMMYFUNCTION("""COMPUTED_VALUE"""),"Glowing rocks")</f>
        <v>Glowing rocks</v>
      </c>
      <c r="X15" s="1" t="str">
        <f t="shared" si="1"/>
        <v/>
      </c>
    </row>
    <row r="16">
      <c r="A16" s="1" t="s">
        <v>69</v>
      </c>
      <c r="B16" s="1" t="str">
        <f>IFERROR(VLOOKUP($A16,ItemsImport!$A$2:$AD970,MATCH("Description",ItemsImport!$A$1:$AE$1,0),FALSE),"")</f>
        <v>Crafting Material, roll a d20 to see how many you get if this is a loot drop. Can be used to repair an item. </v>
      </c>
      <c r="C16" s="1" t="str">
        <f>IFERROR(VLOOKUP($A16,ItemsImport!$A$2:$AD970,MATCH("Type",ItemsImport!$A$1:$AE$1,0),FALSE),"")</f>
        <v>Item</v>
      </c>
      <c r="H16" s="4" t="b">
        <v>0</v>
      </c>
      <c r="I16" s="1" t="str">
        <f>IFERROR(VLOOKUP($A16,ItemsImport!$A$2:$AD970,MATCH("ItemLoc",ItemsImport!$A$1:$AE$1,0),FALSE),"")</f>
        <v>Land of Spira</v>
      </c>
      <c r="L16" s="1" t="str">
        <f>IFERROR(__xludf.DUMMYFUNCTION("""COMPUTED_VALUE"""),"Gas Grenade")</f>
        <v>Gas Grenade</v>
      </c>
      <c r="W16" s="1" t="str">
        <f>IFERROR(__xludf.DUMMYFUNCTION("""COMPUTED_VALUE"""),"Steel")</f>
        <v>Steel</v>
      </c>
      <c r="X16" s="1" t="str">
        <f t="shared" si="1"/>
        <v/>
      </c>
    </row>
    <row r="17">
      <c r="A17" s="1" t="s">
        <v>70</v>
      </c>
      <c r="B17" s="1" t="str">
        <f>IFERROR(VLOOKUP($A17,ItemsImport!$A$2:$AD970,MATCH("Description",ItemsImport!$A$1:$AE$1,0),FALSE),"")</f>
        <v>Crafting Material, roll a d20 to see how many you get if this is a loot drop., roll a d20 to see how many you get if this is a loot drop., roll a d20 to see how many you get if this is a loot drop.. Can be used to repair an item.</v>
      </c>
      <c r="C17" s="1" t="str">
        <f>IFERROR(VLOOKUP($A17,ItemsImport!$A$2:$AD970,MATCH("Type",ItemsImport!$A$1:$AE$1,0),FALSE),"")</f>
        <v>Item</v>
      </c>
      <c r="H17" s="4" t="b">
        <v>0</v>
      </c>
      <c r="I17" s="1" t="str">
        <f>IFERROR(VLOOKUP($A17,ItemsImport!$A$2:$AD970,MATCH("ItemLoc",ItemsImport!$A$1:$AE$1,0),FALSE),"")</f>
        <v>Land of Spira</v>
      </c>
      <c r="L17" s="1" t="str">
        <f>IFERROR(__xludf.DUMMYFUNCTION("""COMPUTED_VALUE"""),"Booze Bomb")</f>
        <v>Booze Bomb</v>
      </c>
      <c r="W17" s="1" t="str">
        <f>IFERROR(__xludf.DUMMYFUNCTION("""COMPUTED_VALUE"""),"Silver")</f>
        <v>Silver</v>
      </c>
      <c r="X17" s="1" t="str">
        <f t="shared" si="1"/>
        <v/>
      </c>
    </row>
    <row r="18">
      <c r="A18" s="1" t="s">
        <v>71</v>
      </c>
      <c r="B18" s="1" t="str">
        <f>IFERROR(VLOOKUP($A18,ItemsImport!$A$2:$AD970,MATCH("Description",ItemsImport!$A$1:$AE$1,0),FALSE),"")</f>
        <v>Crafting Material, roll a d20 to see how many you get if this is a loot drop., roll a d20 to see how many you get if this is a loot drop.</v>
      </c>
      <c r="C18" s="1" t="str">
        <f>IFERROR(VLOOKUP($A18,ItemsImport!$A$2:$AD970,MATCH("Type",ItemsImport!$A$1:$AE$1,0),FALSE),"")</f>
        <v>Item</v>
      </c>
      <c r="H18" s="4" t="b">
        <v>0</v>
      </c>
      <c r="I18" s="1" t="str">
        <f>IFERROR(VLOOKUP($A18,ItemsImport!$A$2:$AD970,MATCH("ItemLoc",ItemsImport!$A$1:$AE$1,0),FALSE),"")</f>
        <v>Land of Spira</v>
      </c>
      <c r="L18" s="1" t="str">
        <f>IFERROR(__xludf.DUMMYFUNCTION("""COMPUTED_VALUE"""),"Ice bomb")</f>
        <v>Ice bomb</v>
      </c>
      <c r="W18" s="1" t="str">
        <f>IFERROR(__xludf.DUMMYFUNCTION("""COMPUTED_VALUE"""),"Chains")</f>
        <v>Chains</v>
      </c>
      <c r="X18" s="1" t="str">
        <f t="shared" si="1"/>
        <v/>
      </c>
    </row>
    <row r="19">
      <c r="A19" s="1" t="s">
        <v>72</v>
      </c>
      <c r="B19" s="1" t="str">
        <f>IFERROR(VLOOKUP($A19,ItemsImport!$A$2:$AD970,MATCH("Description",ItemsImport!$A$1:$AE$1,0),FALSE),"")</f>
        <v>40/40 Uses. Used for mining.</v>
      </c>
      <c r="C19" s="1" t="str">
        <f>IFERROR(VLOOKUP($A19,ItemsImport!$A$2:$AD970,MATCH("Type",ItemsImport!$A$1:$AE$1,0),FALSE),"")</f>
        <v>Item</v>
      </c>
      <c r="H19" s="4" t="b">
        <v>0</v>
      </c>
      <c r="I19" s="1" t="str">
        <f>IFERROR(VLOOKUP($A19,ItemsImport!$A$2:$AD970,MATCH("ItemLoc",ItemsImport!$A$1:$AE$1,0),FALSE),"")</f>
        <v>Land of Spira</v>
      </c>
      <c r="L19" s="1" t="str">
        <f>IFERROR(__xludf.DUMMYFUNCTION("""COMPUTED_VALUE"""),"Holy Water")</f>
        <v>Holy Water</v>
      </c>
      <c r="W19" s="1" t="str">
        <f>IFERROR(__xludf.DUMMYFUNCTION("""COMPUTED_VALUE"""),"Steel Pickaxe ")</f>
        <v>Steel Pickaxe </v>
      </c>
      <c r="X19" s="1" t="str">
        <f t="shared" si="1"/>
        <v/>
      </c>
    </row>
    <row r="20">
      <c r="A20" s="1" t="s">
        <v>73</v>
      </c>
      <c r="B20" s="1" t="str">
        <f>IFERROR(VLOOKUP($A20,ItemsImport!$A$2:$AD970,MATCH("Description",ItemsImport!$A$1:$AE$1,0),FALSE),"")</f>
        <v>Restores 75 Hunger +50 energy</v>
      </c>
      <c r="C20" s="1" t="str">
        <f>IFERROR(VLOOKUP($A20,ItemsImport!$A$2:$AD970,MATCH("Type",ItemsImport!$A$1:$AE$1,0),FALSE),"")</f>
        <v>Crop</v>
      </c>
      <c r="H20" s="4" t="b">
        <v>0</v>
      </c>
      <c r="I20" s="1" t="str">
        <f>IFERROR(VLOOKUP($A20,ItemsImport!$A$2:$AD970,MATCH("ItemLoc",ItemsImport!$A$1:$AE$1,0),FALSE),"")</f>
        <v>Land of Spira</v>
      </c>
      <c r="L20" s="1" t="str">
        <f>IFERROR(__xludf.DUMMYFUNCTION("""COMPUTED_VALUE"""),"Salve Grenade")</f>
        <v>Salve Grenade</v>
      </c>
      <c r="W20" s="1" t="str">
        <f>IFERROR(__xludf.DUMMYFUNCTION("""COMPUTED_VALUE"""),"Haggis Bowl")</f>
        <v>Haggis Bowl</v>
      </c>
      <c r="X20" s="1" t="str">
        <f t="shared" si="1"/>
        <v/>
      </c>
    </row>
    <row r="21">
      <c r="A21" s="1" t="s">
        <v>74</v>
      </c>
      <c r="B21" s="1" t="str">
        <f>IFERROR(VLOOKUP($A21,ItemsImport!$A$2:$AD970,MATCH("Description",ItemsImport!$A$1:$AE$1,0),FALSE),"")</f>
        <v>Restores 10 Hunger +5 energy</v>
      </c>
      <c r="C21" s="1" t="str">
        <f>IFERROR(VLOOKUP($A21,ItemsImport!$A$2:$AD970,MATCH("Type",ItemsImport!$A$1:$AE$1,0),FALSE),"")</f>
        <v>Crop</v>
      </c>
      <c r="H21" s="4" t="b">
        <v>0</v>
      </c>
      <c r="I21" s="1" t="str">
        <f>IFERROR(VLOOKUP($A21,ItemsImport!$A$2:$AD970,MATCH("ItemLoc",ItemsImport!$A$1:$AE$1,0),FALSE),"")</f>
        <v>Land of Spira</v>
      </c>
      <c r="L21" s="1" t="str">
        <f>IFERROR(__xludf.DUMMYFUNCTION("""COMPUTED_VALUE"""),"Potion of Banishment")</f>
        <v>Potion of Banishment</v>
      </c>
      <c r="W21" s="1" t="str">
        <f>IFERROR(__xludf.DUMMYFUNCTION("""COMPUTED_VALUE"""),"Chunk of Salmon")</f>
        <v>Chunk of Salmon</v>
      </c>
      <c r="X21" s="1" t="str">
        <f t="shared" si="1"/>
        <v/>
      </c>
    </row>
    <row r="22">
      <c r="A22" s="1" t="s">
        <v>75</v>
      </c>
      <c r="B22" s="1" t="str">
        <f>IFERROR(VLOOKUP($A22,ItemsImport!$A$2:$AD970,MATCH("Description",ItemsImport!$A$1:$AE$1,0),FALSE),"")</f>
        <v>Restores 100 Hunger + 100 energy</v>
      </c>
      <c r="C22" s="1" t="str">
        <f>IFERROR(VLOOKUP($A22,ItemsImport!$A$2:$AD970,MATCH("Type",ItemsImport!$A$1:$AE$1,0),FALSE),"")</f>
        <v>Crop</v>
      </c>
      <c r="H22" s="4" t="b">
        <v>0</v>
      </c>
      <c r="I22" s="1" t="str">
        <f>IFERROR(VLOOKUP($A22,ItemsImport!$A$2:$AD970,MATCH("ItemLoc",ItemsImport!$A$1:$AE$1,0),FALSE),"")</f>
        <v>Land of Spira</v>
      </c>
      <c r="L22" s="1" t="str">
        <f>IFERROR(__xludf.DUMMYFUNCTION("""COMPUTED_VALUE"""),"Wooden Arrow")</f>
        <v>Wooden Arrow</v>
      </c>
      <c r="W22" s="1" t="str">
        <f>IFERROR(__xludf.DUMMYFUNCTION("""COMPUTED_VALUE"""),"Dragon Jerky")</f>
        <v>Dragon Jerky</v>
      </c>
      <c r="X22" s="1" t="str">
        <f t="shared" si="1"/>
        <v/>
      </c>
    </row>
    <row r="23">
      <c r="A23" s="1" t="s">
        <v>76</v>
      </c>
      <c r="B23" s="1" t="str">
        <f>IFERROR(VLOOKUP($A23,ItemsImport!$A$2:$AD970,MATCH("Description",ItemsImport!$A$1:$AE$1,0),FALSE),"")</f>
        <v>Restores 5 Hunger +4 energy</v>
      </c>
      <c r="C23" s="1" t="str">
        <f>IFERROR(VLOOKUP($A23,ItemsImport!$A$2:$AD970,MATCH("Type",ItemsImport!$A$1:$AE$1,0),FALSE),"")</f>
        <v>Crop</v>
      </c>
      <c r="H23" s="4" t="b">
        <v>0</v>
      </c>
      <c r="I23" s="1" t="str">
        <f>IFERROR(VLOOKUP($A23,ItemsImport!$A$2:$AD970,MATCH("ItemLoc",ItemsImport!$A$1:$AE$1,0),FALSE),"")</f>
        <v>Land of Spira</v>
      </c>
      <c r="L23" s="1" t="str">
        <f>IFERROR(__xludf.DUMMYFUNCTION("""COMPUTED_VALUE"""),"Bone Tipped Arrow")</f>
        <v>Bone Tipped Arrow</v>
      </c>
      <c r="W23" s="1" t="str">
        <f>IFERROR(__xludf.DUMMYFUNCTION("""COMPUTED_VALUE"""),"Bacon Strip")</f>
        <v>Bacon Strip</v>
      </c>
      <c r="X23" s="1" t="str">
        <f t="shared" si="1"/>
        <v/>
      </c>
    </row>
    <row r="24">
      <c r="A24" s="1" t="s">
        <v>77</v>
      </c>
      <c r="B24" s="1" t="str">
        <f>IFERROR(VLOOKUP($A24,ItemsImport!$A$2:$AD970,MATCH("Description",ItemsImport!$A$1:$AE$1,0),FALSE),"")</f>
        <v>Restores 20 Hunger +10 energy</v>
      </c>
      <c r="C24" s="1" t="str">
        <f>IFERROR(VLOOKUP($A24,ItemsImport!$A$2:$AD970,MATCH("Type",ItemsImport!$A$1:$AE$1,0),FALSE),"")</f>
        <v>Crop</v>
      </c>
      <c r="H24" s="4" t="b">
        <v>0</v>
      </c>
      <c r="I24" s="1" t="str">
        <f>IFERROR(VLOOKUP($A24,ItemsImport!$A$2:$AD970,MATCH("ItemLoc",ItemsImport!$A$1:$AE$1,0),FALSE),"")</f>
        <v>Land of Spira</v>
      </c>
      <c r="L24" s="1" t="str">
        <f>IFERROR(__xludf.DUMMYFUNCTION("""COMPUTED_VALUE"""),"Holy Arrow")</f>
        <v>Holy Arrow</v>
      </c>
      <c r="W24" s="1" t="str">
        <f>IFERROR(__xludf.DUMMYFUNCTION("""COMPUTED_VALUE"""),"Smoked Salmon")</f>
        <v>Smoked Salmon</v>
      </c>
      <c r="X24" s="1" t="str">
        <f t="shared" si="1"/>
        <v/>
      </c>
    </row>
    <row r="25">
      <c r="A25" s="1" t="s">
        <v>78</v>
      </c>
      <c r="B25" s="1" t="str">
        <f>IFERROR(VLOOKUP($A25,ItemsImport!$A$2:$AD970,MATCH("Description",ItemsImport!$A$1:$AE$1,0),FALSE),"")</f>
        <v>Restores 25 Hunger</v>
      </c>
      <c r="C25" s="1" t="str">
        <f>IFERROR(VLOOKUP($A25,ItemsImport!$A$2:$AD970,MATCH("Type",ItemsImport!$A$1:$AE$1,0),FALSE),"")</f>
        <v>Crop</v>
      </c>
      <c r="H25" s="4" t="b">
        <v>0</v>
      </c>
      <c r="I25" s="1" t="str">
        <f>IFERROR(VLOOKUP($A25,ItemsImport!$A$2:$AD970,MATCH("ItemLoc",ItemsImport!$A$1:$AE$1,0),FALSE),"")</f>
        <v>Land of Spira</v>
      </c>
      <c r="L25" s="1" t="str">
        <f>IFERROR(__xludf.DUMMYFUNCTION("""COMPUTED_VALUE"""),"Small Bang")</f>
        <v>Small Bang</v>
      </c>
      <c r="W25" s="1" t="str">
        <f>IFERROR(__xludf.DUMMYFUNCTION("""COMPUTED_VALUE"""),"Smoked Lamb")</f>
        <v>Smoked Lamb</v>
      </c>
      <c r="X25" s="1" t="str">
        <f t="shared" si="1"/>
        <v/>
      </c>
    </row>
    <row r="26">
      <c r="A26" s="1" t="s">
        <v>79</v>
      </c>
      <c r="B26" s="1" t="str">
        <f>IFERROR(VLOOKUP($A26,ItemsImport!$A$2:$AD970,MATCH("Description",ItemsImport!$A$1:$AE$1,0),FALSE),"")</f>
        <v>Restores 50 Hunger</v>
      </c>
      <c r="C26" s="1" t="str">
        <f>IFERROR(VLOOKUP($A26,ItemsImport!$A$2:$AD970,MATCH("Type",ItemsImport!$A$1:$AE$1,0),FALSE),"")</f>
        <v>Crop</v>
      </c>
      <c r="H26" s="4" t="b">
        <v>0</v>
      </c>
      <c r="I26" s="1" t="str">
        <f>IFERROR(VLOOKUP($A26,ItemsImport!$A$2:$AD970,MATCH("ItemLoc",ItemsImport!$A$1:$AE$1,0),FALSE),"")</f>
        <v>Land of Spira</v>
      </c>
      <c r="L26" s="1" t="str">
        <f>IFERROR(__xludf.DUMMYFUNCTION("""COMPUTED_VALUE"""),"Dragon Burst")</f>
        <v>Dragon Burst</v>
      </c>
      <c r="W26" s="1" t="str">
        <f>IFERROR(__xludf.DUMMYFUNCTION("""COMPUTED_VALUE"""),"Volcanic Venison")</f>
        <v>Volcanic Venison</v>
      </c>
      <c r="X26" s="1" t="str">
        <f t="shared" si="1"/>
        <v/>
      </c>
    </row>
    <row r="27">
      <c r="A27" s="1" t="s">
        <v>80</v>
      </c>
      <c r="B27" s="1" t="str">
        <f>IFERROR(VLOOKUP($A27,ItemsImport!$A$2:$AD970,MATCH("Description",ItemsImport!$A$1:$AE$1,0),FALSE),"")</f>
        <v>Restores 40 Hunger</v>
      </c>
      <c r="C27" s="1" t="str">
        <f>IFERROR(VLOOKUP($A27,ItemsImport!$A$2:$AD970,MATCH("Type",ItemsImport!$A$1:$AE$1,0),FALSE),"")</f>
        <v>Crop</v>
      </c>
      <c r="H27" s="4" t="b">
        <v>0</v>
      </c>
      <c r="I27" s="1" t="str">
        <f>IFERROR(VLOOKUP($A27,ItemsImport!$A$2:$AD970,MATCH("ItemLoc",ItemsImport!$A$1:$AE$1,0),FALSE),"")</f>
        <v>Land of Spira</v>
      </c>
      <c r="L27" s="1" t="str">
        <f>IFERROR(__xludf.DUMMYFUNCTION("""COMPUTED_VALUE"""),"Iguanian Assassin's Box")</f>
        <v>Iguanian Assassin's Box</v>
      </c>
      <c r="W27" s="1" t="str">
        <f>IFERROR(__xludf.DUMMYFUNCTION("""COMPUTED_VALUE"""),"Pulled Pork")</f>
        <v>Pulled Pork</v>
      </c>
      <c r="X27" s="1" t="str">
        <f t="shared" si="1"/>
        <v/>
      </c>
    </row>
    <row r="28">
      <c r="A28" s="1" t="s">
        <v>81</v>
      </c>
      <c r="B28" s="1" t="str">
        <f>IFERROR(VLOOKUP($A28,ItemsImport!$A$2:$AD970,MATCH("Description",ItemsImport!$A$1:$AE$1,0),FALSE),"")</f>
        <v>Restores 100 Thirst +100 energy</v>
      </c>
      <c r="C28" s="1" t="str">
        <f>IFERROR(VLOOKUP($A28,ItemsImport!$A$2:$AD970,MATCH("Type",ItemsImport!$A$1:$AE$1,0),FALSE),"")</f>
        <v>Item</v>
      </c>
      <c r="H28" s="4" t="b">
        <v>0</v>
      </c>
      <c r="I28" s="1" t="str">
        <f>IFERROR(VLOOKUP($A28,ItemsImport!$A$2:$AD970,MATCH("ItemLoc",ItemsImport!$A$1:$AE$1,0),FALSE),"")</f>
        <v>Land of Spira</v>
      </c>
      <c r="L28" s="1" t="str">
        <f>IFERROR(__xludf.DUMMYFUNCTION("""COMPUTED_VALUE"""),"Lizardfolk Warrior's Box")</f>
        <v>Lizardfolk Warrior's Box</v>
      </c>
      <c r="W28" s="1" t="str">
        <f>IFERROR(__xludf.DUMMYFUNCTION("""COMPUTED_VALUE"""),"Honeyed Nordic Mead")</f>
        <v>Honeyed Nordic Mead</v>
      </c>
      <c r="X28" s="1" t="str">
        <f t="shared" si="1"/>
        <v/>
      </c>
    </row>
    <row r="29">
      <c r="A29" s="1" t="s">
        <v>82</v>
      </c>
      <c r="B29" s="1" t="str">
        <f>IFERROR(VLOOKUP($A29,ItemsImport!$A$2:$AD970,MATCH("Description",ItemsImport!$A$1:$AE$1,0),FALSE),"")</f>
        <v>Restores 25 Thirst +15 energy</v>
      </c>
      <c r="C29" s="1" t="str">
        <f>IFERROR(VLOOKUP($A29,ItemsImport!$A$2:$AD970,MATCH("Type",ItemsImport!$A$1:$AE$1,0),FALSE),"")</f>
        <v>Item</v>
      </c>
      <c r="H29" s="4" t="b">
        <v>0</v>
      </c>
      <c r="I29" s="1" t="str">
        <f>IFERROR(VLOOKUP($A29,ItemsImport!$A$2:$AD970,MATCH("ItemLoc",ItemsImport!$A$1:$AE$1,0),FALSE),"")</f>
        <v>Land of Spira</v>
      </c>
      <c r="L29" s="1" t="str">
        <f>IFERROR(__xludf.DUMMYFUNCTION("""COMPUTED_VALUE"""),"Lizard Thief's Box")</f>
        <v>Lizard Thief's Box</v>
      </c>
      <c r="W29" s="1" t="str">
        <f>IFERROR(__xludf.DUMMYFUNCTION("""COMPUTED_VALUE"""),"Wine")</f>
        <v>Wine</v>
      </c>
      <c r="X29" s="1" t="str">
        <f t="shared" si="1"/>
        <v/>
      </c>
    </row>
    <row r="30">
      <c r="A30" s="1" t="s">
        <v>83</v>
      </c>
      <c r="B30" s="1" t="str">
        <f>IFERROR(VLOOKUP($A30,ItemsImport!$A$2:$AD970,MATCH("Description",ItemsImport!$A$1:$AE$1,0),FALSE),"")</f>
        <v>Restores 50 Thirst and hunger +25 energy</v>
      </c>
      <c r="C30" s="1" t="str">
        <f>IFERROR(VLOOKUP($A30,ItemsImport!$A$2:$AD970,MATCH("Type",ItemsImport!$A$1:$AE$1,0),FALSE),"")</f>
        <v>Crop</v>
      </c>
      <c r="H30" s="4" t="b">
        <v>0</v>
      </c>
      <c r="I30" s="1" t="str">
        <f>IFERROR(VLOOKUP($A30,ItemsImport!$A$2:$AD970,MATCH("ItemLoc",ItemsImport!$A$1:$AE$1,0),FALSE),"")</f>
        <v>Land of Spira</v>
      </c>
      <c r="L30" s="1" t="str">
        <f>IFERROR(__xludf.DUMMYFUNCTION("""COMPUTED_VALUE"""),"Lizard Wizard's Box")</f>
        <v>Lizard Wizard's Box</v>
      </c>
      <c r="W30" s="1" t="str">
        <f>IFERROR(__xludf.DUMMYFUNCTION("""COMPUTED_VALUE"""),"Melomel (Mead w/ fruit added)")</f>
        <v>Melomel (Mead w/ fruit added)</v>
      </c>
      <c r="X30" s="1" t="str">
        <f t="shared" si="1"/>
        <v/>
      </c>
    </row>
    <row r="31">
      <c r="A31" s="1" t="s">
        <v>84</v>
      </c>
      <c r="B31" s="1" t="str">
        <f>IFERROR(VLOOKUP($A31,ItemsImport!$A$2:$AD970,MATCH("Description",ItemsImport!$A$1:$AE$1,0),FALSE),"")</f>
        <v>Restore 200 thirst +150 energy, has a 50% to decrease your attack and accuracy by half for 3 game days (disorientated status effect) 
If you drink too much you will be known as a bumbling joker, stumbling stooge, jumbling jester, and or plastered plank (NPCs will start to call you this in-game as it will be listed on your character sheet as an ANTI-achievement)</v>
      </c>
      <c r="C31" s="1" t="str">
        <f>IFERROR(VLOOKUP($A31,ItemsImport!$A$2:$AD970,MATCH("Type",ItemsImport!$A$1:$AE$1,0),FALSE),"")</f>
        <v>Item</v>
      </c>
      <c r="H31" s="4" t="b">
        <v>0</v>
      </c>
      <c r="I31" s="1" t="str">
        <f>IFERROR(VLOOKUP($A31,ItemsImport!$A$2:$AD970,MATCH("ItemLoc",ItemsImport!$A$1:$AE$1,0),FALSE),"")</f>
        <v>Land of Spira</v>
      </c>
      <c r="L31" s="1" t="str">
        <f>IFERROR(__xludf.DUMMYFUNCTION("""COMPUTED_VALUE"""),"Iguanian Brawler's Box")</f>
        <v>Iguanian Brawler's Box</v>
      </c>
      <c r="W31" s="1" t="str">
        <f>IFERROR(__xludf.DUMMYFUNCTION("""COMPUTED_VALUE"""),"Docile Desert Djinn Gin")</f>
        <v>Docile Desert Djinn Gin</v>
      </c>
      <c r="X31" s="1" t="str">
        <f t="shared" si="1"/>
        <v/>
      </c>
    </row>
    <row r="32">
      <c r="A32" s="1" t="s">
        <v>85</v>
      </c>
      <c r="B32" s="1" t="str">
        <f>IFERROR(VLOOKUP($A32,ItemsImport!$A$2:$AD970,MATCH("Description",ItemsImport!$A$1:$AE$1,0),FALSE),"")</f>
        <v>Restores 100 energy.</v>
      </c>
      <c r="C32" s="1" t="str">
        <f>IFERROR(VLOOKUP($A32,ItemsImport!$A$2:$AD970,MATCH("Type",ItemsImport!$A$1:$AE$1,0),FALSE),"")</f>
        <v>Item</v>
      </c>
      <c r="H32" s="4" t="b">
        <v>0</v>
      </c>
      <c r="I32" s="1" t="str">
        <f>IFERROR(VLOOKUP($A32,ItemsImport!$A$2:$AD970,MATCH("ItemLoc",ItemsImport!$A$1:$AE$1,0),FALSE),"")</f>
        <v>Land of Spira</v>
      </c>
      <c r="L32" s="1" t="str">
        <f>IFERROR(__xludf.DUMMYFUNCTION("""COMPUTED_VALUE"""),"Iguanian Mage's Box")</f>
        <v>Iguanian Mage's Box</v>
      </c>
      <c r="W32" s="1" t="str">
        <f>IFERROR(__xludf.DUMMYFUNCTION("""COMPUTED_VALUE"""),"Small Battery")</f>
        <v>Small Battery</v>
      </c>
      <c r="X32" s="1" t="str">
        <f t="shared" si="1"/>
        <v/>
      </c>
    </row>
    <row r="33">
      <c r="A33" s="1" t="s">
        <v>86</v>
      </c>
      <c r="B33" s="1" t="str">
        <f>IFERROR(VLOOKUP($A33,ItemsImport!$A$2:$AD970,MATCH("Description",ItemsImport!$A$1:$AE$1,0),FALSE),"")</f>
        <v>Restores 250 energy.</v>
      </c>
      <c r="C33" s="1" t="str">
        <f>IFERROR(VLOOKUP($A33,ItemsImport!$A$2:$AD970,MATCH("Type",ItemsImport!$A$1:$AE$1,0),FALSE),"")</f>
        <v>Item</v>
      </c>
      <c r="H33" s="4" t="b">
        <v>0</v>
      </c>
      <c r="I33" s="1" t="str">
        <f>IFERROR(VLOOKUP($A33,ItemsImport!$A$2:$AD970,MATCH("ItemLoc",ItemsImport!$A$1:$AE$1,0),FALSE),"")</f>
        <v>Land of Spira</v>
      </c>
      <c r="W33" s="1" t="str">
        <f>IFERROR(__xludf.DUMMYFUNCTION("""COMPUTED_VALUE"""),"Medium Battery")</f>
        <v>Medium Battery</v>
      </c>
      <c r="X33" s="1" t="str">
        <f t="shared" si="1"/>
        <v/>
      </c>
    </row>
    <row r="34">
      <c r="A34" s="1" t="s">
        <v>87</v>
      </c>
      <c r="B34" s="1" t="str">
        <f>IFERROR(VLOOKUP($A34,ItemsImport!$A$2:$AD970,MATCH("Description",ItemsImport!$A$1:$AE$1,0),FALSE),"")</f>
        <v>Restores 500 energy.</v>
      </c>
      <c r="C34" s="1" t="str">
        <f>IFERROR(VLOOKUP($A34,ItemsImport!$A$2:$AD970,MATCH("Type",ItemsImport!$A$1:$AE$1,0),FALSE),"")</f>
        <v>Item</v>
      </c>
      <c r="H34" s="4" t="b">
        <v>0</v>
      </c>
      <c r="I34" s="1" t="str">
        <f>IFERROR(VLOOKUP($A34,ItemsImport!$A$2:$AD970,MATCH("ItemLoc",ItemsImport!$A$1:$AE$1,0),FALSE),"")</f>
        <v>Land of Spira</v>
      </c>
      <c r="W34" s="1" t="str">
        <f>IFERROR(__xludf.DUMMYFUNCTION("""COMPUTED_VALUE"""),"Large Battery")</f>
        <v>Large Battery</v>
      </c>
      <c r="X34" s="1" t="str">
        <f t="shared" si="1"/>
        <v/>
      </c>
    </row>
    <row r="35">
      <c r="A35" s="1"/>
      <c r="B35" s="1" t="str">
        <f>IFERROR(VLOOKUP($A35,ItemsImport!$A$2:$AD970,MATCH("Description",ItemsImport!$A$1:$AE$1,0),FALSE),"")</f>
        <v/>
      </c>
      <c r="C35" s="1" t="str">
        <f>IFERROR(VLOOKUP($A35,ItemsImport!$A$2:$AD970,MATCH("Type",ItemsImport!$A$1:$AE$1,0),FALSE),"")</f>
        <v/>
      </c>
      <c r="H35" s="4" t="b">
        <v>0</v>
      </c>
      <c r="I35" s="1" t="str">
        <f>IFERROR(VLOOKUP($A35,ItemsImport!$A$2:$AD970,MATCH("ItemLoc",ItemsImport!$A$1:$AE$1,0),FALSE),"")</f>
        <v/>
      </c>
      <c r="W35" s="1" t="str">
        <f>IFERROR(__xludf.DUMMYFUNCTION("""COMPUTED_VALUE"""),"Wind Queen's Soul")</f>
        <v>Wind Queen's Soul</v>
      </c>
      <c r="X35" s="1" t="str">
        <f t="shared" si="1"/>
        <v>Wind Queen's Soul</v>
      </c>
    </row>
    <row r="36">
      <c r="A36" s="1"/>
      <c r="B36" s="1" t="str">
        <f>IFERROR(VLOOKUP($A36,ItemsImport!$A$2:$AD970,MATCH("Description",ItemsImport!$A$1:$AE$1,0),FALSE),"")</f>
        <v/>
      </c>
      <c r="C36" s="1" t="str">
        <f>IFERROR(VLOOKUP($A36,ItemsImport!$A$2:$AD970,MATCH("Type",ItemsImport!$A$1:$AE$1,0),FALSE),"")</f>
        <v/>
      </c>
      <c r="H36" s="4" t="b">
        <v>0</v>
      </c>
      <c r="I36" s="1" t="str">
        <f>IFERROR(VLOOKUP($A36,ItemsImport!$A$2:$AD970,MATCH("ItemLoc",ItemsImport!$A$1:$AE$1,0),FALSE),"")</f>
        <v/>
      </c>
      <c r="W36" s="1" t="str">
        <f>IFERROR(__xludf.DUMMYFUNCTION("""COMPUTED_VALUE"""),"Wave Queen's Soul")</f>
        <v>Wave Queen's Soul</v>
      </c>
      <c r="X36" s="1" t="str">
        <f t="shared" si="1"/>
        <v>Wave Queen's Soul</v>
      </c>
    </row>
    <row r="37">
      <c r="A37" s="1"/>
      <c r="B37" s="1" t="str">
        <f>IFERROR(VLOOKUP($A37,ItemsImport!$A$2:$AD970,MATCH("Description",ItemsImport!$A$1:$AE$1,0),FALSE),"")</f>
        <v/>
      </c>
      <c r="C37" s="1" t="str">
        <f>IFERROR(VLOOKUP($A37,ItemsImport!$A$2:$AD970,MATCH("Type",ItemsImport!$A$1:$AE$1,0),FALSE),"")</f>
        <v/>
      </c>
      <c r="H37" s="4" t="b">
        <v>0</v>
      </c>
      <c r="I37" s="1" t="str">
        <f>IFERROR(VLOOKUP($A37,ItemsImport!$A$2:$AD970,MATCH("ItemLoc",ItemsImport!$A$1:$AE$1,0),FALSE),"")</f>
        <v/>
      </c>
      <c r="W37" s="1" t="str">
        <f>IFERROR(__xludf.DUMMYFUNCTION("""COMPUTED_VALUE"""),"Storm King's Soul")</f>
        <v>Storm King's Soul</v>
      </c>
      <c r="X37" s="1" t="str">
        <f t="shared" si="1"/>
        <v>Storm King's Soul</v>
      </c>
    </row>
    <row r="38">
      <c r="A38" s="1"/>
      <c r="B38" s="1" t="str">
        <f>IFERROR(VLOOKUP($A38,ItemsImport!$A$2:$AD970,MATCH("Description",ItemsImport!$A$1:$AE$1,0),FALSE),"")</f>
        <v/>
      </c>
      <c r="C38" s="1" t="str">
        <f>IFERROR(VLOOKUP($A38,ItemsImport!$A$2:$AD970,MATCH("Type",ItemsImport!$A$1:$AE$1,0),FALSE),"")</f>
        <v/>
      </c>
      <c r="H38" s="4" t="b">
        <v>0</v>
      </c>
      <c r="I38" s="1" t="str">
        <f>IFERROR(VLOOKUP($A38,ItemsImport!$A$2:$AD970,MATCH("ItemLoc",ItemsImport!$A$1:$AE$1,0),FALSE),"")</f>
        <v/>
      </c>
      <c r="W38" s="1" t="str">
        <f>IFERROR(__xludf.DUMMYFUNCTION("""COMPUTED_VALUE"""),"Stone King's Soul")</f>
        <v>Stone King's Soul</v>
      </c>
      <c r="X38" s="1" t="str">
        <f t="shared" si="1"/>
        <v>Stone King's Soul</v>
      </c>
    </row>
    <row r="39">
      <c r="A39" s="1"/>
      <c r="B39" s="1" t="str">
        <f>IFERROR(VLOOKUP($A39,ItemsImport!$A$2:$AD970,MATCH("Description",ItemsImport!$A$1:$AE$1,0),FALSE),"")</f>
        <v/>
      </c>
      <c r="C39" s="1" t="str">
        <f>IFERROR(VLOOKUP($A39,ItemsImport!$A$2:$AD970,MATCH("Type",ItemsImport!$A$1:$AE$1,0),FALSE),"")</f>
        <v/>
      </c>
      <c r="H39" s="4" t="b">
        <v>0</v>
      </c>
      <c r="I39" s="1" t="str">
        <f>IFERROR(VLOOKUP($A39,ItemsImport!$A$2:$AD970,MATCH("ItemLoc",ItemsImport!$A$1:$AE$1,0),FALSE),"")</f>
        <v/>
      </c>
      <c r="W39" s="1" t="str">
        <f>IFERROR(__xludf.DUMMYFUNCTION("""COMPUTED_VALUE"""),"Inferno King Soul")</f>
        <v>Inferno King Soul</v>
      </c>
      <c r="X39" s="1" t="str">
        <f t="shared" si="1"/>
        <v>Inferno King Soul</v>
      </c>
    </row>
    <row r="40">
      <c r="A40" s="1"/>
      <c r="B40" s="1" t="str">
        <f>IFERROR(VLOOKUP($A40,ItemsImport!$A$2:$AD970,MATCH("Description",ItemsImport!$A$1:$AE$1,0),FALSE),"")</f>
        <v/>
      </c>
      <c r="C40" s="1" t="str">
        <f>IFERROR(VLOOKUP($A40,ItemsImport!$A$2:$AD970,MATCH("Type",ItemsImport!$A$1:$AE$1,0),FALSE),"")</f>
        <v/>
      </c>
      <c r="H40" s="4" t="b">
        <v>0</v>
      </c>
      <c r="I40" s="1" t="str">
        <f>IFERROR(VLOOKUP($A40,ItemsImport!$A$2:$AD970,MATCH("ItemLoc",ItemsImport!$A$1:$AE$1,0),FALSE),"")</f>
        <v/>
      </c>
      <c r="W40" s="1"/>
      <c r="X40" s="1" t="str">
        <f t="shared" si="1"/>
        <v/>
      </c>
    </row>
    <row r="41">
      <c r="A41" s="1"/>
      <c r="B41" s="1" t="str">
        <f>IFERROR(VLOOKUP($A41,ItemsImport!$A$2:$AD970,MATCH("Description",ItemsImport!$A$1:$AE$1,0),FALSE),"")</f>
        <v/>
      </c>
      <c r="C41" s="1" t="str">
        <f>IFERROR(VLOOKUP($A41,ItemsImport!$A$2:$AD970,MATCH("Type",ItemsImport!$A$1:$AE$1,0),FALSE),"")</f>
        <v/>
      </c>
      <c r="H41" s="4" t="b">
        <v>0</v>
      </c>
      <c r="I41" s="1" t="str">
        <f>IFERROR(VLOOKUP($A41,ItemsImport!$A$2:$AD970,MATCH("ItemLoc",ItemsImport!$A$1:$AE$1,0),FALSE),"")</f>
        <v/>
      </c>
      <c r="W41" s="1"/>
      <c r="X41" s="1" t="str">
        <f t="shared" si="1"/>
        <v/>
      </c>
    </row>
    <row r="42">
      <c r="A42" s="1"/>
      <c r="B42" s="1" t="str">
        <f>IFERROR(VLOOKUP($A42,ItemsImport!$A$2:$AD970,MATCH("Description",ItemsImport!$A$1:$AE$1,0),FALSE),"")</f>
        <v/>
      </c>
      <c r="C42" s="1" t="str">
        <f>IFERROR(VLOOKUP($A42,ItemsImport!$A$2:$AD970,MATCH("Type",ItemsImport!$A$1:$AE$1,0),FALSE),"")</f>
        <v/>
      </c>
      <c r="H42" s="4" t="b">
        <v>0</v>
      </c>
      <c r="I42" s="1" t="str">
        <f>IFERROR(VLOOKUP($A42,ItemsImport!$A$2:$AD970,MATCH("ItemLoc",ItemsImport!$A$1:$AE$1,0),FALSE),"")</f>
        <v/>
      </c>
      <c r="W42" s="1"/>
      <c r="X42" s="1" t="str">
        <f t="shared" si="1"/>
        <v/>
      </c>
    </row>
    <row r="43">
      <c r="A43" s="1"/>
      <c r="B43" s="1" t="str">
        <f>IFERROR(VLOOKUP($A43,ItemsImport!$A$2:$AD970,MATCH("Description",ItemsImport!$A$1:$AE$1,0),FALSE),"")</f>
        <v/>
      </c>
      <c r="C43" s="1" t="str">
        <f>IFERROR(VLOOKUP($A43,ItemsImport!$A$2:$AD970,MATCH("Type",ItemsImport!$A$1:$AE$1,0),FALSE),"")</f>
        <v/>
      </c>
      <c r="H43" s="4" t="b">
        <v>0</v>
      </c>
      <c r="I43" s="1" t="str">
        <f>IFERROR(VLOOKUP($A43,ItemsImport!$A$2:$AD970,MATCH("ItemLoc",ItemsImport!$A$1:$AE$1,0),FALSE),"")</f>
        <v/>
      </c>
      <c r="W43" s="1"/>
      <c r="X43" s="1" t="str">
        <f t="shared" si="1"/>
        <v/>
      </c>
    </row>
    <row r="44">
      <c r="A44" s="1"/>
      <c r="B44" s="1" t="str">
        <f>IFERROR(VLOOKUP($A44,ItemsImport!$A$2:$AD970,MATCH("Description",ItemsImport!$A$1:$AE$1,0),FALSE),"")</f>
        <v/>
      </c>
      <c r="C44" s="1" t="str">
        <f>IFERROR(VLOOKUP($A44,ItemsImport!$A$2:$AD970,MATCH("Type",ItemsImport!$A$1:$AE$1,0),FALSE),"")</f>
        <v/>
      </c>
      <c r="H44" s="4" t="b">
        <v>0</v>
      </c>
      <c r="I44" s="1" t="str">
        <f>IFERROR(VLOOKUP($A44,ItemsImport!$A$2:$AD970,MATCH("ItemLoc",ItemsImport!$A$1:$AE$1,0),FALSE),"")</f>
        <v/>
      </c>
      <c r="W44" s="1"/>
      <c r="X44" s="1" t="str">
        <f t="shared" si="1"/>
        <v/>
      </c>
    </row>
    <row r="45">
      <c r="A45" s="1"/>
      <c r="B45" s="1" t="str">
        <f>IFERROR(VLOOKUP($A45,ItemsImport!$A$2:$AD970,MATCH("Description",ItemsImport!$A$1:$AE$1,0),FALSE),"")</f>
        <v/>
      </c>
      <c r="C45" s="1" t="str">
        <f>IFERROR(VLOOKUP($A45,ItemsImport!$A$2:$AD970,MATCH("Type",ItemsImport!$A$1:$AE$1,0),FALSE),"")</f>
        <v/>
      </c>
      <c r="H45" s="4" t="b">
        <v>0</v>
      </c>
      <c r="I45" s="1" t="str">
        <f>IFERROR(VLOOKUP($A45,ItemsImport!$A$2:$AD970,MATCH("ItemLoc",ItemsImport!$A$1:$AE$1,0),FALSE),"")</f>
        <v/>
      </c>
      <c r="W45" s="1"/>
      <c r="X45" s="1" t="str">
        <f t="shared" si="1"/>
        <v/>
      </c>
    </row>
    <row r="46">
      <c r="A46" s="1"/>
      <c r="B46" s="1" t="str">
        <f>IFERROR(VLOOKUP($A46,ItemsImport!$A$2:$AD970,MATCH("Description",ItemsImport!$A$1:$AE$1,0),FALSE),"")</f>
        <v/>
      </c>
      <c r="C46" s="1" t="str">
        <f>IFERROR(VLOOKUP($A46,ItemsImport!$A$2:$AD970,MATCH("Type",ItemsImport!$A$1:$AE$1,0),FALSE),"")</f>
        <v/>
      </c>
      <c r="H46" s="4" t="b">
        <v>0</v>
      </c>
      <c r="I46" s="1" t="str">
        <f>IFERROR(VLOOKUP($A46,ItemsImport!$A$2:$AD970,MATCH("ItemLoc",ItemsImport!$A$1:$AE$1,0),FALSE),"")</f>
        <v/>
      </c>
      <c r="W46" s="1"/>
      <c r="X46" s="1" t="str">
        <f t="shared" si="1"/>
        <v/>
      </c>
    </row>
    <row r="47">
      <c r="A47" s="1"/>
      <c r="B47" s="1" t="str">
        <f>IFERROR(VLOOKUP($A47,ItemsImport!$A$2:$AD970,MATCH("Description",ItemsImport!$A$1:$AE$1,0),FALSE),"")</f>
        <v/>
      </c>
      <c r="C47" s="1" t="str">
        <f>IFERROR(VLOOKUP($A47,ItemsImport!$A$2:$AD970,MATCH("Type",ItemsImport!$A$1:$AE$1,0),FALSE),"")</f>
        <v/>
      </c>
      <c r="H47" s="4" t="b">
        <v>0</v>
      </c>
      <c r="I47" s="1" t="str">
        <f>IFERROR(VLOOKUP($A47,ItemsImport!$A$2:$AD970,MATCH("ItemLoc",ItemsImport!$A$1:$AE$1,0),FALSE),"")</f>
        <v/>
      </c>
      <c r="W47" s="1"/>
      <c r="X47" s="1" t="str">
        <f t="shared" si="1"/>
        <v/>
      </c>
    </row>
    <row r="48">
      <c r="A48" s="1"/>
      <c r="B48" s="1" t="str">
        <f>IFERROR(VLOOKUP($A48,ItemsImport!$A$2:$AD970,MATCH("Description",ItemsImport!$A$1:$AE$1,0),FALSE),"")</f>
        <v/>
      </c>
      <c r="C48" s="1" t="str">
        <f>IFERROR(VLOOKUP($A48,ItemsImport!$A$2:$AD970,MATCH("Type",ItemsImport!$A$1:$AE$1,0),FALSE),"")</f>
        <v/>
      </c>
      <c r="H48" s="4" t="b">
        <v>0</v>
      </c>
      <c r="I48" s="1" t="str">
        <f>IFERROR(VLOOKUP($A48,ItemsImport!$A$2:$AD970,MATCH("ItemLoc",ItemsImport!$A$1:$AE$1,0),FALSE),"")</f>
        <v/>
      </c>
      <c r="W48" s="1"/>
      <c r="X48" s="1" t="str">
        <f t="shared" si="1"/>
        <v/>
      </c>
    </row>
    <row r="49">
      <c r="A49" s="1" t="s">
        <v>88</v>
      </c>
      <c r="B49" s="1" t="str">
        <f>IFERROR(VLOOKUP($A49,ItemsImport!$A$2:$AD970,MATCH("Description",ItemsImport!$A$1:$AE$1,0),FALSE),"")</f>
        <v/>
      </c>
      <c r="C49" s="1" t="str">
        <f>IFERROR(VLOOKUP($A49,ItemsImport!$A$2:$AD970,MATCH("Type",ItemsImport!$A$1:$AE$1,0),FALSE),"")</f>
        <v>Item</v>
      </c>
      <c r="H49" s="4" t="b">
        <v>0</v>
      </c>
      <c r="I49" s="1" t="str">
        <f>IFERROR(VLOOKUP($A49,ItemsImport!$A$2:$AD970,MATCH("ItemLoc",ItemsImport!$A$1:$AE$1,0),FALSE),"")</f>
        <v>Land of Spira</v>
      </c>
      <c r="W49" s="1" t="str">
        <f>IFERROR(__xludf.DUMMYFUNCTION("""COMPUTED_VALUE"""),"Docile Desert Djinn’s Gin")</f>
        <v>Docile Desert Djinn’s Gin</v>
      </c>
      <c r="X49" s="1" t="str">
        <f t="shared" si="1"/>
        <v/>
      </c>
    </row>
    <row r="50">
      <c r="A50" s="1" t="s">
        <v>89</v>
      </c>
      <c r="B50" s="1" t="str">
        <f>IFERROR(VLOOKUP($A50,ItemsImport!$A$2:$AD970,MATCH("Description",ItemsImport!$A$1:$AE$1,0),FALSE),"")</f>
        <v>Restores 20HP</v>
      </c>
      <c r="C50" s="1" t="str">
        <f>IFERROR(VLOOKUP($A50,ItemsImport!$A$2:$AD970,MATCH("Type",ItemsImport!$A$1:$AE$1,0),FALSE),"")</f>
        <v>Item</v>
      </c>
      <c r="H50" s="4" t="b">
        <v>0</v>
      </c>
      <c r="I50" s="1" t="str">
        <f>IFERROR(VLOOKUP($A50,ItemsImport!$A$2:$AD970,MATCH("ItemLoc",ItemsImport!$A$1:$AE$1,0),FALSE),"")</f>
        <v>Land of Spira</v>
      </c>
      <c r="W50" s="1" t="str">
        <f>IFERROR(__xludf.DUMMYFUNCTION("""COMPUTED_VALUE"""),"Minor Health Potion")</f>
        <v>Minor Health Potion</v>
      </c>
      <c r="X50" s="1" t="str">
        <f t="shared" si="1"/>
        <v/>
      </c>
    </row>
    <row r="51">
      <c r="A51" s="1" t="s">
        <v>90</v>
      </c>
      <c r="B51" s="1" t="str">
        <f>IFERROR(VLOOKUP($A51,ItemsImport!$A$2:$AD970,MATCH("Description",ItemsImport!$A$1:$AE$1,0),FALSE),"")</f>
        <v>Restores 50HP</v>
      </c>
      <c r="C51" s="1" t="str">
        <f>IFERROR(VLOOKUP($A51,ItemsImport!$A$2:$AD970,MATCH("Type",ItemsImport!$A$1:$AE$1,0),FALSE),"")</f>
        <v>Item</v>
      </c>
      <c r="H51" s="4" t="b">
        <v>0</v>
      </c>
      <c r="I51" s="1" t="str">
        <f>IFERROR(VLOOKUP($A51,ItemsImport!$A$2:$AD970,MATCH("ItemLoc",ItemsImport!$A$1:$AE$1,0),FALSE),"")</f>
        <v>Land of Spira</v>
      </c>
      <c r="W51" s="1" t="str">
        <f>IFERROR(__xludf.DUMMYFUNCTION("""COMPUTED_VALUE"""),"Medium Health Potion")</f>
        <v>Medium Health Potion</v>
      </c>
      <c r="X51" s="1" t="str">
        <f t="shared" si="1"/>
        <v/>
      </c>
    </row>
    <row r="52">
      <c r="A52" s="1" t="s">
        <v>91</v>
      </c>
      <c r="B52" s="1" t="str">
        <f>IFERROR(VLOOKUP($A52,ItemsImport!$A$2:$AD970,MATCH("Description",ItemsImport!$A$1:$AE$1,0),FALSE),"")</f>
        <v>Restores 100HP</v>
      </c>
      <c r="C52" s="1" t="str">
        <f>IFERROR(VLOOKUP($A52,ItemsImport!$A$2:$AD970,MATCH("Type",ItemsImport!$A$1:$AE$1,0),FALSE),"")</f>
        <v>Item</v>
      </c>
      <c r="H52" s="4" t="b">
        <v>0</v>
      </c>
      <c r="I52" s="1" t="str">
        <f>IFERROR(VLOOKUP($A52,ItemsImport!$A$2:$AD970,MATCH("ItemLoc",ItemsImport!$A$1:$AE$1,0),FALSE),"")</f>
        <v>Land of Spira</v>
      </c>
      <c r="W52" s="1" t="str">
        <f>IFERROR(__xludf.DUMMYFUNCTION("""COMPUTED_VALUE"""),"Max Health Potion")</f>
        <v>Max Health Potion</v>
      </c>
      <c r="X52" s="1" t="str">
        <f t="shared" si="1"/>
        <v/>
      </c>
    </row>
    <row r="53">
      <c r="A53" s="1" t="s">
        <v>92</v>
      </c>
      <c r="B53" s="1" t="str">
        <f>IFERROR(VLOOKUP($A53,ItemsImport!$A$2:$AD970,MATCH("Description",ItemsImport!$A$1:$AE$1,0),FALSE),"")</f>
        <v>Restores 20SP</v>
      </c>
      <c r="C53" s="1" t="str">
        <f>IFERROR(VLOOKUP($A53,ItemsImport!$A$2:$AD970,MATCH("Type",ItemsImport!$A$1:$AE$1,0),FALSE),"")</f>
        <v>Item</v>
      </c>
      <c r="H53" s="4" t="b">
        <v>0</v>
      </c>
      <c r="I53" s="1" t="str">
        <f>IFERROR(VLOOKUP($A53,ItemsImport!$A$2:$AD970,MATCH("ItemLoc",ItemsImport!$A$1:$AE$1,0),FALSE),"")</f>
        <v>Land of Spira</v>
      </c>
      <c r="W53" s="1" t="str">
        <f>IFERROR(__xludf.DUMMYFUNCTION("""COMPUTED_VALUE"""),"Minor Mana Potion")</f>
        <v>Minor Mana Potion</v>
      </c>
      <c r="X53" s="1" t="str">
        <f t="shared" si="1"/>
        <v/>
      </c>
    </row>
    <row r="54">
      <c r="A54" s="1" t="s">
        <v>93</v>
      </c>
      <c r="B54" s="1" t="str">
        <f>IFERROR(VLOOKUP($A54,ItemsImport!$A$2:$AD970,MATCH("Description",ItemsImport!$A$1:$AE$1,0),FALSE),"")</f>
        <v>Restores 50SP</v>
      </c>
      <c r="C54" s="1" t="str">
        <f>IFERROR(VLOOKUP($A54,ItemsImport!$A$2:$AD970,MATCH("Type",ItemsImport!$A$1:$AE$1,0),FALSE),"")</f>
        <v>Item</v>
      </c>
      <c r="H54" s="4" t="b">
        <v>0</v>
      </c>
      <c r="I54" s="1" t="str">
        <f>IFERROR(VLOOKUP($A54,ItemsImport!$A$2:$AD970,MATCH("ItemLoc",ItemsImport!$A$1:$AE$1,0),FALSE),"")</f>
        <v>Land of Spira</v>
      </c>
      <c r="W54" s="1" t="str">
        <f>IFERROR(__xludf.DUMMYFUNCTION("""COMPUTED_VALUE"""),"Medium Mana Potion")</f>
        <v>Medium Mana Potion</v>
      </c>
      <c r="X54" s="1" t="str">
        <f t="shared" si="1"/>
        <v/>
      </c>
    </row>
    <row r="55">
      <c r="A55" s="1" t="s">
        <v>94</v>
      </c>
      <c r="B55" s="1" t="str">
        <f>IFERROR(VLOOKUP($A55,ItemsImport!$A$2:$AD970,MATCH("Description",ItemsImport!$A$1:$AE$1,0),FALSE),"")</f>
        <v>Restores 100SP</v>
      </c>
      <c r="C55" s="1" t="str">
        <f>IFERROR(VLOOKUP($A55,ItemsImport!$A$2:$AD970,MATCH("Type",ItemsImport!$A$1:$AE$1,0),FALSE),"")</f>
        <v>Item</v>
      </c>
      <c r="H55" s="4" t="b">
        <v>0</v>
      </c>
      <c r="I55" s="1" t="str">
        <f>IFERROR(VLOOKUP($A55,ItemsImport!$A$2:$AD970,MATCH("ItemLoc",ItemsImport!$A$1:$AE$1,0),FALSE),"")</f>
        <v>Land of Spira</v>
      </c>
      <c r="W55" s="1" t="str">
        <f>IFERROR(__xludf.DUMMYFUNCTION("""COMPUTED_VALUE"""),"Max Mana Potion")</f>
        <v>Max Mana Potion</v>
      </c>
      <c r="X55" s="1" t="str">
        <f t="shared" si="1"/>
        <v/>
      </c>
    </row>
    <row r="56">
      <c r="A56" s="1" t="s">
        <v>95</v>
      </c>
      <c r="B56" s="1" t="str">
        <f>IFERROR(VLOOKUP($A56,ItemsImport!$A$2:$AD970,MATCH("Description",ItemsImport!$A$1:$AE$1,0),FALSE),"")</f>
        <v>Allows multishot use without consuming mana</v>
      </c>
      <c r="C56" s="1" t="str">
        <f>IFERROR(VLOOKUP($A56,ItemsImport!$A$2:$AD970,MATCH("Type",ItemsImport!$A$1:$AE$1,0),FALSE),"")</f>
        <v>Item</v>
      </c>
      <c r="H56" s="4" t="b">
        <v>0</v>
      </c>
      <c r="I56" s="1" t="str">
        <f>IFERROR(VLOOKUP($A56,ItemsImport!$A$2:$AD970,MATCH("ItemLoc",ItemsImport!$A$1:$AE$1,0),FALSE),"")</f>
        <v>Land of Spira</v>
      </c>
      <c r="W56" s="1" t="str">
        <f>IFERROR(__xludf.DUMMYFUNCTION("""COMPUTED_VALUE"""),"Potion of Multishot")</f>
        <v>Potion of Multishot</v>
      </c>
      <c r="X56" s="1" t="str">
        <f t="shared" si="1"/>
        <v/>
      </c>
    </row>
    <row r="57">
      <c r="A57" s="1" t="s">
        <v>96</v>
      </c>
      <c r="B57" s="1" t="str">
        <f>IFERROR(VLOOKUP($A57,ItemsImport!$A$2:$AD970,MATCH("Description",ItemsImport!$A$1:$AE$1,0),FALSE),"")</f>
        <v>Allows use of Eel Nado without consuming mana</v>
      </c>
      <c r="C57" s="1" t="str">
        <f>IFERROR(VLOOKUP($A57,ItemsImport!$A$2:$AD970,MATCH("Type",ItemsImport!$A$1:$AE$1,0),FALSE),"")</f>
        <v>Item</v>
      </c>
      <c r="H57" s="4" t="b">
        <v>0</v>
      </c>
      <c r="I57" s="1" t="str">
        <f>IFERROR(VLOOKUP($A57,ItemsImport!$A$2:$AD970,MATCH("ItemLoc",ItemsImport!$A$1:$AE$1,0),FALSE),"")</f>
        <v>Land of Spira</v>
      </c>
      <c r="W57" s="1" t="str">
        <f>IFERROR(__xludf.DUMMYFUNCTION("""COMPUTED_VALUE"""),"Potion of Eel Nado")</f>
        <v>Potion of Eel Nado</v>
      </c>
      <c r="X57" s="1" t="str">
        <f t="shared" si="1"/>
        <v/>
      </c>
    </row>
    <row r="58">
      <c r="A58" s="1" t="s">
        <v>97</v>
      </c>
      <c r="B58" s="1" t="str">
        <f>IFERROR(VLOOKUP($A58,ItemsImport!$A$2:$AD970,MATCH("Description",ItemsImport!$A$1:$AE$1,0),FALSE),"")</f>
        <v>Restores 10 Health</v>
      </c>
      <c r="C58" s="1" t="str">
        <f>IFERROR(VLOOKUP($A58,ItemsImport!$A$2:$AD970,MATCH("Type",ItemsImport!$A$1:$AE$1,0),FALSE),"")</f>
        <v>Item</v>
      </c>
      <c r="H58" s="4" t="b">
        <v>0</v>
      </c>
      <c r="I58" s="1" t="str">
        <f>IFERROR(VLOOKUP($A58,ItemsImport!$A$2:$AD970,MATCH("ItemLoc",ItemsImport!$A$1:$AE$1,0),FALSE),"")</f>
        <v>Land of Spira</v>
      </c>
      <c r="W58" s="1" t="str">
        <f>IFERROR(__xludf.DUMMYFUNCTION("""COMPUTED_VALUE"""),"Potion of Minor Health")</f>
        <v>Potion of Minor Health</v>
      </c>
      <c r="X58" s="1" t="str">
        <f t="shared" si="1"/>
        <v/>
      </c>
    </row>
    <row r="59">
      <c r="A59" s="1" t="s">
        <v>98</v>
      </c>
      <c r="B59" s="1" t="str">
        <f>IFERROR(VLOOKUP($A59,ItemsImport!$A$2:$AD970,MATCH("Description",ItemsImport!$A$1:$AE$1,0),FALSE),"")</f>
        <v>Restores 50 Health</v>
      </c>
      <c r="C59" s="1" t="str">
        <f>IFERROR(VLOOKUP($A59,ItemsImport!$A$2:$AD970,MATCH("Type",ItemsImport!$A$1:$AE$1,0),FALSE),"")</f>
        <v>Item</v>
      </c>
      <c r="H59" s="4" t="b">
        <v>0</v>
      </c>
      <c r="I59" s="1" t="str">
        <f>IFERROR(VLOOKUP($A59,ItemsImport!$A$2:$AD970,MATCH("ItemLoc",ItemsImport!$A$1:$AE$1,0),FALSE),"")</f>
        <v>Land of Spira</v>
      </c>
      <c r="W59" s="1" t="str">
        <f>IFERROR(__xludf.DUMMYFUNCTION("""COMPUTED_VALUE"""),"Potion of Health")</f>
        <v>Potion of Health</v>
      </c>
      <c r="X59" s="1" t="str">
        <f t="shared" si="1"/>
        <v/>
      </c>
    </row>
    <row r="60">
      <c r="A60" s="1" t="s">
        <v>99</v>
      </c>
      <c r="B60" s="1" t="str">
        <f>IFERROR(VLOOKUP($A60,ItemsImport!$A$2:$AD970,MATCH("Description",ItemsImport!$A$1:$AE$1,0),FALSE),"")</f>
        <v>Restores 100 Health</v>
      </c>
      <c r="C60" s="1" t="str">
        <f>IFERROR(VLOOKUP($A60,ItemsImport!$A$2:$AD970,MATCH("Type",ItemsImport!$A$1:$AE$1,0),FALSE),"")</f>
        <v>Item</v>
      </c>
      <c r="H60" s="4" t="b">
        <v>0</v>
      </c>
      <c r="I60" s="1" t="str">
        <f>IFERROR(VLOOKUP($A60,ItemsImport!$A$2:$AD970,MATCH("ItemLoc",ItemsImport!$A$1:$AE$1,0),FALSE),"")</f>
        <v>Land of Spira</v>
      </c>
      <c r="W60" s="1" t="str">
        <f>IFERROR(__xludf.DUMMYFUNCTION("""COMPUTED_VALUE"""),"Potion of Major Health")</f>
        <v>Potion of Major Health</v>
      </c>
      <c r="X60" s="1" t="str">
        <f t="shared" si="1"/>
        <v/>
      </c>
    </row>
    <row r="61">
      <c r="A61" s="1" t="s">
        <v>100</v>
      </c>
      <c r="B61" s="1" t="str">
        <f>IFERROR(VLOOKUP($A61,ItemsImport!$A$2:$AD970,MATCH("Description",ItemsImport!$A$1:$AE$1,0),FALSE),"")</f>
        <v>: + +500HP p/r for 3 rounds.</v>
      </c>
      <c r="C61" s="1" t="str">
        <f>IFERROR(VLOOKUP($A61,ItemsImport!$A$2:$AD970,MATCH("Type",ItemsImport!$A$1:$AE$1,0),FALSE),"")</f>
        <v>Item</v>
      </c>
      <c r="H61" s="4" t="b">
        <v>0</v>
      </c>
      <c r="I61" s="1" t="str">
        <f>IFERROR(VLOOKUP($A61,ItemsImport!$A$2:$AD970,MATCH("ItemLoc",ItemsImport!$A$1:$AE$1,0),FALSE),"")</f>
        <v>Land of Spira</v>
      </c>
      <c r="W61" s="1"/>
      <c r="X61" s="1" t="str">
        <f t="shared" si="1"/>
        <v/>
      </c>
    </row>
    <row r="62">
      <c r="A62" s="1" t="s">
        <v>101</v>
      </c>
      <c r="B62" s="1" t="str">
        <f>IFERROR(VLOOKUP($A62,ItemsImport!$A$2:$AD970,MATCH("Description",ItemsImport!$A$1:$AE$1,0),FALSE),"")</f>
        <v>Restores 10 SP</v>
      </c>
      <c r="C62" s="1" t="str">
        <f>IFERROR(VLOOKUP($A62,ItemsImport!$A$2:$AD970,MATCH("Type",ItemsImport!$A$1:$AE$1,0),FALSE),"")</f>
        <v>Item</v>
      </c>
      <c r="H62" s="4" t="b">
        <v>0</v>
      </c>
      <c r="I62" s="1" t="str">
        <f>IFERROR(VLOOKUP($A62,ItemsImport!$A$2:$AD970,MATCH("ItemLoc",ItemsImport!$A$1:$AE$1,0),FALSE),"")</f>
        <v>Land of Spira</v>
      </c>
      <c r="W62" s="1" t="str">
        <f>IFERROR(__xludf.DUMMYFUNCTION("""COMPUTED_VALUE"""),"Potion of Minor Mana")</f>
        <v>Potion of Minor Mana</v>
      </c>
      <c r="X62" s="1" t="str">
        <f t="shared" si="1"/>
        <v/>
      </c>
    </row>
    <row r="63">
      <c r="A63" s="1" t="s">
        <v>102</v>
      </c>
      <c r="B63" s="1" t="str">
        <f>IFERROR(VLOOKUP($A63,ItemsImport!$A$2:$AD970,MATCH("Description",ItemsImport!$A$1:$AE$1,0),FALSE),"")</f>
        <v>Restores 50 SP</v>
      </c>
      <c r="C63" s="1" t="str">
        <f>IFERROR(VLOOKUP($A63,ItemsImport!$A$2:$AD970,MATCH("Type",ItemsImport!$A$1:$AE$1,0),FALSE),"")</f>
        <v>Item</v>
      </c>
      <c r="H63" s="4" t="b">
        <v>0</v>
      </c>
      <c r="I63" s="1" t="str">
        <f>IFERROR(VLOOKUP($A63,ItemsImport!$A$2:$AD970,MATCH("ItemLoc",ItemsImport!$A$1:$AE$1,0),FALSE),"")</f>
        <v>Land of Spira</v>
      </c>
      <c r="W63" s="1" t="str">
        <f>IFERROR(__xludf.DUMMYFUNCTION("""COMPUTED_VALUE"""),"Potion of Mana")</f>
        <v>Potion of Mana</v>
      </c>
      <c r="X63" s="1" t="str">
        <f t="shared" si="1"/>
        <v/>
      </c>
    </row>
    <row r="64">
      <c r="A64" s="1" t="s">
        <v>103</v>
      </c>
      <c r="B64" s="1" t="str">
        <f>IFERROR(VLOOKUP($A64,ItemsImport!$A$2:$AD970,MATCH("Description",ItemsImport!$A$1:$AE$1,0),FALSE),"")</f>
        <v>Restores 100 SP</v>
      </c>
      <c r="C64" s="1" t="str">
        <f>IFERROR(VLOOKUP($A64,ItemsImport!$A$2:$AD970,MATCH("Type",ItemsImport!$A$1:$AE$1,0),FALSE),"")</f>
        <v>Item</v>
      </c>
      <c r="H64" s="4" t="b">
        <v>0</v>
      </c>
      <c r="I64" s="1" t="str">
        <f>IFERROR(VLOOKUP($A64,ItemsImport!$A$2:$AD970,MATCH("ItemLoc",ItemsImport!$A$1:$AE$1,0),FALSE),"")</f>
        <v>Land of Spira</v>
      </c>
      <c r="W64" s="1" t="str">
        <f>IFERROR(__xludf.DUMMYFUNCTION("""COMPUTED_VALUE"""),"Potion of Extreme Mana")</f>
        <v>Potion of Extreme Mana</v>
      </c>
      <c r="X64" s="1" t="str">
        <f t="shared" si="1"/>
        <v/>
      </c>
    </row>
    <row r="65">
      <c r="A65" s="1" t="s">
        <v>104</v>
      </c>
      <c r="B65" s="1" t="str">
        <f>IFERROR(VLOOKUP($A65,ItemsImport!$A$2:$AD970,MATCH("Description",ItemsImport!$A$1:$AE$1,0),FALSE),"")</f>
        <v>Restores 50 SP each turn for 3 rounds</v>
      </c>
      <c r="C65" s="1" t="str">
        <f>IFERROR(VLOOKUP($A65,ItemsImport!$A$2:$AD970,MATCH("Type",ItemsImport!$A$1:$AE$1,0),FALSE),"")</f>
        <v>Item</v>
      </c>
      <c r="H65" s="4" t="b">
        <v>0</v>
      </c>
      <c r="I65" s="1" t="str">
        <f>IFERROR(VLOOKUP($A65,ItemsImport!$A$2:$AD970,MATCH("ItemLoc",ItemsImport!$A$1:$AE$1,0),FALSE),"")</f>
        <v>Land of Spira</v>
      </c>
      <c r="W65" s="1" t="str">
        <f>IFERROR(__xludf.DUMMYFUNCTION("""COMPUTED_VALUE"""),"Potion of Invigoration")</f>
        <v>Potion of Invigoration</v>
      </c>
      <c r="X65" s="1" t="str">
        <f t="shared" si="1"/>
        <v/>
      </c>
    </row>
    <row r="66">
      <c r="A66" s="1" t="s">
        <v>105</v>
      </c>
      <c r="B66" s="1" t="str">
        <f>IFERROR(VLOOKUP($A66,ItemsImport!$A$2:$AD970,MATCH("Description",ItemsImport!$A$1:$AE$1,0),FALSE),"")</f>
        <v>Immune to damage for 3 rounds</v>
      </c>
      <c r="C66" s="1" t="str">
        <f>IFERROR(VLOOKUP($A66,ItemsImport!$A$2:$AD970,MATCH("Type",ItemsImport!$A$1:$AE$1,0),FALSE),"")</f>
        <v>Item</v>
      </c>
      <c r="H66" s="4" t="b">
        <v>0</v>
      </c>
      <c r="I66" s="1" t="str">
        <f>IFERROR(VLOOKUP($A66,ItemsImport!$A$2:$AD970,MATCH("ItemLoc",ItemsImport!$A$1:$AE$1,0),FALSE),"")</f>
        <v>Land of Spira</v>
      </c>
      <c r="W66" s="1" t="str">
        <f>IFERROR(__xludf.DUMMYFUNCTION("""COMPUTED_VALUE"""),"Potion of Invulnerability")</f>
        <v>Potion of Invulnerability</v>
      </c>
      <c r="X66" s="1" t="str">
        <f t="shared" si="1"/>
        <v/>
      </c>
    </row>
    <row r="67">
      <c r="A67" s="1" t="s">
        <v>106</v>
      </c>
      <c r="B67" s="1" t="str">
        <f>IFERROR(VLOOKUP($A67,ItemsImport!$A$2:$AD970,MATCH("Description",ItemsImport!$A$1:$AE$1,0),FALSE),"")</f>
        <v>Immune to Stun for 3 rounds</v>
      </c>
      <c r="C67" s="1" t="str">
        <f>IFERROR(VLOOKUP($A67,ItemsImport!$A$2:$AD970,MATCH("Type",ItemsImport!$A$1:$AE$1,0),FALSE),"")</f>
        <v>Item</v>
      </c>
      <c r="H67" s="4" t="b">
        <v>0</v>
      </c>
      <c r="I67" s="1" t="str">
        <f>IFERROR(VLOOKUP($A67,ItemsImport!$A$2:$AD970,MATCH("ItemLoc",ItemsImport!$A$1:$AE$1,0),FALSE),"")</f>
        <v>Land of Spira</v>
      </c>
      <c r="W67" s="1" t="str">
        <f>IFERROR(__xludf.DUMMYFUNCTION("""COMPUTED_VALUE"""),"Potion of Stun Resist")</f>
        <v>Potion of Stun Resist</v>
      </c>
      <c r="X67" s="1" t="str">
        <f t="shared" si="1"/>
        <v/>
      </c>
    </row>
    <row r="68">
      <c r="A68" s="1" t="s">
        <v>107</v>
      </c>
      <c r="B68" s="1" t="str">
        <f>IFERROR(VLOOKUP($A68,ItemsImport!$A$2:$AD970,MATCH("Description",ItemsImport!$A$1:$AE$1,0),FALSE),"")</f>
        <v>Removes Disoriented Status, 50% failure, if you fail, you become even more disoriented (2x). If you fail/become too drunk, your character will black out and contract alcohol poisoning (25% of death, not-permanent)</v>
      </c>
      <c r="C68" s="1" t="str">
        <f>IFERROR(VLOOKUP($A68,ItemsImport!$A$2:$AD970,MATCH("Type",ItemsImport!$A$1:$AE$1,0),FALSE),"")</f>
        <v>Item</v>
      </c>
      <c r="H68" s="4" t="b">
        <v>0</v>
      </c>
      <c r="I68" s="1" t="str">
        <f>IFERROR(VLOOKUP($A68,ItemsImport!$A$2:$AD970,MATCH("ItemLoc",ItemsImport!$A$1:$AE$1,0),FALSE),"")</f>
        <v>Land of Spira</v>
      </c>
      <c r="W68" s="1" t="str">
        <f>IFERROR(__xludf.DUMMYFUNCTION("""COMPUTED_VALUE"""),"Potion Of Sobriety")</f>
        <v>Potion Of Sobriety</v>
      </c>
      <c r="X68" s="1" t="str">
        <f t="shared" si="1"/>
        <v/>
      </c>
    </row>
    <row r="69">
      <c r="A69" s="1" t="s">
        <v>108</v>
      </c>
      <c r="B69" s="1" t="str">
        <f>IFERROR(VLOOKUP($A69,ItemsImport!$A$2:$AD970,MATCH("Description",ItemsImport!$A$1:$AE$1,0),FALSE),"")</f>
        <v>(Quest item)</v>
      </c>
      <c r="C69" s="1" t="str">
        <f>IFERROR(VLOOKUP($A69,ItemsImport!$A$2:$AD970,MATCH("Type",ItemsImport!$A$1:$AE$1,0),FALSE),"")</f>
        <v>Item</v>
      </c>
      <c r="H69" s="4" t="b">
        <v>0</v>
      </c>
      <c r="I69" s="1" t="str">
        <f>IFERROR(VLOOKUP($A69,ItemsImport!$A$2:$AD970,MATCH("ItemLoc",ItemsImport!$A$1:$AE$1,0),FALSE),"")</f>
        <v>Land of Spira</v>
      </c>
      <c r="W69" s="1" t="str">
        <f>IFERROR(__xludf.DUMMYFUNCTION("""COMPUTED_VALUE"""),"Legendary Tome")</f>
        <v>Legendary Tome</v>
      </c>
      <c r="X69" s="1" t="str">
        <f t="shared" si="1"/>
        <v/>
      </c>
    </row>
    <row r="70">
      <c r="A70" s="1" t="s">
        <v>109</v>
      </c>
      <c r="B70" s="1" t="str">
        <f>IFERROR(VLOOKUP($A70,ItemsImport!$A$2:$AD970,MATCH("Description",ItemsImport!$A$1:$AE$1,0),FALSE),"")</f>
        <v>Crafting Material, roll a d20 to see how many you get if this is a loot drop.</v>
      </c>
      <c r="C70" s="1" t="str">
        <f>IFERROR(VLOOKUP($A70,ItemsImport!$A$2:$AD970,MATCH("Type",ItemsImport!$A$1:$AE$1,0),FALSE),"")</f>
        <v>Item</v>
      </c>
      <c r="H70" s="4" t="b">
        <v>0</v>
      </c>
      <c r="I70" s="1" t="str">
        <f>IFERROR(VLOOKUP($A70,ItemsImport!$A$2:$AD970,MATCH("ItemLoc",ItemsImport!$A$1:$AE$1,0),FALSE),"")</f>
        <v>Land of Spira</v>
      </c>
      <c r="W70" s="1" t="str">
        <f>IFERROR(__xludf.DUMMYFUNCTION("""COMPUTED_VALUE"""),"Murky Emerald")</f>
        <v>Murky Emerald</v>
      </c>
      <c r="X70" s="1" t="str">
        <f t="shared" si="1"/>
        <v/>
      </c>
    </row>
    <row r="71">
      <c r="A71" s="1" t="s">
        <v>110</v>
      </c>
      <c r="B71" s="1" t="str">
        <f>IFERROR(VLOOKUP($A71,ItemsImport!$A$2:$AD970,MATCH("Description",ItemsImport!$A$1:$AE$1,0),FALSE),"")</f>
        <v>Immunity to Nature for 3 rounds.</v>
      </c>
      <c r="C71" s="1" t="str">
        <f>IFERROR(VLOOKUP($A71,ItemsImport!$A$2:$AD970,MATCH("Type",ItemsImport!$A$1:$AE$1,0),FALSE),"")</f>
        <v>Item</v>
      </c>
      <c r="H71" s="4" t="b">
        <v>0</v>
      </c>
      <c r="I71" s="1" t="str">
        <f>IFERROR(VLOOKUP($A71,ItemsImport!$A$2:$AD970,MATCH("ItemLoc",ItemsImport!$A$1:$AE$1,0),FALSE),"")</f>
        <v>Land of Spira</v>
      </c>
      <c r="W71" s="1" t="str">
        <f>IFERROR(__xludf.DUMMYFUNCTION("""COMPUTED_VALUE"""),"Foul Night Swamp water vile")</f>
        <v>Foul Night Swamp water vile</v>
      </c>
      <c r="X71" s="1" t="str">
        <f t="shared" si="1"/>
        <v/>
      </c>
    </row>
    <row r="72">
      <c r="A72" s="1" t="s">
        <v>111</v>
      </c>
      <c r="B72" s="1" t="str">
        <f>IFERROR(VLOOKUP($A72,ItemsImport!$A$2:$AD970,MATCH("Description",ItemsImport!$A$1:$AE$1,0),FALSE),"")</f>
        <v>2500 damage and 2500 nature damage and 500 poison damage for 3 rounds</v>
      </c>
      <c r="C72" s="1" t="str">
        <f>IFERROR(VLOOKUP($A72,ItemsImport!$A$2:$AD970,MATCH("Type",ItemsImport!$A$1:$AE$1,0),FALSE),"")</f>
        <v>Item</v>
      </c>
      <c r="H72" s="4" t="b">
        <v>0</v>
      </c>
      <c r="I72" s="1" t="str">
        <f>IFERROR(VLOOKUP($A72,ItemsImport!$A$2:$AD970,MATCH("ItemLoc",ItemsImport!$A$1:$AE$1,0),FALSE),"")</f>
        <v>Land of Spira</v>
      </c>
      <c r="W72" s="1" t="str">
        <f>IFERROR(__xludf.DUMMYFUNCTION("""COMPUTED_VALUE"""),"Foul Night Foul Smelling potion")</f>
        <v>Foul Night Foul Smelling potion</v>
      </c>
      <c r="X72" s="1" t="str">
        <f t="shared" si="1"/>
        <v/>
      </c>
    </row>
    <row r="73">
      <c r="A73" s="1" t="s">
        <v>112</v>
      </c>
      <c r="B73" s="1" t="str">
        <f>IFERROR(VLOOKUP($A73,ItemsImport!$A$2:$AD970,MATCH("Description",ItemsImport!$A$1:$AE$1,0),FALSE),"")</f>
        <v> Restores 5000 HP and SP.</v>
      </c>
      <c r="C73" s="1" t="str">
        <f>IFERROR(VLOOKUP($A73,ItemsImport!$A$2:$AD970,MATCH("Type",ItemsImport!$A$1:$AE$1,0),FALSE),"")</f>
        <v>Item</v>
      </c>
      <c r="H73" s="4" t="b">
        <v>0</v>
      </c>
      <c r="I73" s="1" t="str">
        <f>IFERROR(VLOOKUP($A73,ItemsImport!$A$2:$AD970,MATCH("ItemLoc",ItemsImport!$A$1:$AE$1,0),FALSE),"")</f>
        <v>Land of Spira</v>
      </c>
      <c r="W73" s="1" t="str">
        <f>IFERROR(__xludf.DUMMYFUNCTION("""COMPUTED_VALUE"""),"Swampy Seaweed")</f>
        <v>Swampy Seaweed</v>
      </c>
      <c r="X73" s="1" t="str">
        <f t="shared" si="1"/>
        <v/>
      </c>
    </row>
    <row r="74">
      <c r="A74" s="1" t="s">
        <v>113</v>
      </c>
      <c r="B74" s="1" t="str">
        <f>IFERROR(VLOOKUP($A74,ItemsImport!$A$2:$AD970,MATCH("Description",ItemsImport!$A$1:$AE$1,0),FALSE),"")</f>
        <v>Poison 10,000 for 3 rounds.</v>
      </c>
      <c r="C74" s="1" t="str">
        <f>IFERROR(VLOOKUP($A74,ItemsImport!$A$2:$AD970,MATCH("Type",ItemsImport!$A$1:$AE$1,0),FALSE),"")</f>
        <v>Item</v>
      </c>
      <c r="H74" s="4" t="b">
        <v>0</v>
      </c>
      <c r="I74" s="1" t="str">
        <f>IFERROR(VLOOKUP($A74,ItemsImport!$A$2:$AD970,MATCH("ItemLoc",ItemsImport!$A$1:$AE$1,0),FALSE),"")</f>
        <v>Land of Spira</v>
      </c>
      <c r="W74" s="1" t="str">
        <f>IFERROR(__xludf.DUMMYFUNCTION("""COMPUTED_VALUE"""),"Foul Night Swamp Bubble Grenade")</f>
        <v>Foul Night Swamp Bubble Grenade</v>
      </c>
      <c r="X74" s="1" t="str">
        <f t="shared" si="1"/>
        <v/>
      </c>
    </row>
    <row r="75">
      <c r="A75" s="1" t="s">
        <v>114</v>
      </c>
      <c r="B75" s="1" t="str">
        <f>IFERROR(VLOOKUP($A75,ItemsImport!$A$2:$AD970,MATCH("Description",ItemsImport!$A$1:$AE$1,0),FALSE),"")</f>
        <v>Crafting Material, roll a d20 to see how many you get if this is a loot drop.</v>
      </c>
      <c r="C75" s="1" t="str">
        <f>IFERROR(VLOOKUP($A75,ItemsImport!$A$2:$AD970,MATCH("Type",ItemsImport!$A$1:$AE$1,0),FALSE),"")</f>
        <v>Item</v>
      </c>
      <c r="H75" s="4" t="b">
        <v>0</v>
      </c>
      <c r="I75" s="1" t="str">
        <f>IFERROR(VLOOKUP($A75,ItemsImport!$A$2:$AD970,MATCH("ItemLoc",ItemsImport!$A$1:$AE$1,0),FALSE),"")</f>
        <v>Land of Spira</v>
      </c>
      <c r="W75" s="1" t="str">
        <f>IFERROR(__xludf.DUMMYFUNCTION("""COMPUTED_VALUE"""),"Block of Ice")</f>
        <v>Block of Ice</v>
      </c>
      <c r="X75" s="1" t="str">
        <f t="shared" si="1"/>
        <v/>
      </c>
    </row>
    <row r="76">
      <c r="A76" s="1" t="s">
        <v>115</v>
      </c>
      <c r="B76" s="1" t="str">
        <f>IFERROR(VLOOKUP($A76,ItemsImport!$A$2:$AD970,MATCH("Description",ItemsImport!$A$1:$AE$1,0),FALSE),"")</f>
        <v>Special quest item. Speak to the frost king for more info.</v>
      </c>
      <c r="C76" s="1" t="str">
        <f>IFERROR(VLOOKUP($A76,ItemsImport!$A$2:$AD970,MATCH("Type",ItemsImport!$A$1:$AE$1,0),FALSE),"")</f>
        <v>Item</v>
      </c>
      <c r="H76" s="4" t="b">
        <v>0</v>
      </c>
      <c r="I76" s="1" t="str">
        <f>IFERROR(VLOOKUP($A76,ItemsImport!$A$2:$AD970,MATCH("ItemLoc",ItemsImport!$A$1:$AE$1,0),FALSE),"")</f>
        <v>Land of Spira</v>
      </c>
      <c r="W76" s="1" t="str">
        <f>IFERROR(__xludf.DUMMYFUNCTION("""COMPUTED_VALUE"""),"Frost Kings Map")</f>
        <v>Frost Kings Map</v>
      </c>
      <c r="X76" s="1" t="str">
        <f t="shared" si="1"/>
        <v/>
      </c>
    </row>
    <row r="77">
      <c r="A77" s="1" t="s">
        <v>116</v>
      </c>
      <c r="B77" s="1" t="str">
        <f>IFERROR(VLOOKUP($A77,ItemsImport!$A$2:$AD970,MATCH("Description",ItemsImport!$A$1:$AE$1,0),FALSE),"")</f>
        <v>Restores 5 health and 5 hunger</v>
      </c>
      <c r="C77" s="1" t="str">
        <f>IFERROR(VLOOKUP($A77,ItemsImport!$A$2:$AD970,MATCH("Type",ItemsImport!$A$1:$AE$1,0),FALSE),"")</f>
        <v>Crop</v>
      </c>
      <c r="H77" s="4" t="b">
        <v>0</v>
      </c>
      <c r="I77" s="1" t="str">
        <f>IFERROR(VLOOKUP($A77,ItemsImport!$A$2:$AD970,MATCH("ItemLoc",ItemsImport!$A$1:$AE$1,0),FALSE),"")</f>
        <v>Land of Spira</v>
      </c>
      <c r="W77" s="1" t="str">
        <f>IFERROR(__xludf.DUMMYFUNCTION("""COMPUTED_VALUE"""),"Bacon")</f>
        <v>Bacon</v>
      </c>
      <c r="X77" s="1" t="str">
        <f t="shared" si="1"/>
        <v/>
      </c>
    </row>
    <row r="78">
      <c r="A78" s="1" t="s">
        <v>117</v>
      </c>
      <c r="B78" s="1" t="str">
        <f>IFERROR(VLOOKUP($A78,ItemsImport!$A$2:$AD970,MATCH("Description",ItemsImport!$A$1:$AE$1,0),FALSE),"")</f>
        <v>10 Hunger</v>
      </c>
      <c r="C78" s="1" t="str">
        <f>IFERROR(VLOOKUP($A78,ItemsImport!$A$2:$AD970,MATCH("Type",ItemsImport!$A$1:$AE$1,0),FALSE),"")</f>
        <v>Crop</v>
      </c>
      <c r="H78" s="4" t="b">
        <v>0</v>
      </c>
      <c r="I78" s="1" t="str">
        <f>IFERROR(VLOOKUP($A78,ItemsImport!$A$2:$AD970,MATCH("ItemLoc",ItemsImport!$A$1:$AE$1,0),FALSE),"")</f>
        <v>Land of Spira</v>
      </c>
      <c r="W78" s="1" t="str">
        <f>IFERROR(__xludf.DUMMYFUNCTION("""COMPUTED_VALUE"""),"Bread")</f>
        <v>Bread</v>
      </c>
      <c r="X78" s="1" t="str">
        <f t="shared" si="1"/>
        <v/>
      </c>
    </row>
    <row r="79">
      <c r="A79" s="1" t="s">
        <v>118</v>
      </c>
      <c r="B79" s="1" t="str">
        <f>IFERROR(VLOOKUP($A79,ItemsImport!$A$2:$AD970,MATCH("Description",ItemsImport!$A$1:$AE$1,0),FALSE),"")</f>
        <v>15 Hunger, 5% chance to lose 10 HP</v>
      </c>
      <c r="C79" s="1" t="str">
        <f>IFERROR(VLOOKUP($A79,ItemsImport!$A$2:$AD970,MATCH("Type",ItemsImport!$A$1:$AE$1,0),FALSE),"")</f>
        <v>Crop</v>
      </c>
      <c r="H79" s="4" t="b">
        <v>0</v>
      </c>
      <c r="I79" s="1" t="str">
        <f>IFERROR(VLOOKUP($A79,ItemsImport!$A$2:$AD970,MATCH("ItemLoc",ItemsImport!$A$1:$AE$1,0),FALSE),"")</f>
        <v>Land of Spira</v>
      </c>
      <c r="W79" s="1" t="str">
        <f>IFERROR(__xludf.DUMMYFUNCTION("""COMPUTED_VALUE"""),"Unknown dried meat")</f>
        <v>Unknown dried meat</v>
      </c>
      <c r="X79" s="1" t="str">
        <f t="shared" si="1"/>
        <v/>
      </c>
    </row>
    <row r="80">
      <c r="A80" s="1" t="s">
        <v>119</v>
      </c>
      <c r="B80" s="1" t="str">
        <f>IFERROR(VLOOKUP($A80,ItemsImport!$A$2:$AD970,MATCH("Description",ItemsImport!$A$1:$AE$1,0),FALSE),"")</f>
        <v>10 Thirst</v>
      </c>
      <c r="C80" s="1" t="str">
        <f>IFERROR(VLOOKUP($A80,ItemsImport!$A$2:$AD970,MATCH("Type",ItemsImport!$A$1:$AE$1,0),FALSE),"")</f>
        <v>Item</v>
      </c>
      <c r="H80" s="4" t="b">
        <v>0</v>
      </c>
      <c r="I80" s="1" t="str">
        <f>IFERROR(VLOOKUP($A80,ItemsImport!$A$2:$AD970,MATCH("ItemLoc",ItemsImport!$A$1:$AE$1,0),FALSE),"")</f>
        <v>Land of Spira</v>
      </c>
      <c r="W80" s="1" t="str">
        <f>IFERROR(__xludf.DUMMYFUNCTION("""COMPUTED_VALUE"""),"Water")</f>
        <v>Water</v>
      </c>
      <c r="X80" s="1" t="str">
        <f t="shared" si="1"/>
        <v/>
      </c>
    </row>
    <row r="81">
      <c r="A81" s="1" t="s">
        <v>120</v>
      </c>
      <c r="B81" s="1" t="str">
        <f>IFERROR(VLOOKUP($A81,ItemsImport!$A$2:$AD970,MATCH("Description",ItemsImport!$A$1:$AE$1,0),FALSE),"")</f>
        <v>50 Thirst, -1 SP</v>
      </c>
      <c r="C81" s="1" t="str">
        <f>IFERROR(VLOOKUP($A81,ItemsImport!$A$2:$AD970,MATCH("Type",ItemsImport!$A$1:$AE$1,0),FALSE),"")</f>
        <v>Item</v>
      </c>
      <c r="H81" s="4" t="b">
        <v>0</v>
      </c>
      <c r="I81" s="1" t="str">
        <f>IFERROR(VLOOKUP($A81,ItemsImport!$A$2:$AD970,MATCH("ItemLoc",ItemsImport!$A$1:$AE$1,0),FALSE),"")</f>
        <v>Land of Spira</v>
      </c>
      <c r="W81" s="1" t="str">
        <f>IFERROR(__xludf.DUMMYFUNCTION("""COMPUTED_VALUE"""),"Rum")</f>
        <v>Rum</v>
      </c>
      <c r="X81" s="1" t="str">
        <f t="shared" si="1"/>
        <v/>
      </c>
    </row>
    <row r="82">
      <c r="A82" s="1" t="s">
        <v>121</v>
      </c>
      <c r="B82" s="1" t="str">
        <f>IFERROR(VLOOKUP($A82,ItemsImport!$A$2:$AD970,MATCH("Description",ItemsImport!$A$1:$AE$1,0),FALSE),"")</f>
        <v>20 Thirst, +2 SP</v>
      </c>
      <c r="C82" s="1" t="str">
        <f>IFERROR(VLOOKUP($A82,ItemsImport!$A$2:$AD970,MATCH("Type",ItemsImport!$A$1:$AE$1,0),FALSE),"")</f>
        <v>Item</v>
      </c>
      <c r="H82" s="4" t="b">
        <v>0</v>
      </c>
      <c r="I82" s="1" t="str">
        <f>IFERROR(VLOOKUP($A82,ItemsImport!$A$2:$AD970,MATCH("ItemLoc",ItemsImport!$A$1:$AE$1,0),FALSE),"")</f>
        <v>Land of Spira</v>
      </c>
      <c r="W82" s="1" t="str">
        <f>IFERROR(__xludf.DUMMYFUNCTION("""COMPUTED_VALUE"""),"Spirits")</f>
        <v>Spirits</v>
      </c>
      <c r="X82" s="1" t="str">
        <f t="shared" si="1"/>
        <v/>
      </c>
    </row>
    <row r="83">
      <c r="A83" s="1" t="s">
        <v>122</v>
      </c>
      <c r="B83" s="1" t="str">
        <f>IFERROR(VLOOKUP($A83,ItemsImport!$A$2:$AD970,MATCH("Description",ItemsImport!$A$1:$AE$1,0),FALSE),"")</f>
        <v>Crafting Material, roll a d20 to see how many you get if this is a loot drop.</v>
      </c>
      <c r="C83" s="1" t="str">
        <f>IFERROR(VLOOKUP($A83,ItemsImport!$A$2:$AD970,MATCH("Type",ItemsImport!$A$1:$AE$1,0),FALSE),"")</f>
        <v>Item</v>
      </c>
      <c r="H83" s="4" t="b">
        <v>0</v>
      </c>
      <c r="I83" s="1" t="str">
        <f>IFERROR(VLOOKUP($A83,ItemsImport!$A$2:$AD970,MATCH("ItemLoc",ItemsImport!$A$1:$AE$1,0),FALSE),"")</f>
        <v>Land of Spira</v>
      </c>
      <c r="W83" s="1" t="str">
        <f>IFERROR(__xludf.DUMMYFUNCTION("""COMPUTED_VALUE"""),"Yeast")</f>
        <v>Yeast</v>
      </c>
      <c r="X83" s="1" t="str">
        <f t="shared" si="1"/>
        <v/>
      </c>
    </row>
    <row r="84">
      <c r="A84" s="1" t="s">
        <v>123</v>
      </c>
      <c r="B84" s="1" t="str">
        <f>IFERROR(VLOOKUP($A84,ItemsImport!$A$2:$AD970,MATCH("Description",ItemsImport!$A$1:$AE$1,0),FALSE),"")</f>
        <v>25 Thirst</v>
      </c>
      <c r="C84" s="1" t="str">
        <f>IFERROR(VLOOKUP($A84,ItemsImport!$A$2:$AD970,MATCH("Type",ItemsImport!$A$1:$AE$1,0),FALSE),"")</f>
        <v>Item</v>
      </c>
      <c r="H84" s="4" t="b">
        <v>0</v>
      </c>
      <c r="I84" s="1" t="str">
        <f>IFERROR(VLOOKUP($A84,ItemsImport!$A$2:$AD970,MATCH("ItemLoc",ItemsImport!$A$1:$AE$1,0),FALSE),"")</f>
        <v>Land of Spira</v>
      </c>
      <c r="W84" s="1" t="str">
        <f>IFERROR(__xludf.DUMMYFUNCTION("""COMPUTED_VALUE"""),"Mead")</f>
        <v>Mead</v>
      </c>
      <c r="X84" s="1" t="str">
        <f t="shared" si="1"/>
        <v/>
      </c>
    </row>
    <row r="85">
      <c r="A85" s="1" t="s">
        <v>124</v>
      </c>
      <c r="B85" s="1" t="str">
        <f>IFERROR(VLOOKUP($A85,ItemsImport!$A$2:$AD970,MATCH("Description",ItemsImport!$A$1:$AE$1,0),FALSE),"")</f>
        <v>Can use up to Rank 9 Water Spells</v>
      </c>
      <c r="C85" s="1" t="str">
        <f>IFERROR(VLOOKUP($A85,ItemsImport!$A$2:$AD970,MATCH("Type",ItemsImport!$A$1:$AE$1,0),FALSE),"")</f>
        <v>Item</v>
      </c>
      <c r="H85" s="4" t="b">
        <v>0</v>
      </c>
      <c r="I85" s="1" t="str">
        <f>IFERROR(VLOOKUP($A85,ItemsImport!$A$2:$AD970,MATCH("ItemLoc",ItemsImport!$A$1:$AE$1,0),FALSE),"")</f>
        <v>Land of Spira</v>
      </c>
      <c r="W85" s="1" t="str">
        <f>IFERROR(__xludf.DUMMYFUNCTION("""COMPUTED_VALUE"""),"Water Tome Rank 9")</f>
        <v>Water Tome Rank 9</v>
      </c>
      <c r="X85" s="1" t="str">
        <f t="shared" si="1"/>
        <v/>
      </c>
    </row>
    <row r="86">
      <c r="A86" s="1" t="s">
        <v>125</v>
      </c>
      <c r="B86" s="1" t="str">
        <f>IFERROR(VLOOKUP($A86,ItemsImport!$A$2:$AD970,MATCH("Description",ItemsImport!$A$1:$AE$1,0),FALSE),"")</f>
        <v>Summons 1 of the following dragons with a d4 roll: Fire Dragon, Poison Dragon, Storm Dragon, Ancient Water Dragon (Can only be used once) (Level determined by dm/gm)</v>
      </c>
      <c r="C86" s="1" t="str">
        <f>IFERROR(VLOOKUP($A86,ItemsImport!$A$2:$AD970,MATCH("Type",ItemsImport!$A$1:$AE$1,0),FALSE),"")</f>
        <v>Item</v>
      </c>
      <c r="H86" s="4" t="b">
        <v>0</v>
      </c>
      <c r="I86" s="1" t="str">
        <f>IFERROR(VLOOKUP($A86,ItemsImport!$A$2:$AD970,MATCH("ItemLoc",ItemsImport!$A$1:$AE$1,0),FALSE),"")</f>
        <v>Land of Spira</v>
      </c>
      <c r="W86" s="1" t="str">
        <f>IFERROR(__xludf.DUMMYFUNCTION("""COMPUTED_VALUE"""),"Dragon Flute")</f>
        <v>Dragon Flute</v>
      </c>
      <c r="X86" s="1" t="str">
        <f t="shared" si="1"/>
        <v/>
      </c>
    </row>
    <row r="87">
      <c r="A87" s="1" t="s">
        <v>126</v>
      </c>
      <c r="B87" s="1" t="str">
        <f>IFERROR(VLOOKUP($A87,ItemsImport!$A$2:$AD970,MATCH("Description",ItemsImport!$A$1:$AE$1,0),FALSE),"")</f>
        <v>You can only use this when you have no sp left. When consumed, Gain all of your sp and hp back and deal X4 towards your next attack, but you will instantly die after 3 rounds.</v>
      </c>
      <c r="C87" s="1" t="str">
        <f>IFERROR(VLOOKUP($A87,ItemsImport!$A$2:$AD970,MATCH("Type",ItemsImport!$A$1:$AE$1,0),FALSE),"")</f>
        <v>Item</v>
      </c>
      <c r="H87" s="4" t="b">
        <v>0</v>
      </c>
      <c r="I87" s="1" t="str">
        <f>IFERROR(VLOOKUP($A87,ItemsImport!$A$2:$AD970,MATCH("ItemLoc",ItemsImport!$A$1:$AE$1,0),FALSE),"")</f>
        <v>Land of Spira</v>
      </c>
      <c r="W87" s="1" t="str">
        <f>IFERROR(__xludf.DUMMYFUNCTION("""COMPUTED_VALUE"""),"Last Resort Potion")</f>
        <v>Last Resort Potion</v>
      </c>
      <c r="X87" s="1" t="str">
        <f t="shared" si="1"/>
        <v/>
      </c>
    </row>
    <row r="88">
      <c r="A88" s="1" t="s">
        <v>127</v>
      </c>
      <c r="B88" s="1" t="str">
        <f>IFERROR(VLOOKUP($A88,ItemsImport!$A$2:$AD970,MATCH("Description",ItemsImport!$A$1:$AE$1,0),FALSE),"")</f>
        <v>Consume to regain 50HP and 50SP</v>
      </c>
      <c r="C88" s="1" t="str">
        <f>IFERROR(VLOOKUP($A88,ItemsImport!$A$2:$AD970,MATCH("Type",ItemsImport!$A$1:$AE$1,0),FALSE),"")</f>
        <v>Item</v>
      </c>
      <c r="H88" s="4" t="b">
        <v>0</v>
      </c>
      <c r="I88" s="1" t="str">
        <f>IFERROR(VLOOKUP($A88,ItemsImport!$A$2:$AD970,MATCH("ItemLoc",ItemsImport!$A$1:$AE$1,0),FALSE),"")</f>
        <v>Land of Spira</v>
      </c>
      <c r="W88" s="1" t="str">
        <f>IFERROR(__xludf.DUMMYFUNCTION("""COMPUTED_VALUE"""),"Fish in a Bottle")</f>
        <v>Fish in a Bottle</v>
      </c>
      <c r="X88" s="1" t="str">
        <f t="shared" si="1"/>
        <v/>
      </c>
    </row>
    <row r="89">
      <c r="A89" s="1" t="s">
        <v>128</v>
      </c>
      <c r="B89" s="1" t="str">
        <f>IFERROR(VLOOKUP($A89,ItemsImport!$A$2:$AD970,MATCH("Description",ItemsImport!$A$1:$AE$1,0),FALSE),"")</f>
        <v/>
      </c>
      <c r="C89" s="1" t="str">
        <f>IFERROR(VLOOKUP($A89,ItemsImport!$A$2:$AD970,MATCH("Type",ItemsImport!$A$1:$AE$1,0),FALSE),"")</f>
        <v/>
      </c>
      <c r="H89" s="4" t="b">
        <v>0</v>
      </c>
      <c r="I89" s="1" t="str">
        <f>IFERROR(VLOOKUP($A89,ItemsImport!$A$2:$AD970,MATCH("ItemLoc",ItemsImport!$A$1:$AE$1,0),FALSE),"")</f>
        <v/>
      </c>
      <c r="W89" s="1"/>
      <c r="X89" s="1" t="str">
        <f t="shared" si="1"/>
        <v/>
      </c>
    </row>
    <row r="90">
      <c r="A90" s="1" t="s">
        <v>129</v>
      </c>
      <c r="B90" s="1" t="str">
        <f>IFERROR(VLOOKUP($A90,ItemsImport!$A$2:$AD970,MATCH("Description",ItemsImport!$A$1:$AE$1,0),FALSE),"")</f>
        <v>POISON THE QUEEN!</v>
      </c>
      <c r="C90" s="1" t="str">
        <f>IFERROR(VLOOKUP($A90,ItemsImport!$A$2:$AD970,MATCH("Type",ItemsImport!$A$1:$AE$1,0),FALSE),"")</f>
        <v>Item</v>
      </c>
      <c r="H90" s="4" t="b">
        <v>0</v>
      </c>
      <c r="I90" s="1" t="str">
        <f>IFERROR(VLOOKUP($A90,ItemsImport!$A$2:$AD970,MATCH("ItemLoc",ItemsImport!$A$1:$AE$1,0),FALSE),"")</f>
        <v>Land of Spira</v>
      </c>
      <c r="W90" s="1" t="str">
        <f>IFERROR(__xludf.DUMMYFUNCTION("""COMPUTED_VALUE"""),"Barrel of Poisonous Water")</f>
        <v>Barrel of Poisonous Water</v>
      </c>
      <c r="X90" s="1" t="str">
        <f t="shared" si="1"/>
        <v/>
      </c>
    </row>
    <row r="91">
      <c r="A91" s="1" t="s">
        <v>130</v>
      </c>
      <c r="B91" s="1" t="str">
        <f>IFERROR(VLOOKUP($A91,ItemsImport!$A$2:$AD970,MATCH("Description",ItemsImport!$A$1:$AE$1,0),FALSE),"")</f>
        <v>Can be used as bait. 1 use per worm</v>
      </c>
      <c r="C91" s="1" t="str">
        <f>IFERROR(VLOOKUP($A91,ItemsImport!$A$2:$AD970,MATCH("Type",ItemsImport!$A$1:$AE$1,0),FALSE),"")</f>
        <v>Item</v>
      </c>
      <c r="H91" s="4" t="b">
        <v>0</v>
      </c>
      <c r="I91" s="1" t="str">
        <f>IFERROR(VLOOKUP($A91,ItemsImport!$A$2:$AD970,MATCH("ItemLoc",ItemsImport!$A$1:$AE$1,0),FALSE),"")</f>
        <v>Land of Spira</v>
      </c>
      <c r="W91" s="1" t="str">
        <f>IFERROR(__xludf.DUMMYFUNCTION("""COMPUTED_VALUE"""),"Live Worm")</f>
        <v>Live Worm</v>
      </c>
      <c r="X91" s="1" t="str">
        <f t="shared" si="1"/>
        <v/>
      </c>
    </row>
    <row r="92">
      <c r="A92" s="1" t="s">
        <v>131</v>
      </c>
      <c r="B92" s="1" t="str">
        <f>IFERROR(VLOOKUP($A92,ItemsImport!$A$2:$AD970,MATCH("Description",ItemsImport!$A$1:$AE$1,0),FALSE),"")</f>
        <v>20/20 Uses. Used for fishing.</v>
      </c>
      <c r="C92" s="1" t="str">
        <f>IFERROR(VLOOKUP($A92,ItemsImport!$A$2:$AD970,MATCH("Type",ItemsImport!$A$1:$AE$1,0),FALSE),"")</f>
        <v>Item</v>
      </c>
      <c r="H92" s="4" t="b">
        <v>0</v>
      </c>
      <c r="I92" s="1" t="str">
        <f>IFERROR(VLOOKUP($A92,ItemsImport!$A$2:$AD970,MATCH("ItemLoc",ItemsImport!$A$1:$AE$1,0),FALSE),"")</f>
        <v>Land of Spira</v>
      </c>
      <c r="W92" s="1" t="str">
        <f>IFERROR(__xludf.DUMMYFUNCTION("""COMPUTED_VALUE"""),"Iron Fishing Pole")</f>
        <v>Iron Fishing Pole</v>
      </c>
      <c r="X92" s="1" t="str">
        <f t="shared" si="1"/>
        <v/>
      </c>
    </row>
    <row r="93">
      <c r="A93" s="1" t="s">
        <v>132</v>
      </c>
      <c r="B93" s="1" t="str">
        <f>IFERROR(VLOOKUP($A93,ItemsImport!$A$2:$AD970,MATCH("Description",ItemsImport!$A$1:$AE$1,0),FALSE),"")</f>
        <v>Used for fishing competition, add a +1 or -1 to your fishing rolls</v>
      </c>
      <c r="C93" s="1" t="str">
        <f>IFERROR(VLOOKUP($A93,ItemsImport!$A$2:$AD970,MATCH("Type",ItemsImport!$A$1:$AE$1,0),FALSE),"")</f>
        <v>Item</v>
      </c>
      <c r="H93" s="4" t="b">
        <v>0</v>
      </c>
      <c r="I93" s="1" t="str">
        <f>IFERROR(VLOOKUP($A93,ItemsImport!$A$2:$AD970,MATCH("ItemLoc",ItemsImport!$A$1:$AE$1,0),FALSE),"")</f>
        <v>Land of Spira</v>
      </c>
      <c r="W93" s="1" t="str">
        <f>IFERROR(__xludf.DUMMYFUNCTION("""COMPUTED_VALUE"""),"Fishing Lure Beginner")</f>
        <v>Fishing Lure Beginner</v>
      </c>
      <c r="X93" s="1" t="str">
        <f t="shared" si="1"/>
        <v/>
      </c>
    </row>
    <row r="94">
      <c r="A94" s="1" t="s">
        <v>133</v>
      </c>
      <c r="B94" s="1" t="str">
        <f>IFERROR(VLOOKUP($A94,ItemsImport!$A$2:$AD970,MATCH("Description",ItemsImport!$A$1:$AE$1,0),FALSE),"")</f>
        <v>Used for fishing competition, add a +3 or -3 to your fishing rolls</v>
      </c>
      <c r="C94" s="1" t="str">
        <f>IFERROR(VLOOKUP($A94,ItemsImport!$A$2:$AD970,MATCH("Type",ItemsImport!$A$1:$AE$1,0),FALSE),"")</f>
        <v>Item</v>
      </c>
      <c r="H94" s="4" t="b">
        <v>0</v>
      </c>
      <c r="I94" s="1" t="str">
        <f>IFERROR(VLOOKUP($A94,ItemsImport!$A$2:$AD970,MATCH("ItemLoc",ItemsImport!$A$1:$AE$1,0),FALSE),"")</f>
        <v>Land of Spira</v>
      </c>
      <c r="W94" s="1" t="str">
        <f>IFERROR(__xludf.DUMMYFUNCTION("""COMPUTED_VALUE"""),"Fishing Lure Moderate")</f>
        <v>Fishing Lure Moderate</v>
      </c>
      <c r="X94" s="1" t="str">
        <f t="shared" si="1"/>
        <v/>
      </c>
    </row>
    <row r="95">
      <c r="A95" s="1" t="s">
        <v>134</v>
      </c>
      <c r="B95" s="1" t="str">
        <f>IFERROR(VLOOKUP($A95,ItemsImport!$A$2:$AD970,MATCH("Description",ItemsImport!$A$1:$AE$1,0),FALSE),"")</f>
        <v>Used for fishing competition, add a +5 or -5 to your fishing rolls</v>
      </c>
      <c r="C95" s="1" t="str">
        <f>IFERROR(VLOOKUP($A95,ItemsImport!$A$2:$AD970,MATCH("Type",ItemsImport!$A$1:$AE$1,0),FALSE),"")</f>
        <v>Item</v>
      </c>
      <c r="H95" s="4" t="b">
        <v>0</v>
      </c>
      <c r="I95" s="1" t="str">
        <f>IFERROR(VLOOKUP($A95,ItemsImport!$A$2:$AD970,MATCH("ItemLoc",ItemsImport!$A$1:$AE$1,0),FALSE),"")</f>
        <v>Land of Spira</v>
      </c>
      <c r="W95" s="1" t="str">
        <f>IFERROR(__xludf.DUMMYFUNCTION("""COMPUTED_VALUE"""),"Fishing Lure Expert")</f>
        <v>Fishing Lure Expert</v>
      </c>
      <c r="X95" s="1" t="str">
        <f t="shared" si="1"/>
        <v/>
      </c>
    </row>
    <row r="96">
      <c r="A96" s="1" t="s">
        <v>135</v>
      </c>
      <c r="B96" s="1" t="str">
        <f>IFERROR(VLOOKUP($A96,ItemsImport!$A$2:$AD970,MATCH("Description",ItemsImport!$A$1:$AE$1,0),FALSE),"")</f>
        <v>Crafting Material, roll a d20 to see how many you get if this is a loot drop.</v>
      </c>
      <c r="C96" s="1" t="str">
        <f>IFERROR(VLOOKUP($A96,ItemsImport!$A$2:$AD970,MATCH("Type",ItemsImport!$A$1:$AE$1,0),FALSE),"")</f>
        <v>Item</v>
      </c>
      <c r="H96" s="4" t="b">
        <v>0</v>
      </c>
      <c r="I96" s="1" t="str">
        <f>IFERROR(VLOOKUP($A96,ItemsImport!$A$2:$AD970,MATCH("ItemLoc",ItemsImport!$A$1:$AE$1,0),FALSE),"")</f>
        <v>Land of Spira</v>
      </c>
      <c r="W96" s="1" t="str">
        <f>IFERROR(__xludf.DUMMYFUNCTION("""COMPUTED_VALUE"""),"Fossilized Water Dragon Bones")</f>
        <v>Fossilized Water Dragon Bones</v>
      </c>
      <c r="X96" s="1" t="str">
        <f t="shared" si="1"/>
        <v/>
      </c>
    </row>
    <row r="97">
      <c r="A97" s="1" t="s">
        <v>136</v>
      </c>
      <c r="B97" s="1" t="str">
        <f>IFERROR(VLOOKUP($A97,ItemsImport!$A$2:$AD970,MATCH("Description",ItemsImport!$A$1:$AE$1,0),FALSE),"")</f>
        <v>Only one per player in backpack. Instantly teleports you to the last town you were at without fail.</v>
      </c>
      <c r="C97" s="1" t="str">
        <f>IFERROR(VLOOKUP($A97,ItemsImport!$A$2:$AD970,MATCH("Type",ItemsImport!$A$1:$AE$1,0),FALSE),"")</f>
        <v>Item</v>
      </c>
      <c r="H97" s="4" t="b">
        <v>0</v>
      </c>
      <c r="I97" s="1" t="str">
        <f>IFERROR(VLOOKUP($A97,ItemsImport!$A$2:$AD970,MATCH("ItemLoc",ItemsImport!$A$1:$AE$1,0),FALSE),"")</f>
        <v>Land of Spira</v>
      </c>
      <c r="W97" s="1" t="str">
        <f>IFERROR(__xludf.DUMMYFUNCTION("""COMPUTED_VALUE"""),"Return Home Gem")</f>
        <v>Return Home Gem</v>
      </c>
      <c r="X97" s="1" t="str">
        <f t="shared" si="1"/>
        <v/>
      </c>
    </row>
    <row r="98">
      <c r="A98" s="1" t="s">
        <v>137</v>
      </c>
      <c r="B98" s="1" t="str">
        <f>IFERROR(VLOOKUP($A98,ItemsImport!$A$2:$AD970,MATCH("Description",ItemsImport!$A$1:$AE$1,0),FALSE),"")</f>
        <v>Immune to water based attacks for one battle (does not count as a turn)</v>
      </c>
      <c r="C98" s="1" t="str">
        <f>IFERROR(VLOOKUP($A98,ItemsImport!$A$2:$AD970,MATCH("Type",ItemsImport!$A$1:$AE$1,0),FALSE),"")</f>
        <v>Item</v>
      </c>
      <c r="H98" s="4" t="b">
        <v>0</v>
      </c>
      <c r="I98" s="1" t="str">
        <f>IFERROR(VLOOKUP($A98,ItemsImport!$A$2:$AD970,MATCH("ItemLoc",ItemsImport!$A$1:$AE$1,0),FALSE),"")</f>
        <v>Land of Spira</v>
      </c>
      <c r="W98" s="1" t="str">
        <f>IFERROR(__xludf.DUMMYFUNCTION("""COMPUTED_VALUE"""),"Immunity to water potion temp")</f>
        <v>Immunity to water potion temp</v>
      </c>
      <c r="X98" s="1" t="str">
        <f t="shared" si="1"/>
        <v/>
      </c>
    </row>
    <row r="99">
      <c r="A99" s="1" t="s">
        <v>138</v>
      </c>
      <c r="B99" s="1" t="str">
        <f>IFERROR(VLOOKUP($A99,ItemsImport!$A$2:$AD970,MATCH("Description",ItemsImport!$A$1:$AE$1,0),FALSE),"")</f>
        <v>Increase Health and Defense by 100 for next three battles (Can not be used in battle must be used between battles)</v>
      </c>
      <c r="C99" s="1" t="str">
        <f>IFERROR(VLOOKUP($A99,ItemsImport!$A$2:$AD970,MATCH("Type",ItemsImport!$A$1:$AE$1,0),FALSE),"")</f>
        <v>Item</v>
      </c>
      <c r="H99" s="4" t="b">
        <v>0</v>
      </c>
      <c r="I99" s="1" t="str">
        <f>IFERROR(VLOOKUP($A99,ItemsImport!$A$2:$AD970,MATCH("ItemLoc",ItemsImport!$A$1:$AE$1,0),FALSE),"")</f>
        <v>Land of Spira</v>
      </c>
      <c r="W99" s="1" t="str">
        <f>IFERROR(__xludf.DUMMYFUNCTION("""COMPUTED_VALUE"""),"Legendary Sea Monster Meat")</f>
        <v>Legendary Sea Monster Meat</v>
      </c>
      <c r="X99" s="1" t="str">
        <f t="shared" si="1"/>
        <v/>
      </c>
    </row>
    <row r="100">
      <c r="A100" s="1" t="s">
        <v>139</v>
      </c>
      <c r="B100" s="1" t="str">
        <f>IFERROR(VLOOKUP($A100,ItemsImport!$A$2:$AD970,MATCH("Description",ItemsImport!$A$1:$AE$1,0),FALSE),"")</f>
        <v>X2 to water damage for the caster until end of battle, water spells also become unblockable for 3 rounds.</v>
      </c>
      <c r="C100" s="1" t="str">
        <f>IFERROR(VLOOKUP($A100,ItemsImport!$A$2:$AD970,MATCH("Type",ItemsImport!$A$1:$AE$1,0),FALSE),"")</f>
        <v>Item</v>
      </c>
      <c r="H100" s="4" t="b">
        <v>0</v>
      </c>
      <c r="I100" s="1" t="str">
        <f>IFERROR(VLOOKUP($A100,ItemsImport!$A$2:$AD970,MATCH("ItemLoc",ItemsImport!$A$1:$AE$1,0),FALSE),"")</f>
        <v>Land of Spira</v>
      </c>
      <c r="W100" s="1" t="str">
        <f>IFERROR(__xludf.DUMMYFUNCTION("""COMPUTED_VALUE"""),"Scroll of The Sea Monster")</f>
        <v>Scroll of The Sea Monster</v>
      </c>
      <c r="X100" s="1" t="str">
        <f t="shared" si="1"/>
        <v/>
      </c>
    </row>
    <row r="101">
      <c r="A101" s="1" t="s">
        <v>140</v>
      </c>
      <c r="B101" s="1" t="str">
        <f>IFERROR(VLOOKUP($A101,ItemsImport!$A$2:$AD970,MATCH("Description",ItemsImport!$A$1:$AE$1,0),FALSE),"")</f>
        <v>Crafting Material, roll a d20 to see how many you get if this is a loot drop.</v>
      </c>
      <c r="C101" s="1" t="str">
        <f>IFERROR(VLOOKUP($A101,ItemsImport!$A$2:$AD970,MATCH("Type",ItemsImport!$A$1:$AE$1,0),FALSE),"")</f>
        <v>Item</v>
      </c>
      <c r="H101" s="4" t="b">
        <v>0</v>
      </c>
      <c r="I101" s="1" t="str">
        <f>IFERROR(VLOOKUP($A101,ItemsImport!$A$2:$AD970,MATCH("ItemLoc",ItemsImport!$A$1:$AE$1,0),FALSE),"")</f>
        <v>Land of Spira</v>
      </c>
      <c r="W101" s="1" t="str">
        <f>IFERROR(__xludf.DUMMYFUNCTION("""COMPUTED_VALUE"""),"Paper scraps")</f>
        <v>Paper scraps</v>
      </c>
      <c r="X101" s="1" t="str">
        <f t="shared" si="1"/>
        <v/>
      </c>
    </row>
    <row r="102">
      <c r="A102" s="1" t="s">
        <v>141</v>
      </c>
      <c r="B102" s="1" t="str">
        <f>IFERROR(VLOOKUP($A102,ItemsImport!$A$2:$AD970,MATCH("Description",ItemsImport!$A$1:$AE$1,0),FALSE),"")</f>
        <v>Crafting Material, roll a d20 to see how many you get if this is a loot drop.</v>
      </c>
      <c r="C102" s="1" t="str">
        <f>IFERROR(VLOOKUP($A102,ItemsImport!$A$2:$AD970,MATCH("Type",ItemsImport!$A$1:$AE$1,0),FALSE),"")</f>
        <v>Item</v>
      </c>
      <c r="H102" s="4" t="b">
        <v>0</v>
      </c>
      <c r="I102" s="1" t="str">
        <f>IFERROR(VLOOKUP($A102,ItemsImport!$A$2:$AD970,MATCH("ItemLoc",ItemsImport!$A$1:$AE$1,0),FALSE),"")</f>
        <v>Land of Spira</v>
      </c>
      <c r="W102" s="1" t="str">
        <f>IFERROR(__xludf.DUMMYFUNCTION("""COMPUTED_VALUE"""),"Blank piece of paper")</f>
        <v>Blank piece of paper</v>
      </c>
      <c r="X102" s="1" t="str">
        <f t="shared" si="1"/>
        <v/>
      </c>
    </row>
    <row r="103">
      <c r="A103" s="1" t="s">
        <v>142</v>
      </c>
      <c r="B103" s="1" t="str">
        <f>IFERROR(VLOOKUP($A103,ItemsImport!$A$2:$AD970,MATCH("Description",ItemsImport!$A$1:$AE$1,0),FALSE),"")</f>
        <v>Crafting Material, roll a d20 to see how many you get if this is a loot drop.</v>
      </c>
      <c r="C103" s="1" t="str">
        <f>IFERROR(VLOOKUP($A103,ItemsImport!$A$2:$AD970,MATCH("Type",ItemsImport!$A$1:$AE$1,0),FALSE),"")</f>
        <v>Item</v>
      </c>
      <c r="H103" s="4" t="b">
        <v>0</v>
      </c>
      <c r="I103" s="1" t="str">
        <f>IFERROR(VLOOKUP($A103,ItemsImport!$A$2:$AD970,MATCH("ItemLoc",ItemsImport!$A$1:$AE$1,0),FALSE),"")</f>
        <v>Land of Spira</v>
      </c>
      <c r="W103" s="1" t="str">
        <f>IFERROR(__xludf.DUMMYFUNCTION("""COMPUTED_VALUE"""),"Broken pistol")</f>
        <v>Broken pistol</v>
      </c>
      <c r="X103" s="1" t="str">
        <f t="shared" si="1"/>
        <v/>
      </c>
    </row>
    <row r="104">
      <c r="A104" s="1" t="s">
        <v>143</v>
      </c>
      <c r="B104" s="1" t="str">
        <f>IFERROR(VLOOKUP($A104,ItemsImport!$A$2:$AD970,MATCH("Description",ItemsImport!$A$1:$AE$1,0),FALSE),"")</f>
        <v>Cannon Ammunition, +1000 damage. roll a d20 to see how many you get if this is a loot drop.</v>
      </c>
      <c r="C104" s="1" t="str">
        <f>IFERROR(VLOOKUP($A104,ItemsImport!$A$2:$AD970,MATCH("Type",ItemsImport!$A$1:$AE$1,0),FALSE),"")</f>
        <v>Item</v>
      </c>
      <c r="H104" s="4" t="b">
        <v>0</v>
      </c>
      <c r="I104" s="1" t="str">
        <f>IFERROR(VLOOKUP($A104,ItemsImport!$A$2:$AD970,MATCH("ItemLoc",ItemsImport!$A$1:$AE$1,0),FALSE),"")</f>
        <v>Land of Spira</v>
      </c>
      <c r="W104" s="1" t="str">
        <f>IFERROR(__xludf.DUMMYFUNCTION("""COMPUTED_VALUE"""),"Cannon Ball")</f>
        <v>Cannon Ball</v>
      </c>
      <c r="X104" s="1" t="str">
        <f t="shared" si="1"/>
        <v/>
      </c>
    </row>
    <row r="105">
      <c r="A105" s="1" t="s">
        <v>144</v>
      </c>
      <c r="B105" s="1" t="str">
        <f>IFERROR(VLOOKUP($A105,ItemsImport!$A$2:$AD970,MATCH("Description",ItemsImport!$A$1:$AE$1,0),FALSE),"")</f>
        <v>Crafting Material, roll a d20 to see how many you get.</v>
      </c>
      <c r="C105" s="1" t="str">
        <f>IFERROR(VLOOKUP($A105,ItemsImport!$A$2:$AD970,MATCH("Type",ItemsImport!$A$1:$AE$1,0),FALSE),"")</f>
        <v>Item</v>
      </c>
      <c r="H105" s="4" t="b">
        <v>0</v>
      </c>
      <c r="I105" s="1" t="str">
        <f>IFERROR(VLOOKUP($A105,ItemsImport!$A$2:$AD970,MATCH("ItemLoc",ItemsImport!$A$1:$AE$1,0),FALSE),"")</f>
        <v>Land of Spira</v>
      </c>
      <c r="W105" s="1" t="str">
        <f>IFERROR(__xludf.DUMMYFUNCTION("""COMPUTED_VALUE"""),"Blank Book")</f>
        <v>Blank Book</v>
      </c>
      <c r="X105" s="1" t="str">
        <f t="shared" si="1"/>
        <v/>
      </c>
    </row>
    <row r="106">
      <c r="A106" s="1" t="s">
        <v>145</v>
      </c>
      <c r="B106" s="1" t="str">
        <f>IFERROR(VLOOKUP($A106,ItemsImport!$A$2:$AD970,MATCH("Description",ItemsImport!$A$1:$AE$1,0),FALSE),"")</f>
        <v>Crafting Material, roll a d20 to see how many you get.</v>
      </c>
      <c r="C106" s="1" t="str">
        <f>IFERROR(VLOOKUP($A106,ItemsImport!$A$2:$AD970,MATCH("Type",ItemsImport!$A$1:$AE$1,0),FALSE),"")</f>
        <v>Item</v>
      </c>
      <c r="H106" s="4" t="b">
        <v>0</v>
      </c>
      <c r="I106" s="1" t="str">
        <f>IFERROR(VLOOKUP($A106,ItemsImport!$A$2:$AD970,MATCH("ItemLoc",ItemsImport!$A$1:$AE$1,0),FALSE),"")</f>
        <v>Land of Spira</v>
      </c>
      <c r="W106" s="1" t="str">
        <f>IFERROR(__xludf.DUMMYFUNCTION("""COMPUTED_VALUE"""),"Bronze")</f>
        <v>Bronze</v>
      </c>
      <c r="X106" s="1" t="str">
        <f t="shared" si="1"/>
        <v/>
      </c>
    </row>
    <row r="107">
      <c r="A107" s="1" t="s">
        <v>146</v>
      </c>
      <c r="B107" s="1" t="str">
        <f>IFERROR(VLOOKUP($A107,ItemsImport!$A$2:$AD970,MATCH("Description",ItemsImport!$A$1:$AE$1,0),FALSE),"")</f>
        <v>Crafting Material, roll a d20 to see how many you get.</v>
      </c>
      <c r="C107" s="1" t="str">
        <f>IFERROR(VLOOKUP($A107,ItemsImport!$A$2:$AD970,MATCH("Type",ItemsImport!$A$1:$AE$1,0),FALSE),"")</f>
        <v>Item</v>
      </c>
      <c r="H107" s="4" t="b">
        <v>0</v>
      </c>
      <c r="I107" s="1" t="str">
        <f>IFERROR(VLOOKUP($A107,ItemsImport!$A$2:$AD970,MATCH("ItemLoc",ItemsImport!$A$1:$AE$1,0),FALSE),"")</f>
        <v>Land of Spira</v>
      </c>
      <c r="W107" s="1" t="str">
        <f>IFERROR(__xludf.DUMMYFUNCTION("""COMPUTED_VALUE"""),"Diamond")</f>
        <v>Diamond</v>
      </c>
      <c r="X107" s="1" t="str">
        <f t="shared" si="1"/>
        <v/>
      </c>
    </row>
    <row r="108">
      <c r="A108" s="1" t="s">
        <v>147</v>
      </c>
      <c r="B108" s="1" t="str">
        <f>IFERROR(VLOOKUP($A108,ItemsImport!$A$2:$AD970,MATCH("Description",ItemsImport!$A$1:$AE$1,0),FALSE),"")</f>
        <v>Crafting Material, roll a d20 to see how many you get.</v>
      </c>
      <c r="C108" s="1" t="str">
        <f>IFERROR(VLOOKUP($A108,ItemsImport!$A$2:$AD970,MATCH("Type",ItemsImport!$A$1:$AE$1,0),FALSE),"")</f>
        <v>Item</v>
      </c>
      <c r="H108" s="4" t="b">
        <v>0</v>
      </c>
      <c r="I108" s="1" t="str">
        <f>IFERROR(VLOOKUP($A108,ItemsImport!$A$2:$AD970,MATCH("ItemLoc",ItemsImport!$A$1:$AE$1,0),FALSE),"")</f>
        <v>Land of Spira</v>
      </c>
      <c r="W108" s="1" t="str">
        <f>IFERROR(__xludf.DUMMYFUNCTION("""COMPUTED_VALUE"""),"Wood")</f>
        <v>Wood</v>
      </c>
      <c r="X108" s="1" t="str">
        <f t="shared" si="1"/>
        <v/>
      </c>
    </row>
    <row r="109">
      <c r="A109" s="1" t="s">
        <v>148</v>
      </c>
      <c r="B109" s="1" t="str">
        <f>IFERROR(VLOOKUP($A109,ItemsImport!$A$2:$AD970,MATCH("Description",ItemsImport!$A$1:$AE$1,0),FALSE),"")</f>
        <v>Crafting Material, roll a d20 to see how many you get.</v>
      </c>
      <c r="C109" s="1" t="str">
        <f>IFERROR(VLOOKUP($A109,ItemsImport!$A$2:$AD970,MATCH("Type",ItemsImport!$A$1:$AE$1,0),FALSE),"")</f>
        <v>Item</v>
      </c>
      <c r="H109" s="4" t="b">
        <v>0</v>
      </c>
      <c r="I109" s="1" t="str">
        <f>IFERROR(VLOOKUP($A109,ItemsImport!$A$2:$AD970,MATCH("ItemLoc",ItemsImport!$A$1:$AE$1,0),FALSE),"")</f>
        <v>Land of Spira</v>
      </c>
      <c r="W109" s="1" t="str">
        <f>IFERROR(__xludf.DUMMYFUNCTION("""COMPUTED_VALUE"""),"Stone")</f>
        <v>Stone</v>
      </c>
      <c r="X109" s="1" t="str">
        <f t="shared" si="1"/>
        <v/>
      </c>
    </row>
    <row r="110">
      <c r="A110" s="1" t="s">
        <v>149</v>
      </c>
      <c r="B110" s="1" t="str">
        <f>IFERROR(VLOOKUP($A110,ItemsImport!$A$2:$AD970,MATCH("Description",ItemsImport!$A$1:$AE$1,0),FALSE),"")</f>
        <v>-100 Hunger</v>
      </c>
      <c r="C110" s="1" t="str">
        <f>IFERROR(VLOOKUP($A110,ItemsImport!$A$2:$AD970,MATCH("Type",ItemsImport!$A$1:$AE$1,0),FALSE),"")</f>
        <v>Crop</v>
      </c>
      <c r="H110" s="4" t="b">
        <v>0</v>
      </c>
      <c r="I110" s="1" t="str">
        <f>IFERROR(VLOOKUP($A110,ItemsImport!$A$2:$AD970,MATCH("ItemLoc",ItemsImport!$A$1:$AE$1,0),FALSE),"")</f>
        <v>Land of Spira</v>
      </c>
      <c r="W110" s="1" t="str">
        <f>IFERROR(__xludf.DUMMYFUNCTION("""COMPUTED_VALUE"""),"Raw Meat")</f>
        <v>Raw Meat</v>
      </c>
      <c r="X110" s="1" t="str">
        <f t="shared" si="1"/>
        <v/>
      </c>
    </row>
    <row r="111">
      <c r="A111" s="1" t="s">
        <v>150</v>
      </c>
      <c r="B111" s="1" t="str">
        <f>IFERROR(VLOOKUP($A111,ItemsImport!$A$2:$AD970,MATCH("Description",ItemsImport!$A$1:$AE$1,0),FALSE),"")</f>
        <v>Restores 35 Hunger</v>
      </c>
      <c r="C111" s="1" t="str">
        <f>IFERROR(VLOOKUP($A111,ItemsImport!$A$2:$AD970,MATCH("Type",ItemsImport!$A$1:$AE$1,0),FALSE),"")</f>
        <v>Crop</v>
      </c>
      <c r="H111" s="4" t="b">
        <v>0</v>
      </c>
      <c r="I111" s="1" t="str">
        <f>IFERROR(VLOOKUP($A111,ItemsImport!$A$2:$AD970,MATCH("ItemLoc",ItemsImport!$A$1:$AE$1,0),FALSE),"")</f>
        <v>Land of Spira</v>
      </c>
      <c r="W111" s="1" t="str">
        <f>IFERROR(__xludf.DUMMYFUNCTION("""COMPUTED_VALUE"""),"Cooked Meat")</f>
        <v>Cooked Meat</v>
      </c>
      <c r="X111" s="1" t="str">
        <f t="shared" si="1"/>
        <v/>
      </c>
    </row>
    <row r="112">
      <c r="A112" s="1" t="s">
        <v>151</v>
      </c>
      <c r="B112" s="1" t="str">
        <f>IFERROR(VLOOKUP($A112,ItemsImport!$A$2:$AD970,MATCH("Description",ItemsImport!$A$1:$AE$1,0),FALSE),"")</f>
        <v>25 Hunger</v>
      </c>
      <c r="C112" s="1" t="str">
        <f>IFERROR(VLOOKUP($A112,ItemsImport!$A$2:$AD970,MATCH("Type",ItemsImport!$A$1:$AE$1,0),FALSE),"")</f>
        <v>Crop</v>
      </c>
      <c r="H112" s="4" t="b">
        <v>0</v>
      </c>
      <c r="I112" s="1" t="str">
        <f>IFERROR(VLOOKUP($A112,ItemsImport!$A$2:$AD970,MATCH("ItemLoc",ItemsImport!$A$1:$AE$1,0),FALSE),"")</f>
        <v>Land of Spira</v>
      </c>
      <c r="W112" s="1" t="str">
        <f>IFERROR(__xludf.DUMMYFUNCTION("""COMPUTED_VALUE"""),"Dried Meat")</f>
        <v>Dried Meat</v>
      </c>
      <c r="X112" s="1" t="str">
        <f t="shared" si="1"/>
        <v/>
      </c>
    </row>
    <row r="113">
      <c r="A113" s="1" t="s">
        <v>152</v>
      </c>
      <c r="B113" s="1" t="str">
        <f>IFERROR(VLOOKUP($A113,ItemsImport!$A$2:$AD970,MATCH("Description",ItemsImport!$A$1:$AE$1,0),FALSE),"")</f>
        <v>Restores 30 Hunger and 5 HP</v>
      </c>
      <c r="C113" s="1" t="str">
        <f>IFERROR(VLOOKUP($A113,ItemsImport!$A$2:$AD970,MATCH("Type",ItemsImport!$A$1:$AE$1,0),FALSE),"")</f>
        <v>Crop</v>
      </c>
      <c r="H113" s="4" t="b">
        <v>0</v>
      </c>
      <c r="I113" s="1" t="str">
        <f>IFERROR(VLOOKUP($A113,ItemsImport!$A$2:$AD970,MATCH("ItemLoc",ItemsImport!$A$1:$AE$1,0),FALSE),"")</f>
        <v>Land of Spira</v>
      </c>
      <c r="W113" s="1" t="str">
        <f>IFERROR(__xludf.DUMMYFUNCTION("""COMPUTED_VALUE"""),"Medium Rare Steak")</f>
        <v>Medium Rare Steak</v>
      </c>
      <c r="X113" s="1" t="str">
        <f t="shared" si="1"/>
        <v/>
      </c>
    </row>
    <row r="114">
      <c r="A114" s="1" t="s">
        <v>153</v>
      </c>
      <c r="B114" s="1" t="str">
        <f>IFERROR(VLOOKUP($A114,ItemsImport!$A$2:$AD970,MATCH("Description",ItemsImport!$A$1:$AE$1,0),FALSE),"")</f>
        <v>10 Hunger and 3 HP are restored each turn for the next three turns</v>
      </c>
      <c r="C114" s="1" t="str">
        <f>IFERROR(VLOOKUP($A114,ItemsImport!$A$2:$AD970,MATCH("Type",ItemsImport!$A$1:$AE$1,0),FALSE),"")</f>
        <v>Crop</v>
      </c>
      <c r="H114" s="4" t="b">
        <v>0</v>
      </c>
      <c r="I114" s="1" t="str">
        <f>IFERROR(VLOOKUP($A114,ItemsImport!$A$2:$AD970,MATCH("ItemLoc",ItemsImport!$A$1:$AE$1,0),FALSE),"")</f>
        <v>Land of Spira</v>
      </c>
      <c r="W114" s="1" t="str">
        <f>IFERROR(__xludf.DUMMYFUNCTION("""COMPUTED_VALUE"""),"Well Done Steak")</f>
        <v>Well Done Steak</v>
      </c>
      <c r="X114" s="1" t="str">
        <f t="shared" si="1"/>
        <v/>
      </c>
    </row>
    <row r="115">
      <c r="A115" s="1" t="s">
        <v>154</v>
      </c>
      <c r="B115" s="1" t="str">
        <f>IFERROR(VLOOKUP($A115,ItemsImport!$A$2:$AD970,MATCH("Description",ItemsImport!$A$1:$AE$1,0),FALSE),"")</f>
        <v>Restores 10 Hunger, 5 HP, and 15 SP</v>
      </c>
      <c r="C115" s="1" t="str">
        <f>IFERROR(VLOOKUP($A115,ItemsImport!$A$2:$AD970,MATCH("Type",ItemsImport!$A$1:$AE$1,0),FALSE),"")</f>
        <v>Crop</v>
      </c>
      <c r="H115" s="4" t="b">
        <v>0</v>
      </c>
      <c r="I115" s="1" t="str">
        <f>IFERROR(VLOOKUP($A115,ItemsImport!$A$2:$AD970,MATCH("ItemLoc",ItemsImport!$A$1:$AE$1,0),FALSE),"")</f>
        <v>Land of Spira</v>
      </c>
      <c r="W115" s="1" t="str">
        <f>IFERROR(__xludf.DUMMYFUNCTION("""COMPUTED_VALUE"""),"Kebab")</f>
        <v>Kebab</v>
      </c>
      <c r="X115" s="1" t="str">
        <f t="shared" si="1"/>
        <v/>
      </c>
    </row>
    <row r="116">
      <c r="A116" s="1" t="s">
        <v>155</v>
      </c>
      <c r="B116" s="1" t="str">
        <f>IFERROR(VLOOKUP($A116,ItemsImport!$A$2:$AD970,MATCH("Description",ItemsImport!$A$1:$AE$1,0),FALSE),"")</f>
        <v>15 Hunger</v>
      </c>
      <c r="C116" s="1" t="str">
        <f>IFERROR(VLOOKUP($A116,ItemsImport!$A$2:$AD970,MATCH("Type",ItemsImport!$A$1:$AE$1,0),FALSE),"")</f>
        <v>Crop</v>
      </c>
      <c r="H116" s="4" t="b">
        <v>0</v>
      </c>
      <c r="I116" s="1" t="str">
        <f>IFERROR(VLOOKUP($A116,ItemsImport!$A$2:$AD970,MATCH("ItemLoc",ItemsImport!$A$1:$AE$1,0),FALSE),"")</f>
        <v>Land of Spira</v>
      </c>
      <c r="W116" s="1" t="str">
        <f>IFERROR(__xludf.DUMMYFUNCTION("""COMPUTED_VALUE"""),"Melon Bread")</f>
        <v>Melon Bread</v>
      </c>
      <c r="X116" s="1" t="str">
        <f t="shared" si="1"/>
        <v/>
      </c>
    </row>
    <row r="117">
      <c r="A117" s="1" t="s">
        <v>156</v>
      </c>
      <c r="B117" s="1" t="str">
        <f>IFERROR(VLOOKUP($A117,ItemsImport!$A$2:$AD970,MATCH("Description",ItemsImport!$A$1:$AE$1,0),FALSE),"")</f>
        <v>8 uses, each use restores 20 Hunger</v>
      </c>
      <c r="C117" s="1" t="str">
        <f>IFERROR(VLOOKUP($A117,ItemsImport!$A$2:$AD970,MATCH("Type",ItemsImport!$A$1:$AE$1,0),FALSE),"")</f>
        <v>Crop</v>
      </c>
      <c r="H117" s="4" t="b">
        <v>0</v>
      </c>
      <c r="I117" s="1" t="str">
        <f>IFERROR(VLOOKUP($A117,ItemsImport!$A$2:$AD970,MATCH("ItemLoc",ItemsImport!$A$1:$AE$1,0),FALSE),"")</f>
        <v>Land of Spira</v>
      </c>
      <c r="W117" s="1" t="str">
        <f>IFERROR(__xludf.DUMMYFUNCTION("""COMPUTED_VALUE"""),"Cake")</f>
        <v>Cake</v>
      </c>
      <c r="X117" s="1" t="str">
        <f t="shared" si="1"/>
        <v/>
      </c>
    </row>
    <row r="118">
      <c r="A118" s="1" t="s">
        <v>157</v>
      </c>
      <c r="B118" s="1" t="str">
        <f>IFERROR(VLOOKUP($A118,ItemsImport!$A$2:$AD970,MATCH("Description",ItemsImport!$A$1:$AE$1,0),FALSE),"")</f>
        <v>4 uses, restores 20 Hunger, 10 HP, and 5 SP with each use</v>
      </c>
      <c r="C118" s="1" t="str">
        <f>IFERROR(VLOOKUP($A118,ItemsImport!$A$2:$AD970,MATCH("Type",ItemsImport!$A$1:$AE$1,0),FALSE),"")</f>
        <v>Crop</v>
      </c>
      <c r="H118" s="4" t="b">
        <v>0</v>
      </c>
      <c r="I118" s="1" t="str">
        <f>IFERROR(VLOOKUP($A118,ItemsImport!$A$2:$AD970,MATCH("ItemLoc",ItemsImport!$A$1:$AE$1,0),FALSE),"")</f>
        <v>Land of Spira</v>
      </c>
      <c r="W118" s="1" t="str">
        <f>IFERROR(__xludf.DUMMYFUNCTION("""COMPUTED_VALUE"""),"Cherry Pie")</f>
        <v>Cherry Pie</v>
      </c>
      <c r="X118" s="1" t="str">
        <f t="shared" si="1"/>
        <v/>
      </c>
    </row>
    <row r="119">
      <c r="A119" s="1" t="s">
        <v>158</v>
      </c>
      <c r="B119" s="1" t="str">
        <f>IFERROR(VLOOKUP($A119,ItemsImport!$A$2:$AD970,MATCH("Description",ItemsImport!$A$1:$AE$1,0),FALSE),"")</f>
        <v>Crafting Material, roll a d20 to see how many you get if this is a loot drop.</v>
      </c>
      <c r="C119" s="1" t="str">
        <f>IFERROR(VLOOKUP($A119,ItemsImport!$A$2:$AD970,MATCH("Type",ItemsImport!$A$1:$AE$1,0),FALSE),"")</f>
        <v>Item</v>
      </c>
      <c r="H119" s="4" t="b">
        <v>0</v>
      </c>
      <c r="I119" s="1" t="str">
        <f>IFERROR(VLOOKUP($A119,ItemsImport!$A$2:$AD970,MATCH("ItemLoc",ItemsImport!$A$1:$AE$1,0),FALSE),"")</f>
        <v>Land of Spira</v>
      </c>
      <c r="W119" s="1" t="str">
        <f>IFERROR(__xludf.DUMMYFUNCTION("""COMPUTED_VALUE"""),"Saltwater")</f>
        <v>Saltwater</v>
      </c>
      <c r="X119" s="1" t="str">
        <f t="shared" si="1"/>
        <v/>
      </c>
    </row>
    <row r="120">
      <c r="A120" s="1" t="s">
        <v>159</v>
      </c>
      <c r="B120" s="1" t="str">
        <f>IFERROR(VLOOKUP($A120,ItemsImport!$A$2:$AD970,MATCH("Description",ItemsImport!$A$1:$AE$1,0),FALSE),"")</f>
        <v>This will Guarantee you 1 fish from a quest</v>
      </c>
      <c r="C120" s="1" t="str">
        <f>IFERROR(VLOOKUP($A120,ItemsImport!$A$2:$AD970,MATCH("Type",ItemsImport!$A$1:$AE$1,0),FALSE),"")</f>
        <v>Item</v>
      </c>
      <c r="H120" s="4" t="b">
        <v>0</v>
      </c>
      <c r="I120" s="1" t="str">
        <f>IFERROR(VLOOKUP($A120,ItemsImport!$A$2:$AD970,MATCH("ItemLoc",ItemsImport!$A$1:$AE$1,0),FALSE),"")</f>
        <v>Land of Spira</v>
      </c>
      <c r="W120" s="1" t="str">
        <f>IFERROR(__xludf.DUMMYFUNCTION("""COMPUTED_VALUE"""),"Fisherman’s Lucky Totem")</f>
        <v>Fisherman’s Lucky Totem</v>
      </c>
      <c r="X120" s="1" t="str">
        <f t="shared" si="1"/>
        <v/>
      </c>
    </row>
    <row r="121">
      <c r="A121" s="1" t="s">
        <v>160</v>
      </c>
      <c r="B121" s="1" t="str">
        <f>IFERROR(VLOOKUP($A121,ItemsImport!$A$2:$AD970,MATCH("Description",ItemsImport!$A$1:$AE$1,0),FALSE),"")</f>
        <v>Choose the rarity of the fish when fishing during a quest.</v>
      </c>
      <c r="C121" s="1" t="str">
        <f>IFERROR(VLOOKUP($A121,ItemsImport!$A$2:$AD970,MATCH("Type",ItemsImport!$A$1:$AE$1,0),FALSE),"")</f>
        <v>Item</v>
      </c>
      <c r="H121" s="4" t="b">
        <v>0</v>
      </c>
      <c r="I121" s="1" t="str">
        <f>IFERROR(VLOOKUP($A121,ItemsImport!$A$2:$AD970,MATCH("ItemLoc",ItemsImport!$A$1:$AE$1,0),FALSE),"")</f>
        <v>Land of Spira</v>
      </c>
      <c r="W121" s="1" t="str">
        <f>IFERROR(__xludf.DUMMYFUNCTION("""COMPUTED_VALUE"""),"The Fish Pendant")</f>
        <v>The Fish Pendant</v>
      </c>
      <c r="X121" s="1" t="str">
        <f t="shared" si="1"/>
        <v/>
      </c>
    </row>
    <row r="122">
      <c r="A122" s="1" t="s">
        <v>161</v>
      </c>
      <c r="B122" s="1" t="str">
        <f>IFERROR(VLOOKUP($A122,ItemsImport!$A$2:$AD970,MATCH("Description",ItemsImport!$A$1:$AE$1,0),FALSE),"")</f>
        <v>if you catch this when fishing you get 2 of the fish you caught with this item.</v>
      </c>
      <c r="C122" s="1" t="str">
        <f>IFERROR(VLOOKUP($A122,ItemsImport!$A$2:$AD970,MATCH("Type",ItemsImport!$A$1:$AE$1,0),FALSE),"")</f>
        <v>Item</v>
      </c>
      <c r="H122" s="4" t="b">
        <v>0</v>
      </c>
      <c r="I122" s="1" t="str">
        <f>IFERROR(VLOOKUP($A122,ItemsImport!$A$2:$AD970,MATCH("ItemLoc",ItemsImport!$A$1:$AE$1,0),FALSE),"")</f>
        <v>Land of Spira</v>
      </c>
      <c r="W122" s="1" t="str">
        <f>IFERROR(__xludf.DUMMYFUNCTION("""COMPUTED_VALUE"""),"Fish Stone")</f>
        <v>Fish Stone</v>
      </c>
      <c r="X122" s="1" t="str">
        <f t="shared" si="1"/>
        <v/>
      </c>
    </row>
    <row r="123">
      <c r="A123" s="1" t="s">
        <v>162</v>
      </c>
      <c r="B123" s="1" t="str">
        <f>IFERROR(VLOOKUP($A123,ItemsImport!$A$2:$AD970,MATCH("Description",ItemsImport!$A$1:$AE$1,0),FALSE),"")</f>
        <v>100 hunger for self and up to 2 party members.</v>
      </c>
      <c r="C123" s="1" t="str">
        <f>IFERROR(VLOOKUP($A123,ItemsImport!$A$2:$AD970,MATCH("Type",ItemsImport!$A$1:$AE$1,0),FALSE),"")</f>
        <v>Crop</v>
      </c>
      <c r="H123" s="4" t="b">
        <v>0</v>
      </c>
      <c r="I123" s="1" t="str">
        <f>IFERROR(VLOOKUP($A123,ItemsImport!$A$2:$AD970,MATCH("ItemLoc",ItemsImport!$A$1:$AE$1,0),FALSE),"")</f>
        <v>Land of Spira</v>
      </c>
      <c r="W123" s="1" t="str">
        <f>IFERROR(__xludf.DUMMYFUNCTION("""COMPUTED_VALUE"""),"Pumpkin")</f>
        <v>Pumpkin</v>
      </c>
      <c r="X123" s="1" t="str">
        <f t="shared" si="1"/>
        <v/>
      </c>
    </row>
    <row r="124">
      <c r="A124" s="1" t="s">
        <v>163</v>
      </c>
      <c r="B124" s="1" t="str">
        <f>IFERROR(VLOOKUP($A124,ItemsImport!$A$2:$AD970,MATCH("Description",ItemsImport!$A$1:$AE$1,0),FALSE),"")</f>
        <v>200 hunger for self and up to 2 party members.</v>
      </c>
      <c r="C124" s="1" t="str">
        <f>IFERROR(VLOOKUP($A124,ItemsImport!$A$2:$AD970,MATCH("Type",ItemsImport!$A$1:$AE$1,0),FALSE),"")</f>
        <v>Crop</v>
      </c>
      <c r="H124" s="4" t="b">
        <v>0</v>
      </c>
      <c r="I124" s="1" t="str">
        <f>IFERROR(VLOOKUP($A124,ItemsImport!$A$2:$AD970,MATCH("ItemLoc",ItemsImport!$A$1:$AE$1,0),FALSE),"")</f>
        <v>Land of Spira</v>
      </c>
      <c r="W124" s="1" t="str">
        <f>IFERROR(__xludf.DUMMYFUNCTION("""COMPUTED_VALUE"""),"Premium Pumpkin")</f>
        <v>Premium Pumpkin</v>
      </c>
      <c r="X124" s="1" t="str">
        <f t="shared" si="1"/>
        <v/>
      </c>
    </row>
    <row r="125">
      <c r="A125" s="1" t="s">
        <v>164</v>
      </c>
      <c r="B125" s="1" t="str">
        <f>IFERROR(VLOOKUP($A125,ItemsImport!$A$2:$AD970,MATCH("Description",ItemsImport!$A$1:$AE$1,0),FALSE),"")</f>
        <v>100 hunger for self and up to 4 party members.</v>
      </c>
      <c r="C125" s="1" t="str">
        <f>IFERROR(VLOOKUP($A125,ItemsImport!$A$2:$AD970,MATCH("Type",ItemsImport!$A$1:$AE$1,0),FALSE),"")</f>
        <v>Crop</v>
      </c>
      <c r="H125" s="4" t="b">
        <v>0</v>
      </c>
      <c r="I125" s="1" t="str">
        <f>IFERROR(VLOOKUP($A125,ItemsImport!$A$2:$AD970,MATCH("ItemLoc",ItemsImport!$A$1:$AE$1,0),FALSE),"")</f>
        <v>Land of Spira</v>
      </c>
      <c r="W125" s="1" t="str">
        <f>IFERROR(__xludf.DUMMYFUNCTION("""COMPUTED_VALUE"""),"Pumpkin Soup")</f>
        <v>Pumpkin Soup</v>
      </c>
      <c r="X125" s="1" t="str">
        <f t="shared" si="1"/>
        <v/>
      </c>
    </row>
    <row r="126">
      <c r="A126" s="1" t="s">
        <v>165</v>
      </c>
      <c r="B126" s="1" t="str">
        <f>IFERROR(VLOOKUP($A126,ItemsImport!$A$2:$AD970,MATCH("Description",ItemsImport!$A$1:$AE$1,0),FALSE),"")</f>
        <v>200 hunger for self and up to 4 party members.</v>
      </c>
      <c r="C126" s="1" t="str">
        <f>IFERROR(VLOOKUP($A126,ItemsImport!$A$2:$AD970,MATCH("Type",ItemsImport!$A$1:$AE$1,0),FALSE),"")</f>
        <v>Crop</v>
      </c>
      <c r="H126" s="4" t="b">
        <v>0</v>
      </c>
      <c r="I126" s="1" t="str">
        <f>IFERROR(VLOOKUP($A126,ItemsImport!$A$2:$AD970,MATCH("ItemLoc",ItemsImport!$A$1:$AE$1,0),FALSE),"")</f>
        <v>Land of Spira</v>
      </c>
      <c r="W126" s="1" t="str">
        <f>IFERROR(__xludf.DUMMYFUNCTION("""COMPUTED_VALUE"""),"Premium Pumpkin Soup")</f>
        <v>Premium Pumpkin Soup</v>
      </c>
      <c r="X126" s="1" t="str">
        <f t="shared" si="1"/>
        <v/>
      </c>
    </row>
    <row r="127">
      <c r="A127" s="1" t="s">
        <v>166</v>
      </c>
      <c r="B127" s="1" t="str">
        <f>IFERROR(VLOOKUP($A127,ItemsImport!$A$2:$AD970,MATCH("Description",ItemsImport!$A$1:$AE$1,0),FALSE),"")</f>
        <v>A forbidden book. if the guards see it in your inventory they will autmatically confiscate it and arrest you.</v>
      </c>
      <c r="C127" s="1" t="str">
        <f>IFERROR(VLOOKUP($A127,ItemsImport!$A$2:$AD970,MATCH("Type",ItemsImport!$A$1:$AE$1,0),FALSE),"")</f>
        <v>Item</v>
      </c>
      <c r="H127" s="4" t="b">
        <v>0</v>
      </c>
      <c r="I127" s="1" t="str">
        <f>IFERROR(VLOOKUP($A127,ItemsImport!$A$2:$AD970,MATCH("ItemLoc",ItemsImport!$A$1:$AE$1,0),FALSE),"")</f>
        <v>Land of Spira</v>
      </c>
      <c r="W127" s="1" t="str">
        <f>IFERROR(__xludf.DUMMYFUNCTION("""COMPUTED_VALUE"""),"Forbidden Book")</f>
        <v>Forbidden Book</v>
      </c>
      <c r="X127" s="1" t="str">
        <f t="shared" si="1"/>
        <v/>
      </c>
    </row>
    <row r="128">
      <c r="A128" s="1" t="s">
        <v>167</v>
      </c>
      <c r="B128" s="1" t="str">
        <f>IFERROR(VLOOKUP($A128,ItemsImport!$A$2:$AD970,MATCH("Description",ItemsImport!$A$1:$AE$1,0),FALSE),"")</f>
        <v>A random stick the shopkeeper found out back</v>
      </c>
      <c r="C128" s="1" t="str">
        <f>IFERROR(VLOOKUP($A128,ItemsImport!$A$2:$AD970,MATCH("Type",ItemsImport!$A$1:$AE$1,0),FALSE),"")</f>
        <v>Item</v>
      </c>
      <c r="H128" s="4" t="b">
        <v>0</v>
      </c>
      <c r="I128" s="1" t="str">
        <f>IFERROR(VLOOKUP($A128,ItemsImport!$A$2:$AD970,MATCH("ItemLoc",ItemsImport!$A$1:$AE$1,0),FALSE),"")</f>
        <v>Land of Spira</v>
      </c>
      <c r="W128" s="1" t="str">
        <f>IFERROR(__xludf.DUMMYFUNCTION("""COMPUTED_VALUE"""),"a random stick")</f>
        <v>a random stick</v>
      </c>
      <c r="X128" s="1" t="str">
        <f t="shared" si="1"/>
        <v/>
      </c>
    </row>
    <row r="129">
      <c r="A129" s="1" t="s">
        <v>168</v>
      </c>
      <c r="B129" s="1" t="str">
        <f>IFERROR(VLOOKUP($A129,ItemsImport!$A$2:$AD970,MATCH("Description",ItemsImport!$A$1:$AE$1,0),FALSE),"")</f>
        <v>Can use up to Rank 9 Storm Spells</v>
      </c>
      <c r="C129" s="1" t="str">
        <f>IFERROR(VLOOKUP($A129,ItemsImport!$A$2:$AD970,MATCH("Type",ItemsImport!$A$1:$AE$1,0),FALSE),"")</f>
        <v>Item</v>
      </c>
      <c r="H129" s="4" t="b">
        <v>0</v>
      </c>
      <c r="I129" s="1" t="str">
        <f>IFERROR(VLOOKUP($A129,ItemsImport!$A$2:$AD970,MATCH("ItemLoc",ItemsImport!$A$1:$AE$1,0),FALSE),"")</f>
        <v>Land of Spira</v>
      </c>
      <c r="W129" s="1" t="str">
        <f>IFERROR(__xludf.DUMMYFUNCTION("""COMPUTED_VALUE"""),"Rank 9 Storm Tome")</f>
        <v>Rank 9 Storm Tome</v>
      </c>
      <c r="X129" s="1" t="str">
        <f t="shared" si="1"/>
        <v/>
      </c>
    </row>
    <row r="130">
      <c r="A130" s="1" t="s">
        <v>169</v>
      </c>
      <c r="B130" s="1" t="str">
        <f>IFERROR(VLOOKUP($A130,ItemsImport!$A$2:$AD970,MATCH("Description",ItemsImport!$A$1:$AE$1,0),FALSE),"")</f>
        <v>Bow Ammunition. +500 fire damage. roll a d20 to see how many you get if this is a loot drop.</v>
      </c>
      <c r="C130" s="1" t="str">
        <f>IFERROR(VLOOKUP($A130,ItemsImport!$A$2:$AD970,MATCH("Type",ItemsImport!$A$1:$AE$1,0),FALSE),"")</f>
        <v>Item</v>
      </c>
      <c r="H130" s="4" t="b">
        <v>0</v>
      </c>
      <c r="I130" s="1" t="str">
        <f>IFERROR(VLOOKUP($A130,ItemsImport!$A$2:$AD970,MATCH("ItemLoc",ItemsImport!$A$1:$AE$1,0),FALSE),"")</f>
        <v>Land of Spira</v>
      </c>
      <c r="W130" s="1"/>
      <c r="X130" s="1" t="str">
        <f t="shared" si="1"/>
        <v/>
      </c>
    </row>
    <row r="131">
      <c r="A131" s="1" t="s">
        <v>170</v>
      </c>
      <c r="B131" s="1" t="str">
        <f>IFERROR(VLOOKUP($A131,ItemsImport!$A$2:$AD970,MATCH("Description",ItemsImport!$A$1:$AE$1,0),FALSE),"")</f>
        <v>When thrown, each enemy has a 25% chance to be distracted, skipping their next turn</v>
      </c>
      <c r="C131" s="1" t="str">
        <f>IFERROR(VLOOKUP($A131,ItemsImport!$A$2:$AD970,MATCH("Type",ItemsImport!$A$1:$AE$1,0),FALSE),"")</f>
        <v>Item</v>
      </c>
      <c r="H131" s="4" t="b">
        <v>0</v>
      </c>
      <c r="I131" s="1" t="str">
        <f>IFERROR(VLOOKUP($A131,ItemsImport!$A$2:$AD970,MATCH("ItemLoc",ItemsImport!$A$1:$AE$1,0),FALSE),"")</f>
        <v>Land of Spira</v>
      </c>
      <c r="W131" s="1" t="str">
        <f>IFERROR(__xludf.DUMMYFUNCTION("""COMPUTED_VALUE"""),"Common Tree Branch")</f>
        <v>Common Tree Branch</v>
      </c>
      <c r="X131" s="1" t="str">
        <f t="shared" si="1"/>
        <v/>
      </c>
    </row>
    <row r="132">
      <c r="A132" s="1" t="s">
        <v>171</v>
      </c>
      <c r="B132" s="1" t="str">
        <f>IFERROR(VLOOKUP($A132,ItemsImport!$A$2:$AD970,MATCH("Description",ItemsImport!$A$1:$AE$1,0),FALSE),"")</f>
        <v>When thrown, Roll a d20 and apply the result. If 1-19, deal 20,000 damage to one target Hit/Miss. If 20, deal 40,000 damage to one target Hit/Miss, each enemy has a 50% chance to be distracted, skipping their next turn.
</v>
      </c>
      <c r="C132" s="1" t="str">
        <f>IFERROR(VLOOKUP($A132,ItemsImport!$A$2:$AD970,MATCH("Type",ItemsImport!$A$1:$AE$1,0),FALSE),"")</f>
        <v>Item</v>
      </c>
      <c r="H132" s="4" t="b">
        <v>0</v>
      </c>
      <c r="I132" s="1" t="str">
        <f>IFERROR(VLOOKUP($A132,ItemsImport!$A$2:$AD970,MATCH("ItemLoc",ItemsImport!$A$1:$AE$1,0),FALSE),"")</f>
        <v>Land of Spira</v>
      </c>
      <c r="W132" s="1" t="str">
        <f>IFERROR(__xludf.DUMMYFUNCTION("""COMPUTED_VALUE"""),"Uncommon Tree branch")</f>
        <v>Uncommon Tree branch</v>
      </c>
      <c r="X132" s="1" t="str">
        <f t="shared" si="1"/>
        <v/>
      </c>
    </row>
    <row r="133">
      <c r="A133" s="1" t="s">
        <v>172</v>
      </c>
      <c r="B133" s="1" t="str">
        <f>IFERROR(VLOOKUP($A133,ItemsImport!$A$2:$AD970,MATCH("Description",ItemsImport!$A$1:$AE$1,0),FALSE),"")</f>
        <v>Recovers 9 hunger</v>
      </c>
      <c r="C133" s="1" t="str">
        <f>IFERROR(VLOOKUP($A133,ItemsImport!$A$2:$AD970,MATCH("Type",ItemsImport!$A$1:$AE$1,0),FALSE),"")</f>
        <v>Crop</v>
      </c>
      <c r="H133" s="4" t="b">
        <v>0</v>
      </c>
      <c r="I133" s="1" t="str">
        <f>IFERROR(VLOOKUP($A133,ItemsImport!$A$2:$AD970,MATCH("ItemLoc",ItemsImport!$A$1:$AE$1,0),FALSE),"")</f>
        <v>Land of Spira</v>
      </c>
      <c r="W133" s="1" t="str">
        <f>IFERROR(__xludf.DUMMYFUNCTION("""COMPUTED_VALUE"""),"Stale bread")</f>
        <v>Stale bread</v>
      </c>
      <c r="X133" s="1" t="str">
        <f t="shared" si="1"/>
        <v/>
      </c>
    </row>
    <row r="134">
      <c r="A134" s="1" t="s">
        <v>173</v>
      </c>
      <c r="B134" s="1" t="str">
        <f>IFERROR(VLOOKUP($A134,ItemsImport!$A$2:$AD970,MATCH("Description",ItemsImport!$A$1:$AE$1,0),FALSE),"")</f>
        <v>Crafting Material, roll a d20 to see how many you get if this is a loot drop.</v>
      </c>
      <c r="C134" s="1" t="str">
        <f>IFERROR(VLOOKUP($A134,ItemsImport!$A$2:$AD970,MATCH("Type",ItemsImport!$A$1:$AE$1,0),FALSE),"")</f>
        <v>Item</v>
      </c>
      <c r="H134" s="4" t="b">
        <v>0</v>
      </c>
      <c r="I134" s="1" t="str">
        <f>IFERROR(VLOOKUP($A134,ItemsImport!$A$2:$AD970,MATCH("ItemLoc",ItemsImport!$A$1:$AE$1,0),FALSE),"")</f>
        <v>Land of Spira</v>
      </c>
      <c r="W134" s="1" t="str">
        <f>IFERROR(__xludf.DUMMYFUNCTION("""COMPUTED_VALUE"""),"Coal")</f>
        <v>Coal</v>
      </c>
      <c r="X134" s="1" t="str">
        <f t="shared" si="1"/>
        <v/>
      </c>
    </row>
    <row r="135">
      <c r="A135" s="1" t="s">
        <v>146</v>
      </c>
      <c r="B135" s="1" t="str">
        <f>IFERROR(VLOOKUP($A135,ItemsImport!$A$2:$AD970,MATCH("Description",ItemsImport!$A$1:$AE$1,0),FALSE),"")</f>
        <v>Crafting Material, roll a d20 to see how many you get.</v>
      </c>
      <c r="C135" s="1" t="str">
        <f>IFERROR(VLOOKUP($A135,ItemsImport!$A$2:$AD970,MATCH("Type",ItemsImport!$A$1:$AE$1,0),FALSE),"")</f>
        <v>Item</v>
      </c>
      <c r="H135" s="4" t="b">
        <v>0</v>
      </c>
      <c r="I135" s="1" t="str">
        <f>IFERROR(VLOOKUP($A135,ItemsImport!$A$2:$AD970,MATCH("ItemLoc",ItemsImport!$A$1:$AE$1,0),FALSE),"")</f>
        <v>Land of Spira</v>
      </c>
      <c r="W135" s="1"/>
      <c r="X135" s="1" t="str">
        <f t="shared" si="1"/>
        <v/>
      </c>
    </row>
    <row r="136">
      <c r="A136" s="1" t="s">
        <v>147</v>
      </c>
      <c r="B136" s="1" t="str">
        <f>IFERROR(VLOOKUP($A136,ItemsImport!$A$2:$AD970,MATCH("Description",ItemsImport!$A$1:$AE$1,0),FALSE),"")</f>
        <v>Crafting Material, roll a d20 to see how many you get.</v>
      </c>
      <c r="C136" s="1" t="str">
        <f>IFERROR(VLOOKUP($A136,ItemsImport!$A$2:$AD970,MATCH("Type",ItemsImport!$A$1:$AE$1,0),FALSE),"")</f>
        <v>Item</v>
      </c>
      <c r="H136" s="4" t="b">
        <v>0</v>
      </c>
      <c r="I136" s="1" t="str">
        <f>IFERROR(VLOOKUP($A136,ItemsImport!$A$2:$AD970,MATCH("ItemLoc",ItemsImport!$A$1:$AE$1,0),FALSE),"")</f>
        <v>Land of Spira</v>
      </c>
      <c r="W136" s="1"/>
      <c r="X136" s="1" t="str">
        <f t="shared" si="1"/>
        <v/>
      </c>
    </row>
    <row r="137">
      <c r="A137" s="1" t="s">
        <v>148</v>
      </c>
      <c r="B137" s="1" t="str">
        <f>IFERROR(VLOOKUP($A137,ItemsImport!$A$2:$AD970,MATCH("Description",ItemsImport!$A$1:$AE$1,0),FALSE),"")</f>
        <v>Crafting Material, roll a d20 to see how many you get.</v>
      </c>
      <c r="C137" s="1" t="str">
        <f>IFERROR(VLOOKUP($A137,ItemsImport!$A$2:$AD970,MATCH("Type",ItemsImport!$A$1:$AE$1,0),FALSE),"")</f>
        <v>Item</v>
      </c>
      <c r="H137" s="4" t="b">
        <v>0</v>
      </c>
      <c r="I137" s="1" t="str">
        <f>IFERROR(VLOOKUP($A137,ItemsImport!$A$2:$AD970,MATCH("ItemLoc",ItemsImport!$A$1:$AE$1,0),FALSE),"")</f>
        <v>Land of Spira</v>
      </c>
      <c r="W137" s="1"/>
      <c r="X137" s="1" t="str">
        <f t="shared" si="1"/>
        <v/>
      </c>
    </row>
    <row r="138">
      <c r="A138" s="1" t="s">
        <v>174</v>
      </c>
      <c r="B138" s="1" t="str">
        <f>IFERROR(VLOOKUP($A138,ItemsImport!$A$2:$AD970,MATCH("Description",ItemsImport!$A$1:$AE$1,0),FALSE),"")</f>
        <v>500 Fire dmg or Resistance</v>
      </c>
      <c r="C138" s="1" t="str">
        <f>IFERROR(VLOOKUP($A138,ItemsImport!$A$2:$AD970,MATCH("Type",ItemsImport!$A$1:$AE$1,0),FALSE),"")</f>
        <v>Item</v>
      </c>
      <c r="H138" s="4" t="b">
        <v>0</v>
      </c>
      <c r="I138" s="1" t="str">
        <f>IFERROR(VLOOKUP($A138,ItemsImport!$A$2:$AD970,MATCH("ItemLoc",ItemsImport!$A$1:$AE$1,0),FALSE),"")</f>
        <v>Land of Spira</v>
      </c>
      <c r="W138" s="1" t="str">
        <f>IFERROR(__xludf.DUMMYFUNCTION("""COMPUTED_VALUE"""),"Red Coral Gem")</f>
        <v>Red Coral Gem</v>
      </c>
      <c r="X138" s="1" t="str">
        <f t="shared" si="1"/>
        <v/>
      </c>
    </row>
    <row r="139">
      <c r="A139" s="1" t="s">
        <v>175</v>
      </c>
      <c r="B139" s="1" t="str">
        <f>IFERROR(VLOOKUP($A139,ItemsImport!$A$2:$AD970,MATCH("Description",ItemsImport!$A$1:$AE$1,0),FALSE),"")</f>
        <v>500 Water dmg or Resistance</v>
      </c>
      <c r="C139" s="1" t="str">
        <f>IFERROR(VLOOKUP($A139,ItemsImport!$A$2:$AD970,MATCH("Type",ItemsImport!$A$1:$AE$1,0),FALSE),"")</f>
        <v>Item</v>
      </c>
      <c r="H139" s="4" t="b">
        <v>0</v>
      </c>
      <c r="I139" s="1" t="str">
        <f>IFERROR(VLOOKUP($A139,ItemsImport!$A$2:$AD970,MATCH("ItemLoc",ItemsImport!$A$1:$AE$1,0),FALSE),"")</f>
        <v>Land of Spira</v>
      </c>
      <c r="W139" s="1" t="str">
        <f>IFERROR(__xludf.DUMMYFUNCTION("""COMPUTED_VALUE"""),"Blue Coral Gem")</f>
        <v>Blue Coral Gem</v>
      </c>
      <c r="X139" s="1" t="str">
        <f t="shared" si="1"/>
        <v/>
      </c>
    </row>
    <row r="140">
      <c r="A140" s="1" t="s">
        <v>176</v>
      </c>
      <c r="B140" s="1" t="str">
        <f>IFERROR(VLOOKUP($A140,ItemsImport!$A$2:$AD970,MATCH("Description",ItemsImport!$A$1:$AE$1,0),FALSE),"")</f>
        <v>500 Strom dmg or Resistance</v>
      </c>
      <c r="C140" s="1" t="str">
        <f>IFERROR(VLOOKUP($A140,ItemsImport!$A$2:$AD970,MATCH("Type",ItemsImport!$A$1:$AE$1,0),FALSE),"")</f>
        <v>Item</v>
      </c>
      <c r="H140" s="4" t="b">
        <v>0</v>
      </c>
      <c r="I140" s="1" t="str">
        <f>IFERROR(VLOOKUP($A140,ItemsImport!$A$2:$AD970,MATCH("ItemLoc",ItemsImport!$A$1:$AE$1,0),FALSE),"")</f>
        <v>Land of Spira</v>
      </c>
      <c r="W140" s="1" t="str">
        <f>IFERROR(__xludf.DUMMYFUNCTION("""COMPUTED_VALUE"""),"Yellow Coral Gem")</f>
        <v>Yellow Coral Gem</v>
      </c>
      <c r="X140" s="1" t="str">
        <f t="shared" si="1"/>
        <v/>
      </c>
    </row>
    <row r="141">
      <c r="A141" s="1" t="s">
        <v>177</v>
      </c>
      <c r="B141" s="1" t="str">
        <f>IFERROR(VLOOKUP($A141,ItemsImport!$A$2:$AD970,MATCH("Description",ItemsImport!$A$1:$AE$1,0),FALSE),"")</f>
        <v>500 nature dmg or Resistance</v>
      </c>
      <c r="C141" s="1" t="str">
        <f>IFERROR(VLOOKUP($A141,ItemsImport!$A$2:$AD970,MATCH("Type",ItemsImport!$A$1:$AE$1,0),FALSE),"")</f>
        <v>Item</v>
      </c>
      <c r="H141" s="4" t="b">
        <v>0</v>
      </c>
      <c r="I141" s="1" t="str">
        <f>IFERROR(VLOOKUP($A141,ItemsImport!$A$2:$AD970,MATCH("ItemLoc",ItemsImport!$A$1:$AE$1,0),FALSE),"")</f>
        <v>Land of Spira</v>
      </c>
      <c r="W141" s="1" t="str">
        <f>IFERROR(__xludf.DUMMYFUNCTION("""COMPUTED_VALUE"""),"Green Coral Gem")</f>
        <v>Green Coral Gem</v>
      </c>
      <c r="X141" s="1" t="str">
        <f t="shared" si="1"/>
        <v/>
      </c>
    </row>
    <row r="142">
      <c r="A142" s="1" t="s">
        <v>178</v>
      </c>
      <c r="B142" s="1" t="str">
        <f>IFERROR(VLOOKUP($A142,ItemsImport!$A$2:$AD970,MATCH("Description",ItemsImport!$A$1:$AE$1,0),FALSE),"")</f>
        <v>500 Spirit dmg or Resistance</v>
      </c>
      <c r="C142" s="1" t="str">
        <f>IFERROR(VLOOKUP($A142,ItemsImport!$A$2:$AD970,MATCH("Type",ItemsImport!$A$1:$AE$1,0),FALSE),"")</f>
        <v>Item</v>
      </c>
      <c r="H142" s="4" t="b">
        <v>0</v>
      </c>
      <c r="I142" s="1" t="str">
        <f>IFERROR(VLOOKUP($A142,ItemsImport!$A$2:$AD970,MATCH("ItemLoc",ItemsImport!$A$1:$AE$1,0),FALSE),"")</f>
        <v>Land of Spira</v>
      </c>
      <c r="W142" s="1" t="str">
        <f>IFERROR(__xludf.DUMMYFUNCTION("""COMPUTED_VALUE"""),"White Coral Gem")</f>
        <v>White Coral Gem</v>
      </c>
      <c r="X142" s="1" t="str">
        <f t="shared" si="1"/>
        <v/>
      </c>
    </row>
    <row r="143">
      <c r="A143" s="1" t="s">
        <v>179</v>
      </c>
      <c r="B143" s="1" t="str">
        <f>IFERROR(VLOOKUP($A143,ItemsImport!$A$2:$AD970,MATCH("Description",ItemsImport!$A$1:$AE$1,0),FALSE),"")</f>
        <v>500 Dark dmg or Resistance</v>
      </c>
      <c r="C143" s="1" t="str">
        <f>IFERROR(VLOOKUP($A143,ItemsImport!$A$2:$AD970,MATCH("Type",ItemsImport!$A$1:$AE$1,0),FALSE),"")</f>
        <v>Item</v>
      </c>
      <c r="H143" s="4" t="b">
        <v>0</v>
      </c>
      <c r="I143" s="1" t="str">
        <f>IFERROR(VLOOKUP($A143,ItemsImport!$A$2:$AD970,MATCH("ItemLoc",ItemsImport!$A$1:$AE$1,0),FALSE),"")</f>
        <v>Land of Spira</v>
      </c>
      <c r="W143" s="1" t="str">
        <f>IFERROR(__xludf.DUMMYFUNCTION("""COMPUTED_VALUE"""),"Black Coral Gem")</f>
        <v>Black Coral Gem</v>
      </c>
      <c r="X143" s="1" t="str">
        <f t="shared" si="1"/>
        <v/>
      </c>
    </row>
    <row r="144">
      <c r="A144" s="1" t="s">
        <v>180</v>
      </c>
      <c r="B144" s="1" t="str">
        <f>IFERROR(VLOOKUP($A144,ItemsImport!$A$2:$AD970,MATCH("Description",ItemsImport!$A$1:$AE$1,0),FALSE),"")</f>
        <v>500 dmg or resistance</v>
      </c>
      <c r="C144" s="1" t="str">
        <f>IFERROR(VLOOKUP($A144,ItemsImport!$A$2:$AD970,MATCH("Type",ItemsImport!$A$1:$AE$1,0),FALSE),"")</f>
        <v>Item</v>
      </c>
      <c r="H144" s="4" t="b">
        <v>0</v>
      </c>
      <c r="I144" s="1" t="str">
        <f>IFERROR(VLOOKUP($A144,ItemsImport!$A$2:$AD970,MATCH("ItemLoc",ItemsImport!$A$1:$AE$1,0),FALSE),"")</f>
        <v>Land of Spira</v>
      </c>
      <c r="W144" s="1" t="str">
        <f>IFERROR(__xludf.DUMMYFUNCTION("""COMPUTED_VALUE"""),"Pink Coral Gem")</f>
        <v>Pink Coral Gem</v>
      </c>
      <c r="X144" s="1" t="str">
        <f t="shared" si="1"/>
        <v/>
      </c>
    </row>
    <row r="145">
      <c r="A145" s="1" t="s">
        <v>181</v>
      </c>
      <c r="B145" s="1" t="str">
        <f>IFERROR(VLOOKUP($A145,ItemsImport!$A$2:$AD970,MATCH("Description",ItemsImport!$A$1:$AE$1,0),FALSE),"")</f>
        <v>Crafting Material, roll a d20 to see how many you get if this is a loot drop.</v>
      </c>
      <c r="C145" s="1" t="str">
        <f>IFERROR(VLOOKUP($A145,ItemsImport!$A$2:$AD970,MATCH("Type",ItemsImport!$A$1:$AE$1,0),FALSE),"")</f>
        <v>Item</v>
      </c>
      <c r="H145" s="4" t="b">
        <v>0</v>
      </c>
      <c r="I145" s="1" t="str">
        <f>IFERROR(VLOOKUP($A145,ItemsImport!$A$2:$AD970,MATCH("ItemLoc",ItemsImport!$A$1:$AE$1,0),FALSE),"")</f>
        <v>Land of Spira</v>
      </c>
      <c r="W145" s="1" t="str">
        <f>IFERROR(__xludf.DUMMYFUNCTION("""COMPUTED_VALUE"""),"Coral")</f>
        <v>Coral</v>
      </c>
      <c r="X145" s="1" t="str">
        <f t="shared" si="1"/>
        <v/>
      </c>
    </row>
    <row r="146">
      <c r="A146" s="1" t="s">
        <v>182</v>
      </c>
      <c r="B146" s="1" t="str">
        <f>IFERROR(VLOOKUP($A146,ItemsImport!$A$2:$AD970,MATCH("Description",ItemsImport!$A$1:$AE$1,0),FALSE),"")</f>
        <v>Crafting Material, roll a d20 to see how many you get if this is a loot drop.</v>
      </c>
      <c r="C146" s="1" t="str">
        <f>IFERROR(VLOOKUP($A146,ItemsImport!$A$2:$AD970,MATCH("Type",ItemsImport!$A$1:$AE$1,0),FALSE),"")</f>
        <v>Item</v>
      </c>
      <c r="H146" s="4" t="b">
        <v>0</v>
      </c>
      <c r="I146" s="1" t="str">
        <f>IFERROR(VLOOKUP($A146,ItemsImport!$A$2:$AD970,MATCH("ItemLoc",ItemsImport!$A$1:$AE$1,0),FALSE),"")</f>
        <v>Land of Spira</v>
      </c>
      <c r="W146" s="1" t="str">
        <f>IFERROR(__xludf.DUMMYFUNCTION("""COMPUTED_VALUE"""),"Ivory")</f>
        <v>Ivory</v>
      </c>
      <c r="X146" s="1" t="str">
        <f t="shared" si="1"/>
        <v/>
      </c>
    </row>
    <row r="147">
      <c r="A147" s="1" t="s">
        <v>183</v>
      </c>
      <c r="B147" s="1" t="str">
        <f>IFERROR(VLOOKUP($A147,ItemsImport!$A$2:$AD970,MATCH("Description",ItemsImport!$A$1:$AE$1,0),FALSE),"")</f>
        <v>Crafting Material, roll a d20 to see how many you get if this is a loot drop.</v>
      </c>
      <c r="C147" s="1" t="str">
        <f>IFERROR(VLOOKUP($A147,ItemsImport!$A$2:$AD970,MATCH("Type",ItemsImport!$A$1:$AE$1,0),FALSE),"")</f>
        <v>Item</v>
      </c>
      <c r="H147" s="4" t="b">
        <v>0</v>
      </c>
      <c r="I147" s="1" t="str">
        <f>IFERROR(VLOOKUP($A147,ItemsImport!$A$2:$AD970,MATCH("ItemLoc",ItemsImport!$A$1:$AE$1,0),FALSE),"")</f>
        <v>Land of Spira</v>
      </c>
      <c r="W147" s="1" t="str">
        <f>IFERROR(__xludf.DUMMYFUNCTION("""COMPUTED_VALUE"""),"Onyx")</f>
        <v>Onyx</v>
      </c>
      <c r="X147" s="1" t="str">
        <f t="shared" si="1"/>
        <v/>
      </c>
    </row>
    <row r="148">
      <c r="A148" s="1" t="s">
        <v>184</v>
      </c>
      <c r="B148" s="1" t="str">
        <f>IFERROR(VLOOKUP($A148,ItemsImport!$A$2:$AD970,MATCH("Description",ItemsImport!$A$1:$AE$1,0),FALSE),"")</f>
        <v>Crafting Material, roll a d20 to see how many you get if this is a loot drop.</v>
      </c>
      <c r="C148" s="1" t="str">
        <f>IFERROR(VLOOKUP($A148,ItemsImport!$A$2:$AD970,MATCH("Type",ItemsImport!$A$1:$AE$1,0),FALSE),"")</f>
        <v>Item</v>
      </c>
      <c r="H148" s="4" t="b">
        <v>0</v>
      </c>
      <c r="I148" s="1" t="str">
        <f>IFERROR(VLOOKUP($A148,ItemsImport!$A$2:$AD970,MATCH("ItemLoc",ItemsImport!$A$1:$AE$1,0),FALSE),"")</f>
        <v>Land of Spira</v>
      </c>
      <c r="W148" s="1" t="str">
        <f>IFERROR(__xludf.DUMMYFUNCTION("""COMPUTED_VALUE"""),"Jade")</f>
        <v>Jade</v>
      </c>
      <c r="X148" s="1" t="str">
        <f t="shared" si="1"/>
        <v/>
      </c>
    </row>
    <row r="149">
      <c r="A149" s="1" t="s">
        <v>185</v>
      </c>
      <c r="B149" s="1" t="str">
        <f>IFERROR(VLOOKUP($A149,ItemsImport!$A$2:$AD970,MATCH("Description",ItemsImport!$A$1:$AE$1,0),FALSE),"")</f>
        <v>Crafting Material, roll a d20 to see how many you get if this is a loot drop.</v>
      </c>
      <c r="C149" s="1" t="str">
        <f>IFERROR(VLOOKUP($A149,ItemsImport!$A$2:$AD970,MATCH("Type",ItemsImport!$A$1:$AE$1,0),FALSE),"")</f>
        <v>Item</v>
      </c>
      <c r="H149" s="4" t="b">
        <v>0</v>
      </c>
      <c r="I149" s="1" t="str">
        <f>IFERROR(VLOOKUP($A149,ItemsImport!$A$2:$AD970,MATCH("ItemLoc",ItemsImport!$A$1:$AE$1,0),FALSE),"")</f>
        <v>Land of Spira</v>
      </c>
      <c r="W149" s="1" t="str">
        <f>IFERROR(__xludf.DUMMYFUNCTION("""COMPUTED_VALUE"""),"Emerald")</f>
        <v>Emerald</v>
      </c>
      <c r="X149" s="1" t="str">
        <f t="shared" si="1"/>
        <v/>
      </c>
    </row>
    <row r="150">
      <c r="A150" s="1" t="s">
        <v>186</v>
      </c>
      <c r="B150" s="1" t="str">
        <f>IFERROR(VLOOKUP($A150,ItemsImport!$A$2:$AD970,MATCH("Description",ItemsImport!$A$1:$AE$1,0),FALSE),"")</f>
        <v>Crafting Material, roll a d20 to see how many you get if this is a loot drop.</v>
      </c>
      <c r="C150" s="1" t="str">
        <f>IFERROR(VLOOKUP($A150,ItemsImport!$A$2:$AD970,MATCH("Type",ItemsImport!$A$1:$AE$1,0),FALSE),"")</f>
        <v>Item</v>
      </c>
      <c r="H150" s="4" t="b">
        <v>0</v>
      </c>
      <c r="I150" s="1" t="str">
        <f>IFERROR(VLOOKUP($A150,ItemsImport!$A$2:$AD970,MATCH("ItemLoc",ItemsImport!$A$1:$AE$1,0),FALSE),"")</f>
        <v>Land of Spira</v>
      </c>
      <c r="W150" s="1" t="str">
        <f>IFERROR(__xludf.DUMMYFUNCTION("""COMPUTED_VALUE"""),"Ruby")</f>
        <v>Ruby</v>
      </c>
      <c r="X150" s="1" t="str">
        <f t="shared" si="1"/>
        <v/>
      </c>
    </row>
    <row r="151">
      <c r="A151" s="1" t="s">
        <v>187</v>
      </c>
      <c r="B151" s="1" t="str">
        <f>IFERROR(VLOOKUP($A151,ItemsImport!$A$2:$AD970,MATCH("Description",ItemsImport!$A$1:$AE$1,0),FALSE),"")</f>
        <v>Crafting Material, roll a d20 to see how many you get if this is a loot drop.</v>
      </c>
      <c r="C151" s="1" t="str">
        <f>IFERROR(VLOOKUP($A151,ItemsImport!$A$2:$AD970,MATCH("Type",ItemsImport!$A$1:$AE$1,0),FALSE),"")</f>
        <v>Item</v>
      </c>
      <c r="H151" s="4" t="b">
        <v>0</v>
      </c>
      <c r="I151" s="1" t="str">
        <f>IFERROR(VLOOKUP($A151,ItemsImport!$A$2:$AD970,MATCH("ItemLoc",ItemsImport!$A$1:$AE$1,0),FALSE),"")</f>
        <v>Land of Spira</v>
      </c>
      <c r="W151" s="1" t="str">
        <f>IFERROR(__xludf.DUMMYFUNCTION("""COMPUTED_VALUE"""),"Sapphire")</f>
        <v>Sapphire</v>
      </c>
      <c r="X151" s="1" t="str">
        <f t="shared" si="1"/>
        <v/>
      </c>
    </row>
    <row r="152">
      <c r="A152" s="1" t="s">
        <v>188</v>
      </c>
      <c r="B152" s="1" t="str">
        <f>IFERROR(VLOOKUP($A152,ItemsImport!$A$2:$AD970,MATCH("Description",ItemsImport!$A$1:$AE$1,0),FALSE),"")</f>
        <v>Gun ammunition. 5000 damage, +5000 fire damage.</v>
      </c>
      <c r="C152" s="1" t="str">
        <f>IFERROR(VLOOKUP($A152,ItemsImport!$A$2:$AD970,MATCH("Type",ItemsImport!$A$1:$AE$1,0),FALSE),"")</f>
        <v>Item</v>
      </c>
      <c r="H152" s="4" t="b">
        <v>0</v>
      </c>
      <c r="I152" s="1" t="str">
        <f>IFERROR(VLOOKUP($A152,ItemsImport!$A$2:$AD970,MATCH("ItemLoc",ItemsImport!$A$1:$AE$1,0),FALSE),"")</f>
        <v>Land of Spira</v>
      </c>
      <c r="W152" s="1" t="str">
        <f>IFERROR(__xludf.DUMMYFUNCTION("""COMPUTED_VALUE"""),"Candy Corn")</f>
        <v>Candy Corn</v>
      </c>
      <c r="X152" s="1" t="str">
        <f t="shared" si="1"/>
        <v/>
      </c>
    </row>
    <row r="153">
      <c r="A153" s="1" t="s">
        <v>189</v>
      </c>
      <c r="B153" s="1" t="str">
        <f>IFERROR(VLOOKUP($A153,ItemsImport!$A$2:$AD970,MATCH("Description",ItemsImport!$A$1:$AE$1,0),FALSE),"")</f>
        <v>Bow Ammunition. +5000 fire damage. roll a d20 to see how many you get if this is a loot drop.</v>
      </c>
      <c r="C153" s="1" t="str">
        <f>IFERROR(VLOOKUP($A153,ItemsImport!$A$2:$AD970,MATCH("Type",ItemsImport!$A$1:$AE$1,0),FALSE),"")</f>
        <v>Item</v>
      </c>
      <c r="H153" s="4" t="b">
        <v>0</v>
      </c>
      <c r="I153" s="1" t="str">
        <f>IFERROR(VLOOKUP($A153,ItemsImport!$A$2:$AD970,MATCH("ItemLoc",ItemsImport!$A$1:$AE$1,0),FALSE),"")</f>
        <v>Land of Spira</v>
      </c>
      <c r="W153" s="1" t="str">
        <f>IFERROR(__xludf.DUMMYFUNCTION("""COMPUTED_VALUE"""),"Pumpkin Arrow")</f>
        <v>Pumpkin Arrow</v>
      </c>
      <c r="X153" s="1" t="str">
        <f t="shared" si="1"/>
        <v/>
      </c>
    </row>
    <row r="154">
      <c r="A154" s="1" t="s">
        <v>190</v>
      </c>
      <c r="B154" s="1" t="str">
        <f>IFERROR(VLOOKUP($A154,ItemsImport!$A$2:$AD970,MATCH("Description",ItemsImport!$A$1:$AE$1,0),FALSE),"")</f>
        <v>(Can be turned in for Halloween Coins Decided by the current DM / GM )</v>
      </c>
      <c r="C154" s="1" t="str">
        <f>IFERROR(VLOOKUP($A154,ItemsImport!$A$2:$AD970,MATCH("Type",ItemsImport!$A$1:$AE$1,0),FALSE),"")</f>
        <v>Item</v>
      </c>
      <c r="H154" s="4" t="b">
        <v>0</v>
      </c>
      <c r="I154" s="1" t="str">
        <f>IFERROR(VLOOKUP($A154,ItemsImport!$A$2:$AD970,MATCH("ItemLoc",ItemsImport!$A$1:$AE$1,0),FALSE),"")</f>
        <v>Land of Spira</v>
      </c>
      <c r="W154" s="1" t="str">
        <f>IFERROR(__xludf.DUMMYFUNCTION("""COMPUTED_VALUE"""),"Candy Corn Gem")</f>
        <v>Candy Corn Gem</v>
      </c>
      <c r="X154" s="1" t="str">
        <f t="shared" si="1"/>
        <v/>
      </c>
    </row>
    <row r="155">
      <c r="A155" s="1" t="s">
        <v>191</v>
      </c>
      <c r="B155" s="1" t="str">
        <f>IFERROR(VLOOKUP($A155,ItemsImport!$A$2:$AD970,MATCH("Description",ItemsImport!$A$1:$AE$1,0),FALSE),"")</f>
        <v>Bow Ammunition. +100 damage. roll a d20 to see how many you get if this is a loot drop.</v>
      </c>
      <c r="C155" s="1" t="str">
        <f>IFERROR(VLOOKUP($A155,ItemsImport!$A$2:$AD970,MATCH("Type",ItemsImport!$A$1:$AE$1,0),FALSE),"")</f>
        <v>Item</v>
      </c>
      <c r="H155" s="4" t="b">
        <v>0</v>
      </c>
      <c r="I155" s="1" t="str">
        <f>IFERROR(VLOOKUP($A155,ItemsImport!$A$2:$AD970,MATCH("ItemLoc",ItemsImport!$A$1:$AE$1,0),FALSE),"")</f>
        <v>Land of Spira</v>
      </c>
      <c r="W155" s="1" t="str">
        <f>IFERROR(__xludf.DUMMYFUNCTION("""COMPUTED_VALUE"""),"Steel Arrow")</f>
        <v>Steel Arrow</v>
      </c>
      <c r="X155" s="1" t="str">
        <f t="shared" si="1"/>
        <v/>
      </c>
    </row>
    <row r="156">
      <c r="A156" s="1" t="s">
        <v>192</v>
      </c>
      <c r="B156" s="1" t="str">
        <f>IFERROR(VLOOKUP($A156,ItemsImport!$A$2:$AD970,MATCH("Description",ItemsImport!$A$1:$AE$1,0),FALSE),"")</f>
        <v>Opens bone chest</v>
      </c>
      <c r="C156" s="1" t="str">
        <f>IFERROR(VLOOKUP($A156,ItemsImport!$A$2:$AD970,MATCH("Type",ItemsImport!$A$1:$AE$1,0),FALSE),"")</f>
        <v>Item</v>
      </c>
      <c r="H156" s="4" t="b">
        <v>0</v>
      </c>
      <c r="I156" s="1" t="str">
        <f>IFERROR(VLOOKUP($A156,ItemsImport!$A$2:$AD970,MATCH("ItemLoc",ItemsImport!$A$1:$AE$1,0),FALSE),"")</f>
        <v>Land of Spira</v>
      </c>
      <c r="W156" s="1" t="str">
        <f>IFERROR(__xludf.DUMMYFUNCTION("""COMPUTED_VALUE"""),"Bone Key")</f>
        <v>Bone Key</v>
      </c>
      <c r="X156" s="1" t="str">
        <f t="shared" si="1"/>
        <v/>
      </c>
    </row>
    <row r="157">
      <c r="A157" s="1" t="s">
        <v>193</v>
      </c>
      <c r="B157" s="1" t="str">
        <f>IFERROR(VLOOKUP($A157,ItemsImport!$A$2:$AD970,MATCH("Description",ItemsImport!$A$1:$AE$1,0),FALSE),"")</f>
        <v>Crafting Material, roll a d20 to see how many you get if this is a loot drop.</v>
      </c>
      <c r="C157" s="1" t="str">
        <f>IFERROR(VLOOKUP($A157,ItemsImport!$A$2:$AD970,MATCH("Type",ItemsImport!$A$1:$AE$1,0),FALSE),"")</f>
        <v>Item</v>
      </c>
      <c r="H157" s="4" t="b">
        <v>0</v>
      </c>
      <c r="I157" s="1" t="str">
        <f>IFERROR(VLOOKUP($A157,ItemsImport!$A$2:$AD970,MATCH("ItemLoc",ItemsImport!$A$1:$AE$1,0),FALSE),"")</f>
        <v>Land of Spira</v>
      </c>
      <c r="W157" s="1" t="str">
        <f>IFERROR(__xludf.DUMMYFUNCTION("""COMPUTED_VALUE"""),"Bone")</f>
        <v>Bone</v>
      </c>
      <c r="X157" s="1" t="str">
        <f t="shared" si="1"/>
        <v/>
      </c>
    </row>
    <row r="158">
      <c r="A158" s="1" t="s">
        <v>194</v>
      </c>
      <c r="B158" s="1" t="str">
        <f>IFERROR(VLOOKUP($A158,ItemsImport!$A$2:$AD970,MATCH("Description",ItemsImport!$A$1:$AE$1,0),FALSE),"")</f>
        <v>Determine the tier by a d10 roll.</v>
      </c>
      <c r="C158" s="1" t="str">
        <f>IFERROR(VLOOKUP($A158,ItemsImport!$A$2:$AD970,MATCH("Type",ItemsImport!$A$1:$AE$1,0),FALSE),"")</f>
        <v>Item</v>
      </c>
      <c r="H158" s="4" t="b">
        <v>0</v>
      </c>
      <c r="I158" s="1" t="str">
        <f>IFERROR(VLOOKUP($A158,ItemsImport!$A$2:$AD970,MATCH("ItemLoc",ItemsImport!$A$1:$AE$1,0),FALSE),"")</f>
        <v>Land of Spira</v>
      </c>
      <c r="W158" s="1" t="str">
        <f>IFERROR(__xludf.DUMMYFUNCTION("""COMPUTED_VALUE"""),"Bone Chest")</f>
        <v>Bone Chest</v>
      </c>
      <c r="X158" s="1" t="str">
        <f t="shared" si="1"/>
        <v/>
      </c>
    </row>
    <row r="159">
      <c r="A159" s="1" t="s">
        <v>195</v>
      </c>
      <c r="B159" s="1" t="str">
        <f>IFERROR(VLOOKUP($A159,ItemsImport!$A$2:$AD970,MATCH("Description",ItemsImport!$A$1:$AE$1,0),FALSE),"")</f>
        <v>Opens the Viking Chest</v>
      </c>
      <c r="C159" s="1" t="str">
        <f>IFERROR(VLOOKUP($A159,ItemsImport!$A$2:$AD970,MATCH("Type",ItemsImport!$A$1:$AE$1,0),FALSE),"")</f>
        <v>Item</v>
      </c>
      <c r="H159" s="4" t="b">
        <v>0</v>
      </c>
      <c r="I159" s="1" t="str">
        <f>IFERROR(VLOOKUP($A159,ItemsImport!$A$2:$AD970,MATCH("ItemLoc",ItemsImport!$A$1:$AE$1,0),FALSE),"")</f>
        <v>Land of Spira</v>
      </c>
      <c r="W159" s="1" t="str">
        <f>IFERROR(__xludf.DUMMYFUNCTION("""COMPUTED_VALUE"""),"Viking Key")</f>
        <v>Viking Key</v>
      </c>
      <c r="X159" s="1" t="str">
        <f t="shared" si="1"/>
        <v/>
      </c>
    </row>
    <row r="160">
      <c r="A160" s="1" t="s">
        <v>196</v>
      </c>
      <c r="B160" s="1" t="str">
        <f>IFERROR(VLOOKUP($A160,ItemsImport!$A$2:$AD970,MATCH("Description",ItemsImport!$A$1:$AE$1,0),FALSE),"")</f>
        <v>Determine the tier by a d10 roll.</v>
      </c>
      <c r="C160" s="1" t="str">
        <f>IFERROR(VLOOKUP($A160,ItemsImport!$A$2:$AD970,MATCH("Type",ItemsImport!$A$1:$AE$1,0),FALSE),"")</f>
        <v>Item</v>
      </c>
      <c r="H160" s="4" t="b">
        <v>0</v>
      </c>
      <c r="I160" s="1" t="str">
        <f>IFERROR(VLOOKUP($A160,ItemsImport!$A$2:$AD970,MATCH("ItemLoc",ItemsImport!$A$1:$AE$1,0),FALSE),"")</f>
        <v>Land of Spira</v>
      </c>
      <c r="W160" s="1" t="str">
        <f>IFERROR(__xludf.DUMMYFUNCTION("""COMPUTED_VALUE"""),"Viking Chest")</f>
        <v>Viking Chest</v>
      </c>
      <c r="X160" s="1" t="str">
        <f t="shared" si="1"/>
        <v/>
      </c>
    </row>
    <row r="161">
      <c r="A161" s="1" t="s">
        <v>197</v>
      </c>
      <c r="B161" s="1" t="str">
        <f>IFERROR(VLOOKUP($A161,ItemsImport!$A$2:$AD970,MATCH("Description",ItemsImport!$A$1:$AE$1,0),FALSE),"")</f>
        <v>Gain access to Vikings Cove</v>
      </c>
      <c r="C161" s="1" t="str">
        <f>IFERROR(VLOOKUP($A161,ItemsImport!$A$2:$AD970,MATCH("Type",ItemsImport!$A$1:$AE$1,0),FALSE),"")</f>
        <v>Item</v>
      </c>
      <c r="H161" s="4" t="b">
        <v>0</v>
      </c>
      <c r="I161" s="1" t="str">
        <f>IFERROR(VLOOKUP($A161,ItemsImport!$A$2:$AD970,MATCH("ItemLoc",ItemsImport!$A$1:$AE$1,0),FALSE),"")</f>
        <v>Land of Spira</v>
      </c>
      <c r="W161" s="1" t="str">
        <f>IFERROR(__xludf.DUMMYFUNCTION("""COMPUTED_VALUE"""),"Vikings Cove Key")</f>
        <v>Vikings Cove Key</v>
      </c>
      <c r="X161" s="1" t="str">
        <f t="shared" si="1"/>
        <v/>
      </c>
    </row>
    <row r="162">
      <c r="A162" s="1" t="s">
        <v>198</v>
      </c>
      <c r="B162" s="1" t="str">
        <f>IFERROR(VLOOKUP($A162,ItemsImport!$A$2:$AD970,MATCH("Description",ItemsImport!$A$1:$AE$1,0),FALSE),"")</f>
        <v> +2 hunger</v>
      </c>
      <c r="C162" s="1" t="str">
        <f>IFERROR(VLOOKUP($A162,ItemsImport!$A$2:$AD970,MATCH("Type",ItemsImport!$A$1:$AE$1,0),FALSE),"")</f>
        <v>Crop</v>
      </c>
      <c r="H162" s="4" t="b">
        <v>0</v>
      </c>
      <c r="I162" s="1" t="str">
        <f>IFERROR(VLOOKUP($A162,ItemsImport!$A$2:$AD970,MATCH("ItemLoc",ItemsImport!$A$1:$AE$1,0),FALSE),"")</f>
        <v>Land of Spira</v>
      </c>
      <c r="W162" s="1" t="str">
        <f>IFERROR(__xludf.DUMMYFUNCTION("""COMPUTED_VALUE"""),"Baboon meat")</f>
        <v>Baboon meat</v>
      </c>
      <c r="X162" s="1" t="str">
        <f t="shared" si="1"/>
        <v/>
      </c>
    </row>
    <row r="163">
      <c r="A163" s="1" t="s">
        <v>199</v>
      </c>
      <c r="B163" s="1" t="str">
        <f>IFERROR(VLOOKUP($A163,ItemsImport!$A$2:$AD970,MATCH("Description",ItemsImport!$A$1:$AE$1,0),FALSE),"")</f>
        <v>Crafting Material, roll a d20 to see how many you get if this is a loot drop.</v>
      </c>
      <c r="C163" s="1" t="str">
        <f>IFERROR(VLOOKUP($A163,ItemsImport!$A$2:$AD970,MATCH("Type",ItemsImport!$A$1:$AE$1,0),FALSE),"")</f>
        <v>Item</v>
      </c>
      <c r="H163" s="4" t="b">
        <v>0</v>
      </c>
      <c r="I163" s="1" t="str">
        <f>IFERROR(VLOOKUP($A163,ItemsImport!$A$2:$AD970,MATCH("ItemLoc",ItemsImport!$A$1:$AE$1,0),FALSE),"")</f>
        <v>Land of Spira</v>
      </c>
      <c r="W163" s="1" t="str">
        <f>IFERROR(__xludf.DUMMYFUNCTION("""COMPUTED_VALUE"""),"Eagle Feathers")</f>
        <v>Eagle Feathers</v>
      </c>
      <c r="X163" s="1" t="str">
        <f t="shared" si="1"/>
        <v/>
      </c>
    </row>
    <row r="164">
      <c r="A164" s="1" t="s">
        <v>200</v>
      </c>
      <c r="B164" s="1" t="str">
        <f>IFERROR(VLOOKUP($A164,ItemsImport!$A$2:$AD970,MATCH("Description",ItemsImport!$A$1:$AE$1,0),FALSE),"")</f>
        <v>1 damage initially to all enemies, Does X damage each round until all targets escape the cycle, must roll a 11 or higher adding you mobility as a bonus to your roll while attempting to escape each round</v>
      </c>
      <c r="C164" s="1" t="str">
        <f>IFERROR(VLOOKUP($A164,ItemsImport!$A$2:$AD970,MATCH("Type",ItemsImport!$A$1:$AE$1,0),FALSE),"")</f>
        <v>Item</v>
      </c>
      <c r="H164" s="4" t="b">
        <v>0</v>
      </c>
      <c r="I164" s="1" t="str">
        <f>IFERROR(VLOOKUP($A164,ItemsImport!$A$2:$AD970,MATCH("ItemLoc",ItemsImport!$A$1:$AE$1,0),FALSE),"")</f>
        <v>Land of Spira</v>
      </c>
      <c r="W164" s="1" t="str">
        <f>IFERROR(__xludf.DUMMYFUNCTION("""COMPUTED_VALUE"""),"The Cycle")</f>
        <v>The Cycle</v>
      </c>
      <c r="X164" s="1" t="str">
        <f t="shared" si="1"/>
        <v/>
      </c>
    </row>
    <row r="165">
      <c r="A165" s="1" t="s">
        <v>201</v>
      </c>
      <c r="B165" s="1" t="str">
        <f>IFERROR(VLOOKUP($A165,ItemsImport!$A$2:$AD970,MATCH("Description",ItemsImport!$A$1:$AE$1,0),FALSE),"")</f>
        <v>can be added to armor to give it +1 Earth resistance, once added to armor it can’t be removed</v>
      </c>
      <c r="C165" s="1" t="str">
        <f>IFERROR(VLOOKUP($A165,ItemsImport!$A$2:$AD970,MATCH("Type",ItemsImport!$A$1:$AE$1,0),FALSE),"")</f>
        <v>Item</v>
      </c>
      <c r="H165" s="4" t="b">
        <v>0</v>
      </c>
      <c r="I165" s="1" t="str">
        <f>IFERROR(VLOOKUP($A165,ItemsImport!$A$2:$AD970,MATCH("ItemLoc",ItemsImport!$A$1:$AE$1,0),FALSE),"")</f>
        <v>Land of Spira</v>
      </c>
      <c r="W165" s="1" t="str">
        <f>IFERROR(__xludf.DUMMYFUNCTION("""COMPUTED_VALUE"""),"Scale")</f>
        <v>Scale</v>
      </c>
      <c r="X165" s="1" t="str">
        <f t="shared" si="1"/>
        <v/>
      </c>
    </row>
    <row r="166">
      <c r="A166" s="1" t="s">
        <v>202</v>
      </c>
      <c r="B166" s="1" t="str">
        <f>IFERROR(VLOOKUP($A166,ItemsImport!$A$2:$AD970,MATCH("Description",ItemsImport!$A$1:$AE$1,0),FALSE),"")</f>
        <v>Will hatch in X/X days.</v>
      </c>
      <c r="C166" s="1" t="str">
        <f>IFERROR(VLOOKUP($A166,ItemsImport!$A$2:$AD970,MATCH("Type",ItemsImport!$A$1:$AE$1,0),FALSE),"")</f>
        <v>Item</v>
      </c>
      <c r="H166" s="4" t="b">
        <v>0</v>
      </c>
      <c r="I166" s="1" t="str">
        <f>IFERROR(VLOOKUP($A166,ItemsImport!$A$2:$AD970,MATCH("ItemLoc",ItemsImport!$A$1:$AE$1,0),FALSE),"")</f>
        <v>Land of Spira</v>
      </c>
      <c r="W166" s="1" t="str">
        <f>IFERROR(__xludf.DUMMYFUNCTION("""COMPUTED_VALUE"""),"Egg")</f>
        <v>Egg</v>
      </c>
      <c r="X166" s="1" t="str">
        <f t="shared" si="1"/>
        <v/>
      </c>
    </row>
    <row r="167">
      <c r="A167" s="1" t="s">
        <v>203</v>
      </c>
      <c r="B167" s="1" t="str">
        <f>IFERROR(VLOOKUP($A167,ItemsImport!$A$2:$AD970,MATCH("Description",ItemsImport!$A$1:$AE$1,0),FALSE),"")</f>
        <v>usable can be used to temporarily summon a minion of the creature the soul came from, the minion disappears after battle or when it's killed, If you have 3 or more souls you can gain 1 power from the creature, when you have gained 5 or more souls they can become the creature.</v>
      </c>
      <c r="C167" s="1" t="str">
        <f>IFERROR(VLOOKUP($A167,ItemsImport!$A$2:$AD970,MATCH("Type",ItemsImport!$A$1:$AE$1,0),FALSE),"")</f>
        <v>Item</v>
      </c>
      <c r="H167" s="4" t="b">
        <v>0</v>
      </c>
      <c r="I167" s="1" t="str">
        <f>IFERROR(VLOOKUP($A167,ItemsImport!$A$2:$AD970,MATCH("ItemLoc",ItemsImport!$A$1:$AE$1,0),FALSE),"")</f>
        <v>Land of Spira</v>
      </c>
      <c r="W167" s="1" t="str">
        <f>IFERROR(__xludf.DUMMYFUNCTION("""COMPUTED_VALUE"""),"Soul")</f>
        <v>Soul</v>
      </c>
      <c r="X167" s="1" t="str">
        <f t="shared" si="1"/>
        <v/>
      </c>
    </row>
    <row r="168">
      <c r="A168" s="1" t="s">
        <v>204</v>
      </c>
      <c r="B168" s="1" t="str">
        <f>IFERROR(VLOOKUP($A168,ItemsImport!$A$2:$AD970,MATCH("Description",ItemsImport!$A$1:$AE$1,0),FALSE),"")</f>
        <v>Crafting Material, roll a d20 to see how many you get if this is a loot drop.</v>
      </c>
      <c r="C168" s="1" t="str">
        <f>IFERROR(VLOOKUP($A168,ItemsImport!$A$2:$AD970,MATCH("Type",ItemsImport!$A$1:$AE$1,0),FALSE),"")</f>
        <v>Item</v>
      </c>
      <c r="H168" s="4" t="b">
        <v>0</v>
      </c>
      <c r="I168" s="1" t="str">
        <f>IFERROR(VLOOKUP($A168,ItemsImport!$A$2:$AD970,MATCH("ItemLoc",ItemsImport!$A$1:$AE$1,0),FALSE),"")</f>
        <v>Land of Spira</v>
      </c>
      <c r="W168" s="1" t="str">
        <f>IFERROR(__xludf.DUMMYFUNCTION("""COMPUTED_VALUE"""),"Crystal")</f>
        <v>Crystal</v>
      </c>
      <c r="X168" s="1" t="str">
        <f t="shared" si="1"/>
        <v/>
      </c>
    </row>
    <row r="169">
      <c r="A169" s="1" t="s">
        <v>205</v>
      </c>
      <c r="B169" s="1" t="str">
        <f>IFERROR(VLOOKUP($A169,ItemsImport!$A$2:$AD970,MATCH("Description",ItemsImport!$A$1:$AE$1,0),FALSE),"")</f>
        <v>Crafting Material, roll a d20 to see how many you get if this is a loot drop.</v>
      </c>
      <c r="C169" s="1" t="str">
        <f>IFERROR(VLOOKUP($A169,ItemsImport!$A$2:$AD970,MATCH("Type",ItemsImport!$A$1:$AE$1,0),FALSE),"")</f>
        <v>Item</v>
      </c>
      <c r="H169" s="4" t="b">
        <v>0</v>
      </c>
      <c r="I169" s="1" t="str">
        <f>IFERROR(VLOOKUP($A169,ItemsImport!$A$2:$AD970,MATCH("ItemLoc",ItemsImport!$A$1:$AE$1,0),FALSE),"")</f>
        <v>Land of Spira</v>
      </c>
      <c r="W169" s="1" t="str">
        <f>IFERROR(__xludf.DUMMYFUNCTION("""COMPUTED_VALUE"""),"Delta Gems")</f>
        <v>Delta Gems</v>
      </c>
      <c r="X169" s="1" t="str">
        <f t="shared" si="1"/>
        <v/>
      </c>
    </row>
    <row r="170">
      <c r="A170" s="1" t="s">
        <v>206</v>
      </c>
      <c r="B170" s="1" t="str">
        <f>IFERROR(VLOOKUP($A170,ItemsImport!$A$2:$AD970,MATCH("Description",ItemsImport!$A$1:$AE$1,0),FALSE),"")</f>
        <v>Crafting Material, roll a d20 to see how many you get if this is a loot drop.</v>
      </c>
      <c r="C170" s="1" t="str">
        <f>IFERROR(VLOOKUP($A170,ItemsImport!$A$2:$AD970,MATCH("Type",ItemsImport!$A$1:$AE$1,0),FALSE),"")</f>
        <v>Item</v>
      </c>
      <c r="H170" s="4" t="b">
        <v>0</v>
      </c>
      <c r="I170" s="1" t="str">
        <f>IFERROR(VLOOKUP($A170,ItemsImport!$A$2:$AD970,MATCH("ItemLoc",ItemsImport!$A$1:$AE$1,0),FALSE),"")</f>
        <v>Land of Spira</v>
      </c>
      <c r="W170" s="1" t="str">
        <f>IFERROR(__xludf.DUMMYFUNCTION("""COMPUTED_VALUE"""),"Fire Diamonds")</f>
        <v>Fire Diamonds</v>
      </c>
      <c r="X170" s="1" t="str">
        <f t="shared" si="1"/>
        <v/>
      </c>
    </row>
    <row r="171">
      <c r="A171" s="1" t="s">
        <v>207</v>
      </c>
      <c r="B171" s="1" t="str">
        <f>IFERROR(VLOOKUP($A171,ItemsImport!$A$2:$AD970,MATCH("Description",ItemsImport!$A$1:$AE$1,0),FALSE),"")</f>
        <v>Quest item</v>
      </c>
      <c r="C171" s="1" t="str">
        <f>IFERROR(VLOOKUP($A171,ItemsImport!$A$2:$AD970,MATCH("Type",ItemsImport!$A$1:$AE$1,0),FALSE),"")</f>
        <v>Item</v>
      </c>
      <c r="H171" s="4" t="b">
        <v>0</v>
      </c>
      <c r="I171" s="1" t="str">
        <f>IFERROR(VLOOKUP($A171,ItemsImport!$A$2:$AD970,MATCH("ItemLoc",ItemsImport!$A$1:$AE$1,0),FALSE),"")</f>
        <v>Land of Spira</v>
      </c>
      <c r="W171" s="1" t="str">
        <f>IFERROR(__xludf.DUMMYFUNCTION("""COMPUTED_VALUE"""),"plant containing the ‘instant death status effect’")</f>
        <v>plant containing the ‘instant death status effect’</v>
      </c>
      <c r="X171" s="1" t="str">
        <f t="shared" si="1"/>
        <v/>
      </c>
    </row>
    <row r="172">
      <c r="A172" s="1" t="s">
        <v>208</v>
      </c>
      <c r="B172" s="1" t="str">
        <f>IFERROR(VLOOKUP($A172,ItemsImport!$A$2:$AD970,MATCH("Description",ItemsImport!$A$1:$AE$1,0),FALSE),"")</f>
        <v>Bow Ammunition. +500 light damage. roll a d20 to see how many you get if this is a loot drop.</v>
      </c>
      <c r="C172" s="1" t="str">
        <f>IFERROR(VLOOKUP($A172,ItemsImport!$A$2:$AD970,MATCH("Type",ItemsImport!$A$1:$AE$1,0),FALSE),"")</f>
        <v>Item</v>
      </c>
      <c r="H172" s="4" t="b">
        <v>0</v>
      </c>
      <c r="I172" s="1" t="str">
        <f>IFERROR(VLOOKUP($A172,ItemsImport!$A$2:$AD970,MATCH("ItemLoc",ItemsImport!$A$1:$AE$1,0),FALSE),"")</f>
        <v>Land of Spira</v>
      </c>
      <c r="W172" s="1"/>
      <c r="X172" s="1" t="str">
        <f t="shared" si="1"/>
        <v/>
      </c>
    </row>
    <row r="173">
      <c r="A173" s="1" t="s">
        <v>209</v>
      </c>
      <c r="B173" s="1" t="str">
        <f>IFERROR(VLOOKUP($A173,ItemsImport!$A$2:$AD970,MATCH("Description",ItemsImport!$A$1:$AE$1,0),FALSE),"")</f>
        <v>Curse Antidote</v>
      </c>
      <c r="C173" s="1" t="str">
        <f>IFERROR(VLOOKUP($A173,ItemsImport!$A$2:$AD970,MATCH("Type",ItemsImport!$A$1:$AE$1,0),FALSE),"")</f>
        <v>Item</v>
      </c>
      <c r="H173" s="4" t="b">
        <v>0</v>
      </c>
      <c r="I173" s="1" t="str">
        <f>IFERROR(VLOOKUP($A173,ItemsImport!$A$2:$AD970,MATCH("ItemLoc",ItemsImport!$A$1:$AE$1,0),FALSE),"")</f>
        <v>Land of Spira</v>
      </c>
      <c r="W173" s="1" t="str">
        <f>IFERROR(__xludf.DUMMYFUNCTION("""COMPUTED_VALUE"""),"Potion of Cure Curse")</f>
        <v>Potion of Cure Curse</v>
      </c>
      <c r="X173" s="1" t="str">
        <f t="shared" si="1"/>
        <v/>
      </c>
    </row>
    <row r="174">
      <c r="A174" s="1" t="s">
        <v>210</v>
      </c>
      <c r="B174" s="1" t="str">
        <f>IFERROR(VLOOKUP($A174,ItemsImport!$A$2:$AD970,MATCH("Description",ItemsImport!$A$1:$AE$1,0),FALSE),"")</f>
        <v>Crafting Material, roll a d20 to see how many you get if this is a loot drop.</v>
      </c>
      <c r="C174" s="1" t="str">
        <f>IFERROR(VLOOKUP($A174,ItemsImport!$A$2:$AD970,MATCH("Type",ItemsImport!$A$1:$AE$1,0),FALSE),"")</f>
        <v>Item</v>
      </c>
      <c r="H174" s="4" t="b">
        <v>0</v>
      </c>
      <c r="I174" s="1" t="str">
        <f>IFERROR(VLOOKUP($A174,ItemsImport!$A$2:$AD970,MATCH("ItemLoc",ItemsImport!$A$1:$AE$1,0),FALSE),"")</f>
        <v>Land of Spira</v>
      </c>
      <c r="W174" s="1" t="str">
        <f>IFERROR(__xludf.DUMMYFUNCTION("""COMPUTED_VALUE"""),"Glowing Blue Jelly")</f>
        <v>Glowing Blue Jelly</v>
      </c>
      <c r="X174" s="1" t="str">
        <f t="shared" si="1"/>
        <v/>
      </c>
    </row>
    <row r="175">
      <c r="A175" s="1" t="s">
        <v>211</v>
      </c>
      <c r="B175" s="1" t="str">
        <f>IFERROR(VLOOKUP($A175,ItemsImport!$A$2:$AD970,MATCH("Description",ItemsImport!$A$1:$AE$1,0),FALSE),"")</f>
        <v>Crafting Material, roll a d20 to see how many you get if this is a loot drop.</v>
      </c>
      <c r="C175" s="1" t="str">
        <f>IFERROR(VLOOKUP($A175,ItemsImport!$A$2:$AD970,MATCH("Type",ItemsImport!$A$1:$AE$1,0),FALSE),"")</f>
        <v>Item</v>
      </c>
      <c r="H175" s="4" t="b">
        <v>0</v>
      </c>
      <c r="I175" s="1" t="str">
        <f>IFERROR(VLOOKUP($A175,ItemsImport!$A$2:$AD970,MATCH("ItemLoc",ItemsImport!$A$1:$AE$1,0),FALSE),"")</f>
        <v>Land of Spira</v>
      </c>
      <c r="W175" s="1" t="str">
        <f>IFERROR(__xludf.DUMMYFUNCTION("""COMPUTED_VALUE"""),"Feather")</f>
        <v>Feather</v>
      </c>
      <c r="X175" s="1" t="str">
        <f t="shared" si="1"/>
        <v/>
      </c>
    </row>
    <row r="176">
      <c r="A176" s="1" t="s">
        <v>212</v>
      </c>
      <c r="B176" s="1" t="str">
        <f>IFERROR(VLOOKUP($A176,ItemsImport!$A$2:$AD970,MATCH("Description",ItemsImport!$A$1:$AE$1,0),FALSE),"")</f>
        <v>Crafting Material, roll a d20 to see how many you get if this is a loot drop.</v>
      </c>
      <c r="C176" s="1" t="str">
        <f>IFERROR(VLOOKUP($A176,ItemsImport!$A$2:$AD970,MATCH("Type",ItemsImport!$A$1:$AE$1,0),FALSE),"")</f>
        <v>Item</v>
      </c>
      <c r="H176" s="4" t="b">
        <v>0</v>
      </c>
      <c r="I176" s="1" t="str">
        <f>IFERROR(VLOOKUP($A176,ItemsImport!$A$2:$AD970,MATCH("ItemLoc",ItemsImport!$A$1:$AE$1,0),FALSE),"")</f>
        <v>Land of Spira</v>
      </c>
      <c r="W176" s="1" t="str">
        <f>IFERROR(__xludf.DUMMYFUNCTION("""COMPUTED_VALUE"""),"Talon")</f>
        <v>Talon</v>
      </c>
      <c r="X176" s="1" t="str">
        <f t="shared" si="1"/>
        <v/>
      </c>
    </row>
    <row r="177">
      <c r="A177" s="1" t="s">
        <v>213</v>
      </c>
      <c r="B177" s="1" t="str">
        <f>IFERROR(VLOOKUP($A177,ItemsImport!$A$2:$AD970,MATCH("Description",ItemsImport!$A$1:$AE$1,0),FALSE),"")</f>
        <v>Crafting Material, roll a d20 to see how many you get if this is a loot drop.</v>
      </c>
      <c r="C177" s="1" t="str">
        <f>IFERROR(VLOOKUP($A177,ItemsImport!$A$2:$AD970,MATCH("Type",ItemsImport!$A$1:$AE$1,0),FALSE),"")</f>
        <v>Item</v>
      </c>
      <c r="H177" s="4" t="b">
        <v>0</v>
      </c>
      <c r="I177" s="1" t="str">
        <f>IFERROR(VLOOKUP($A177,ItemsImport!$A$2:$AD970,MATCH("ItemLoc",ItemsImport!$A$1:$AE$1,0),FALSE),"")</f>
        <v>Land of Spira</v>
      </c>
      <c r="W177" s="1" t="str">
        <f>IFERROR(__xludf.DUMMYFUNCTION("""COMPUTED_VALUE"""),"Eyeball")</f>
        <v>Eyeball</v>
      </c>
      <c r="X177" s="1" t="str">
        <f t="shared" si="1"/>
        <v/>
      </c>
    </row>
    <row r="178">
      <c r="A178" s="1" t="s">
        <v>214</v>
      </c>
      <c r="B178" s="1" t="str">
        <f>IFERROR(VLOOKUP($A178,ItemsImport!$A$2:$AD970,MATCH("Description",ItemsImport!$A$1:$AE$1,0),FALSE),"")</f>
        <v>Crafting Material, roll a d20 to see how many you get if this is a loot drop.</v>
      </c>
      <c r="C178" s="1" t="str">
        <f>IFERROR(VLOOKUP($A178,ItemsImport!$A$2:$AD970,MATCH("Type",ItemsImport!$A$1:$AE$1,0),FALSE),"")</f>
        <v>Item</v>
      </c>
      <c r="H178" s="4" t="b">
        <v>0</v>
      </c>
      <c r="I178" s="1" t="str">
        <f>IFERROR(VLOOKUP($A178,ItemsImport!$A$2:$AD970,MATCH("ItemLoc",ItemsImport!$A$1:$AE$1,0),FALSE),"")</f>
        <v>Land of Spira</v>
      </c>
      <c r="W178" s="1" t="str">
        <f>IFERROR(__xludf.DUMMYFUNCTION("""COMPUTED_VALUE"""),"Spider Egg")</f>
        <v>Spider Egg</v>
      </c>
      <c r="X178" s="1" t="str">
        <f t="shared" si="1"/>
        <v/>
      </c>
    </row>
    <row r="179">
      <c r="A179" s="1" t="s">
        <v>215</v>
      </c>
      <c r="B179" s="1" t="str">
        <f>IFERROR(VLOOKUP($A179,ItemsImport!$A$2:$AD970,MATCH("Description",ItemsImport!$A$1:$AE$1,0),FALSE),"")</f>
        <v>Crafting Material, roll a d20 to see how many you get if this is a loot drop.</v>
      </c>
      <c r="C179" s="1" t="str">
        <f>IFERROR(VLOOKUP($A179,ItemsImport!$A$2:$AD970,MATCH("Type",ItemsImport!$A$1:$AE$1,0),FALSE),"")</f>
        <v>Item</v>
      </c>
      <c r="H179" s="4" t="b">
        <v>0</v>
      </c>
      <c r="I179" s="1" t="str">
        <f>IFERROR(VLOOKUP($A179,ItemsImport!$A$2:$AD970,MATCH("ItemLoc",ItemsImport!$A$1:$AE$1,0),FALSE),"")</f>
        <v>Land of Spira</v>
      </c>
      <c r="W179" s="1" t="str">
        <f>IFERROR(__xludf.DUMMYFUNCTION("""COMPUTED_VALUE"""),"Giant Spider Exoskeleton")</f>
        <v>Giant Spider Exoskeleton</v>
      </c>
      <c r="X179" s="1" t="str">
        <f t="shared" si="1"/>
        <v/>
      </c>
    </row>
    <row r="180">
      <c r="A180" s="1" t="s">
        <v>216</v>
      </c>
      <c r="B180" s="1" t="str">
        <f>IFERROR(VLOOKUP($A180,ItemsImport!$A$2:$AD970,MATCH("Description",ItemsImport!$A$1:$AE$1,0),FALSE),"")</f>
        <v>Crafting Material, roll a d20 to see how many you get if this is a loot drop.</v>
      </c>
      <c r="C180" s="1" t="str">
        <f>IFERROR(VLOOKUP($A180,ItemsImport!$A$2:$AD970,MATCH("Type",ItemsImport!$A$1:$AE$1,0),FALSE),"")</f>
        <v>Item</v>
      </c>
      <c r="H180" s="4" t="b">
        <v>0</v>
      </c>
      <c r="I180" s="1" t="str">
        <f>IFERROR(VLOOKUP($A180,ItemsImport!$A$2:$AD970,MATCH("ItemLoc",ItemsImport!$A$1:$AE$1,0),FALSE),"")</f>
        <v>Land of Spira</v>
      </c>
      <c r="W180" s="1" t="str">
        <f>IFERROR(__xludf.DUMMYFUNCTION("""COMPUTED_VALUE"""),"Giant Spider Poison")</f>
        <v>Giant Spider Poison</v>
      </c>
      <c r="X180" s="1" t="str">
        <f t="shared" si="1"/>
        <v/>
      </c>
    </row>
    <row r="181">
      <c r="A181" s="1" t="s">
        <v>217</v>
      </c>
      <c r="B181" s="1" t="str">
        <f>IFERROR(VLOOKUP($A181,ItemsImport!$A$2:$AD970,MATCH("Description",ItemsImport!$A$1:$AE$1,0),FALSE),"")</f>
        <v>Crafting Material, roll a d20 to see how many you get if this is a loot drop.</v>
      </c>
      <c r="C181" s="1" t="str">
        <f>IFERROR(VLOOKUP($A181,ItemsImport!$A$2:$AD970,MATCH("Type",ItemsImport!$A$1:$AE$1,0),FALSE),"")</f>
        <v>Item</v>
      </c>
      <c r="H181" s="4" t="b">
        <v>0</v>
      </c>
      <c r="I181" s="1" t="str">
        <f>IFERROR(VLOOKUP($A181,ItemsImport!$A$2:$AD970,MATCH("ItemLoc",ItemsImport!$A$1:$AE$1,0),FALSE),"")</f>
        <v>Land of Spira</v>
      </c>
      <c r="W181" s="1" t="str">
        <f>IFERROR(__xludf.DUMMYFUNCTION("""COMPUTED_VALUE"""),"Poison Gem")</f>
        <v>Poison Gem</v>
      </c>
      <c r="X181" s="1" t="str">
        <f t="shared" si="1"/>
        <v/>
      </c>
    </row>
    <row r="182">
      <c r="A182" s="1" t="s">
        <v>218</v>
      </c>
      <c r="B182" s="1" t="str">
        <f>IFERROR(VLOOKUP($A182,ItemsImport!$A$2:$AD970,MATCH("Description",ItemsImport!$A$1:$AE$1,0),FALSE),"")</f>
        <v>Bow Ammunition. +500 damage.  returns to the user. roll a d20 to see how many you get if this is a loot drop.</v>
      </c>
      <c r="C182" s="1" t="str">
        <f>IFERROR(VLOOKUP($A182,ItemsImport!$A$2:$AD970,MATCH("Type",ItemsImport!$A$1:$AE$1,0),FALSE),"")</f>
        <v>Item</v>
      </c>
      <c r="H182" s="4" t="b">
        <v>0</v>
      </c>
      <c r="I182" s="1" t="str">
        <f>IFERROR(VLOOKUP($A182,ItemsImport!$A$2:$AD970,MATCH("ItemLoc",ItemsImport!$A$1:$AE$1,0),FALSE),"")</f>
        <v>Land of Spira</v>
      </c>
      <c r="W182" s="1" t="str">
        <f>IFERROR(__xludf.DUMMYFUNCTION("""COMPUTED_VALUE"""),"Returning Arrow")</f>
        <v>Returning Arrow</v>
      </c>
      <c r="X182" s="1" t="str">
        <f t="shared" si="1"/>
        <v/>
      </c>
    </row>
    <row r="183">
      <c r="A183" s="1" t="s">
        <v>219</v>
      </c>
      <c r="B183" s="1" t="str">
        <f>IFERROR(VLOOKUP($A183,ItemsImport!$A$2:$AD970,MATCH("Description",ItemsImport!$A$1:$AE$1,0),FALSE),"")</f>
        <v>Crafting Material, roll a d20 to see how many you get if this is a loot drop.</v>
      </c>
      <c r="C183" s="1" t="str">
        <f>IFERROR(VLOOKUP($A183,ItemsImport!$A$2:$AD970,MATCH("Type",ItemsImport!$A$1:$AE$1,0),FALSE),"")</f>
        <v>Item</v>
      </c>
      <c r="H183" s="4" t="b">
        <v>0</v>
      </c>
      <c r="I183" s="1" t="str">
        <f>IFERROR(VLOOKUP($A183,ItemsImport!$A$2:$AD970,MATCH("ItemLoc",ItemsImport!$A$1:$AE$1,0),FALSE),"")</f>
        <v>Land of Spira</v>
      </c>
      <c r="W183" s="1" t="str">
        <f>IFERROR(__xludf.DUMMYFUNCTION("""COMPUTED_VALUE"""),"Shadow Fluid")</f>
        <v>Shadow Fluid</v>
      </c>
      <c r="X183" s="1" t="str">
        <f t="shared" si="1"/>
        <v/>
      </c>
    </row>
    <row r="184">
      <c r="A184" s="1" t="s">
        <v>220</v>
      </c>
      <c r="B184" s="1" t="str">
        <f>IFERROR(VLOOKUP($A184,ItemsImport!$A$2:$AD970,MATCH("Description",ItemsImport!$A$1:$AE$1,0),FALSE),"")</f>
        <v>Crafting Material, roll a d20 to see how many you get if this is a loot drop.</v>
      </c>
      <c r="C184" s="1" t="str">
        <f>IFERROR(VLOOKUP($A184,ItemsImport!$A$2:$AD970,MATCH("Type",ItemsImport!$A$1:$AE$1,0),FALSE),"")</f>
        <v>Item</v>
      </c>
      <c r="H184" s="4" t="b">
        <v>0</v>
      </c>
      <c r="I184" s="1" t="str">
        <f>IFERROR(VLOOKUP($A184,ItemsImport!$A$2:$AD970,MATCH("ItemLoc",ItemsImport!$A$1:$AE$1,0),FALSE),"")</f>
        <v>Land of Spira</v>
      </c>
      <c r="W184" s="1" t="str">
        <f>IFERROR(__xludf.DUMMYFUNCTION("""COMPUTED_VALUE"""),"Skull")</f>
        <v>Skull</v>
      </c>
      <c r="X184" s="1" t="str">
        <f t="shared" si="1"/>
        <v/>
      </c>
    </row>
    <row r="185">
      <c r="A185" s="1" t="s">
        <v>221</v>
      </c>
      <c r="B185" s="1" t="str">
        <f>IFERROR(VLOOKUP($A185,ItemsImport!$A$2:$AD970,MATCH("Description",ItemsImport!$A$1:$AE$1,0),FALSE),"")</f>
        <v>Crafting Material, roll a d20 to see how many you get if this is a loot drop.</v>
      </c>
      <c r="C185" s="1" t="str">
        <f>IFERROR(VLOOKUP($A185,ItemsImport!$A$2:$AD970,MATCH("Type",ItemsImport!$A$1:$AE$1,0),FALSE),"")</f>
        <v>Item</v>
      </c>
      <c r="H185" s="4" t="b">
        <v>1</v>
      </c>
      <c r="I185" s="1" t="str">
        <f>IFERROR(VLOOKUP($A185,ItemsImport!$A$2:$AD970,MATCH("ItemLoc",ItemsImport!$A$1:$AE$1,0),FALSE),"")</f>
        <v>Land of Spira</v>
      </c>
      <c r="W185" s="1" t="str">
        <f>IFERROR(__xludf.DUMMYFUNCTION("""COMPUTED_VALUE"""),"pumpkin gem")</f>
        <v>pumpkin gem</v>
      </c>
      <c r="X185" s="1" t="str">
        <f t="shared" si="1"/>
        <v/>
      </c>
    </row>
    <row r="186">
      <c r="A186" s="1" t="s">
        <v>222</v>
      </c>
      <c r="B186" s="1" t="str">
        <f>IFERROR(VLOOKUP($A186,ItemsImport!$A$2:$AD970,MATCH("Description",ItemsImport!$A$1:$AE$1,0),FALSE),"")</f>
        <v>-100 Hunger if you are not undead. +200 hunger and energy if you are undead.</v>
      </c>
      <c r="C186" s="1" t="str">
        <f>IFERROR(VLOOKUP($A186,ItemsImport!$A$2:$AD970,MATCH("Type",ItemsImport!$A$1:$AE$1,0),FALSE),"")</f>
        <v>Crop</v>
      </c>
      <c r="H186" s="4" t="b">
        <v>0</v>
      </c>
      <c r="I186" s="1" t="str">
        <f>IFERROR(VLOOKUP($A186,ItemsImport!$A$2:$AD970,MATCH("ItemLoc",ItemsImport!$A$1:$AE$1,0),FALSE),"")</f>
        <v>Land of Spira</v>
      </c>
      <c r="W186" s="1" t="str">
        <f>IFERROR(__xludf.DUMMYFUNCTION("""COMPUTED_VALUE"""),"Rotton Flesh")</f>
        <v>Rotton Flesh</v>
      </c>
      <c r="X186" s="1" t="str">
        <f t="shared" si="1"/>
        <v/>
      </c>
    </row>
    <row r="187">
      <c r="A187" s="1" t="s">
        <v>223</v>
      </c>
      <c r="B187" s="1" t="str">
        <f>IFERROR(VLOOKUP($A187,ItemsImport!$A$2:$AD970,MATCH("Description",ItemsImport!$A$1:$AE$1,0),FALSE),"")</f>
        <v>Crafting Material, roll a d20 to see how many you get if this is a loot drop.</v>
      </c>
      <c r="C187" s="1" t="str">
        <f>IFERROR(VLOOKUP($A187,ItemsImport!$A$2:$AD970,MATCH("Type",ItemsImport!$A$1:$AE$1,0),FALSE),"")</f>
        <v>Item</v>
      </c>
      <c r="H187" s="4" t="b">
        <v>0</v>
      </c>
      <c r="I187" s="1" t="str">
        <f>IFERROR(VLOOKUP($A187,ItemsImport!$A$2:$AD970,MATCH("ItemLoc",ItemsImport!$A$1:$AE$1,0),FALSE),"")</f>
        <v>Land of Spira</v>
      </c>
      <c r="W187" s="1" t="str">
        <f>IFERROR(__xludf.DUMMYFUNCTION("""COMPUTED_VALUE"""),"Bag of Sand")</f>
        <v>Bag of Sand</v>
      </c>
      <c r="X187" s="1" t="str">
        <f t="shared" si="1"/>
        <v/>
      </c>
    </row>
    <row r="188">
      <c r="A188" s="1" t="s">
        <v>224</v>
      </c>
      <c r="B188" s="1" t="str">
        <f>IFERROR(VLOOKUP($A188,ItemsImport!$A$2:$AD970,MATCH("Description",ItemsImport!$A$1:$AE$1,0),FALSE),"")</f>
        <v> +10SP</v>
      </c>
      <c r="C188" s="1" t="str">
        <f>IFERROR(VLOOKUP($A188,ItemsImport!$A$2:$AD970,MATCH("Type",ItemsImport!$A$1:$AE$1,0),FALSE),"")</f>
        <v>Item</v>
      </c>
      <c r="H188" s="4" t="b">
        <v>0</v>
      </c>
      <c r="I188" s="1" t="str">
        <f>IFERROR(VLOOKUP($A188,ItemsImport!$A$2:$AD970,MATCH("ItemLoc",ItemsImport!$A$1:$AE$1,0),FALSE),"")</f>
        <v>Land of Spira</v>
      </c>
      <c r="W188" s="1" t="str">
        <f>IFERROR(__xludf.DUMMYFUNCTION("""COMPUTED_VALUE"""),"Glowing Red eye")</f>
        <v>Glowing Red eye</v>
      </c>
      <c r="X188" s="1" t="str">
        <f t="shared" si="1"/>
        <v/>
      </c>
    </row>
    <row r="189">
      <c r="A189" s="1" t="s">
        <v>225</v>
      </c>
      <c r="B189" s="1" t="str">
        <f>IFERROR(VLOOKUP($A189,ItemsImport!$A$2:$AD970,MATCH("Description",ItemsImport!$A$1:$AE$1,0),FALSE),"")</f>
        <v>Crafting Material, roll a d20 to see how many you get if this is a loot drop.</v>
      </c>
      <c r="C189" s="1" t="str">
        <f>IFERROR(VLOOKUP($A189,ItemsImport!$A$2:$AD970,MATCH("Type",ItemsImport!$A$1:$AE$1,0),FALSE),"")</f>
        <v>Item</v>
      </c>
      <c r="H189" s="4" t="b">
        <v>0</v>
      </c>
      <c r="I189" s="1" t="str">
        <f>IFERROR(VLOOKUP($A189,ItemsImport!$A$2:$AD970,MATCH("ItemLoc",ItemsImport!$A$1:$AE$1,0),FALSE),"")</f>
        <v>Land of Spira</v>
      </c>
      <c r="W189" s="1" t="str">
        <f>IFERROR(__xludf.DUMMYFUNCTION("""COMPUTED_VALUE"""),"Sand Gem")</f>
        <v>Sand Gem</v>
      </c>
      <c r="X189" s="1" t="str">
        <f t="shared" si="1"/>
        <v/>
      </c>
    </row>
    <row r="190">
      <c r="A190" s="1" t="s">
        <v>226</v>
      </c>
      <c r="B190" s="1" t="str">
        <f>IFERROR(VLOOKUP($A190,ItemsImport!$A$2:$AD970,MATCH("Description",ItemsImport!$A$1:$AE$1,0),FALSE),"")</f>
        <v/>
      </c>
      <c r="C190" s="1" t="str">
        <f>IFERROR(VLOOKUP($A190,ItemsImport!$A$2:$AD970,MATCH("Type",ItemsImport!$A$1:$AE$1,0),FALSE),"")</f>
        <v>Item</v>
      </c>
      <c r="H190" s="4" t="b">
        <v>0</v>
      </c>
      <c r="I190" s="1" t="str">
        <f>IFERROR(VLOOKUP($A190,ItemsImport!$A$2:$AD970,MATCH("ItemLoc",ItemsImport!$A$1:$AE$1,0),FALSE),"")</f>
        <v>Land of Spira</v>
      </c>
      <c r="W190" s="1" t="str">
        <f>IFERROR(__xludf.DUMMYFUNCTION("""COMPUTED_VALUE"""),"Poison water")</f>
        <v>Poison water</v>
      </c>
      <c r="X190" s="1" t="str">
        <f t="shared" si="1"/>
        <v/>
      </c>
    </row>
    <row r="191">
      <c r="A191" s="1" t="s">
        <v>227</v>
      </c>
      <c r="B191" s="1" t="str">
        <f>IFERROR(VLOOKUP($A191,ItemsImport!$A$2:$AD970,MATCH("Description",ItemsImport!$A$1:$AE$1,0),FALSE),"")</f>
        <v>-100 Hunger, Causes poison 100 for 10 days of travel.</v>
      </c>
      <c r="C191" s="1" t="str">
        <f>IFERROR(VLOOKUP($A191,ItemsImport!$A$2:$AD970,MATCH("Type",ItemsImport!$A$1:$AE$1,0),FALSE),"")</f>
        <v>Crop</v>
      </c>
      <c r="H191" s="4" t="b">
        <v>0</v>
      </c>
      <c r="I191" s="1" t="str">
        <f>IFERROR(VLOOKUP($A191,ItemsImport!$A$2:$AD970,MATCH("ItemLoc",ItemsImport!$A$1:$AE$1,0),FALSE),"")</f>
        <v>Land of Spira</v>
      </c>
      <c r="W191" s="1" t="str">
        <f>IFERROR(__xludf.DUMMYFUNCTION("""COMPUTED_VALUE"""),"Poison Mushroom")</f>
        <v>Poison Mushroom</v>
      </c>
      <c r="X191" s="1" t="str">
        <f t="shared" si="1"/>
        <v/>
      </c>
    </row>
    <row r="192">
      <c r="A192" s="1" t="s">
        <v>228</v>
      </c>
      <c r="B192" s="1" t="str">
        <f>IFERROR(VLOOKUP($A192,ItemsImport!$A$2:$AD970,MATCH("Description",ItemsImport!$A$1:$AE$1,0),FALSE),"")</f>
        <v>Crafting Material, roll a d20 to see how many you get if this is a loot drop.</v>
      </c>
      <c r="C192" s="1" t="str">
        <f>IFERROR(VLOOKUP($A192,ItemsImport!$A$2:$AD970,MATCH("Type",ItemsImport!$A$1:$AE$1,0),FALSE),"")</f>
        <v>Item</v>
      </c>
      <c r="H192" s="4" t="b">
        <v>0</v>
      </c>
      <c r="I192" s="1" t="str">
        <f>IFERROR(VLOOKUP($A192,ItemsImport!$A$2:$AD970,MATCH("ItemLoc",ItemsImport!$A$1:$AE$1,0),FALSE),"")</f>
        <v>Land of Spira</v>
      </c>
      <c r="W192" s="1" t="str">
        <f>IFERROR(__xludf.DUMMYFUNCTION("""COMPUTED_VALUE"""),"Vile of Poison")</f>
        <v>Vile of Poison</v>
      </c>
      <c r="X192" s="1" t="str">
        <f t="shared" si="1"/>
        <v/>
      </c>
    </row>
    <row r="193">
      <c r="A193" s="1" t="s">
        <v>229</v>
      </c>
      <c r="B193" s="1" t="str">
        <f>IFERROR(VLOOKUP($A193,ItemsImport!$A$2:$AD970,MATCH("Description",ItemsImport!$A$1:$AE$1,0),FALSE),"")</f>
        <v>Bow Ammunition. +1000 fire damage to the enemy it hits. +500 fire damage to all other enemies. roll a d20 to see how many you get if this is a loot drop.</v>
      </c>
      <c r="C193" s="1" t="str">
        <f>IFERROR(VLOOKUP($A193,ItemsImport!$A$2:$AD970,MATCH("Type",ItemsImport!$A$1:$AE$1,0),FALSE),"")</f>
        <v>Item</v>
      </c>
      <c r="H193" s="4" t="b">
        <v>0</v>
      </c>
      <c r="I193" s="1" t="str">
        <f>IFERROR(VLOOKUP($A193,ItemsImport!$A$2:$AD970,MATCH("ItemLoc",ItemsImport!$A$1:$AE$1,0),FALSE),"")</f>
        <v>Land of Spira</v>
      </c>
      <c r="W193" s="1" t="str">
        <f>IFERROR(__xludf.DUMMYFUNCTION("""COMPUTED_VALUE"""),"Explosive Arrow")</f>
        <v>Explosive Arrow</v>
      </c>
      <c r="X193" s="1" t="str">
        <f t="shared" si="1"/>
        <v/>
      </c>
    </row>
    <row r="194">
      <c r="A194" s="1" t="s">
        <v>230</v>
      </c>
      <c r="B194" s="1" t="str">
        <f>IFERROR(VLOOKUP($A194,ItemsImport!$A$2:$AD970,MATCH("Description",ItemsImport!$A$1:$AE$1,0),FALSE),"")</f>
        <v>Crafting Material, roll a d20 to see how many you get if this is a loot drop.</v>
      </c>
      <c r="C194" s="1" t="str">
        <f>IFERROR(VLOOKUP($A194,ItemsImport!$A$2:$AD970,MATCH("Type",ItemsImport!$A$1:$AE$1,0),FALSE),"")</f>
        <v>Item</v>
      </c>
      <c r="H194" s="4" t="b">
        <v>0</v>
      </c>
      <c r="I194" s="1" t="str">
        <f>IFERROR(VLOOKUP($A194,ItemsImport!$A$2:$AD970,MATCH("ItemLoc",ItemsImport!$A$1:$AE$1,0),FALSE),"")</f>
        <v>Land of Spira</v>
      </c>
      <c r="W194" s="1" t="str">
        <f>IFERROR(__xludf.DUMMYFUNCTION("""COMPUTED_VALUE"""),"Frost diamond")</f>
        <v>Frost diamond</v>
      </c>
      <c r="X194" s="1" t="str">
        <f t="shared" si="1"/>
        <v/>
      </c>
    </row>
    <row r="195">
      <c r="A195" s="1" t="s">
        <v>231</v>
      </c>
      <c r="B195" s="1" t="str">
        <f>IFERROR(VLOOKUP($A195,ItemsImport!$A$2:$AD970,MATCH("Description",ItemsImport!$A$1:$AE$1,0),FALSE),"")</f>
        <v>Crafting Material, roll a d20 to see how many you get if this is a loot drop.</v>
      </c>
      <c r="C195" s="1" t="str">
        <f>IFERROR(VLOOKUP($A195,ItemsImport!$A$2:$AD970,MATCH("Type",ItemsImport!$A$1:$AE$1,0),FALSE),"")</f>
        <v>Item</v>
      </c>
      <c r="H195" s="4" t="b">
        <v>1</v>
      </c>
      <c r="I195" s="1" t="str">
        <f>IFERROR(VLOOKUP($A195,ItemsImport!$A$2:$AD970,MATCH("ItemLoc",ItemsImport!$A$1:$AE$1,0),FALSE),"")</f>
        <v>Land of Spira</v>
      </c>
      <c r="W195" s="1" t="str">
        <f>IFERROR(__xludf.DUMMYFUNCTION("""COMPUTED_VALUE"""),"Big Frost Owl Feathers")</f>
        <v>Big Frost Owl Feathers</v>
      </c>
      <c r="X195" s="1" t="str">
        <f t="shared" si="1"/>
        <v/>
      </c>
    </row>
    <row r="196">
      <c r="A196" s="1" t="s">
        <v>232</v>
      </c>
      <c r="B196" s="1" t="str">
        <f>IFERROR(VLOOKUP($A196,ItemsImport!$A$2:$AD970,MATCH("Description",ItemsImport!$A$1:$AE$1,0),FALSE),"")</f>
        <v/>
      </c>
      <c r="C196" s="1" t="str">
        <f>IFERROR(VLOOKUP($A196,ItemsImport!$A$2:$AD970,MATCH("Type",ItemsImport!$A$1:$AE$1,0),FALSE),"")</f>
        <v>Item</v>
      </c>
      <c r="H196" s="4" t="b">
        <v>1</v>
      </c>
      <c r="I196" s="1" t="str">
        <f>IFERROR(VLOOKUP($A196,ItemsImport!$A$2:$AD970,MATCH("ItemLoc",ItemsImport!$A$1:$AE$1,0),FALSE),"")</f>
        <v>Land of Spira</v>
      </c>
      <c r="W196" s="1" t="str">
        <f>IFERROR(__xludf.DUMMYFUNCTION("""COMPUTED_VALUE"""),"Big Frost Owl egg")</f>
        <v>Big Frost Owl egg</v>
      </c>
      <c r="X196" s="1" t="str">
        <f t="shared" si="1"/>
        <v/>
      </c>
    </row>
    <row r="197">
      <c r="A197" s="1" t="s">
        <v>233</v>
      </c>
      <c r="B197" s="1" t="str">
        <f>IFERROR(VLOOKUP($A197,ItemsImport!$A$2:$AD970,MATCH("Description",ItemsImport!$A$1:$AE$1,0),FALSE),"")</f>
        <v>Crafting Material, roll a d20 to see how many you get if this is a loot drop.</v>
      </c>
      <c r="C197" s="1" t="str">
        <f>IFERROR(VLOOKUP($A197,ItemsImport!$A$2:$AD970,MATCH("Type",ItemsImport!$A$1:$AE$1,0),FALSE),"")</f>
        <v>Item</v>
      </c>
      <c r="H197" s="4" t="b">
        <v>0</v>
      </c>
      <c r="I197" s="1" t="str">
        <f>IFERROR(VLOOKUP($A197,ItemsImport!$A$2:$AD970,MATCH("ItemLoc",ItemsImport!$A$1:$AE$1,0),FALSE),"")</f>
        <v>Land of Spira</v>
      </c>
      <c r="W197" s="1" t="str">
        <f>IFERROR(__xludf.DUMMYFUNCTION("""COMPUTED_VALUE"""),"Giant Frost Diamond")</f>
        <v>Giant Frost Diamond</v>
      </c>
      <c r="X197" s="1" t="str">
        <f t="shared" si="1"/>
        <v/>
      </c>
    </row>
    <row r="198">
      <c r="A198" s="1" t="s">
        <v>234</v>
      </c>
      <c r="B198" s="1" t="str">
        <f>IFERROR(VLOOKUP($A198,ItemsImport!$A$2:$AD970,MATCH("Description",ItemsImport!$A$1:$AE$1,0),FALSE),"")</f>
        <v>Crafting Material, roll a d20 to see how many you get if this is a loot drop.</v>
      </c>
      <c r="C198" s="1" t="str">
        <f>IFERROR(VLOOKUP($A198,ItemsImport!$A$2:$AD970,MATCH("Type",ItemsImport!$A$1:$AE$1,0),FALSE),"")</f>
        <v>Item</v>
      </c>
      <c r="H198" s="4" t="b">
        <v>0</v>
      </c>
      <c r="I198" s="1" t="str">
        <f>IFERROR(VLOOKUP($A198,ItemsImport!$A$2:$AD970,MATCH("ItemLoc",ItemsImport!$A$1:$AE$1,0),FALSE),"")</f>
        <v>Land of Spira</v>
      </c>
      <c r="W198" s="1" t="str">
        <f>IFERROR(__xludf.DUMMYFUNCTION("""COMPUTED_VALUE"""),"Gold Brick")</f>
        <v>Gold Brick</v>
      </c>
      <c r="X198" s="1" t="str">
        <f t="shared" si="1"/>
        <v/>
      </c>
    </row>
    <row r="199">
      <c r="A199" s="1" t="s">
        <v>235</v>
      </c>
      <c r="B199" s="1" t="str">
        <f>IFERROR(VLOOKUP($A199,ItemsImport!$A$2:$AD970,MATCH("Description",ItemsImport!$A$1:$AE$1,0),FALSE),"")</f>
        <v>Bow Ammunition. +1000 damage. +This arrow will summon X copies of itself which will also strike the target being attacked. X is equal to a d20 roll. roll a d20 to see how many you get if this is a loot drop.</v>
      </c>
      <c r="C199" s="1" t="str">
        <f>IFERROR(VLOOKUP($A199,ItemsImport!$A$2:$AD970,MATCH("Type",ItemsImport!$A$1:$AE$1,0),FALSE),"")</f>
        <v>Item</v>
      </c>
      <c r="H199" s="4" t="b">
        <v>0</v>
      </c>
      <c r="I199" s="1" t="str">
        <f>IFERROR(VLOOKUP($A199,ItemsImport!$A$2:$AD970,MATCH("ItemLoc",ItemsImport!$A$1:$AE$1,0),FALSE),"")</f>
        <v>Land of Spira</v>
      </c>
      <c r="W199" s="1" t="str">
        <f>IFERROR(__xludf.DUMMYFUNCTION("""COMPUTED_VALUE"""),"Arrow of Mutiplying ")</f>
        <v>Arrow of Mutiplying </v>
      </c>
      <c r="X199" s="1" t="str">
        <f t="shared" si="1"/>
        <v/>
      </c>
    </row>
    <row r="200">
      <c r="A200" s="1" t="s">
        <v>236</v>
      </c>
      <c r="B200" s="1" t="str">
        <f>IFERROR(VLOOKUP($A200,ItemsImport!$A$2:$AD970,MATCH("Description",ItemsImport!$A$1:$AE$1,0),FALSE),"")</f>
        <v>Crafting Material, roll a d20 to see how many you get if this is a loot drop.</v>
      </c>
      <c r="C200" s="1" t="str">
        <f>IFERROR(VLOOKUP($A200,ItemsImport!$A$2:$AD970,MATCH("Type",ItemsImport!$A$1:$AE$1,0),FALSE),"")</f>
        <v>Item</v>
      </c>
      <c r="H200" s="4" t="b">
        <v>0</v>
      </c>
      <c r="I200" s="1" t="str">
        <f>IFERROR(VLOOKUP($A200,ItemsImport!$A$2:$AD970,MATCH("ItemLoc",ItemsImport!$A$1:$AE$1,0),FALSE),"")</f>
        <v>Land of Spira</v>
      </c>
      <c r="W200" s="1" t="str">
        <f>IFERROR(__xludf.DUMMYFUNCTION("""COMPUTED_VALUE"""),"Water Gem")</f>
        <v>Water Gem</v>
      </c>
      <c r="X200" s="1" t="str">
        <f t="shared" si="1"/>
        <v/>
      </c>
    </row>
    <row r="201">
      <c r="A201" s="1" t="s">
        <v>237</v>
      </c>
      <c r="B201" s="1" t="str">
        <f>IFERROR(VLOOKUP($A201,ItemsImport!$A$2:$AD970,MATCH("Description",ItemsImport!$A$1:$AE$1,0),FALSE),"")</f>
        <v>-200 hunger to any character that is not owner by Hunter Gooseman. +500 Hunger to any character Hunter Owns.</v>
      </c>
      <c r="C201" s="1" t="str">
        <f>IFERROR(VLOOKUP($A201,ItemsImport!$A$2:$AD970,MATCH("Type",ItemsImport!$A$1:$AE$1,0),FALSE),"")</f>
        <v>Crop</v>
      </c>
      <c r="H201" s="4" t="b">
        <v>0</v>
      </c>
      <c r="I201" s="1" t="str">
        <f>IFERROR(VLOOKUP($A201,ItemsImport!$A$2:$AD970,MATCH("ItemLoc",ItemsImport!$A$1:$AE$1,0),FALSE),"")</f>
        <v>Land of Spira</v>
      </c>
      <c r="W201" s="1" t="str">
        <f>IFERROR(__xludf.DUMMYFUNCTION("""COMPUTED_VALUE"""),"Goose Meat")</f>
        <v>Goose Meat</v>
      </c>
      <c r="X201" s="1" t="str">
        <f t="shared" si="1"/>
        <v/>
      </c>
    </row>
    <row r="202">
      <c r="A202" s="1" t="s">
        <v>238</v>
      </c>
      <c r="B202" s="1" t="str">
        <f>IFERROR(VLOOKUP($A202,ItemsImport!$A$2:$AD970,MATCH("Description",ItemsImport!$A$1:$AE$1,0),FALSE),"")</f>
        <v>Crafting Material, roll a d20 to see how many you get if this is a loot drop.</v>
      </c>
      <c r="C202" s="1" t="str">
        <f>IFERROR(VLOOKUP($A202,ItemsImport!$A$2:$AD970,MATCH("Type",ItemsImport!$A$1:$AE$1,0),FALSE),"")</f>
        <v>Item</v>
      </c>
      <c r="H202" s="4" t="b">
        <v>0</v>
      </c>
      <c r="I202" s="1" t="str">
        <f>IFERROR(VLOOKUP($A202,ItemsImport!$A$2:$AD970,MATCH("ItemLoc",ItemsImport!$A$1:$AE$1,0),FALSE),"")</f>
        <v>Land of Spira</v>
      </c>
      <c r="W202" s="1" t="str">
        <f>IFERROR(__xludf.DUMMYFUNCTION("""COMPUTED_VALUE"""),"Mysterious Gem")</f>
        <v>Mysterious Gem</v>
      </c>
      <c r="X202" s="1" t="str">
        <f t="shared" si="1"/>
        <v/>
      </c>
    </row>
    <row r="203">
      <c r="A203" s="1" t="s">
        <v>239</v>
      </c>
      <c r="B203" s="1" t="str">
        <f>IFERROR(VLOOKUP($A203,ItemsImport!$A$2:$AD970,MATCH("Description",ItemsImport!$A$1:$AE$1,0),FALSE),"")</f>
        <v>Crafting Material, roll a d20 to see how many you get if this is a loot drop.</v>
      </c>
      <c r="C203" s="1" t="str">
        <f>IFERROR(VLOOKUP($A203,ItemsImport!$A$2:$AD970,MATCH("Type",ItemsImport!$A$1:$AE$1,0),FALSE),"")</f>
        <v>Item</v>
      </c>
      <c r="H203" s="4" t="b">
        <v>0</v>
      </c>
      <c r="I203" s="1" t="str">
        <f>IFERROR(VLOOKUP($A203,ItemsImport!$A$2:$AD970,MATCH("ItemLoc",ItemsImport!$A$1:$AE$1,0),FALSE),"")</f>
        <v>Land of Spira</v>
      </c>
      <c r="W203" s="1" t="str">
        <f>IFERROR(__xludf.DUMMYFUNCTION("""COMPUTED_VALUE"""),"Turtle Shell")</f>
        <v>Turtle Shell</v>
      </c>
      <c r="X203" s="1" t="str">
        <f t="shared" si="1"/>
        <v/>
      </c>
    </row>
    <row r="204">
      <c r="A204" s="1" t="s">
        <v>240</v>
      </c>
      <c r="B204" s="1" t="str">
        <f>IFERROR(VLOOKUP($A204,ItemsImport!$A$2:$AD970,MATCH("Description",ItemsImport!$A$1:$AE$1,0),FALSE),"")</f>
        <v>Crafting Material, roll a d20 to see how many you get if this is a loot drop.</v>
      </c>
      <c r="C204" s="1" t="str">
        <f>IFERROR(VLOOKUP($A204,ItemsImport!$A$2:$AD970,MATCH("Type",ItemsImport!$A$1:$AE$1,0),FALSE),"")</f>
        <v>Item</v>
      </c>
      <c r="H204" s="4" t="b">
        <v>0</v>
      </c>
      <c r="I204" s="1" t="str">
        <f>IFERROR(VLOOKUP($A204,ItemsImport!$A$2:$AD970,MATCH("ItemLoc",ItemsImport!$A$1:$AE$1,0),FALSE),"")</f>
        <v>Land of Spira</v>
      </c>
      <c r="W204" s="1" t="str">
        <f>IFERROR(__xludf.DUMMYFUNCTION("""COMPUTED_VALUE"""),"Pumpkin Diamond")</f>
        <v>Pumpkin Diamond</v>
      </c>
      <c r="X204" s="1" t="str">
        <f t="shared" si="1"/>
        <v/>
      </c>
    </row>
    <row r="205">
      <c r="A205" s="1" t="s">
        <v>241</v>
      </c>
      <c r="B205" s="1" t="str">
        <f>IFERROR(VLOOKUP($A205,ItemsImport!$A$2:$AD970,MATCH("Description",ItemsImport!$A$1:$AE$1,0),FALSE),"")</f>
        <v>Crafting Material, roll a d20 to see how many you get if this is a loot drop.</v>
      </c>
      <c r="C205" s="1" t="str">
        <f>IFERROR(VLOOKUP($A205,ItemsImport!$A$2:$AD970,MATCH("Type",ItemsImport!$A$1:$AE$1,0),FALSE),"")</f>
        <v>Item</v>
      </c>
      <c r="H205" s="4" t="b">
        <v>0</v>
      </c>
      <c r="I205" s="1" t="str">
        <f>IFERROR(VLOOKUP($A205,ItemsImport!$A$2:$AD970,MATCH("ItemLoc",ItemsImport!$A$1:$AE$1,0),FALSE),"")</f>
        <v>Land of Spira</v>
      </c>
      <c r="W205" s="1" t="str">
        <f>IFERROR(__xludf.DUMMYFUNCTION("""COMPUTED_VALUE"""),"Shadow Diamond")</f>
        <v>Shadow Diamond</v>
      </c>
      <c r="X205" s="1" t="str">
        <f t="shared" si="1"/>
        <v/>
      </c>
    </row>
    <row r="206">
      <c r="A206" s="1" t="s">
        <v>242</v>
      </c>
      <c r="B206" s="1" t="str">
        <f>IFERROR(VLOOKUP($A206,ItemsImport!$A$2:$AD970,MATCH("Description",ItemsImport!$A$1:$AE$1,0),FALSE),"")</f>
        <v>Allows use of up to Rank 6 Earth Powers</v>
      </c>
      <c r="C206" s="1" t="str">
        <f>IFERROR(VLOOKUP($A206,ItemsImport!$A$2:$AD970,MATCH("Type",ItemsImport!$A$1:$AE$1,0),FALSE),"")</f>
        <v>Item</v>
      </c>
      <c r="H206" s="4" t="b">
        <v>0</v>
      </c>
      <c r="I206" s="1" t="str">
        <f>IFERROR(VLOOKUP($A206,ItemsImport!$A$2:$AD970,MATCH("ItemLoc",ItemsImport!$A$1:$AE$1,0),FALSE),"")</f>
        <v>Land of Spira</v>
      </c>
      <c r="W206" s="1" t="str">
        <f>IFERROR(__xludf.DUMMYFUNCTION("""COMPUTED_VALUE"""),"Rank 6 Earth tome")</f>
        <v>Rank 6 Earth tome</v>
      </c>
      <c r="X206" s="1" t="str">
        <f t="shared" si="1"/>
        <v/>
      </c>
    </row>
    <row r="207">
      <c r="A207" s="1" t="s">
        <v>243</v>
      </c>
      <c r="B207" s="1" t="str">
        <f>IFERROR(VLOOKUP($A207,ItemsImport!$A$2:$AD970,MATCH("Description",ItemsImport!$A$1:$AE$1,0),FALSE),"")</f>
        <v>Crafting Material, roll a d20 to see how many you get if this is a loot drop.</v>
      </c>
      <c r="C207" s="1" t="str">
        <f>IFERROR(VLOOKUP($A207,ItemsImport!$A$2:$AD970,MATCH("Type",ItemsImport!$A$1:$AE$1,0),FALSE),"")</f>
        <v>Item</v>
      </c>
      <c r="H207" s="4" t="b">
        <v>0</v>
      </c>
      <c r="I207" s="1" t="str">
        <f>IFERROR(VLOOKUP($A207,ItemsImport!$A$2:$AD970,MATCH("ItemLoc",ItemsImport!$A$1:$AE$1,0),FALSE),"")</f>
        <v>Land of Spira</v>
      </c>
      <c r="W207" s="1" t="str">
        <f>IFERROR(__xludf.DUMMYFUNCTION("""COMPUTED_VALUE"""),"Demon Claw")</f>
        <v>Demon Claw</v>
      </c>
      <c r="X207" s="1" t="str">
        <f t="shared" si="1"/>
        <v/>
      </c>
    </row>
    <row r="208">
      <c r="A208" s="1" t="s">
        <v>244</v>
      </c>
      <c r="B208" s="1" t="str">
        <f>IFERROR(VLOOKUP($A208,ItemsImport!$A$2:$AD970,MATCH("Description",ItemsImport!$A$1:$AE$1,0),FALSE),"")</f>
        <v>Crafting Material, roll a d20 to see how many you get if this is a loot drop.</v>
      </c>
      <c r="C208" s="1" t="str">
        <f>IFERROR(VLOOKUP($A208,ItemsImport!$A$2:$AD970,MATCH("Type",ItemsImport!$A$1:$AE$1,0),FALSE),"")</f>
        <v>Item</v>
      </c>
      <c r="H208" s="4" t="b">
        <v>0</v>
      </c>
      <c r="I208" s="1" t="str">
        <f>IFERROR(VLOOKUP($A208,ItemsImport!$A$2:$AD970,MATCH("ItemLoc",ItemsImport!$A$1:$AE$1,0),FALSE),"")</f>
        <v>Land of Spira</v>
      </c>
      <c r="W208" s="1" t="str">
        <f>IFERROR(__xludf.DUMMYFUNCTION("""COMPUTED_VALUE"""),"Golden Bug")</f>
        <v>Golden Bug</v>
      </c>
      <c r="X208" s="1" t="str">
        <f t="shared" si="1"/>
        <v/>
      </c>
    </row>
    <row r="209">
      <c r="A209" s="1" t="s">
        <v>245</v>
      </c>
      <c r="B209" s="1" t="str">
        <f>IFERROR(VLOOKUP($A209,ItemsImport!$A$2:$AD970,MATCH("Description",ItemsImport!$A$1:$AE$1,0),FALSE),"")</f>
        <v>Crafting Material, roll a d20 to see how many you get if this is a loot drop.</v>
      </c>
      <c r="C209" s="1" t="str">
        <f>IFERROR(VLOOKUP($A209,ItemsImport!$A$2:$AD970,MATCH("Type",ItemsImport!$A$1:$AE$1,0),FALSE),"")</f>
        <v>Item</v>
      </c>
      <c r="H209" s="4" t="b">
        <v>0</v>
      </c>
      <c r="I209" s="1" t="str">
        <f>IFERROR(VLOOKUP($A209,ItemsImport!$A$2:$AD970,MATCH("ItemLoc",ItemsImport!$A$1:$AE$1,0),FALSE),"")</f>
        <v>Land of Spira</v>
      </c>
      <c r="W209" s="1" t="str">
        <f>IFERROR(__xludf.DUMMYFUNCTION("""COMPUTED_VALUE"""),"Dragon Orb")</f>
        <v>Dragon Orb</v>
      </c>
      <c r="X209" s="1" t="str">
        <f t="shared" si="1"/>
        <v/>
      </c>
    </row>
    <row r="210">
      <c r="A210" s="1" t="s">
        <v>246</v>
      </c>
      <c r="B210" s="1" t="str">
        <f>IFERROR(VLOOKUP($A210,ItemsImport!$A$2:$AD970,MATCH("Description",ItemsImport!$A$1:$AE$1,0),FALSE),"")</f>
        <v>Gives water immunity for 1 round</v>
      </c>
      <c r="C210" s="1" t="str">
        <f>IFERROR(VLOOKUP($A210,ItemsImport!$A$2:$AD970,MATCH("Type",ItemsImport!$A$1:$AE$1,0),FALSE),"")</f>
        <v>Item</v>
      </c>
      <c r="H210" s="4" t="b">
        <v>0</v>
      </c>
      <c r="I210" s="1" t="str">
        <f>IFERROR(VLOOKUP($A210,ItemsImport!$A$2:$AD970,MATCH("ItemLoc",ItemsImport!$A$1:$AE$1,0),FALSE),"")</f>
        <v>Land of Spira</v>
      </c>
      <c r="W210" s="1" t="str">
        <f>IFERROR(__xludf.DUMMYFUNCTION("""COMPUTED_VALUE"""),"Water potion")</f>
        <v>Water potion</v>
      </c>
      <c r="X210" s="1" t="str">
        <f t="shared" si="1"/>
        <v/>
      </c>
    </row>
    <row r="211">
      <c r="A211" s="1" t="s">
        <v>247</v>
      </c>
      <c r="B211" s="1" t="str">
        <f>IFERROR(VLOOKUP($A211,ItemsImport!$A$2:$AD970,MATCH("Description",ItemsImport!$A$1:$AE$1,0),FALSE),"")</f>
        <v>Crafting Material, roll a d20 to see how many you get if this is a loot drop.</v>
      </c>
      <c r="C211" s="1" t="str">
        <f>IFERROR(VLOOKUP($A211,ItemsImport!$A$2:$AD970,MATCH("Type",ItemsImport!$A$1:$AE$1,0),FALSE),"")</f>
        <v>Item</v>
      </c>
      <c r="H211" s="4" t="b">
        <v>0</v>
      </c>
      <c r="I211" s="1" t="str">
        <f>IFERROR(VLOOKUP($A211,ItemsImport!$A$2:$AD970,MATCH("ItemLoc",ItemsImport!$A$1:$AE$1,0),FALSE),"")</f>
        <v>Land of Spira</v>
      </c>
      <c r="W211" s="1" t="str">
        <f>IFERROR(__xludf.DUMMYFUNCTION("""COMPUTED_VALUE"""),"Jellyfish Stinger")</f>
        <v>Jellyfish Stinger</v>
      </c>
      <c r="X211" s="1" t="str">
        <f t="shared" si="1"/>
        <v/>
      </c>
    </row>
    <row r="212">
      <c r="A212" s="1" t="s">
        <v>248</v>
      </c>
      <c r="B212" s="1" t="str">
        <f>IFERROR(VLOOKUP($A212,ItemsImport!$A$2:$AD970,MATCH("Description",ItemsImport!$A$1:$AE$1,0),FALSE),"")</f>
        <v>Crafting Material, roll a d20 to see how many you get if this is a loot drop.</v>
      </c>
      <c r="C212" s="1" t="str">
        <f>IFERROR(VLOOKUP($A212,ItemsImport!$A$2:$AD970,MATCH("Type",ItemsImport!$A$1:$AE$1,0),FALSE),"")</f>
        <v>Item</v>
      </c>
      <c r="H212" s="4" t="b">
        <v>0</v>
      </c>
      <c r="I212" s="1" t="str">
        <f>IFERROR(VLOOKUP($A212,ItemsImport!$A$2:$AD970,MATCH("ItemLoc",ItemsImport!$A$1:$AE$1,0),FALSE),"")</f>
        <v>Land of Spira</v>
      </c>
      <c r="W212" s="1" t="str">
        <f>IFERROR(__xludf.DUMMYFUNCTION("""COMPUTED_VALUE"""),"Bee Stinger ")</f>
        <v>Bee Stinger </v>
      </c>
      <c r="X212" s="1" t="str">
        <f t="shared" si="1"/>
        <v/>
      </c>
    </row>
    <row r="213">
      <c r="A213" s="1" t="s">
        <v>249</v>
      </c>
      <c r="B213" s="1" t="str">
        <f>IFERROR(VLOOKUP($A213,ItemsImport!$A$2:$AD970,MATCH("Description",ItemsImport!$A$1:$AE$1,0),FALSE),"")</f>
        <v>Crafting Material, roll a d20 to see how many you get if this is a loot drop.</v>
      </c>
      <c r="C213" s="1" t="str">
        <f>IFERROR(VLOOKUP($A213,ItemsImport!$A$2:$AD970,MATCH("Type",ItemsImport!$A$1:$AE$1,0),FALSE),"")</f>
        <v>Item</v>
      </c>
      <c r="H213" s="4" t="b">
        <v>0</v>
      </c>
      <c r="I213" s="1" t="str">
        <f>IFERROR(VLOOKUP($A213,ItemsImport!$A$2:$AD970,MATCH("ItemLoc",ItemsImport!$A$1:$AE$1,0),FALSE),"")</f>
        <v>Land of Spira</v>
      </c>
      <c r="W213" s="1" t="str">
        <f>IFERROR(__xludf.DUMMYFUNCTION("""COMPUTED_VALUE"""),"Squid Ink")</f>
        <v>Squid Ink</v>
      </c>
      <c r="X213" s="1" t="str">
        <f t="shared" si="1"/>
        <v/>
      </c>
    </row>
    <row r="214">
      <c r="A214" s="1" t="s">
        <v>250</v>
      </c>
      <c r="B214" s="1" t="str">
        <f>IFERROR(VLOOKUP($A214,ItemsImport!$A$2:$AD970,MATCH("Description",ItemsImport!$A$1:$AE$1,0),FALSE),"")</f>
        <v>Immune to water for for 3 rounds in battle or 3 days of travel.</v>
      </c>
      <c r="C214" s="1" t="str">
        <f>IFERROR(VLOOKUP($A214,ItemsImport!$A$2:$AD970,MATCH("Type",ItemsImport!$A$1:$AE$1,0),FALSE),"")</f>
        <v>Item</v>
      </c>
      <c r="H214" s="4" t="b">
        <v>0</v>
      </c>
      <c r="I214" s="1" t="str">
        <f>IFERROR(VLOOKUP($A214,ItemsImport!$A$2:$AD970,MATCH("ItemLoc",ItemsImport!$A$1:$AE$1,0),FALSE),"")</f>
        <v>Land of Spira</v>
      </c>
      <c r="W214" s="1" t="str">
        <f>IFERROR(__xludf.DUMMYFUNCTION("""COMPUTED_VALUE"""),"Potion of Water Breathing")</f>
        <v>Potion of Water Breathing</v>
      </c>
      <c r="X214" s="1" t="str">
        <f t="shared" si="1"/>
        <v/>
      </c>
    </row>
    <row r="215">
      <c r="A215" s="1" t="s">
        <v>251</v>
      </c>
      <c r="B215" s="1" t="str">
        <f>IFERROR(VLOOKUP($A215,ItemsImport!$A$2:$AD970,MATCH("Description",ItemsImport!$A$1:$AE$1,0),FALSE),"")</f>
        <v>Restores 10 Hunger, +1 ATK until rest</v>
      </c>
      <c r="C215" s="1" t="str">
        <f>IFERROR(VLOOKUP($A215,ItemsImport!$A$2:$AD970,MATCH("Type",ItemsImport!$A$1:$AE$1,0),FALSE),"")</f>
        <v>Crop</v>
      </c>
      <c r="H215" s="4" t="b">
        <v>0</v>
      </c>
      <c r="I215" s="1" t="str">
        <f>IFERROR(VLOOKUP($A215,ItemsImport!$A$2:$AD970,MATCH("ItemLoc",ItemsImport!$A$1:$AE$1,0),FALSE),"")</f>
        <v>Land of Spira</v>
      </c>
      <c r="W215" s="1" t="str">
        <f>IFERROR(__xludf.DUMMYFUNCTION("""COMPUTED_VALUE"""),"Shark Fin")</f>
        <v>Shark Fin</v>
      </c>
      <c r="X215" s="1" t="str">
        <f t="shared" si="1"/>
        <v/>
      </c>
    </row>
    <row r="216">
      <c r="A216" s="1" t="s">
        <v>252</v>
      </c>
      <c r="B216" s="1" t="str">
        <f>IFERROR(VLOOKUP($A216,ItemsImport!$A$2:$AD970,MATCH("Description",ItemsImport!$A$1:$AE$1,0),FALSE),"")</f>
        <v>100 = permanently increase Atk by 1</v>
      </c>
      <c r="C216" s="1" t="str">
        <f>IFERROR(VLOOKUP($A216,ItemsImport!$A$2:$AD970,MATCH("Type",ItemsImport!$A$1:$AE$1,0),FALSE),"")</f>
        <v>Item</v>
      </c>
      <c r="H216" s="4" t="b">
        <v>0</v>
      </c>
      <c r="I216" s="1" t="str">
        <f>IFERROR(VLOOKUP($A216,ItemsImport!$A$2:$AD970,MATCH("ItemLoc",ItemsImport!$A$1:$AE$1,0),FALSE),"")</f>
        <v>Land of Spira</v>
      </c>
      <c r="W216" s="1" t="str">
        <f>IFERROR(__xludf.DUMMYFUNCTION("""COMPUTED_VALUE"""),"Shark Teeth")</f>
        <v>Shark Teeth</v>
      </c>
      <c r="X216" s="1" t="str">
        <f t="shared" si="1"/>
        <v/>
      </c>
    </row>
    <row r="217">
      <c r="A217" s="1" t="s">
        <v>253</v>
      </c>
      <c r="B217" s="1" t="str">
        <f>IFERROR(VLOOKUP($A217,ItemsImport!$A$2:$AD970,MATCH("Description",ItemsImport!$A$1:$AE$1,0),FALSE),"")</f>
        <v>5 Hunger, +100 water Resist until rest</v>
      </c>
      <c r="C217" s="1" t="str">
        <f>IFERROR(VLOOKUP($A217,ItemsImport!$A$2:$AD970,MATCH("Type",ItemsImport!$A$1:$AE$1,0),FALSE),"")</f>
        <v>Crop</v>
      </c>
      <c r="H217" s="4" t="b">
        <v>0</v>
      </c>
      <c r="I217" s="1" t="str">
        <f>IFERROR(VLOOKUP($A217,ItemsImport!$A$2:$AD970,MATCH("ItemLoc",ItemsImport!$A$1:$AE$1,0),FALSE),"")</f>
        <v>Land of Spira</v>
      </c>
      <c r="W217" s="1" t="str">
        <f>IFERROR(__xludf.DUMMYFUNCTION("""COMPUTED_VALUE"""),"Fish")</f>
        <v>Fish</v>
      </c>
      <c r="X217" s="1" t="str">
        <f t="shared" si="1"/>
        <v/>
      </c>
    </row>
    <row r="218">
      <c r="A218" s="1" t="s">
        <v>254</v>
      </c>
      <c r="B218" s="1" t="str">
        <f>IFERROR(VLOOKUP($A218,ItemsImport!$A$2:$AD970,MATCH("Description",ItemsImport!$A$1:$AE$1,0),FALSE),"")</f>
        <v>Worth 1000G at a shop.</v>
      </c>
      <c r="C218" s="1" t="str">
        <f>IFERROR(VLOOKUP($A218,ItemsImport!$A$2:$AD970,MATCH("Type",ItemsImport!$A$1:$AE$1,0),FALSE),"")</f>
        <v>Item</v>
      </c>
      <c r="H218" s="4" t="b">
        <v>0</v>
      </c>
      <c r="I218" s="1" t="str">
        <f>IFERROR(VLOOKUP($A218,ItemsImport!$A$2:$AD970,MATCH("ItemLoc",ItemsImport!$A$1:$AE$1,0),FALSE),"")</f>
        <v>Land of Spira</v>
      </c>
      <c r="W218" s="1" t="str">
        <f>IFERROR(__xludf.DUMMYFUNCTION("""COMPUTED_VALUE"""),"Huge Teeth")</f>
        <v>Huge Teeth</v>
      </c>
      <c r="X218" s="1" t="str">
        <f t="shared" si="1"/>
        <v/>
      </c>
    </row>
    <row r="219">
      <c r="A219" s="1" t="s">
        <v>255</v>
      </c>
      <c r="B219" s="1" t="str">
        <f>IFERROR(VLOOKUP($A219,ItemsImport!$A$2:$AD970,MATCH("Description",ItemsImport!$A$1:$AE$1,0),FALSE),"")</f>
        <v>Worth 5000G at a shop.</v>
      </c>
      <c r="C219" s="1" t="str">
        <f>IFERROR(VLOOKUP($A219,ItemsImport!$A$2:$AD970,MATCH("Type",ItemsImport!$A$1:$AE$1,0),FALSE),"")</f>
        <v>Item</v>
      </c>
      <c r="H219" s="4" t="b">
        <v>0</v>
      </c>
      <c r="I219" s="1" t="str">
        <f>IFERROR(VLOOKUP($A219,ItemsImport!$A$2:$AD970,MATCH("ItemLoc",ItemsImport!$A$1:$AE$1,0),FALSE),"")</f>
        <v>Land of Spira</v>
      </c>
      <c r="W219" s="1" t="str">
        <f>IFERROR(__xludf.DUMMYFUNCTION("""COMPUTED_VALUE"""),"Enchanted Teeth")</f>
        <v>Enchanted Teeth</v>
      </c>
      <c r="X219" s="1" t="str">
        <f t="shared" si="1"/>
        <v/>
      </c>
    </row>
    <row r="220">
      <c r="A220" s="1"/>
      <c r="B220" s="1" t="str">
        <f>IFERROR(VLOOKUP($A220,ItemsImport!$A$2:$AD970,MATCH("Description",ItemsImport!$A$1:$AE$1,0),FALSE),"")</f>
        <v/>
      </c>
      <c r="C220" s="1" t="str">
        <f>IFERROR(VLOOKUP($A220,ItemsImport!$A$2:$AD970,MATCH("Type",ItemsImport!$A$1:$AE$1,0),FALSE),"")</f>
        <v/>
      </c>
      <c r="H220" s="4" t="b">
        <v>0</v>
      </c>
      <c r="I220" s="1" t="str">
        <f>IFERROR(VLOOKUP($A220,ItemsImport!$A$2:$AD970,MATCH("ItemLoc",ItemsImport!$A$1:$AE$1,0),FALSE),"")</f>
        <v/>
      </c>
      <c r="W220" s="1"/>
      <c r="X220" s="1" t="str">
        <f t="shared" si="1"/>
        <v/>
      </c>
    </row>
    <row r="221">
      <c r="A221" s="1" t="s">
        <v>256</v>
      </c>
      <c r="B221" s="1" t="str">
        <f>IFERROR(VLOOKUP($A221,ItemsImport!$A$2:$AD970,MATCH("Description",ItemsImport!$A$1:$AE$1,0),FALSE),"")</f>
        <v>Crafting Material, roll a d20 to see how many you get if this is a loot drop.</v>
      </c>
      <c r="C221" s="1" t="str">
        <f>IFERROR(VLOOKUP($A221,ItemsImport!$A$2:$AD970,MATCH("Type",ItemsImport!$A$1:$AE$1,0),FALSE),"")</f>
        <v>Item</v>
      </c>
      <c r="H221" s="4" t="b">
        <v>0</v>
      </c>
      <c r="I221" s="1" t="str">
        <f>IFERROR(VLOOKUP($A221,ItemsImport!$A$2:$AD970,MATCH("ItemLoc",ItemsImport!$A$1:$AE$1,0),FALSE),"")</f>
        <v>Land of Spira</v>
      </c>
      <c r="W221" s="1" t="str">
        <f>IFERROR(__xludf.DUMMYFUNCTION("""COMPUTED_VALUE"""),"Sea Dinosaur Bones")</f>
        <v>Sea Dinosaur Bones</v>
      </c>
      <c r="X221" s="1" t="str">
        <f t="shared" si="1"/>
        <v/>
      </c>
    </row>
    <row r="222">
      <c r="A222" s="1" t="s">
        <v>257</v>
      </c>
      <c r="B222" s="1" t="str">
        <f>IFERROR(VLOOKUP($A222,ItemsImport!$A$2:$AD970,MATCH("Description",ItemsImport!$A$1:$AE$1,0),FALSE),"")</f>
        <v/>
      </c>
      <c r="C222" s="1" t="str">
        <f>IFERROR(VLOOKUP($A222,ItemsImport!$A$2:$AD970,MATCH("Type",ItemsImport!$A$1:$AE$1,0),FALSE),"")</f>
        <v>Item</v>
      </c>
      <c r="H222" s="4" t="b">
        <v>0</v>
      </c>
      <c r="I222" s="1" t="str">
        <f>IFERROR(VLOOKUP($A222,ItemsImport!$A$2:$AD970,MATCH("ItemLoc",ItemsImport!$A$1:$AE$1,0),FALSE),"")</f>
        <v>Land of Spira</v>
      </c>
      <c r="W222" s="1" t="str">
        <f>IFERROR(__xludf.DUMMYFUNCTION("""COMPUTED_VALUE"""),"Ancient Sea Dinosaur Egg")</f>
        <v>Ancient Sea Dinosaur Egg</v>
      </c>
      <c r="X222" s="1" t="str">
        <f t="shared" si="1"/>
        <v/>
      </c>
    </row>
    <row r="223">
      <c r="A223" s="1" t="s">
        <v>258</v>
      </c>
      <c r="B223" s="1" t="str">
        <f>IFERROR(VLOOKUP($A223,ItemsImport!$A$2:$AD970,MATCH("Description",ItemsImport!$A$1:$AE$1,0),FALSE),"")</f>
        <v>Gain access to the Abyss Dungeon. Cannot be duplicated</v>
      </c>
      <c r="C223" s="1" t="str">
        <f>IFERROR(VLOOKUP($A223,ItemsImport!$A$2:$AD970,MATCH("Type",ItemsImport!$A$1:$AE$1,0),FALSE),"")</f>
        <v>Item</v>
      </c>
      <c r="H223" s="4" t="b">
        <v>1</v>
      </c>
      <c r="I223" s="1" t="str">
        <f>IFERROR(VLOOKUP($A223,ItemsImport!$A$2:$AD970,MATCH("ItemLoc",ItemsImport!$A$1:$AE$1,0),FALSE),"")</f>
        <v>Land of Spira</v>
      </c>
      <c r="W223" s="1" t="str">
        <f>IFERROR(__xludf.DUMMYFUNCTION("""COMPUTED_VALUE"""),"Water Abyss Key")</f>
        <v>Water Abyss Key</v>
      </c>
      <c r="X223" s="1" t="str">
        <f t="shared" si="1"/>
        <v/>
      </c>
    </row>
    <row r="224">
      <c r="A224" s="1" t="s">
        <v>259</v>
      </c>
      <c r="B224" s="1" t="str">
        <f>IFERROR(VLOOKUP($A224,ItemsImport!$A$2:$AD970,MATCH("Description",ItemsImport!$A$1:$AE$1,0),FALSE),"")</f>
        <v>Crafting Material, roll a d20 to see how many you get if this is a loot drop.</v>
      </c>
      <c r="C224" s="1" t="str">
        <f>IFERROR(VLOOKUP($A224,ItemsImport!$A$2:$AD970,MATCH("Type",ItemsImport!$A$1:$AE$1,0),FALSE),"")</f>
        <v>Item</v>
      </c>
      <c r="H224" s="4" t="b">
        <v>0</v>
      </c>
      <c r="I224" s="1" t="str">
        <f>IFERROR(VLOOKUP($A224,ItemsImport!$A$2:$AD970,MATCH("ItemLoc",ItemsImport!$A$1:$AE$1,0),FALSE),"")</f>
        <v>Land of Spira</v>
      </c>
      <c r="W224" s="1" t="str">
        <f>IFERROR(__xludf.DUMMYFUNCTION("""COMPUTED_VALUE"""),"Fire Diamond")</f>
        <v>Fire Diamond</v>
      </c>
      <c r="X224" s="1" t="str">
        <f t="shared" si="1"/>
        <v/>
      </c>
    </row>
    <row r="225">
      <c r="A225" s="1" t="s">
        <v>260</v>
      </c>
      <c r="B225" s="1" t="str">
        <f>IFERROR(VLOOKUP($A225,ItemsImport!$A$2:$AD970,MATCH("Description",ItemsImport!$A$1:$AE$1,0),FALSE),"")</f>
        <v>Crafting Material, roll a d20 to see how many you get if this is a loot drop.</v>
      </c>
      <c r="C225" s="1" t="str">
        <f>IFERROR(VLOOKUP($A225,ItemsImport!$A$2:$AD970,MATCH("Type",ItemsImport!$A$1:$AE$1,0),FALSE),"")</f>
        <v>Item</v>
      </c>
      <c r="H225" s="4" t="b">
        <v>0</v>
      </c>
      <c r="I225" s="1" t="str">
        <f>IFERROR(VLOOKUP($A225,ItemsImport!$A$2:$AD970,MATCH("ItemLoc",ItemsImport!$A$1:$AE$1,0),FALSE),"")</f>
        <v>Land of Spira</v>
      </c>
      <c r="W225" s="1" t="str">
        <f>IFERROR(__xludf.DUMMYFUNCTION("""COMPUTED_VALUE"""),"Giant Fire Diamond")</f>
        <v>Giant Fire Diamond</v>
      </c>
      <c r="X225" s="1" t="str">
        <f t="shared" si="1"/>
        <v/>
      </c>
    </row>
    <row r="226">
      <c r="A226" s="1" t="s">
        <v>261</v>
      </c>
      <c r="B226" s="1" t="str">
        <f>IFERROR(VLOOKUP($A226,ItemsImport!$A$2:$AD970,MATCH("Description",ItemsImport!$A$1:$AE$1,0),FALSE),"")</f>
        <v/>
      </c>
      <c r="C226" s="1" t="str">
        <f>IFERROR(VLOOKUP($A226,ItemsImport!$A$2:$AD970,MATCH("Type",ItemsImport!$A$1:$AE$1,0),FALSE),"")</f>
        <v>Item</v>
      </c>
      <c r="H226" s="4" t="b">
        <v>0</v>
      </c>
      <c r="I226" s="1" t="str">
        <f>IFERROR(VLOOKUP($A226,ItemsImport!$A$2:$AD970,MATCH("ItemLoc",ItemsImport!$A$1:$AE$1,0),FALSE),"")</f>
        <v>Land of Spira</v>
      </c>
      <c r="W226" s="1" t="str">
        <f>IFERROR(__xludf.DUMMYFUNCTION("""COMPUTED_VALUE"""),"Heatmore Flame Golem Soul")</f>
        <v>Heatmore Flame Golem Soul</v>
      </c>
      <c r="X226" s="1" t="str">
        <f t="shared" si="1"/>
        <v/>
      </c>
    </row>
    <row r="227">
      <c r="A227" s="1" t="s">
        <v>262</v>
      </c>
      <c r="B227" s="1" t="str">
        <f>IFERROR(VLOOKUP($A227,ItemsImport!$A$2:$AD970,MATCH("Description",ItemsImport!$A$1:$AE$1,0),FALSE),"")</f>
        <v>Crafting Material, roll a d20 to see how many you get if this is a loot drop.</v>
      </c>
      <c r="C227" s="1" t="str">
        <f>IFERROR(VLOOKUP($A227,ItemsImport!$A$2:$AD970,MATCH("Type",ItemsImport!$A$1:$AE$1,0),FALSE),"")</f>
        <v>Item</v>
      </c>
      <c r="H227" s="4" t="b">
        <v>0</v>
      </c>
      <c r="I227" s="1" t="str">
        <f>IFERROR(VLOOKUP($A227,ItemsImport!$A$2:$AD970,MATCH("ItemLoc",ItemsImport!$A$1:$AE$1,0),FALSE),"")</f>
        <v>Land of Spira</v>
      </c>
      <c r="W227" s="1" t="str">
        <f>IFERROR(__xludf.DUMMYFUNCTION("""COMPUTED_VALUE"""),"Flaming Feathers")</f>
        <v>Flaming Feathers</v>
      </c>
      <c r="X227" s="1" t="str">
        <f t="shared" si="1"/>
        <v/>
      </c>
    </row>
    <row r="228">
      <c r="A228" s="1" t="s">
        <v>263</v>
      </c>
      <c r="B228" s="1" t="str">
        <f>IFERROR(VLOOKUP($A228,ItemsImport!$A$2:$AD970,MATCH("Description",ItemsImport!$A$1:$AE$1,0),FALSE),"")</f>
        <v>Crafting Material, roll a d20 to see how many you get if this is a loot drop.</v>
      </c>
      <c r="C228" s="1" t="str">
        <f>IFERROR(VLOOKUP($A228,ItemsImport!$A$2:$AD970,MATCH("Type",ItemsImport!$A$1:$AE$1,0),FALSE),"")</f>
        <v>Item</v>
      </c>
      <c r="H228" s="4" t="b">
        <v>0</v>
      </c>
      <c r="I228" s="1" t="str">
        <f>IFERROR(VLOOKUP($A228,ItemsImport!$A$2:$AD970,MATCH("ItemLoc",ItemsImport!$A$1:$AE$1,0),FALSE),"")</f>
        <v>Land of Spira</v>
      </c>
      <c r="W228" s="1" t="str">
        <f>IFERROR(__xludf.DUMMYFUNCTION("""COMPUTED_VALUE"""),"Flaming Horns")</f>
        <v>Flaming Horns</v>
      </c>
      <c r="X228" s="1" t="str">
        <f t="shared" si="1"/>
        <v/>
      </c>
    </row>
    <row r="229">
      <c r="A229" s="1" t="s">
        <v>264</v>
      </c>
      <c r="B229" s="1" t="str">
        <f>IFERROR(VLOOKUP($A229,ItemsImport!$A$2:$AD970,MATCH("Description",ItemsImport!$A$1:$AE$1,0),FALSE),"")</f>
        <v>Restores 10 hunger and energy</v>
      </c>
      <c r="C229" s="1" t="str">
        <f>IFERROR(VLOOKUP($A229,ItemsImport!$A$2:$AD970,MATCH("Type",ItemsImport!$A$1:$AE$1,0),FALSE),"")</f>
        <v>Crop</v>
      </c>
      <c r="H229" s="4" t="b">
        <v>0</v>
      </c>
      <c r="I229" s="1" t="str">
        <f>IFERROR(VLOOKUP($A229,ItemsImport!$A$2:$AD970,MATCH("ItemLoc",ItemsImport!$A$1:$AE$1,0),FALSE),"")</f>
        <v>Land of Spira</v>
      </c>
      <c r="W229" s="1" t="str">
        <f>IFERROR(__xludf.DUMMYFUNCTION("""COMPUTED_VALUE"""),"Cooked Yak Meat")</f>
        <v>Cooked Yak Meat</v>
      </c>
      <c r="X229" s="1" t="str">
        <f t="shared" si="1"/>
        <v/>
      </c>
    </row>
    <row r="230">
      <c r="A230" s="1" t="s">
        <v>265</v>
      </c>
      <c r="B230" s="1" t="str">
        <f>IFERROR(VLOOKUP($A230,ItemsImport!$A$2:$AD970,MATCH("Description",ItemsImport!$A$1:$AE$1,0),FALSE),"")</f>
        <v>Gain 1 free fire power of choosing. (Can only be obtained once per player)</v>
      </c>
      <c r="C230" s="1" t="str">
        <f>IFERROR(VLOOKUP($A230,ItemsImport!$A$2:$AD970,MATCH("Type",ItemsImport!$A$1:$AE$1,0),FALSE),"")</f>
        <v>Item</v>
      </c>
      <c r="H230" s="4" t="b">
        <v>1</v>
      </c>
      <c r="I230" s="1" t="str">
        <f>IFERROR(VLOOKUP($A230,ItemsImport!$A$2:$AD970,MATCH("ItemLoc",ItemsImport!$A$1:$AE$1,0),FALSE),"")</f>
        <v>Land of Spira</v>
      </c>
      <c r="W230" s="1" t="str">
        <f>IFERROR(__xludf.DUMMYFUNCTION("""COMPUTED_VALUE"""),"Leaf Of The Ancient Tree Of Flames")</f>
        <v>Leaf Of The Ancient Tree Of Flames</v>
      </c>
      <c r="X230" s="1" t="str">
        <f t="shared" si="1"/>
        <v/>
      </c>
    </row>
    <row r="231">
      <c r="A231" s="1" t="s">
        <v>266</v>
      </c>
      <c r="B231" s="1" t="str">
        <f>IFERROR(VLOOKUP($A231,ItemsImport!$A$2:$AD970,MATCH("Description",ItemsImport!$A$1:$AE$1,0),FALSE),"")</f>
        <v/>
      </c>
      <c r="C231" s="1" t="str">
        <f>IFERROR(VLOOKUP($A231,ItemsImport!$A$2:$AD970,MATCH("Type",ItemsImport!$A$1:$AE$1,0),FALSE),"")</f>
        <v>Item</v>
      </c>
      <c r="H231" s="4" t="b">
        <v>1</v>
      </c>
      <c r="I231" s="1" t="str">
        <f>IFERROR(VLOOKUP($A231,ItemsImport!$A$2:$AD970,MATCH("ItemLoc",ItemsImport!$A$1:$AE$1,0),FALSE),"")</f>
        <v>Land of Spira</v>
      </c>
      <c r="W231" s="1" t="str">
        <f>IFERROR(__xludf.DUMMYFUNCTION("""COMPUTED_VALUE"""),"Ancient Volcanic Worm Egg")</f>
        <v>Ancient Volcanic Worm Egg</v>
      </c>
      <c r="X231" s="1" t="str">
        <f t="shared" si="1"/>
        <v/>
      </c>
    </row>
    <row r="232">
      <c r="A232" s="1" t="s">
        <v>267</v>
      </c>
      <c r="B232" s="1" t="str">
        <f>IFERROR(VLOOKUP($A232,ItemsImport!$A$2:$AD970,MATCH("Description",ItemsImport!$A$1:$AE$1,0),FALSE),"")</f>
        <v>Consume to gain permanent 2000 fire resistance. (Can only obtain 1 per player)</v>
      </c>
      <c r="C232" s="1" t="str">
        <f>IFERROR(VLOOKUP($A232,ItemsImport!$A$2:$AD970,MATCH("Type",ItemsImport!$A$1:$AE$1,0),FALSE),"")</f>
        <v>Item</v>
      </c>
      <c r="H232" s="4" t="b">
        <v>1</v>
      </c>
      <c r="I232" s="1" t="str">
        <f>IFERROR(VLOOKUP($A232,ItemsImport!$A$2:$AD970,MATCH("ItemLoc",ItemsImport!$A$1:$AE$1,0),FALSE),"")</f>
        <v>Land of Spira</v>
      </c>
      <c r="W232" s="1" t="str">
        <f>IFERROR(__xludf.DUMMYFUNCTION("""COMPUTED_VALUE"""),"Ancient Volcanic Worm Core")</f>
        <v>Ancient Volcanic Worm Core</v>
      </c>
      <c r="X232" s="1" t="str">
        <f t="shared" si="1"/>
        <v/>
      </c>
    </row>
    <row r="233">
      <c r="A233" s="1" t="s">
        <v>268</v>
      </c>
      <c r="B233" s="1" t="str">
        <f>IFERROR(VLOOKUP($A233,ItemsImport!$A$2:$AD970,MATCH("Description",ItemsImport!$A$1:$AE$1,0),FALSE),"")</f>
        <v>Crafting Material, roll a d20 to see how many you get if this is a loot drop.</v>
      </c>
      <c r="C233" s="1" t="str">
        <f>IFERROR(VLOOKUP($A233,ItemsImport!$A$2:$AD970,MATCH("Type",ItemsImport!$A$1:$AE$1,0),FALSE),"")</f>
        <v>Item</v>
      </c>
      <c r="H233" s="4" t="b">
        <v>0</v>
      </c>
      <c r="I233" s="1" t="str">
        <f>IFERROR(VLOOKUP($A233,ItemsImport!$A$2:$AD970,MATCH("ItemLoc",ItemsImport!$A$1:$AE$1,0),FALSE),"")</f>
        <v>Land of Spira</v>
      </c>
      <c r="W233" s="1" t="str">
        <f>IFERROR(__xludf.DUMMYFUNCTION("""COMPUTED_VALUE"""),"Lava Tiger Skin")</f>
        <v>Lava Tiger Skin</v>
      </c>
      <c r="X233" s="1" t="str">
        <f t="shared" si="1"/>
        <v/>
      </c>
    </row>
    <row r="234">
      <c r="A234" s="1" t="s">
        <v>269</v>
      </c>
      <c r="B234" s="1" t="str">
        <f>IFERROR(VLOOKUP($A234,ItemsImport!$A$2:$AD970,MATCH("Description",ItemsImport!$A$1:$AE$1,0),FALSE),"")</f>
        <v>restores 20 hunger and energy</v>
      </c>
      <c r="C234" s="1" t="str">
        <f>IFERROR(VLOOKUP($A234,ItemsImport!$A$2:$AD970,MATCH("Type",ItemsImport!$A$1:$AE$1,0),FALSE),"")</f>
        <v>Crop</v>
      </c>
      <c r="H234" s="4" t="b">
        <v>0</v>
      </c>
      <c r="I234" s="1" t="str">
        <f>IFERROR(VLOOKUP($A234,ItemsImport!$A$2:$AD970,MATCH("ItemLoc",ItemsImport!$A$1:$AE$1,0),FALSE),"")</f>
        <v>Land of Spira</v>
      </c>
      <c r="W234" s="1" t="str">
        <f>IFERROR(__xludf.DUMMYFUNCTION("""COMPUTED_VALUE"""),"Cooked Tiger Meat")</f>
        <v>Cooked Tiger Meat</v>
      </c>
      <c r="X234" s="1" t="str">
        <f t="shared" si="1"/>
        <v/>
      </c>
    </row>
    <row r="235">
      <c r="A235" s="1" t="s">
        <v>270</v>
      </c>
      <c r="B235" s="1" t="str">
        <f>IFERROR(VLOOKUP($A235,ItemsImport!$A$2:$AD970,MATCH("Description",ItemsImport!$A$1:$AE$1,0),FALSE),"")</f>
        <v>Consumable, 100= permanent +5 to accuracy</v>
      </c>
      <c r="C235" s="1" t="str">
        <f>IFERROR(VLOOKUP($A235,ItemsImport!$A$2:$AD970,MATCH("Type",ItemsImport!$A$1:$AE$1,0),FALSE),"")</f>
        <v>Item</v>
      </c>
      <c r="H235" s="4" t="b">
        <v>0</v>
      </c>
      <c r="I235" s="1" t="str">
        <f>IFERROR(VLOOKUP($A235,ItemsImport!$A$2:$AD970,MATCH("ItemLoc",ItemsImport!$A$1:$AE$1,0),FALSE),"")</f>
        <v>Land of Spira</v>
      </c>
      <c r="W235" s="1" t="str">
        <f>IFERROR(__xludf.DUMMYFUNCTION("""COMPUTED_VALUE"""),"Liches Eye")</f>
        <v>Liches Eye</v>
      </c>
      <c r="X235" s="1" t="str">
        <f t="shared" si="1"/>
        <v/>
      </c>
    </row>
    <row r="236">
      <c r="A236" s="1" t="s">
        <v>271</v>
      </c>
      <c r="B236" s="1" t="str">
        <f>IFERROR(VLOOKUP($A236,ItemsImport!$A$2:$AD970,MATCH("Description",ItemsImport!$A$1:$AE$1,0),FALSE),"")</f>
        <v>Can only obtain 1 per player</v>
      </c>
      <c r="C236" s="1" t="str">
        <f>IFERROR(VLOOKUP($A236,ItemsImport!$A$2:$AD970,MATCH("Type",ItemsImport!$A$1:$AE$1,0),FALSE),"")</f>
        <v>Item</v>
      </c>
      <c r="H236" s="4" t="b">
        <v>0</v>
      </c>
      <c r="I236" s="1" t="str">
        <f>IFERROR(VLOOKUP($A236,ItemsImport!$A$2:$AD970,MATCH("ItemLoc",ItemsImport!$A$1:$AE$1,0),FALSE),"")</f>
        <v>Land of Spira</v>
      </c>
      <c r="W236" s="1" t="str">
        <f>IFERROR(__xludf.DUMMYFUNCTION("""COMPUTED_VALUE"""),"Rank 9 Fire Tome")</f>
        <v>Rank 9 Fire Tome</v>
      </c>
      <c r="X236" s="1" t="str">
        <f t="shared" si="1"/>
        <v/>
      </c>
    </row>
    <row r="237">
      <c r="A237" s="1" t="s">
        <v>272</v>
      </c>
      <c r="B237" s="1" t="str">
        <f>IFERROR(VLOOKUP($A237,ItemsImport!$A$2:$AD970,MATCH("Description",ItemsImport!$A$1:$AE$1,0),FALSE),"")</f>
        <v/>
      </c>
      <c r="C237" s="1" t="str">
        <f>IFERROR(VLOOKUP($A237,ItemsImport!$A$2:$AD970,MATCH("Type",ItemsImport!$A$1:$AE$1,0),FALSE),"")</f>
        <v>Item</v>
      </c>
      <c r="H237" s="4" t="b">
        <v>0</v>
      </c>
      <c r="I237" s="1" t="str">
        <f>IFERROR(VLOOKUP($A237,ItemsImport!$A$2:$AD970,MATCH("ItemLoc",ItemsImport!$A$1:$AE$1,0),FALSE),"")</f>
        <v>Land of Spira</v>
      </c>
      <c r="W237" s="1" t="str">
        <f>IFERROR(__xludf.DUMMYFUNCTION("""COMPUTED_VALUE"""),"Ancient Fire Serpent Egg")</f>
        <v>Ancient Fire Serpent Egg</v>
      </c>
      <c r="X237" s="1" t="str">
        <f t="shared" si="1"/>
        <v/>
      </c>
    </row>
    <row r="238">
      <c r="A238" s="1" t="s">
        <v>273</v>
      </c>
      <c r="B238" s="1" t="str">
        <f>IFERROR(VLOOKUP($A238,ItemsImport!$A$2:$AD970,MATCH("Description",ItemsImport!$A$1:$AE$1,0),FALSE),"")</f>
        <v>Crafting Material, roll a d20 to see how many you get if this is a loot drop.</v>
      </c>
      <c r="C238" s="1" t="str">
        <f>IFERROR(VLOOKUP($A238,ItemsImport!$A$2:$AD970,MATCH("Type",ItemsImport!$A$1:$AE$1,0),FALSE),"")</f>
        <v>Item</v>
      </c>
      <c r="H238" s="4" t="b">
        <v>0</v>
      </c>
      <c r="I238" s="1" t="str">
        <f>IFERROR(VLOOKUP($A238,ItemsImport!$A$2:$AD970,MATCH("ItemLoc",ItemsImport!$A$1:$AE$1,0),FALSE),"")</f>
        <v>Land of Spira</v>
      </c>
      <c r="W238" s="1" t="str">
        <f>IFERROR(__xludf.DUMMYFUNCTION("""COMPUTED_VALUE"""),"Demons Eye")</f>
        <v>Demons Eye</v>
      </c>
      <c r="X238" s="1" t="str">
        <f t="shared" si="1"/>
        <v/>
      </c>
    </row>
    <row r="239">
      <c r="A239" s="1" t="s">
        <v>274</v>
      </c>
      <c r="B239" s="1" t="str">
        <f>IFERROR(VLOOKUP($A239,ItemsImport!$A$2:$AD970,MATCH("Description",ItemsImport!$A$1:$AE$1,0),FALSE),"")</f>
        <v>Consumable, 1 free chaos power of choice. (Can only obtain 1 per player)</v>
      </c>
      <c r="C239" s="1" t="str">
        <f>IFERROR(VLOOKUP($A239,ItemsImport!$A$2:$AD970,MATCH("Type",ItemsImport!$A$1:$AE$1,0),FALSE),"")</f>
        <v>Item</v>
      </c>
      <c r="H239" s="4" t="b">
        <v>0</v>
      </c>
      <c r="I239" s="1" t="str">
        <f>IFERROR(VLOOKUP($A239,ItemsImport!$A$2:$AD970,MATCH("ItemLoc",ItemsImport!$A$1:$AE$1,0),FALSE),"")</f>
        <v>Land of Spira</v>
      </c>
      <c r="W239" s="1" t="str">
        <f>IFERROR(__xludf.DUMMYFUNCTION("""COMPUTED_VALUE"""),"Demon Core")</f>
        <v>Demon Core</v>
      </c>
      <c r="X239" s="1" t="str">
        <f t="shared" si="1"/>
        <v/>
      </c>
    </row>
    <row r="240">
      <c r="A240" s="1" t="s">
        <v>275</v>
      </c>
      <c r="B240" s="1" t="str">
        <f>IFERROR(VLOOKUP($A240,ItemsImport!$A$2:$AD970,MATCH("Description",ItemsImport!$A$1:$AE$1,0),FALSE),"")</f>
        <v>Summon an Ancient Fire Sentinel to battle, Level determined by DM/GM. Can only be used once.</v>
      </c>
      <c r="C240" s="1" t="str">
        <f>IFERROR(VLOOKUP($A240,ItemsImport!$A$2:$AD970,MATCH("Type",ItemsImport!$A$1:$AE$1,0),FALSE),"")</f>
        <v>Item</v>
      </c>
      <c r="H240" s="4" t="b">
        <v>0</v>
      </c>
      <c r="I240" s="1" t="str">
        <f>IFERROR(VLOOKUP($A240,ItemsImport!$A$2:$AD970,MATCH("ItemLoc",ItemsImport!$A$1:$AE$1,0),FALSE),"")</f>
        <v>Land of Spira</v>
      </c>
      <c r="W240" s="1" t="str">
        <f>IFERROR(__xludf.DUMMYFUNCTION("""COMPUTED_VALUE"""),"Sentinel Core")</f>
        <v>Sentinel Core</v>
      </c>
      <c r="X240" s="1" t="str">
        <f t="shared" si="1"/>
        <v/>
      </c>
    </row>
    <row r="241">
      <c r="A241" s="1" t="s">
        <v>276</v>
      </c>
      <c r="B241" s="1" t="str">
        <f>IFERROR(VLOOKUP($A241,ItemsImport!$A$2:$AD970,MATCH("Description",ItemsImport!$A$1:$AE$1,0),FALSE),"")</f>
        <v>Crafting Material, roll a d20 to see how many you get if this is a loot drop.</v>
      </c>
      <c r="C241" s="1" t="str">
        <f>IFERROR(VLOOKUP($A241,ItemsImport!$A$2:$AD970,MATCH("Type",ItemsImport!$A$1:$AE$1,0),FALSE),"")</f>
        <v>Item</v>
      </c>
      <c r="H241" s="4" t="b">
        <v>0</v>
      </c>
      <c r="I241" s="1" t="str">
        <f>IFERROR(VLOOKUP($A241,ItemsImport!$A$2:$AD970,MATCH("ItemLoc",ItemsImport!$A$1:$AE$1,0),FALSE),"")</f>
        <v>Land of Spira</v>
      </c>
      <c r="W241" s="1" t="str">
        <f>IFERROR(__xludf.DUMMYFUNCTION("""COMPUTED_VALUE"""),"Fire Gem")</f>
        <v>Fire Gem</v>
      </c>
      <c r="X241" s="1" t="str">
        <f t="shared" si="1"/>
        <v/>
      </c>
    </row>
    <row r="242">
      <c r="A242" s="1" t="s">
        <v>277</v>
      </c>
      <c r="B242" s="1" t="str">
        <f>IFERROR(VLOOKUP($A242,ItemsImport!$A$2:$AD970,MATCH("Description",ItemsImport!$A$1:$AE$1,0),FALSE),"")</f>
        <v>Crafting Material, roll a d20 to see how many you get if this is a loot drop.</v>
      </c>
      <c r="C242" s="1" t="str">
        <f>IFERROR(VLOOKUP($A242,ItemsImport!$A$2:$AD970,MATCH("Type",ItemsImport!$A$1:$AE$1,0),FALSE),"")</f>
        <v>Item</v>
      </c>
      <c r="H242" s="4" t="b">
        <v>0</v>
      </c>
      <c r="I242" s="1" t="str">
        <f>IFERROR(VLOOKUP($A242,ItemsImport!$A$2:$AD970,MATCH("ItemLoc",ItemsImport!$A$1:$AE$1,0),FALSE),"")</f>
        <v>Land of Spira</v>
      </c>
      <c r="W242" s="1" t="str">
        <f>IFERROR(__xludf.DUMMYFUNCTION("""COMPUTED_VALUE"""),"Aquatic Diamond")</f>
        <v>Aquatic Diamond</v>
      </c>
      <c r="X242" s="1" t="str">
        <f t="shared" si="1"/>
        <v/>
      </c>
    </row>
    <row r="243">
      <c r="A243" s="1" t="s">
        <v>278</v>
      </c>
      <c r="B243" s="1" t="str">
        <f>IFERROR(VLOOKUP($A243,ItemsImport!$A$2:$AD970,MATCH("Description",ItemsImport!$A$1:$AE$1,0),FALSE),"")</f>
        <v/>
      </c>
      <c r="C243" s="1" t="str">
        <f>IFERROR(VLOOKUP($A243,ItemsImport!$A$2:$AD970,MATCH("Type",ItemsImport!$A$1:$AE$1,0),FALSE),"")</f>
        <v>Item</v>
      </c>
      <c r="H243" s="4" t="b">
        <v>0</v>
      </c>
      <c r="I243" s="1" t="str">
        <f>IFERROR(VLOOKUP($A243,ItemsImport!$A$2:$AD970,MATCH("ItemLoc",ItemsImport!$A$1:$AE$1,0),FALSE),"")</f>
        <v>Land of Spira</v>
      </c>
      <c r="W243" s="1" t="str">
        <f>IFERROR(__xludf.DUMMYFUNCTION("""COMPUTED_VALUE"""),"Corrupted Twilight Knight Soul")</f>
        <v>Corrupted Twilight Knight Soul</v>
      </c>
      <c r="X243" s="1" t="str">
        <f t="shared" si="1"/>
        <v/>
      </c>
    </row>
    <row r="244">
      <c r="A244" s="1" t="s">
        <v>279</v>
      </c>
      <c r="B244" s="1" t="str">
        <f>IFERROR(VLOOKUP($A244,ItemsImport!$A$2:$AD970,MATCH("Description",ItemsImport!$A$1:$AE$1,0),FALSE),"")</f>
        <v>Restores 5 hunger.</v>
      </c>
      <c r="C244" s="1" t="str">
        <f>IFERROR(VLOOKUP($A244,ItemsImport!$A$2:$AD970,MATCH("Type",ItemsImport!$A$1:$AE$1,0),FALSE),"")</f>
        <v>Crop</v>
      </c>
      <c r="H244" s="4" t="b">
        <v>0</v>
      </c>
      <c r="I244" s="1" t="str">
        <f>IFERROR(VLOOKUP($A244,ItemsImport!$A$2:$AD970,MATCH("ItemLoc",ItemsImport!$A$1:$AE$1,0),FALSE),"")</f>
        <v>Land of Spira</v>
      </c>
      <c r="W244" s="1" t="str">
        <f>IFERROR(__xludf.DUMMYFUNCTION("""COMPUTED_VALUE"""),"Hay")</f>
        <v>Hay</v>
      </c>
      <c r="X244" s="1" t="str">
        <f t="shared" si="1"/>
        <v/>
      </c>
    </row>
    <row r="245">
      <c r="A245" s="1" t="s">
        <v>280</v>
      </c>
      <c r="B245" s="1" t="str">
        <f>IFERROR(VLOOKUP($A245,ItemsImport!$A$2:$AD970,MATCH("Description",ItemsImport!$A$1:$AE$1,0),FALSE),"")</f>
        <v/>
      </c>
      <c r="C245" s="1" t="str">
        <f>IFERROR(VLOOKUP($A245,ItemsImport!$A$2:$AD970,MATCH("Type",ItemsImport!$A$1:$AE$1,0),FALSE),"")</f>
        <v>Item</v>
      </c>
      <c r="H245" s="4" t="b">
        <v>0</v>
      </c>
      <c r="I245" s="1" t="str">
        <f>IFERROR(VLOOKUP($A245,ItemsImport!$A$2:$AD970,MATCH("ItemLoc",ItemsImport!$A$1:$AE$1,0),FALSE),"")</f>
        <v>Land of Spira</v>
      </c>
      <c r="W245" s="1" t="str">
        <f>IFERROR(__xludf.DUMMYFUNCTION("""COMPUTED_VALUE"""),"Shadow Suit of armor Soul")</f>
        <v>Shadow Suit of armor Soul</v>
      </c>
      <c r="X245" s="1" t="str">
        <f t="shared" si="1"/>
        <v/>
      </c>
    </row>
    <row r="246">
      <c r="A246" s="1" t="s">
        <v>281</v>
      </c>
      <c r="B246" s="1" t="str">
        <f>IFERROR(VLOOKUP($A246,ItemsImport!$A$2:$AD970,MATCH("Description",ItemsImport!$A$1:$AE$1,0),FALSE),"")</f>
        <v>Regain 10 SP</v>
      </c>
      <c r="C246" s="1" t="str">
        <f>IFERROR(VLOOKUP($A246,ItemsImport!$A$2:$AD970,MATCH("Type",ItemsImport!$A$1:$AE$1,0),FALSE),"")</f>
        <v>Item</v>
      </c>
      <c r="H246" s="4" t="b">
        <v>0</v>
      </c>
      <c r="I246" s="1" t="str">
        <f>IFERROR(VLOOKUP($A246,ItemsImport!$A$2:$AD970,MATCH("ItemLoc",ItemsImport!$A$1:$AE$1,0),FALSE),"")</f>
        <v>Land of Spira</v>
      </c>
      <c r="W246" s="1" t="str">
        <f>IFERROR(__xludf.DUMMYFUNCTION("""COMPUTED_VALUE"""),"Mana Potion")</f>
        <v>Mana Potion</v>
      </c>
      <c r="X246" s="1" t="str">
        <f t="shared" si="1"/>
        <v/>
      </c>
    </row>
    <row r="247">
      <c r="A247" s="1" t="s">
        <v>282</v>
      </c>
      <c r="B247" s="1" t="str">
        <f>IFERROR(VLOOKUP($A247,ItemsImport!$A$2:$AD970,MATCH("Description",ItemsImport!$A$1:$AE$1,0),FALSE),"")</f>
        <v>Crafting Material, roll a d20 to see how many you get if this is a loot drop.</v>
      </c>
      <c r="C247" s="1" t="str">
        <f>IFERROR(VLOOKUP($A247,ItemsImport!$A$2:$AD970,MATCH("Type",ItemsImport!$A$1:$AE$1,0),FALSE),"")</f>
        <v>Item</v>
      </c>
      <c r="H247" s="4" t="b">
        <v>0</v>
      </c>
      <c r="I247" s="1" t="str">
        <f>IFERROR(VLOOKUP($A247,ItemsImport!$A$2:$AD970,MATCH("ItemLoc",ItemsImport!$A$1:$AE$1,0),FALSE),"")</f>
        <v>Land of Spira</v>
      </c>
      <c r="W247" s="1" t="str">
        <f>IFERROR(__xludf.DUMMYFUNCTION("""COMPUTED_VALUE"""),"Werewolf Pelt")</f>
        <v>Werewolf Pelt</v>
      </c>
      <c r="X247" s="1" t="str">
        <f t="shared" si="1"/>
        <v/>
      </c>
    </row>
    <row r="248">
      <c r="A248" s="1" t="s">
        <v>283</v>
      </c>
      <c r="B248" s="1" t="str">
        <f>IFERROR(VLOOKUP($A248,ItemsImport!$A$2:$AD970,MATCH("Description",ItemsImport!$A$1:$AE$1,0),FALSE),"")</f>
        <v>Crafting Material, roll a d20 to see how many you get if this is a loot drop.</v>
      </c>
      <c r="C248" s="1" t="str">
        <f>IFERROR(VLOOKUP($A248,ItemsImport!$A$2:$AD970,MATCH("Type",ItemsImport!$A$1:$AE$1,0),FALSE),"")</f>
        <v>Item</v>
      </c>
      <c r="H248" s="4" t="b">
        <v>0</v>
      </c>
      <c r="I248" s="1" t="str">
        <f>IFERROR(VLOOKUP($A248,ItemsImport!$A$2:$AD970,MATCH("ItemLoc",ItemsImport!$A$1:$AE$1,0),FALSE),"")</f>
        <v>Halloween Kingdom</v>
      </c>
      <c r="W248" s="1" t="str">
        <f>IFERROR(__xludf.DUMMYFUNCTION("""COMPUTED_VALUE"""),"Halloween Emerald")</f>
        <v>Halloween Emerald</v>
      </c>
      <c r="X248" s="1" t="str">
        <f t="shared" si="1"/>
        <v/>
      </c>
    </row>
    <row r="249">
      <c r="A249" s="1" t="s">
        <v>284</v>
      </c>
      <c r="B249" s="1" t="str">
        <f>IFERROR(VLOOKUP($A249,ItemsImport!$A$2:$AD970,MATCH("Description",ItemsImport!$A$1:$AE$1,0),FALSE),"")</f>
        <v>Crafting Material, roll a d20 to see how many you get if this is a loot drop.</v>
      </c>
      <c r="C249" s="1" t="str">
        <f>IFERROR(VLOOKUP($A249,ItemsImport!$A$2:$AD970,MATCH("Type",ItemsImport!$A$1:$AE$1,0),FALSE),"")</f>
        <v>Item</v>
      </c>
      <c r="H249" s="4" t="b">
        <v>0</v>
      </c>
      <c r="I249" s="1" t="str">
        <f>IFERROR(VLOOKUP($A249,ItemsImport!$A$2:$AD970,MATCH("ItemLoc",ItemsImport!$A$1:$AE$1,0),FALSE),"")</f>
        <v>Halloween Kingdom</v>
      </c>
      <c r="W249" s="1" t="str">
        <f>IFERROR(__xludf.DUMMYFUNCTION("""COMPUTED_VALUE"""),"Giant Halloween Diamond")</f>
        <v>Giant Halloween Diamond</v>
      </c>
      <c r="X249" s="1" t="str">
        <f t="shared" si="1"/>
        <v/>
      </c>
    </row>
    <row r="250">
      <c r="A250" s="1" t="s">
        <v>285</v>
      </c>
      <c r="B250" s="1" t="str">
        <f>IFERROR(VLOOKUP($A250,ItemsImport!$A$2:$AD970,MATCH("Description",ItemsImport!$A$1:$AE$1,0),FALSE),"")</f>
        <v>Allows use of up to Rank 9 Twilight Powers</v>
      </c>
      <c r="C250" s="1" t="str">
        <f>IFERROR(VLOOKUP($A250,ItemsImport!$A$2:$AD970,MATCH("Type",ItemsImport!$A$1:$AE$1,0),FALSE),"")</f>
        <v>Item</v>
      </c>
      <c r="H250" s="4" t="b">
        <v>0</v>
      </c>
      <c r="I250" s="1" t="str">
        <f>IFERROR(VLOOKUP($A250,ItemsImport!$A$2:$AD970,MATCH("ItemLoc",ItemsImport!$A$1:$AE$1,0),FALSE),"")</f>
        <v>Land of Spira</v>
      </c>
      <c r="W250" s="1" t="str">
        <f>IFERROR(__xludf.DUMMYFUNCTION("""COMPUTED_VALUE"""),"Rank 9 Twilight Tome")</f>
        <v>Rank 9 Twilight Tome</v>
      </c>
      <c r="X250" s="1" t="str">
        <f t="shared" si="1"/>
        <v/>
      </c>
    </row>
    <row r="251">
      <c r="A251" s="1" t="s">
        <v>286</v>
      </c>
      <c r="B251" s="1" t="str">
        <f>IFERROR(VLOOKUP($A251,ItemsImport!$A$2:$AD970,MATCH("Description",ItemsImport!$A$1:$AE$1,0),FALSE),"")</f>
        <v>Allows use of up to Rank 9 Stasis Powers</v>
      </c>
      <c r="C251" s="1" t="str">
        <f>IFERROR(VLOOKUP($A251,ItemsImport!$A$2:$AD970,MATCH("Type",ItemsImport!$A$1:$AE$1,0),FALSE),"")</f>
        <v>Item</v>
      </c>
      <c r="H251" s="4" t="b">
        <v>0</v>
      </c>
      <c r="I251" s="1" t="str">
        <f>IFERROR(VLOOKUP($A251,ItemsImport!$A$2:$AD970,MATCH("ItemLoc",ItemsImport!$A$1:$AE$1,0),FALSE),"")</f>
        <v>Land of Spira</v>
      </c>
      <c r="W251" s="1" t="str">
        <f>IFERROR(__xludf.DUMMYFUNCTION("""COMPUTED_VALUE"""),"Stasis Tome Rank 9")</f>
        <v>Stasis Tome Rank 9</v>
      </c>
      <c r="X251" s="1" t="str">
        <f t="shared" si="1"/>
        <v/>
      </c>
    </row>
    <row r="252">
      <c r="A252" s="1" t="s">
        <v>287</v>
      </c>
      <c r="B252" s="1" t="str">
        <f>IFERROR(VLOOKUP($A252,ItemsImport!$A$2:$AD970,MATCH("Description",ItemsImport!$A$1:$AE$1,0),FALSE),"")</f>
        <v>Crafting Material, roll a d20 to see how many you get if this is a loot drop.</v>
      </c>
      <c r="C252" s="1" t="str">
        <f>IFERROR(VLOOKUP($A252,ItemsImport!$A$2:$AD970,MATCH("Type",ItemsImport!$A$1:$AE$1,0),FALSE),"")</f>
        <v>Item</v>
      </c>
      <c r="H252" s="4" t="b">
        <v>0</v>
      </c>
      <c r="I252" s="1" t="str">
        <f>IFERROR(VLOOKUP($A252,ItemsImport!$A$2:$AD970,MATCH("ItemLoc",ItemsImport!$A$1:$AE$1,0),FALSE),"")</f>
        <v>Land of Spira</v>
      </c>
      <c r="W252" s="1" t="str">
        <f>IFERROR(__xludf.DUMMYFUNCTION("""COMPUTED_VALUE"""),"Celestial Core")</f>
        <v>Celestial Core</v>
      </c>
      <c r="X252" s="1" t="str">
        <f t="shared" si="1"/>
        <v/>
      </c>
    </row>
    <row r="253">
      <c r="A253" s="1" t="s">
        <v>288</v>
      </c>
      <c r="B253" s="1" t="str">
        <f>IFERROR(VLOOKUP($A253,ItemsImport!$A$2:$AD970,MATCH("Description",ItemsImport!$A$1:$AE$1,0),FALSE),"")</f>
        <v>Crafting Material, roll a d20 to see how many you get if this is a loot drop.</v>
      </c>
      <c r="C253" s="1" t="str">
        <f>IFERROR(VLOOKUP($A253,ItemsImport!$A$2:$AD970,MATCH("Type",ItemsImport!$A$1:$AE$1,0),FALSE),"")</f>
        <v>Item</v>
      </c>
      <c r="H253" s="4" t="b">
        <v>0</v>
      </c>
      <c r="I253" s="1" t="str">
        <f>IFERROR(VLOOKUP($A253,ItemsImport!$A$2:$AD970,MATCH("ItemLoc",ItemsImport!$A$1:$AE$1,0),FALSE),"")</f>
        <v>Land of Spira</v>
      </c>
      <c r="W253" s="1" t="str">
        <f>IFERROR(__xludf.DUMMYFUNCTION("""COMPUTED_VALUE"""),"Vampires Tooth")</f>
        <v>Vampires Tooth</v>
      </c>
      <c r="X253" s="1" t="str">
        <f t="shared" si="1"/>
        <v/>
      </c>
    </row>
    <row r="254">
      <c r="A254" s="1" t="s">
        <v>289</v>
      </c>
      <c r="B254" s="1" t="str">
        <f>IFERROR(VLOOKUP($A254,ItemsImport!$A$2:$AD970,MATCH("Description",ItemsImport!$A$1:$AE$1,0),FALSE),"")</f>
        <v>Quest item.</v>
      </c>
      <c r="C254" s="1" t="str">
        <f>IFERROR(VLOOKUP($A254,ItemsImport!$A$2:$AD970,MATCH("Type",ItemsImport!$A$1:$AE$1,0),FALSE),"")</f>
        <v>Item</v>
      </c>
      <c r="H254" s="4" t="b">
        <v>0</v>
      </c>
      <c r="I254" s="1" t="str">
        <f>IFERROR(VLOOKUP($A254,ItemsImport!$A$2:$AD970,MATCH("ItemLoc",ItemsImport!$A$1:$AE$1,0),FALSE),"")</f>
        <v>Land of Spira</v>
      </c>
      <c r="W254" s="1" t="str">
        <f>IFERROR(__xludf.DUMMYFUNCTION("""COMPUTED_VALUE"""),"Cursed Statue Of Knowing")</f>
        <v>Cursed Statue Of Knowing</v>
      </c>
      <c r="X254" s="1" t="str">
        <f t="shared" si="1"/>
        <v/>
      </c>
    </row>
    <row r="255">
      <c r="A255" s="1" t="s">
        <v>290</v>
      </c>
      <c r="B255" s="1" t="str">
        <f>IFERROR(VLOOKUP($A255,ItemsImport!$A$2:$AD970,MATCH("Description",ItemsImport!$A$1:$AE$1,0),FALSE),"")</f>
        <v>Quest item.</v>
      </c>
      <c r="C255" s="1" t="str">
        <f>IFERROR(VLOOKUP($A255,ItemsImport!$A$2:$AD970,MATCH("Type",ItemsImport!$A$1:$AE$1,0),FALSE),"")</f>
        <v>Item</v>
      </c>
      <c r="H255" s="4" t="b">
        <v>0</v>
      </c>
      <c r="I255" s="1" t="str">
        <f>IFERROR(VLOOKUP($A255,ItemsImport!$A$2:$AD970,MATCH("ItemLoc",ItemsImport!$A$1:$AE$1,0),FALSE),"")</f>
        <v>Land of Spira</v>
      </c>
      <c r="W255" s="1" t="str">
        <f>IFERROR(__xludf.DUMMYFUNCTION("""COMPUTED_VALUE"""),"Orb Of Shadows")</f>
        <v>Orb Of Shadows</v>
      </c>
      <c r="X255" s="1" t="str">
        <f t="shared" si="1"/>
        <v/>
      </c>
    </row>
    <row r="256">
      <c r="A256" s="1" t="s">
        <v>291</v>
      </c>
      <c r="B256" s="1" t="str">
        <f>IFERROR(VLOOKUP($A256,ItemsImport!$A$2:$AD970,MATCH("Description",ItemsImport!$A$1:$AE$1,0),FALSE),"")</f>
        <v>Lights a bonfire. (guaranteed drop)</v>
      </c>
      <c r="C256" s="1" t="str">
        <f>IFERROR(VLOOKUP($A256,ItemsImport!$A$2:$AD970,MATCH("Type",ItemsImport!$A$1:$AE$1,0),FALSE),"")</f>
        <v>Item</v>
      </c>
      <c r="H256" s="4" t="b">
        <v>0</v>
      </c>
      <c r="I256" s="1" t="str">
        <f>IFERROR(VLOOKUP($A256,ItemsImport!$A$2:$AD970,MATCH("ItemLoc",ItemsImport!$A$1:$AE$1,0),FALSE),"")</f>
        <v>Land of Spira</v>
      </c>
      <c r="W256" s="1" t="str">
        <f>IFERROR(__xludf.DUMMYFUNCTION("""COMPUTED_VALUE"""),"Blessed Torch")</f>
        <v>Blessed Torch</v>
      </c>
      <c r="X256" s="1" t="str">
        <f t="shared" si="1"/>
        <v/>
      </c>
    </row>
    <row r="257">
      <c r="A257" s="1" t="s">
        <v>292</v>
      </c>
      <c r="B257" s="1" t="str">
        <f>IFERROR(VLOOKUP($A257,ItemsImport!$A$2:$AD970,MATCH("Description",ItemsImport!$A$1:$AE$1,0),FALSE),"")</f>
        <v>double the loot when consumed before battle.</v>
      </c>
      <c r="C257" s="1" t="str">
        <f>IFERROR(VLOOKUP($A257,ItemsImport!$A$2:$AD970,MATCH("Type",ItemsImport!$A$1:$AE$1,0),FALSE),"")</f>
        <v>Item</v>
      </c>
      <c r="H257" s="4" t="b">
        <v>0</v>
      </c>
      <c r="I257" s="1" t="str">
        <f>IFERROR(VLOOKUP($A257,ItemsImport!$A$2:$AD970,MATCH("ItemLoc",ItemsImport!$A$1:$AE$1,0),FALSE),"")</f>
        <v>Land of Spira</v>
      </c>
      <c r="W257" s="1" t="str">
        <f>IFERROR(__xludf.DUMMYFUNCTION("""COMPUTED_VALUE"""),"Pebble of Fertility")</f>
        <v>Pebble of Fertility</v>
      </c>
      <c r="X257" s="1" t="str">
        <f t="shared" si="1"/>
        <v/>
      </c>
    </row>
    <row r="258">
      <c r="A258" s="1" t="s">
        <v>293</v>
      </c>
      <c r="B258" s="1" t="str">
        <f>IFERROR(VLOOKUP($A258,ItemsImport!$A$2:$AD970,MATCH("Description",ItemsImport!$A$1:$AE$1,0),FALSE),"")</f>
        <v>Gives a Faery companion (60) (must be in a forest for the egg to hatch)</v>
      </c>
      <c r="C258" s="1" t="str">
        <f>IFERROR(VLOOKUP($A258,ItemsImport!$A$2:$AD970,MATCH("Type",ItemsImport!$A$1:$AE$1,0),FALSE),"")</f>
        <v>Item</v>
      </c>
      <c r="H258" s="4" t="b">
        <v>0</v>
      </c>
      <c r="I258" s="1" t="str">
        <f>IFERROR(VLOOKUP($A258,ItemsImport!$A$2:$AD970,MATCH("ItemLoc",ItemsImport!$A$1:$AE$1,0),FALSE),"")</f>
        <v>Land of Spira</v>
      </c>
      <c r="W258" s="1" t="str">
        <f>IFERROR(__xludf.DUMMYFUNCTION("""COMPUTED_VALUE"""),"Forest Faery Egg")</f>
        <v>Forest Faery Egg</v>
      </c>
      <c r="X258" s="1" t="str">
        <f t="shared" si="1"/>
        <v/>
      </c>
    </row>
    <row r="259">
      <c r="A259" s="1" t="s">
        <v>294</v>
      </c>
      <c r="B259" s="1" t="str">
        <f>IFERROR(VLOOKUP($A259,ItemsImport!$A$2:$AD970,MATCH("Description",ItemsImport!$A$1:$AE$1,0),FALSE),"")</f>
        <v>Cures 1 curse</v>
      </c>
      <c r="C259" s="1" t="str">
        <f>IFERROR(VLOOKUP($A259,ItemsImport!$A$2:$AD970,MATCH("Type",ItemsImport!$A$1:$AE$1,0),FALSE),"")</f>
        <v>Item</v>
      </c>
      <c r="H259" s="4" t="b">
        <v>0</v>
      </c>
      <c r="I259" s="1" t="str">
        <f>IFERROR(VLOOKUP($A259,ItemsImport!$A$2:$AD970,MATCH("ItemLoc",ItemsImport!$A$1:$AE$1,0),FALSE),"")</f>
        <v>Land of Spira</v>
      </c>
      <c r="W259" s="1" t="str">
        <f>IFERROR(__xludf.DUMMYFUNCTION("""COMPUTED_VALUE"""),"Pandan flower")</f>
        <v>Pandan flower</v>
      </c>
      <c r="X259" s="1" t="str">
        <f t="shared" si="1"/>
        <v/>
      </c>
    </row>
    <row r="260">
      <c r="A260" s="1" t="s">
        <v>295</v>
      </c>
      <c r="B260" s="1" t="str">
        <f>IFERROR(VLOOKUP($A260,ItemsImport!$A$2:$AD970,MATCH("Description",ItemsImport!$A$1:$AE$1,0),FALSE),"")</f>
        <v>Allows use of up to Rank 5 Earth Powers</v>
      </c>
      <c r="C260" s="1" t="str">
        <f>IFERROR(VLOOKUP($A260,ItemsImport!$A$2:$AD970,MATCH("Type",ItemsImport!$A$1:$AE$1,0),FALSE),"")</f>
        <v>Item</v>
      </c>
      <c r="H260" s="4" t="b">
        <v>0</v>
      </c>
      <c r="I260" s="1" t="str">
        <f>IFERROR(VLOOKUP($A260,ItemsImport!$A$2:$AD970,MATCH("ItemLoc",ItemsImport!$A$1:$AE$1,0),FALSE),"")</f>
        <v>Land of Spira</v>
      </c>
      <c r="W260" s="1" t="str">
        <f>IFERROR(__xludf.DUMMYFUNCTION("""COMPUTED_VALUE"""),"Rank 5 Earth Tome")</f>
        <v>Rank 5 Earth Tome</v>
      </c>
      <c r="X260" s="1" t="str">
        <f t="shared" si="1"/>
        <v/>
      </c>
    </row>
    <row r="261">
      <c r="A261" s="1" t="s">
        <v>296</v>
      </c>
      <c r="B261" s="1" t="str">
        <f>IFERROR(VLOOKUP($A261,ItemsImport!$A$2:$AD970,MATCH("Description",ItemsImport!$A$1:$AE$1,0),FALSE),"")</f>
        <v>Crafting Material, roll a d20 to see how many you get if this is a loot drop.</v>
      </c>
      <c r="C261" s="1" t="str">
        <f>IFERROR(VLOOKUP($A261,ItemsImport!$A$2:$AD970,MATCH("Type",ItemsImport!$A$1:$AE$1,0),FALSE),"")</f>
        <v>Item</v>
      </c>
      <c r="H261" s="4" t="b">
        <v>0</v>
      </c>
      <c r="I261" s="1" t="str">
        <f>IFERROR(VLOOKUP($A261,ItemsImport!$A$2:$AD970,MATCH("ItemLoc",ItemsImport!$A$1:$AE$1,0),FALSE),"")</f>
        <v>Land of Spira</v>
      </c>
      <c r="W261" s="1" t="str">
        <f>IFERROR(__xludf.DUMMYFUNCTION("""COMPUTED_VALUE"""),"Earth Gem")</f>
        <v>Earth Gem</v>
      </c>
      <c r="X261" s="1" t="str">
        <f t="shared" si="1"/>
        <v/>
      </c>
    </row>
    <row r="262">
      <c r="A262" s="1" t="s">
        <v>297</v>
      </c>
      <c r="B262" s="1" t="str">
        <f>IFERROR(VLOOKUP($A262,ItemsImport!$A$2:$AD970,MATCH("Description",ItemsImport!$A$1:$AE$1,0),FALSE),"")</f>
        <v>grants access to the room of knowledge</v>
      </c>
      <c r="C262" s="1" t="str">
        <f>IFERROR(VLOOKUP($A262,ItemsImport!$A$2:$AD970,MATCH("Type",ItemsImport!$A$1:$AE$1,0),FALSE),"")</f>
        <v>Item</v>
      </c>
      <c r="H262" s="4" t="b">
        <v>1</v>
      </c>
      <c r="I262" s="1" t="str">
        <f>IFERROR(VLOOKUP($A262,ItemsImport!$A$2:$AD970,MATCH("ItemLoc",ItemsImport!$A$1:$AE$1,0),FALSE),"")</f>
        <v>Land of Spira</v>
      </c>
      <c r="W262" s="1" t="str">
        <f>IFERROR(__xludf.DUMMYFUNCTION("""COMPUTED_VALUE"""),"Key Of Knowledge")</f>
        <v>Key Of Knowledge</v>
      </c>
      <c r="X262" s="1" t="str">
        <f t="shared" si="1"/>
        <v/>
      </c>
    </row>
    <row r="263">
      <c r="A263" s="1" t="s">
        <v>298</v>
      </c>
      <c r="B263" s="1" t="str">
        <f>IFERROR(VLOOKUP($A263,ItemsImport!$A$2:$AD970,MATCH("Description",ItemsImport!$A$1:$AE$1,0),FALSE),"")</f>
        <v>Grants access to the Ruins of Mana.</v>
      </c>
      <c r="C263" s="1" t="str">
        <f>IFERROR(VLOOKUP($A263,ItemsImport!$A$2:$AD970,MATCH("Type",ItemsImport!$A$1:$AE$1,0),FALSE),"")</f>
        <v>Item</v>
      </c>
      <c r="H263" s="4" t="b">
        <v>1</v>
      </c>
      <c r="I263" s="1" t="str">
        <f>IFERROR(VLOOKUP($A263,ItemsImport!$A$2:$AD970,MATCH("ItemLoc",ItemsImport!$A$1:$AE$1,0),FALSE),"")</f>
        <v>Land of Spira</v>
      </c>
      <c r="W263" s="1" t="str">
        <f>IFERROR(__xludf.DUMMYFUNCTION("""COMPUTED_VALUE"""),"Medallion 1")</f>
        <v>Medallion 1</v>
      </c>
      <c r="X263" s="1" t="str">
        <f t="shared" si="1"/>
        <v/>
      </c>
    </row>
    <row r="264">
      <c r="A264" s="1" t="s">
        <v>299</v>
      </c>
      <c r="B264" s="1" t="str">
        <f>IFERROR(VLOOKUP($A264,ItemsImport!$A$2:$AD970,MATCH("Description",ItemsImport!$A$1:$AE$1,0),FALSE),"")</f>
        <v>Grants access to the Ruins of Mana.</v>
      </c>
      <c r="C264" s="1" t="str">
        <f>IFERROR(VLOOKUP($A264,ItemsImport!$A$2:$AD970,MATCH("Type",ItemsImport!$A$1:$AE$1,0),FALSE),"")</f>
        <v>Item</v>
      </c>
      <c r="H264" s="4" t="b">
        <v>1</v>
      </c>
      <c r="I264" s="1" t="str">
        <f>IFERROR(VLOOKUP($A264,ItemsImport!$A$2:$AD970,MATCH("ItemLoc",ItemsImport!$A$1:$AE$1,0),FALSE),"")</f>
        <v>Land of Spira</v>
      </c>
      <c r="W264" s="1" t="str">
        <f>IFERROR(__xludf.DUMMYFUNCTION("""COMPUTED_VALUE"""),"Medallion 2")</f>
        <v>Medallion 2</v>
      </c>
      <c r="X264" s="1" t="str">
        <f t="shared" si="1"/>
        <v/>
      </c>
    </row>
    <row r="265">
      <c r="A265" s="1" t="s">
        <v>300</v>
      </c>
      <c r="B265" s="1" t="str">
        <f>IFERROR(VLOOKUP($A265,ItemsImport!$A$2:$AD970,MATCH("Description",ItemsImport!$A$1:$AE$1,0),FALSE),"")</f>
        <v>Grants access to the Ruins of Mana.</v>
      </c>
      <c r="C265" s="1" t="str">
        <f>IFERROR(VLOOKUP($A265,ItemsImport!$A$2:$AD970,MATCH("Type",ItemsImport!$A$1:$AE$1,0),FALSE),"")</f>
        <v>Item</v>
      </c>
      <c r="H265" s="4" t="b">
        <v>1</v>
      </c>
      <c r="I265" s="1" t="str">
        <f>IFERROR(VLOOKUP($A265,ItemsImport!$A$2:$AD970,MATCH("ItemLoc",ItemsImport!$A$1:$AE$1,0),FALSE),"")</f>
        <v>Land of Spira</v>
      </c>
      <c r="W265" s="1" t="str">
        <f>IFERROR(__xludf.DUMMYFUNCTION("""COMPUTED_VALUE"""),"Medallion 3")</f>
        <v>Medallion 3</v>
      </c>
      <c r="X265" s="1" t="str">
        <f t="shared" si="1"/>
        <v/>
      </c>
    </row>
    <row r="266">
      <c r="A266" s="1" t="s">
        <v>301</v>
      </c>
      <c r="B266" s="1" t="str">
        <f>IFERROR(VLOOKUP($A266,ItemsImport!$A$2:$AD970,MATCH("Description",ItemsImport!$A$1:$AE$1,0),FALSE),"")</f>
        <v>Grants access to the Ruins of Mana.</v>
      </c>
      <c r="C266" s="1" t="str">
        <f>IFERROR(VLOOKUP($A266,ItemsImport!$A$2:$AD970,MATCH("Type",ItemsImport!$A$1:$AE$1,0),FALSE),"")</f>
        <v>Item</v>
      </c>
      <c r="H266" s="4" t="b">
        <v>1</v>
      </c>
      <c r="I266" s="1" t="str">
        <f>IFERROR(VLOOKUP($A266,ItemsImport!$A$2:$AD970,MATCH("ItemLoc",ItemsImport!$A$1:$AE$1,0),FALSE),"")</f>
        <v>Land of Spira</v>
      </c>
      <c r="W266" s="1" t="str">
        <f>IFERROR(__xludf.DUMMYFUNCTION("""COMPUTED_VALUE"""),"Medallion 4")</f>
        <v>Medallion 4</v>
      </c>
      <c r="X266" s="1" t="str">
        <f t="shared" si="1"/>
        <v/>
      </c>
    </row>
    <row r="267">
      <c r="A267" s="1" t="s">
        <v>302</v>
      </c>
      <c r="B267" s="1" t="str">
        <f>IFERROR(VLOOKUP($A267,ItemsImport!$A$2:$AD970,MATCH("Description",ItemsImport!$A$1:$AE$1,0),FALSE),"")</f>
        <v>Crafting Material, roll a d20 to see how many you get if this is a loot drop., can be forged into an weapon to give it +5%  chance of freezing 1 target. can forge multiple of these gems together to increase the percentage to a max of 100%</v>
      </c>
      <c r="C267" s="1" t="str">
        <f>IFERROR(VLOOKUP($A267,ItemsImport!$A$2:$AD970,MATCH("Type",ItemsImport!$A$1:$AE$1,0),FALSE),"")</f>
        <v>Item</v>
      </c>
      <c r="H267" s="4" t="b">
        <v>0</v>
      </c>
      <c r="I267" s="1" t="str">
        <f>IFERROR(VLOOKUP($A267,ItemsImport!$A$2:$AD970,MATCH("ItemLoc",ItemsImport!$A$1:$AE$1,0),FALSE),"")</f>
        <v>Land of Spira</v>
      </c>
      <c r="W267" s="1" t="str">
        <f>IFERROR(__xludf.DUMMYFUNCTION("""COMPUTED_VALUE"""),"Enchanted Ice Gem")</f>
        <v>Enchanted Ice Gem</v>
      </c>
      <c r="X267" s="1" t="str">
        <f t="shared" si="1"/>
        <v/>
      </c>
    </row>
    <row r="268">
      <c r="A268" s="1" t="s">
        <v>303</v>
      </c>
      <c r="B268" s="1" t="str">
        <f>IFERROR(VLOOKUP($A268,ItemsImport!$A$2:$AD970,MATCH("Description",ItemsImport!$A$1:$AE$1,0),FALSE),"")</f>
        <v>Can be forged into armor, one crystal max inside forged equipment. +2 Mobility  </v>
      </c>
      <c r="C268" s="1" t="str">
        <f>IFERROR(VLOOKUP($A268,ItemsImport!$A$2:$AD970,MATCH("Type",ItemsImport!$A$1:$AE$1,0),FALSE),"")</f>
        <v>Item</v>
      </c>
      <c r="H268" s="4" t="b">
        <v>0</v>
      </c>
      <c r="I268" s="1" t="str">
        <f>IFERROR(VLOOKUP($A268,ItemsImport!$A$2:$AD970,MATCH("ItemLoc",ItemsImport!$A$1:$AE$1,0),FALSE),"")</f>
        <v>Land of Spira</v>
      </c>
      <c r="W268" s="1" t="str">
        <f>IFERROR(__xludf.DUMMYFUNCTION("""COMPUTED_VALUE"""),"Carnelian Crystal")</f>
        <v>Carnelian Crystal</v>
      </c>
      <c r="X268" s="1" t="str">
        <f t="shared" si="1"/>
        <v/>
      </c>
    </row>
    <row r="269">
      <c r="A269" s="1" t="s">
        <v>304</v>
      </c>
      <c r="B269" s="1" t="str">
        <f>IFERROR(VLOOKUP($A269,ItemsImport!$A$2:$AD970,MATCH("Description",ItemsImport!$A$1:$AE$1,0),FALSE),"")</f>
        <v>Can be forged into armor, one crystal max inside forged equipment. 25% chance to move up one spot in the turn order this effect is unnaffected by other forged items/effects.</v>
      </c>
      <c r="C269" s="1" t="str">
        <f>IFERROR(VLOOKUP($A269,ItemsImport!$A$2:$AD970,MATCH("Type",ItemsImport!$A$1:$AE$1,0),FALSE),"")</f>
        <v>Item</v>
      </c>
      <c r="H269" s="4" t="b">
        <v>0</v>
      </c>
      <c r="I269" s="1" t="str">
        <f>IFERROR(VLOOKUP($A269,ItemsImport!$A$2:$AD970,MATCH("ItemLoc",ItemsImport!$A$1:$AE$1,0),FALSE),"")</f>
        <v>Land of Spira</v>
      </c>
      <c r="W269" s="1" t="str">
        <f>IFERROR(__xludf.DUMMYFUNCTION("""COMPUTED_VALUE"""),"Citrine Crystal")</f>
        <v>Citrine Crystal</v>
      </c>
      <c r="X269" s="1" t="str">
        <f t="shared" si="1"/>
        <v/>
      </c>
    </row>
    <row r="270">
      <c r="A270" s="1" t="s">
        <v>305</v>
      </c>
      <c r="B270" s="1" t="str">
        <f>IFERROR(VLOOKUP($A270,ItemsImport!$A$2:$AD970,MATCH("Description",ItemsImport!$A$1:$AE$1,0),FALSE),"")</f>
        <v>Can be forged into a weapon, one crystal max inside forged equipment. 25% chance to dodge an attack, this effect is unnaffected by other forged items/effects.</v>
      </c>
      <c r="C270" s="1" t="str">
        <f>IFERROR(VLOOKUP($A270,ItemsImport!$A$2:$AD970,MATCH("Type",ItemsImport!$A$1:$AE$1,0),FALSE),"")</f>
        <v>Item</v>
      </c>
      <c r="H270" s="4" t="b">
        <v>0</v>
      </c>
      <c r="I270" s="1" t="str">
        <f>IFERROR(VLOOKUP($A270,ItemsImport!$A$2:$AD970,MATCH("ItemLoc",ItemsImport!$A$1:$AE$1,0),FALSE),"")</f>
        <v>Land of Spira</v>
      </c>
      <c r="W270" s="1" t="str">
        <f>IFERROR(__xludf.DUMMYFUNCTION("""COMPUTED_VALUE"""),"Tiger's Eye Crystal")</f>
        <v>Tiger's Eye Crystal</v>
      </c>
      <c r="X270" s="1" t="str">
        <f t="shared" si="1"/>
        <v/>
      </c>
    </row>
    <row r="271">
      <c r="A271" s="1" t="s">
        <v>306</v>
      </c>
      <c r="B271" s="1" t="str">
        <f>IFERROR(VLOOKUP($A271,ItemsImport!$A$2:$AD970,MATCH("Description",ItemsImport!$A$1:$AE$1,0),FALSE),"")</f>
        <v>Can be forged into a weapon, one crystal max inside forged equipment. absorbs the first attack of each battle.</v>
      </c>
      <c r="C271" s="1" t="str">
        <f>IFERROR(VLOOKUP($A271,ItemsImport!$A$2:$AD970,MATCH("Type",ItemsImport!$A$1:$AE$1,0),FALSE),"")</f>
        <v>Item</v>
      </c>
      <c r="H271" s="4" t="b">
        <v>0</v>
      </c>
      <c r="I271" s="1" t="str">
        <f>IFERROR(VLOOKUP($A271,ItemsImport!$A$2:$AD970,MATCH("ItemLoc",ItemsImport!$A$1:$AE$1,0),FALSE),"")</f>
        <v>Land of Spira</v>
      </c>
      <c r="W271" s="1" t="str">
        <f>IFERROR(__xludf.DUMMYFUNCTION("""COMPUTED_VALUE"""),"Lodestone Crystal")</f>
        <v>Lodestone Crystal</v>
      </c>
      <c r="X271" s="1" t="str">
        <f t="shared" si="1"/>
        <v/>
      </c>
    </row>
    <row r="272">
      <c r="A272" s="1" t="s">
        <v>307</v>
      </c>
      <c r="B272" s="1" t="str">
        <f>IFERROR(VLOOKUP($A272,ItemsImport!$A$2:$AD970,MATCH("Description",ItemsImport!$A$1:$AE$1,0),FALSE),"")</f>
        <v>Can be forged into a armor, one crystal max inside forged equipment. +300HP per round.</v>
      </c>
      <c r="C272" s="1" t="str">
        <f>IFERROR(VLOOKUP($A272,ItemsImport!$A$2:$AD970,MATCH("Type",ItemsImport!$A$1:$AE$1,0),FALSE),"")</f>
        <v>Item</v>
      </c>
      <c r="H272" s="4" t="b">
        <v>0</v>
      </c>
      <c r="I272" s="1" t="str">
        <f>IFERROR(VLOOKUP($A272,ItemsImport!$A$2:$AD970,MATCH("ItemLoc",ItemsImport!$A$1:$AE$1,0),FALSE),"")</f>
        <v>Land of Spira</v>
      </c>
      <c r="W272" s="1" t="str">
        <f>IFERROR(__xludf.DUMMYFUNCTION("""COMPUTED_VALUE"""),"Peridot Crystal")</f>
        <v>Peridot Crystal</v>
      </c>
      <c r="X272" s="1" t="str">
        <f t="shared" si="1"/>
        <v/>
      </c>
    </row>
    <row r="273">
      <c r="A273" s="1" t="s">
        <v>308</v>
      </c>
      <c r="B273" s="1" t="str">
        <f>IFERROR(VLOOKUP($A273,ItemsImport!$A$2:$AD970,MATCH("Description",ItemsImport!$A$1:$AE$1,0),FALSE),"")</f>
        <v>Can be forged into a armor, one crystal max inside forged equipment. 50% chance to cure a curse for user only while cursed, this effect is unnaffected by other forged items/effects.</v>
      </c>
      <c r="C273" s="1" t="str">
        <f>IFERROR(VLOOKUP($A273,ItemsImport!$A$2:$AD970,MATCH("Type",ItemsImport!$A$1:$AE$1,0),FALSE),"")</f>
        <v>Item</v>
      </c>
      <c r="H273" s="4" t="b">
        <v>0</v>
      </c>
      <c r="I273" s="1" t="str">
        <f>IFERROR(VLOOKUP($A273,ItemsImport!$A$2:$AD970,MATCH("ItemLoc",ItemsImport!$A$1:$AE$1,0),FALSE),"")</f>
        <v>Land of Spira</v>
      </c>
      <c r="W273" s="1" t="str">
        <f>IFERROR(__xludf.DUMMYFUNCTION("""COMPUTED_VALUE"""),"Golden Topaz")</f>
        <v>Golden Topaz</v>
      </c>
      <c r="X273" s="1" t="str">
        <f t="shared" si="1"/>
        <v/>
      </c>
    </row>
    <row r="274">
      <c r="A274" s="1" t="s">
        <v>309</v>
      </c>
      <c r="B274" s="1" t="str">
        <f>IFERROR(VLOOKUP($A274,ItemsImport!$A$2:$AD970,MATCH("Description",ItemsImport!$A$1:$AE$1,0),FALSE),"")</f>
        <v>Can be forged into an item. all water damage now gives hp and sp back equal to the amount of damage caused. Cannot be duplicated.</v>
      </c>
      <c r="C274" s="1" t="str">
        <f>IFERROR(VLOOKUP($A274,ItemsImport!$A$2:$AD970,MATCH("Type",ItemsImport!$A$1:$AE$1,0),FALSE),"")</f>
        <v>Item</v>
      </c>
      <c r="H274" s="4" t="b">
        <v>1</v>
      </c>
      <c r="I274" s="1" t="str">
        <f>IFERROR(VLOOKUP($A274,ItemsImport!$A$2:$AD970,MATCH("ItemLoc",ItemsImport!$A$1:$AE$1,0),FALSE),"")</f>
        <v>Land of The Forgotten</v>
      </c>
      <c r="W274" s="1" t="str">
        <f>IFERROR(__xludf.DUMMYFUNCTION("""COMPUTED_VALUE"""),"Sea Crystal ")</f>
        <v>Sea Crystal </v>
      </c>
      <c r="X274" s="1" t="str">
        <f t="shared" si="1"/>
        <v/>
      </c>
    </row>
    <row r="275">
      <c r="A275" s="1" t="s">
        <v>310</v>
      </c>
      <c r="B275" s="1" t="str">
        <f>IFERROR(VLOOKUP($A275,ItemsImport!$A$2:$AD970,MATCH("Description",ItemsImport!$A$1:$AE$1,0),FALSE),"")</f>
        <v>Can be brewed into a potion then consumed to give the user permanant immunity to nature and give the user a permanant x10 to nature damage. Cannot be duplicated.</v>
      </c>
      <c r="C275" s="1" t="str">
        <f>IFERROR(VLOOKUP($A275,ItemsImport!$A$2:$AD970,MATCH("Type",ItemsImport!$A$1:$AE$1,0),FALSE),"")</f>
        <v>Item</v>
      </c>
      <c r="H275" s="4" t="b">
        <v>1</v>
      </c>
      <c r="I275" s="1" t="str">
        <f>IFERROR(VLOOKUP($A275,ItemsImport!$A$2:$AD970,MATCH("ItemLoc",ItemsImport!$A$1:$AE$1,0),FALSE),"")</f>
        <v>Land of The Forgotten</v>
      </c>
      <c r="W275" s="1" t="str">
        <f>IFERROR(__xludf.DUMMYFUNCTION("""COMPUTED_VALUE"""),"The Root Of Nature")</f>
        <v>The Root Of Nature</v>
      </c>
      <c r="X275" s="1" t="str">
        <f t="shared" si="1"/>
        <v/>
      </c>
    </row>
    <row r="276">
      <c r="A276" s="1" t="s">
        <v>311</v>
      </c>
      <c r="B276" s="1" t="str">
        <f>IFERROR(VLOOKUP($A276,ItemsImport!$A$2:$AD970,MATCH("Description",ItemsImport!$A$1:$AE$1,0),FALSE),"")</f>
        <v>can be forged into armor to give the user an immunity to earth and X10 earth damage. Cannot be duplicated.</v>
      </c>
      <c r="C276" s="1" t="str">
        <f>IFERROR(VLOOKUP($A276,ItemsImport!$A$2:$AD970,MATCH("Type",ItemsImport!$A$1:$AE$1,0),FALSE),"")</f>
        <v>Item</v>
      </c>
      <c r="H276" s="4" t="b">
        <v>1</v>
      </c>
      <c r="I276" s="1" t="str">
        <f>IFERROR(VLOOKUP($A276,ItemsImport!$A$2:$AD970,MATCH("ItemLoc",ItemsImport!$A$1:$AE$1,0),FALSE),"")</f>
        <v>Land of The Forgotten</v>
      </c>
      <c r="W276" s="1" t="str">
        <f>IFERROR(__xludf.DUMMYFUNCTION("""COMPUTED_VALUE"""),"Rich Sand")</f>
        <v>Rich Sand</v>
      </c>
      <c r="X276" s="1" t="str">
        <f t="shared" si="1"/>
        <v/>
      </c>
    </row>
    <row r="277">
      <c r="A277" s="1" t="s">
        <v>312</v>
      </c>
      <c r="B277" s="1" t="str">
        <f>IFERROR(VLOOKUP($A277,ItemsImport!$A$2:$AD970,MATCH("Description",ItemsImport!$A$1:$AE$1,0),FALSE),"")</f>
        <v>Can be brewed into a potion then consumed to gain 200 levels. Cannot be duplicated.</v>
      </c>
      <c r="C277" s="1" t="str">
        <f>IFERROR(VLOOKUP($A277,ItemsImport!$A$2:$AD970,MATCH("Type",ItemsImport!$A$1:$AE$1,0),FALSE),"")</f>
        <v>Item</v>
      </c>
      <c r="H277" s="4" t="b">
        <v>1</v>
      </c>
      <c r="I277" s="1" t="str">
        <f>IFERROR(VLOOKUP($A277,ItemsImport!$A$2:$AD970,MATCH("ItemLoc",ItemsImport!$A$1:$AE$1,0),FALSE),"")</f>
        <v>Land of The Forgotten</v>
      </c>
      <c r="W277" s="1" t="str">
        <f>IFERROR(__xludf.DUMMYFUNCTION("""COMPUTED_VALUE"""),"Sacred Sap")</f>
        <v>Sacred Sap</v>
      </c>
      <c r="X277" s="1" t="str">
        <f t="shared" si="1"/>
        <v/>
      </c>
    </row>
    <row r="278">
      <c r="A278" s="1" t="s">
        <v>313</v>
      </c>
      <c r="B278" s="1" t="str">
        <f>IFERROR(VLOOKUP($A278,ItemsImport!$A$2:$AD970,MATCH("Description",ItemsImport!$A$1:$AE$1,0),FALSE),"")</f>
        <v>Can be forged into a weapon to give it a 100% chance to freeze a target it hits, or forged into a piece of armor to give you immunity to freezing. Cannot be duplicated.</v>
      </c>
      <c r="C278" s="1" t="str">
        <f>IFERROR(VLOOKUP($A278,ItemsImport!$A$2:$AD970,MATCH("Type",ItemsImport!$A$1:$AE$1,0),FALSE),"")</f>
        <v>Item</v>
      </c>
      <c r="H278" s="4" t="b">
        <v>1</v>
      </c>
      <c r="I278" s="1" t="str">
        <f>IFERROR(VLOOKUP($A278,ItemsImport!$A$2:$AD970,MATCH("ItemLoc",ItemsImport!$A$1:$AE$1,0),FALSE),"")</f>
        <v>Land of The Forgotten</v>
      </c>
      <c r="W278" s="1" t="str">
        <f>IFERROR(__xludf.DUMMYFUNCTION("""COMPUTED_VALUE"""),"Frozen Shard")</f>
        <v>Frozen Shard</v>
      </c>
      <c r="X278" s="1" t="str">
        <f t="shared" si="1"/>
        <v/>
      </c>
    </row>
    <row r="279">
      <c r="A279" s="1" t="s">
        <v>314</v>
      </c>
      <c r="B279" s="1" t="str">
        <f>IFERROR(VLOOKUP($A279,ItemsImport!$A$2:$AD970,MATCH("Description",ItemsImport!$A$1:$AE$1,0),FALSE),"")</f>
        <v>Allows use of up to Rank 9 Dark and Chaos Powers.</v>
      </c>
      <c r="C279" s="1" t="str">
        <f>IFERROR(VLOOKUP($A279,ItemsImport!$A$2:$AD970,MATCH("Type",ItemsImport!$A$1:$AE$1,0),FALSE),"")</f>
        <v>Item</v>
      </c>
      <c r="H279" s="4" t="b">
        <v>0</v>
      </c>
      <c r="I279" s="1" t="str">
        <f>IFERROR(VLOOKUP($A279,ItemsImport!$A$2:$AD970,MATCH("ItemLoc",ItemsImport!$A$1:$AE$1,0),FALSE),"")</f>
        <v>Abstara</v>
      </c>
      <c r="W279" s="1" t="str">
        <f>IFERROR(__xludf.DUMMYFUNCTION("""COMPUTED_VALUE"""),"Tome of Chaotic Darkness")</f>
        <v>Tome of Chaotic Darkness</v>
      </c>
      <c r="X279" s="1" t="str">
        <f t="shared" si="1"/>
        <v/>
      </c>
    </row>
    <row r="280">
      <c r="A280" s="4" t="s">
        <v>315</v>
      </c>
      <c r="B280" s="1" t="str">
        <f>IFERROR(VLOOKUP($A280,ItemsImport!$A$2:$AD970,MATCH("Description",ItemsImport!$A$1:$AE$1,0),FALSE),"")</f>
        <v>Shows you where to find The Land of The Forgotten.</v>
      </c>
      <c r="C280" s="1" t="str">
        <f>IFERROR(VLOOKUP($A280,ItemsImport!$A$2:$AD970,MATCH("Type",ItemsImport!$A$1:$AE$1,0),FALSE),"")</f>
        <v>Item</v>
      </c>
      <c r="H280" s="4" t="b">
        <v>0</v>
      </c>
      <c r="I280" s="1" t="str">
        <f>IFERROR(VLOOKUP($A280,ItemsImport!$A$2:$AD970,MATCH("ItemLoc",ItemsImport!$A$1:$AE$1,0),FALSE),"")</f>
        <v>Land of The Forgotten</v>
      </c>
      <c r="W280" s="1" t="str">
        <f>IFERROR(__xludf.DUMMYFUNCTION("""COMPUTED_VALUE"""),"The Land of The Forgotten Map")</f>
        <v>The Land of The Forgotten Map</v>
      </c>
      <c r="X280" s="1" t="str">
        <f t="shared" si="1"/>
        <v/>
      </c>
    </row>
    <row r="281">
      <c r="A281" s="1" t="s">
        <v>316</v>
      </c>
      <c r="B281" s="1" t="str">
        <f>IFERROR(VLOOKUP($A281,ItemsImport!$A$2:$AD970,MATCH("Description",ItemsImport!$A$1:$AE$1,0),FALSE),"")</f>
        <v>Restores 10 hunger.</v>
      </c>
      <c r="C281" s="1" t="str">
        <f>IFERROR(VLOOKUP($A281,ItemsImport!$A$2:$AD970,MATCH("Type",ItemsImport!$A$1:$AE$1,0),FALSE),"")</f>
        <v>Crop</v>
      </c>
      <c r="H281" s="4" t="b">
        <v>1</v>
      </c>
      <c r="I281" s="1" t="str">
        <f>IFERROR(VLOOKUP($A281,ItemsImport!$A$2:$AD970,MATCH("ItemLoc",ItemsImport!$A$1:$AE$1,0),FALSE),"")</f>
        <v>Land of Spira</v>
      </c>
      <c r="W281" s="1" t="str">
        <f>IFERROR(__xludf.DUMMYFUNCTION("""COMPUTED_VALUE"""),"Corn On The Cob")</f>
        <v>Corn On The Cob</v>
      </c>
      <c r="X281" s="1" t="str">
        <f t="shared" si="1"/>
        <v/>
      </c>
    </row>
    <row r="282">
      <c r="A282" s="1" t="s">
        <v>317</v>
      </c>
      <c r="B282" s="1" t="str">
        <f>IFERROR(VLOOKUP($A282,ItemsImport!$A$2:$AD970,MATCH("Description",ItemsImport!$A$1:$AE$1,0),FALSE),"")</f>
        <v>Restores 30 hunger and decreases 10 thirst.</v>
      </c>
      <c r="C282" s="1" t="str">
        <f>IFERROR(VLOOKUP($A282,ItemsImport!$A$2:$AD970,MATCH("Type",ItemsImport!$A$1:$AE$1,0),FALSE),"")</f>
        <v>Crop</v>
      </c>
      <c r="H282" s="4" t="b">
        <v>1</v>
      </c>
      <c r="I282" s="1" t="str">
        <f>IFERROR(VLOOKUP($A282,ItemsImport!$A$2:$AD970,MATCH("ItemLoc",ItemsImport!$A$1:$AE$1,0),FALSE),"")</f>
        <v>Land of Spira</v>
      </c>
      <c r="W282" s="1" t="str">
        <f>IFERROR(__xludf.DUMMYFUNCTION("""COMPUTED_VALUE"""),"Festival Bread Loaf")</f>
        <v>Festival Bread Loaf</v>
      </c>
      <c r="X282" s="1" t="str">
        <f t="shared" si="1"/>
        <v/>
      </c>
    </row>
    <row r="283">
      <c r="A283" s="1" t="s">
        <v>318</v>
      </c>
      <c r="B283" s="1" t="str">
        <f>IFERROR(VLOOKUP($A283,ItemsImport!$A$2:$AD970,MATCH("Description",ItemsImport!$A$1:$AE$1,0),FALSE),"")</f>
        <v>Restores 20 energy and hunger</v>
      </c>
      <c r="C283" s="1" t="str">
        <f>IFERROR(VLOOKUP($A283,ItemsImport!$A$2:$AD970,MATCH("Type",ItemsImport!$A$1:$AE$1,0),FALSE),"")</f>
        <v>Crop</v>
      </c>
      <c r="H283" s="4" t="b">
        <v>1</v>
      </c>
      <c r="I283" s="1" t="str">
        <f>IFERROR(VLOOKUP($A283,ItemsImport!$A$2:$AD970,MATCH("ItemLoc",ItemsImport!$A$1:$AE$1,0),FALSE),"")</f>
        <v>Land of Spira</v>
      </c>
      <c r="W283" s="1" t="str">
        <f>IFERROR(__xludf.DUMMYFUNCTION("""COMPUTED_VALUE"""),"Fruit Cake")</f>
        <v>Fruit Cake</v>
      </c>
      <c r="X283" s="1" t="str">
        <f t="shared" si="1"/>
        <v/>
      </c>
    </row>
    <row r="284">
      <c r="A284" s="1" t="s">
        <v>319</v>
      </c>
      <c r="B284" s="1" t="str">
        <f>IFERROR(VLOOKUP($A284,ItemsImport!$A$2:$AD970,MATCH("Description",ItemsImport!$A$1:$AE$1,0),FALSE),"")</f>
        <v>Restores 20 thirst.</v>
      </c>
      <c r="C284" s="1" t="str">
        <f>IFERROR(VLOOKUP($A284,ItemsImport!$A$2:$AD970,MATCH("Type",ItemsImport!$A$1:$AE$1,0),FALSE),"")</f>
        <v>Item</v>
      </c>
      <c r="H284" s="4" t="b">
        <v>1</v>
      </c>
      <c r="I284" s="1" t="str">
        <f>IFERROR(VLOOKUP($A284,ItemsImport!$A$2:$AD970,MATCH("ItemLoc",ItemsImport!$A$1:$AE$1,0),FALSE),"")</f>
        <v>Land of Spira</v>
      </c>
      <c r="W284" s="1" t="str">
        <f>IFERROR(__xludf.DUMMYFUNCTION("""COMPUTED_VALUE"""),"Festival Mead")</f>
        <v>Festival Mead</v>
      </c>
      <c r="X284" s="1" t="str">
        <f t="shared" si="1"/>
        <v/>
      </c>
    </row>
    <row r="285">
      <c r="A285" s="1" t="s">
        <v>320</v>
      </c>
      <c r="B285" s="1" t="str">
        <f>IFERROR(VLOOKUP($A285,ItemsImport!$A$2:$AD970,MATCH("Description",ItemsImport!$A$1:$AE$1,0),FALSE),"")</f>
        <v>Restores 10 thirst and energy.</v>
      </c>
      <c r="C285" s="1" t="str">
        <f>IFERROR(VLOOKUP($A285,ItemsImport!$A$2:$AD970,MATCH("Type",ItemsImport!$A$1:$AE$1,0),FALSE),"")</f>
        <v>Item</v>
      </c>
      <c r="H285" s="4" t="b">
        <v>1</v>
      </c>
      <c r="I285" s="1" t="str">
        <f>IFERROR(VLOOKUP($A285,ItemsImport!$A$2:$AD970,MATCH("ItemLoc",ItemsImport!$A$1:$AE$1,0),FALSE),"")</f>
        <v>Land of Spira</v>
      </c>
      <c r="W285" s="1" t="str">
        <f>IFERROR(__xludf.DUMMYFUNCTION("""COMPUTED_VALUE"""),"Lemonade")</f>
        <v>Lemonade</v>
      </c>
      <c r="X285" s="1" t="str">
        <f t="shared" si="1"/>
        <v/>
      </c>
    </row>
    <row r="286">
      <c r="A286" s="1" t="s">
        <v>321</v>
      </c>
      <c r="B286" s="1" t="str">
        <f>IFERROR(VLOOKUP($A286,ItemsImport!$A$2:$AD970,MATCH("Description",ItemsImport!$A$1:$AE$1,0),FALSE),"")</f>
        <v>A piece of shard that is used to create The Forbidden Amulet of The Halloween Kingdom when you collect all of the pieces.</v>
      </c>
      <c r="C286" s="1" t="str">
        <f>IFERROR(VLOOKUP($A286,ItemsImport!$A$2:$AD970,MATCH("Type",ItemsImport!$A$1:$AE$1,0),FALSE),"")</f>
        <v>Item</v>
      </c>
      <c r="H286" s="4" t="b">
        <v>1</v>
      </c>
      <c r="I286" s="1" t="str">
        <f>IFERROR(VLOOKUP($A286,ItemsImport!$A$2:$AD970,MATCH("ItemLoc",ItemsImport!$A$1:$AE$1,0),FALSE),"")</f>
        <v>Halloween Kingdom</v>
      </c>
      <c r="W286" s="1" t="str">
        <f>IFERROR(__xludf.DUMMYFUNCTION("""COMPUTED_VALUE"""),"Forbidden Amulet Shard")</f>
        <v>Forbidden Amulet Shard</v>
      </c>
      <c r="X286" s="1" t="str">
        <f t="shared" si="1"/>
        <v/>
      </c>
    </row>
    <row r="287">
      <c r="A287" s="1" t="s">
        <v>322</v>
      </c>
      <c r="B287" s="1" t="str">
        <f>IFERROR(VLOOKUP($A287,ItemsImport!$A$2:$AD970,MATCH("Description",ItemsImport!$A$1:$AE$1,0),FALSE),"")</f>
        <v>An amulet used to break the barrier on Lord Dreadfuls castle in the Halloween Kingdom.</v>
      </c>
      <c r="C287" s="1" t="str">
        <f>IFERROR(VLOOKUP($A287,ItemsImport!$A$2:$AD970,MATCH("Type",ItemsImport!$A$1:$AE$1,0),FALSE),"")</f>
        <v>Item</v>
      </c>
      <c r="H287" s="4" t="b">
        <v>1</v>
      </c>
      <c r="I287" s="1" t="str">
        <f>IFERROR(VLOOKUP($A287,ItemsImport!$A$2:$AD970,MATCH("ItemLoc",ItemsImport!$A$1:$AE$1,0),FALSE),"")</f>
        <v>Halloween Kingdom</v>
      </c>
      <c r="W287" s="1" t="str">
        <f>IFERROR(__xludf.DUMMYFUNCTION("""COMPUTED_VALUE"""),"The Forbidden Amulet of The Halloween Kingdom.")</f>
        <v>The Forbidden Amulet of The Halloween Kingdom.</v>
      </c>
      <c r="X287" s="1" t="str">
        <f t="shared" si="1"/>
        <v/>
      </c>
    </row>
    <row r="288">
      <c r="A288" s="1" t="s">
        <v>323</v>
      </c>
      <c r="B288" s="1" t="str">
        <f>IFERROR(VLOOKUP($A288,ItemsImport!$A$2:$AD970,MATCH("Description",ItemsImport!$A$1:$AE$1,0),FALSE),"")</f>
        <v>Restores 50 HP, 75 Mana, 50 Hunger, and 50 Thirst, -30 Energy cause it tastes bad</v>
      </c>
      <c r="C288" s="1" t="str">
        <f>IFERROR(VLOOKUP($A288,ItemsImport!$A$2:$AD970,MATCH("Type",ItemsImport!$A$1:$AE$1,0),FALSE),"")</f>
        <v>Crop</v>
      </c>
      <c r="H288" s="4" t="b">
        <v>0</v>
      </c>
      <c r="I288" s="1" t="str">
        <f>IFERROR(VLOOKUP($A288,ItemsImport!$A$2:$AD970,MATCH("ItemLoc",ItemsImport!$A$1:$AE$1,0),FALSE),"")</f>
        <v>Land of Spira</v>
      </c>
      <c r="W288" s="1" t="str">
        <f>IFERROR(__xludf.DUMMYFUNCTION("""COMPUTED_VALUE"""),"Slime Jelly")</f>
        <v>Slime Jelly</v>
      </c>
      <c r="X288" s="1" t="str">
        <f t="shared" si="1"/>
        <v/>
      </c>
    </row>
    <row r="289">
      <c r="A289" s="1" t="s">
        <v>324</v>
      </c>
      <c r="B289" s="1" t="str">
        <f>IFERROR(VLOOKUP($A289,ItemsImport!$A$2:$AD970,MATCH("Description",ItemsImport!$A$1:$AE$1,0),FALSE),"")</f>
        <v>An item that is purchased and given to a mysterious cloaked figure. </v>
      </c>
      <c r="C289" s="1" t="str">
        <f>IFERROR(VLOOKUP($A289,ItemsImport!$A$2:$AD970,MATCH("Type",ItemsImport!$A$1:$AE$1,0),FALSE),"")</f>
        <v>Item</v>
      </c>
      <c r="H289" s="4" t="b">
        <v>0</v>
      </c>
      <c r="I289" s="1" t="str">
        <f>IFERROR(VLOOKUP($A289,ItemsImport!$A$2:$AD970,MATCH("ItemLoc",ItemsImport!$A$1:$AE$1,0),FALSE),"")</f>
        <v>Land of Spira</v>
      </c>
      <c r="W289" s="1" t="str">
        <f>IFERROR(__xludf.DUMMYFUNCTION("""COMPUTED_VALUE"""),"Broken Robot")</f>
        <v>Broken Robot</v>
      </c>
      <c r="X289" s="1" t="str">
        <f t="shared" si="1"/>
        <v/>
      </c>
    </row>
    <row r="290">
      <c r="A290" s="1" t="s">
        <v>325</v>
      </c>
      <c r="B290" s="1" t="str">
        <f>IFERROR(VLOOKUP($A290,ItemsImport!$A$2:$AD970,MATCH("Description",ItemsImport!$A$1:$AE$1,0),FALSE),"")</f>
        <v>Crafting Material, roll a d20 to see how many you get if this is a loot drop.</v>
      </c>
      <c r="C290" s="1" t="str">
        <f>IFERROR(VLOOKUP($A290,ItemsImport!$A$2:$AD970,MATCH("Type",ItemsImport!$A$1:$AE$1,0),FALSE),"")</f>
        <v>Item</v>
      </c>
      <c r="H290" s="4" t="b">
        <v>0</v>
      </c>
      <c r="I290" s="1" t="str">
        <f>IFERROR(VLOOKUP($A290,ItemsImport!$A$2:$AD970,MATCH("ItemLoc",ItemsImport!$A$1:$AE$1,0),FALSE),"")</f>
        <v>Land of Spira</v>
      </c>
      <c r="W290" s="1" t="str">
        <f>IFERROR(__xludf.DUMMYFUNCTION("""COMPUTED_VALUE"""),"Boar Hide")</f>
        <v>Boar Hide</v>
      </c>
      <c r="X290" s="1" t="str">
        <f t="shared" si="1"/>
        <v/>
      </c>
    </row>
    <row r="291">
      <c r="A291" s="1" t="s">
        <v>326</v>
      </c>
      <c r="B291" s="1" t="str">
        <f>IFERROR(VLOOKUP($A291,ItemsImport!$A$2:$AD970,MATCH("Description",ItemsImport!$A$1:$AE$1,0),FALSE),"")</f>
        <v>Firearm Ammunition. +100 damage. roll a d20 to see how many you get if this is a loot drop.</v>
      </c>
      <c r="C291" s="1" t="str">
        <f>IFERROR(VLOOKUP($A291,ItemsImport!$A$2:$AD970,MATCH("Type",ItemsImport!$A$1:$AE$1,0),FALSE),"")</f>
        <v>Item</v>
      </c>
      <c r="H291" s="4" t="b">
        <v>0</v>
      </c>
      <c r="I291" s="1" t="str">
        <f>IFERROR(VLOOKUP($A291,ItemsImport!$A$2:$AD970,MATCH("ItemLoc",ItemsImport!$A$1:$AE$1,0),FALSE),"")</f>
        <v>Land of Spira</v>
      </c>
      <c r="W291" s="1" t="str">
        <f>IFERROR(__xludf.DUMMYFUNCTION("""COMPUTED_VALUE"""),"Bullet")</f>
        <v>Bullet</v>
      </c>
      <c r="X291" s="1" t="str">
        <f t="shared" si="1"/>
        <v/>
      </c>
    </row>
    <row r="292">
      <c r="A292" s="1" t="s">
        <v>327</v>
      </c>
      <c r="B292" s="1" t="str">
        <f>IFERROR(VLOOKUP($A292,ItemsImport!$A$2:$AD970,MATCH("Description",ItemsImport!$A$1:$AE$1,0),FALSE),"")</f>
        <v>The key to getting into the final tower of the winter event.</v>
      </c>
      <c r="C292" s="1" t="str">
        <f>IFERROR(VLOOKUP($A292,ItemsImport!$A$2:$AD970,MATCH("Type",ItemsImport!$A$1:$AE$1,0),FALSE),"")</f>
        <v>Item</v>
      </c>
      <c r="H292" s="4" t="b">
        <v>1</v>
      </c>
      <c r="I292" s="1" t="str">
        <f>IFERROR(VLOOKUP($A292,ItemsImport!$A$2:$AD970,MATCH("ItemLoc",ItemsImport!$A$1:$AE$1,0),FALSE),"")</f>
        <v>Land of Spira</v>
      </c>
      <c r="W292" s="1" t="str">
        <f>IFERROR(__xludf.DUMMYFUNCTION("""COMPUTED_VALUE"""),"The Ancient Medallion of Frost")</f>
        <v>The Ancient Medallion of Frost</v>
      </c>
      <c r="X292" s="1" t="str">
        <f t="shared" si="1"/>
        <v/>
      </c>
    </row>
    <row r="293">
      <c r="A293" s="1" t="s">
        <v>328</v>
      </c>
      <c r="B293" s="1" t="str">
        <f>IFERROR(VLOOKUP($A293,ItemsImport!$A$2:$AD970,MATCH("Description",ItemsImport!$A$1:$AE$1,0),FALSE),"")</f>
        <v>Tells you the Location of 3 Tiny Gargoyles. This item can only be used once.</v>
      </c>
      <c r="C293" s="1" t="str">
        <f>IFERROR(VLOOKUP($A293,ItemsImport!$A$2:$AD970,MATCH("Type",ItemsImport!$A$1:$AE$1,0),FALSE),"")</f>
        <v>Item</v>
      </c>
      <c r="H293" s="4" t="b">
        <v>0</v>
      </c>
      <c r="I293" s="1" t="str">
        <f>IFERROR(VLOOKUP($A293,ItemsImport!$A$2:$AD970,MATCH("ItemLoc",ItemsImport!$A$1:$AE$1,0),FALSE),"")</f>
        <v>Abstara</v>
      </c>
      <c r="W293" s="1" t="str">
        <f>IFERROR(__xludf.DUMMYFUNCTION("""COMPUTED_VALUE"""),"Gargoyle Stone Tablet")</f>
        <v>Gargoyle Stone Tablet</v>
      </c>
      <c r="X293" s="1" t="str">
        <f t="shared" si="1"/>
        <v/>
      </c>
    </row>
    <row r="294">
      <c r="A294" s="1" t="s">
        <v>329</v>
      </c>
      <c r="B294" s="1" t="str">
        <f>IFERROR(VLOOKUP($A294,ItemsImport!$A$2:$AD970,MATCH("Description",ItemsImport!$A$1:$AE$1,0),FALSE),"")</f>
        <v>Allows Use to see Special Gargoyle’s</v>
      </c>
      <c r="C294" s="1" t="str">
        <f>IFERROR(VLOOKUP($A294,ItemsImport!$A$2:$AD970,MATCH("Type",ItemsImport!$A$1:$AE$1,0),FALSE),"")</f>
        <v>Item</v>
      </c>
      <c r="H294" s="4" t="b">
        <v>0</v>
      </c>
      <c r="I294" s="1" t="str">
        <f>IFERROR(VLOOKUP($A294,ItemsImport!$A$2:$AD970,MATCH("ItemLoc",ItemsImport!$A$1:$AE$1,0),FALSE),"")</f>
        <v>Abstara</v>
      </c>
      <c r="W294" s="1" t="str">
        <f>IFERROR(__xludf.DUMMYFUNCTION("""COMPUTED_VALUE"""),"Map of the Gargoyle’s")</f>
        <v>Map of the Gargoyle’s</v>
      </c>
      <c r="X294" s="1" t="str">
        <f t="shared" si="1"/>
        <v/>
      </c>
    </row>
    <row r="295">
      <c r="A295" s="1" t="s">
        <v>330</v>
      </c>
      <c r="B295" s="1" t="str">
        <f>IFERROR(VLOOKUP($A295,ItemsImport!$A$2:$AD970,MATCH("Description",ItemsImport!$A$1:$AE$1,0),FALSE),"")</f>
        <v>Can use up to Rank 9 Fire, Chaos, and Dark spells.</v>
      </c>
      <c r="C295" s="1" t="str">
        <f>IFERROR(VLOOKUP($A295,ItemsImport!$A$2:$AD970,MATCH("Type",ItemsImport!$A$1:$AE$1,0),FALSE),"")</f>
        <v>Item</v>
      </c>
      <c r="H295" s="4" t="b">
        <v>0</v>
      </c>
      <c r="I295" s="1" t="str">
        <f>IFERROR(VLOOKUP($A295,ItemsImport!$A$2:$AD970,MATCH("ItemLoc",ItemsImport!$A$1:$AE$1,0),FALSE),"")</f>
        <v>Abstara</v>
      </c>
      <c r="W295" s="1" t="str">
        <f>IFERROR(__xludf.DUMMYFUNCTION("""COMPUTED_VALUE"""),"The Tome of Abstara")</f>
        <v>The Tome of Abstara</v>
      </c>
      <c r="X295" s="1" t="str">
        <f t="shared" si="1"/>
        <v/>
      </c>
    </row>
    <row r="296">
      <c r="A296" s="1" t="s">
        <v>331</v>
      </c>
      <c r="B296" s="1" t="str">
        <f>IFERROR(VLOOKUP($A296,ItemsImport!$A$2:$AD970,MATCH("Description",ItemsImport!$A$1:$AE$1,0),FALSE),"")</f>
        <v>500/500 Uses. Used for lava fishing. Made of Stone.</v>
      </c>
      <c r="C296" s="1" t="str">
        <f>IFERROR(VLOOKUP($A296,ItemsImport!$A$2:$AD970,MATCH("Type",ItemsImport!$A$1:$AE$1,0),FALSE),"")</f>
        <v>Item</v>
      </c>
      <c r="H296" s="4" t="b">
        <v>0</v>
      </c>
      <c r="I296" s="1" t="str">
        <f>IFERROR(VLOOKUP($A296,ItemsImport!$A$2:$AD970,MATCH("ItemLoc",ItemsImport!$A$1:$AE$1,0),FALSE),"")</f>
        <v>Abstara</v>
      </c>
      <c r="W296" s="1" t="str">
        <f>IFERROR(__xludf.DUMMYFUNCTION("""COMPUTED_VALUE"""),"Gargoyle’s Fishing Pole")</f>
        <v>Gargoyle’s Fishing Pole</v>
      </c>
      <c r="X296" s="1" t="str">
        <f t="shared" si="1"/>
        <v/>
      </c>
    </row>
    <row r="297">
      <c r="A297" s="1" t="s">
        <v>332</v>
      </c>
      <c r="B297" s="1" t="str">
        <f>IFERROR(VLOOKUP($A297,ItemsImport!$A$2:$AD970,MATCH("Description",ItemsImport!$A$1:$AE$1,0),FALSE),"")</f>
        <v>Fishing bait. Used for lava fishing.</v>
      </c>
      <c r="C297" s="1" t="str">
        <f>IFERROR(VLOOKUP($A297,ItemsImport!$A$2:$AD970,MATCH("Type",ItemsImport!$A$1:$AE$1,0),FALSE),"")</f>
        <v>Item</v>
      </c>
      <c r="H297" s="4" t="b">
        <v>0</v>
      </c>
      <c r="I297" s="1" t="str">
        <f>IFERROR(VLOOKUP($A297,ItemsImport!$A$2:$AD970,MATCH("ItemLoc",ItemsImport!$A$1:$AE$1,0),FALSE),"")</f>
        <v>Abstara</v>
      </c>
      <c r="W297" s="1" t="str">
        <f>IFERROR(__xludf.DUMMYFUNCTION("""COMPUTED_VALUE"""),"Stone Worm")</f>
        <v>Stone Worm</v>
      </c>
      <c r="X297" s="1" t="str">
        <f t="shared" si="1"/>
        <v/>
      </c>
    </row>
    <row r="298">
      <c r="A298" s="1" t="s">
        <v>333</v>
      </c>
      <c r="B298" s="1" t="str">
        <f>IFERROR(VLOOKUP($A298,ItemsImport!$A$2:$AD970,MATCH("Description",ItemsImport!$A$1:$AE$1,0),FALSE),"")</f>
        <v>25 Hunger and +15 Thirst</v>
      </c>
      <c r="C298" s="1" t="str">
        <f>IFERROR(VLOOKUP($A298,ItemsImport!$A$2:$AD970,MATCH("Type",ItemsImport!$A$1:$AE$1,0),FALSE),"")</f>
        <v>Crop</v>
      </c>
      <c r="H298" s="4" t="b">
        <v>0</v>
      </c>
      <c r="I298" s="1" t="str">
        <f>IFERROR(VLOOKUP($A298,ItemsImport!$A$2:$AD970,MATCH("ItemLoc",ItemsImport!$A$1:$AE$1,0),FALSE),"")</f>
        <v>Abstara</v>
      </c>
      <c r="W298" s="1" t="str">
        <f>IFERROR(__xludf.DUMMYFUNCTION("""COMPUTED_VALUE"""),"Rock Soup")</f>
        <v>Rock Soup</v>
      </c>
      <c r="X298" s="1" t="str">
        <f t="shared" si="1"/>
        <v/>
      </c>
    </row>
    <row r="299">
      <c r="A299" s="1" t="s">
        <v>334</v>
      </c>
      <c r="B299" s="1" t="str">
        <f>IFERROR(VLOOKUP($A299,ItemsImport!$A$2:$AD970,MATCH("Description",ItemsImport!$A$1:$AE$1,0),FALSE),"")</f>
        <v>100 Thirst +100 Energy</v>
      </c>
      <c r="C299" s="1" t="str">
        <f>IFERROR(VLOOKUP($A299,ItemsImport!$A$2:$AD970,MATCH("Type",ItemsImport!$A$1:$AE$1,0),FALSE),"")</f>
        <v>Item</v>
      </c>
      <c r="H299" s="4" t="b">
        <v>0</v>
      </c>
      <c r="I299" s="1" t="str">
        <f>IFERROR(VLOOKUP($A299,ItemsImport!$A$2:$AD970,MATCH("ItemLoc",ItemsImport!$A$1:$AE$1,0),FALSE),"")</f>
        <v>Abstara</v>
      </c>
      <c r="W299" s="1" t="str">
        <f>IFERROR(__xludf.DUMMYFUNCTION("""COMPUTED_VALUE"""),"Gargoyle’s slumbering mead")</f>
        <v>Gargoyle’s slumbering mead</v>
      </c>
      <c r="X299" s="1" t="str">
        <f t="shared" si="1"/>
        <v/>
      </c>
    </row>
    <row r="300">
      <c r="A300" s="1" t="s">
        <v>335</v>
      </c>
      <c r="B300" s="1" t="str">
        <f>IFERROR(VLOOKUP($A300,ItemsImport!$A$2:$AD970,MATCH("Description",ItemsImport!$A$1:$AE$1,0),FALSE),"")</f>
        <v>200 Thirst +200 Energy</v>
      </c>
      <c r="C300" s="1" t="str">
        <f>IFERROR(VLOOKUP($A300,ItemsImport!$A$2:$AD970,MATCH("Type",ItemsImport!$A$1:$AE$1,0),FALSE),"")</f>
        <v>Item</v>
      </c>
      <c r="H300" s="4" t="b">
        <v>0</v>
      </c>
      <c r="I300" s="1" t="str">
        <f>IFERROR(VLOOKUP($A300,ItemsImport!$A$2:$AD970,MATCH("ItemLoc",ItemsImport!$A$1:$AE$1,0),FALSE),"")</f>
        <v>Abstara</v>
      </c>
      <c r="W300" s="1" t="str">
        <f>IFERROR(__xludf.DUMMYFUNCTION("""COMPUTED_VALUE"""),"Dark rum")</f>
        <v>Dark rum</v>
      </c>
      <c r="X300" s="1" t="str">
        <f t="shared" si="1"/>
        <v/>
      </c>
    </row>
    <row r="301">
      <c r="A301" s="1" t="s">
        <v>336</v>
      </c>
      <c r="B301" s="1" t="str">
        <f>IFERROR(VLOOKUP($A301,ItemsImport!$A$2:$AD970,MATCH("Description",ItemsImport!$A$1:$AE$1,0),FALSE),"")</f>
        <v>25 Hunger</v>
      </c>
      <c r="C301" s="1" t="str">
        <f>IFERROR(VLOOKUP($A301,ItemsImport!$A$2:$AD970,MATCH("Type",ItemsImport!$A$1:$AE$1,0),FALSE),"")</f>
        <v>Crop</v>
      </c>
      <c r="H301" s="4" t="b">
        <v>0</v>
      </c>
      <c r="I301" s="1" t="str">
        <f>IFERROR(VLOOKUP($A301,ItemsImport!$A$2:$AD970,MATCH("ItemLoc",ItemsImport!$A$1:$AE$1,0),FALSE),"")</f>
        <v>Abstara</v>
      </c>
      <c r="W301" s="1" t="str">
        <f>IFERROR(__xludf.DUMMYFUNCTION("""COMPUTED_VALUE"""),"Blank steak")</f>
        <v>Blank steak</v>
      </c>
      <c r="X301" s="1" t="str">
        <f t="shared" si="1"/>
        <v/>
      </c>
    </row>
    <row r="302">
      <c r="A302" s="1" t="s">
        <v>337</v>
      </c>
      <c r="B302" s="1" t="str">
        <f>IFERROR(VLOOKUP($A302,ItemsImport!$A$2:$AD970,MATCH("Description",ItemsImport!$A$1:$AE$1,0),FALSE),"")</f>
        <v>20 Thirst</v>
      </c>
      <c r="C302" s="1" t="str">
        <f>IFERROR(VLOOKUP($A302,ItemsImport!$A$2:$AD970,MATCH("Type",ItemsImport!$A$1:$AE$1,0),FALSE),"")</f>
        <v>Item</v>
      </c>
      <c r="H302" s="4" t="b">
        <v>0</v>
      </c>
      <c r="I302" s="1" t="str">
        <f>IFERROR(VLOOKUP($A302,ItemsImport!$A$2:$AD970,MATCH("ItemLoc",ItemsImport!$A$1:$AE$1,0),FALSE),"")</f>
        <v>Abstara</v>
      </c>
      <c r="W302" s="1" t="str">
        <f>IFERROR(__xludf.DUMMYFUNCTION("""COMPUTED_VALUE"""),"Geode jello")</f>
        <v>Geode jello</v>
      </c>
      <c r="X302" s="1" t="str">
        <f t="shared" si="1"/>
        <v/>
      </c>
    </row>
    <row r="303">
      <c r="A303" s="1" t="s">
        <v>338</v>
      </c>
      <c r="B303" s="1" t="str">
        <f>IFERROR(VLOOKUP($A303,ItemsImport!$A$2:$AD970,MATCH("Description",ItemsImport!$A$1:$AE$1,0),FALSE),"")</f>
        <v>50 Hunger</v>
      </c>
      <c r="C303" s="1" t="str">
        <f>IFERROR(VLOOKUP($A303,ItemsImport!$A$2:$AD970,MATCH("Type",ItemsImport!$A$1:$AE$1,0),FALSE),"")</f>
        <v>Crop</v>
      </c>
      <c r="H303" s="4" t="b">
        <v>0</v>
      </c>
      <c r="I303" s="1" t="str">
        <f>IFERROR(VLOOKUP($A303,ItemsImport!$A$2:$AD970,MATCH("ItemLoc",ItemsImport!$A$1:$AE$1,0),FALSE),"")</f>
        <v>Abstara</v>
      </c>
      <c r="W303" s="1" t="str">
        <f>IFERROR(__xludf.DUMMYFUNCTION("""COMPUTED_VALUE"""),"Black baked potatoes")</f>
        <v>Black baked potatoes</v>
      </c>
      <c r="X303" s="1" t="str">
        <f t="shared" si="1"/>
        <v/>
      </c>
    </row>
    <row r="304">
      <c r="A304" s="1" t="s">
        <v>339</v>
      </c>
      <c r="B304" s="1" t="str">
        <f>IFERROR(VLOOKUP($A304,ItemsImport!$A$2:$AD970,MATCH("Description",ItemsImport!$A$1:$AE$1,0),FALSE),"")</f>
        <v>300 Hunger</v>
      </c>
      <c r="C304" s="1" t="str">
        <f>IFERROR(VLOOKUP($A304,ItemsImport!$A$2:$AD970,MATCH("Type",ItemsImport!$A$1:$AE$1,0),FALSE),"")</f>
        <v>Crop</v>
      </c>
      <c r="H304" s="4" t="b">
        <v>0</v>
      </c>
      <c r="I304" s="1" t="str">
        <f>IFERROR(VLOOKUP($A304,ItemsImport!$A$2:$AD970,MATCH("ItemLoc",ItemsImport!$A$1:$AE$1,0),FALSE),"")</f>
        <v>Abstara</v>
      </c>
      <c r="W304" s="1" t="str">
        <f>IFERROR(__xludf.DUMMYFUNCTION("""COMPUTED_VALUE"""),"Human Steak")</f>
        <v>Human Steak</v>
      </c>
      <c r="X304" s="1" t="str">
        <f t="shared" si="1"/>
        <v/>
      </c>
    </row>
    <row r="305">
      <c r="A305" s="1" t="s">
        <v>340</v>
      </c>
      <c r="B305" s="1" t="str">
        <f>IFERROR(VLOOKUP($A305,ItemsImport!$A$2:$AD970,MATCH("Description",ItemsImport!$A$1:$AE$1,0),FALSE),"")</f>
        <v>250 Hunger</v>
      </c>
      <c r="C305" s="1" t="str">
        <f>IFERROR(VLOOKUP($A305,ItemsImport!$A$2:$AD970,MATCH("Type",ItemsImport!$A$1:$AE$1,0),FALSE),"")</f>
        <v>Crop</v>
      </c>
      <c r="H305" s="4" t="b">
        <v>0</v>
      </c>
      <c r="I305" s="1" t="str">
        <f>IFERROR(VLOOKUP($A305,ItemsImport!$A$2:$AD970,MATCH("ItemLoc",ItemsImport!$A$1:$AE$1,0),FALSE),"")</f>
        <v>Abstara</v>
      </c>
      <c r="W305" s="1" t="str">
        <f>IFERROR(__xludf.DUMMYFUNCTION("""COMPUTED_VALUE"""),"Black Sheep mutton")</f>
        <v>Black Sheep mutton</v>
      </c>
      <c r="X305" s="1" t="str">
        <f t="shared" si="1"/>
        <v/>
      </c>
    </row>
    <row r="306">
      <c r="A306" s="1" t="s">
        <v>341</v>
      </c>
      <c r="B306" s="1" t="str">
        <f>IFERROR(VLOOKUP($A306,ItemsImport!$A$2:$AD970,MATCH("Description",ItemsImport!$A$1:$AE$1,0),FALSE),"")</f>
        <v>100 Hunger +105 Energy</v>
      </c>
      <c r="C306" s="1" t="str">
        <f>IFERROR(VLOOKUP($A306,ItemsImport!$A$2:$AD970,MATCH("Type",ItemsImport!$A$1:$AE$1,0),FALSE),"")</f>
        <v>Crop</v>
      </c>
      <c r="H306" s="4" t="b">
        <v>0</v>
      </c>
      <c r="I306" s="1" t="str">
        <f>IFERROR(VLOOKUP($A306,ItemsImport!$A$2:$AD970,MATCH("ItemLoc",ItemsImport!$A$1:$AE$1,0),FALSE),"")</f>
        <v>Abstara</v>
      </c>
      <c r="W306" s="1" t="str">
        <f>IFERROR(__xludf.DUMMYFUNCTION("""COMPUTED_VALUE"""),"Ebony Caviar")</f>
        <v>Ebony Caviar</v>
      </c>
      <c r="X306" s="1" t="str">
        <f t="shared" si="1"/>
        <v/>
      </c>
    </row>
    <row r="307">
      <c r="A307" s="1" t="s">
        <v>342</v>
      </c>
      <c r="B307" s="1" t="str">
        <f>IFERROR(VLOOKUP($A307,ItemsImport!$A$2:$AD970,MATCH("Description",ItemsImport!$A$1:$AE$1,0),FALSE),"")</f>
        <v>140 Hunger</v>
      </c>
      <c r="C307" s="1" t="str">
        <f>IFERROR(VLOOKUP($A307,ItemsImport!$A$2:$AD970,MATCH("Type",ItemsImport!$A$1:$AE$1,0),FALSE),"")</f>
        <v>Crop</v>
      </c>
      <c r="H307" s="4" t="b">
        <v>0</v>
      </c>
      <c r="I307" s="1" t="str">
        <f>IFERROR(VLOOKUP($A307,ItemsImport!$A$2:$AD970,MATCH("ItemLoc",ItemsImport!$A$1:$AE$1,0),FALSE),"")</f>
        <v>Abstara</v>
      </c>
      <c r="W307" s="1" t="str">
        <f>IFERROR(__xludf.DUMMYFUNCTION("""COMPUTED_VALUE"""),"Black Kale")</f>
        <v>Black Kale</v>
      </c>
      <c r="X307" s="1" t="str">
        <f t="shared" si="1"/>
        <v/>
      </c>
    </row>
    <row r="308">
      <c r="A308" s="1" t="s">
        <v>343</v>
      </c>
      <c r="B308" s="1" t="str">
        <f>IFERROR(VLOOKUP($A308,ItemsImport!$A$2:$AD970,MATCH("Description",ItemsImport!$A$1:$AE$1,0),FALSE),"")</f>
        <v>140 Thirst</v>
      </c>
      <c r="C308" s="1" t="str">
        <f>IFERROR(VLOOKUP($A308,ItemsImport!$A$2:$AD970,MATCH("Type",ItemsImport!$A$1:$AE$1,0),FALSE),"")</f>
        <v>Item</v>
      </c>
      <c r="H308" s="4" t="b">
        <v>0</v>
      </c>
      <c r="I308" s="1" t="str">
        <f>IFERROR(VLOOKUP($A308,ItemsImport!$A$2:$AD970,MATCH("ItemLoc",ItemsImport!$A$1:$AE$1,0),FALSE),"")</f>
        <v>Abstara</v>
      </c>
      <c r="W308" s="1" t="str">
        <f>IFERROR(__xludf.DUMMYFUNCTION("""COMPUTED_VALUE"""),"Smokey Champagne")</f>
        <v>Smokey Champagne</v>
      </c>
      <c r="X308" s="1" t="str">
        <f t="shared" si="1"/>
        <v/>
      </c>
    </row>
    <row r="309">
      <c r="A309" s="1" t="s">
        <v>344</v>
      </c>
      <c r="B309" s="1" t="str">
        <f>IFERROR(VLOOKUP($A309,ItemsImport!$A$2:$AD970,MATCH("Description",ItemsImport!$A$1:$AE$1,0),FALSE),"")</f>
        <v>150 Thirst +125 Energy</v>
      </c>
      <c r="C309" s="1" t="str">
        <f>IFERROR(VLOOKUP($A309,ItemsImport!$A$2:$AD970,MATCH("Type",ItemsImport!$A$1:$AE$1,0),FALSE),"")</f>
        <v>Item</v>
      </c>
      <c r="H309" s="4" t="b">
        <v>0</v>
      </c>
      <c r="I309" s="1" t="str">
        <f>IFERROR(VLOOKUP($A309,ItemsImport!$A$2:$AD970,MATCH("ItemLoc",ItemsImport!$A$1:$AE$1,0),FALSE),"")</f>
        <v>Abstara</v>
      </c>
      <c r="W309" s="1" t="str">
        <f>IFERROR(__xludf.DUMMYFUNCTION("""COMPUTED_VALUE"""),"Dead Island iced tea")</f>
        <v>Dead Island iced tea</v>
      </c>
      <c r="X309" s="1" t="str">
        <f t="shared" si="1"/>
        <v/>
      </c>
    </row>
    <row r="310">
      <c r="A310" s="1" t="s">
        <v>345</v>
      </c>
      <c r="B310" s="1" t="str">
        <f>IFERROR(VLOOKUP($A310,ItemsImport!$A$2:$AD970,MATCH("Description",ItemsImport!$A$1:$AE$1,0),FALSE),"")</f>
        <v>200 Thirst +200 Energy</v>
      </c>
      <c r="C310" s="1" t="str">
        <f>IFERROR(VLOOKUP($A310,ItemsImport!$A$2:$AD970,MATCH("Type",ItemsImport!$A$1:$AE$1,0),FALSE),"")</f>
        <v>Item</v>
      </c>
      <c r="H310" s="4" t="b">
        <v>0</v>
      </c>
      <c r="I310" s="1" t="str">
        <f>IFERROR(VLOOKUP($A310,ItemsImport!$A$2:$AD970,MATCH("ItemLoc",ItemsImport!$A$1:$AE$1,0),FALSE),"")</f>
        <v>Abstara</v>
      </c>
      <c r="W310" s="1" t="str">
        <f>IFERROR(__xludf.DUMMYFUNCTION("""COMPUTED_VALUE"""),"Black russian")</f>
        <v>Black russian</v>
      </c>
      <c r="X310" s="1" t="str">
        <f t="shared" si="1"/>
        <v/>
      </c>
    </row>
    <row r="311">
      <c r="A311" s="1" t="s">
        <v>346</v>
      </c>
      <c r="B311" s="1" t="str">
        <f>IFERROR(VLOOKUP($A311,ItemsImport!$A$2:$AD970,MATCH("Description",ItemsImport!$A$1:$AE$1,0),FALSE),"")</f>
        <v>200 Hunger +200 Energy</v>
      </c>
      <c r="C311" s="1" t="str">
        <f>IFERROR(VLOOKUP($A311,ItemsImport!$A$2:$AD970,MATCH("Type",ItemsImport!$A$1:$AE$1,0),FALSE),"")</f>
        <v>Crop</v>
      </c>
      <c r="H311" s="4" t="b">
        <v>0</v>
      </c>
      <c r="I311" s="1" t="str">
        <f>IFERROR(VLOOKUP($A311,ItemsImport!$A$2:$AD970,MATCH("ItemLoc",ItemsImport!$A$1:$AE$1,0),FALSE),"")</f>
        <v>Abstara</v>
      </c>
      <c r="W311" s="1" t="str">
        <f>IFERROR(__xludf.DUMMYFUNCTION("""COMPUTED_VALUE"""),"Obsidian Lobster")</f>
        <v>Obsidian Lobster</v>
      </c>
      <c r="X311" s="1" t="str">
        <f t="shared" si="1"/>
        <v/>
      </c>
    </row>
    <row r="312">
      <c r="A312" s="1" t="s">
        <v>347</v>
      </c>
      <c r="B312" s="1" t="str">
        <f>IFERROR(VLOOKUP($A312,ItemsImport!$A$2:$AD970,MATCH("Description",ItemsImport!$A$1:$AE$1,0),FALSE),"")</f>
        <v>100 Hunger +100 Energy</v>
      </c>
      <c r="C312" s="1" t="str">
        <f>IFERROR(VLOOKUP($A312,ItemsImport!$A$2:$AD970,MATCH("Type",ItemsImport!$A$1:$AE$1,0),FALSE),"")</f>
        <v>Crop</v>
      </c>
      <c r="H312" s="4" t="b">
        <v>0</v>
      </c>
      <c r="I312" s="1" t="str">
        <f>IFERROR(VLOOKUP($A312,ItemsImport!$A$2:$AD970,MATCH("ItemLoc",ItemsImport!$A$1:$AE$1,0),FALSE),"")</f>
        <v>Abstara</v>
      </c>
      <c r="W312" s="1" t="str">
        <f>IFERROR(__xludf.DUMMYFUNCTION("""COMPUTED_VALUE"""),"Charcoal Truffles")</f>
        <v>Charcoal Truffles</v>
      </c>
      <c r="X312" s="1" t="str">
        <f t="shared" si="1"/>
        <v/>
      </c>
    </row>
    <row r="313">
      <c r="A313" s="1" t="s">
        <v>348</v>
      </c>
      <c r="B313" s="1" t="str">
        <f>IFERROR(VLOOKUP($A313,ItemsImport!$A$2:$AD970,MATCH("Description",ItemsImport!$A$1:$AE$1,0),FALSE),"")</f>
        <v>Full HP, Energy, Hunger, Thirst</v>
      </c>
      <c r="C313" s="1" t="str">
        <f>IFERROR(VLOOKUP($A313,ItemsImport!$A$2:$AD970,MATCH("Type",ItemsImport!$A$1:$AE$1,0),FALSE),"")</f>
        <v>Crop</v>
      </c>
      <c r="H313" s="4" t="b">
        <v>0</v>
      </c>
      <c r="I313" s="1" t="str">
        <f>IFERROR(VLOOKUP($A313,ItemsImport!$A$2:$AD970,MATCH("ItemLoc",ItemsImport!$A$1:$AE$1,0),FALSE),"")</f>
        <v>Abstara</v>
      </c>
      <c r="W313" s="1" t="str">
        <f>IFERROR(__xludf.DUMMYFUNCTION("""COMPUTED_VALUE"""),"Italian spaghetti and meatballs")</f>
        <v>Italian spaghetti and meatballs</v>
      </c>
      <c r="X313" s="1" t="str">
        <f t="shared" si="1"/>
        <v/>
      </c>
    </row>
    <row r="314">
      <c r="A314" s="1" t="s">
        <v>349</v>
      </c>
      <c r="B314" s="1" t="str">
        <f>IFERROR(VLOOKUP($A314,ItemsImport!$A$2:$AD970,MATCH("Description",ItemsImport!$A$1:$AE$1,0),FALSE),"")</f>
        <v>Add 1000 Spirit damage or resistance to any Spirit related Weapon or armor.</v>
      </c>
      <c r="C314" s="1" t="str">
        <f>IFERROR(VLOOKUP($A314,ItemsImport!$A$2:$AD970,MATCH("Type",ItemsImport!$A$1:$AE$1,0),FALSE),"")</f>
        <v>Item</v>
      </c>
      <c r="H314" s="4" t="b">
        <v>0</v>
      </c>
      <c r="I314" s="1" t="str">
        <f>IFERROR(VLOOKUP($A314,ItemsImport!$A$2:$AD970,MATCH("ItemLoc",ItemsImport!$A$1:$AE$1,0),FALSE),"")</f>
        <v>Abstara</v>
      </c>
      <c r="W314" s="1" t="str">
        <f>IFERROR(__xludf.DUMMYFUNCTION("""COMPUTED_VALUE"""),"Enclosed Spirits (enchantment)")</f>
        <v>Enclosed Spirits (enchantment)</v>
      </c>
      <c r="X314" s="1" t="str">
        <f t="shared" si="1"/>
        <v/>
      </c>
    </row>
    <row r="315">
      <c r="A315" s="1" t="s">
        <v>350</v>
      </c>
      <c r="B315" s="1" t="str">
        <f>IFERROR(VLOOKUP($A315,ItemsImport!$A$2:$AD970,MATCH("Description",ItemsImport!$A$1:$AE$1,0),FALSE),"")</f>
        <v>Crafting Material, roll a d20 to see how many you get if this is a loot drop.</v>
      </c>
      <c r="C315" s="1" t="str">
        <f>IFERROR(VLOOKUP($A315,ItemsImport!$A$2:$AD970,MATCH("Type",ItemsImport!$A$1:$AE$1,0),FALSE),"")</f>
        <v>Item</v>
      </c>
      <c r="H315" s="4" t="b">
        <v>0</v>
      </c>
      <c r="I315" s="1" t="str">
        <f>IFERROR(VLOOKUP($A315,ItemsImport!$A$2:$AD970,MATCH("ItemLoc",ItemsImport!$A$1:$AE$1,0),FALSE),"")</f>
        <v>Abstara</v>
      </c>
      <c r="W315" s="1" t="str">
        <f>IFERROR(__xludf.DUMMYFUNCTION("""COMPUTED_VALUE"""),"Goat’s eye")</f>
        <v>Goat’s eye</v>
      </c>
      <c r="X315" s="1" t="str">
        <f t="shared" si="1"/>
        <v/>
      </c>
    </row>
    <row r="316">
      <c r="A316" s="1" t="s">
        <v>351</v>
      </c>
      <c r="B316" s="1" t="str">
        <f>IFERROR(VLOOKUP($A316,ItemsImport!$A$2:$AD970,MATCH("Description",ItemsImport!$A$1:$AE$1,0),FALSE),"")</f>
        <v>Crafting Material, roll a d20 to see how many you get if this is a loot drop.</v>
      </c>
      <c r="C316" s="1" t="str">
        <f>IFERROR(VLOOKUP($A316,ItemsImport!$A$2:$AD970,MATCH("Type",ItemsImport!$A$1:$AE$1,0),FALSE),"")</f>
        <v>Item</v>
      </c>
      <c r="H316" s="4" t="b">
        <v>0</v>
      </c>
      <c r="I316" s="1" t="str">
        <f>IFERROR(VLOOKUP($A316,ItemsImport!$A$2:$AD970,MATCH("ItemLoc",ItemsImport!$A$1:$AE$1,0),FALSE),"")</f>
        <v>Abstara</v>
      </c>
      <c r="W316" s="1" t="str">
        <f>IFERROR(__xludf.DUMMYFUNCTION("""COMPUTED_VALUE"""),"Heart of the Demon")</f>
        <v>Heart of the Demon</v>
      </c>
      <c r="X316" s="1" t="str">
        <f t="shared" si="1"/>
        <v/>
      </c>
    </row>
    <row r="317">
      <c r="A317" s="1" t="s">
        <v>352</v>
      </c>
      <c r="B317" s="1" t="str">
        <f>IFERROR(VLOOKUP($A317,ItemsImport!$A$2:$AD970,MATCH("Description",ItemsImport!$A$1:$AE$1,0),FALSE),"")</f>
        <v>Crafting Material, roll a d20 to see how many you get if this is a loot drop.</v>
      </c>
      <c r="C317" s="1" t="str">
        <f>IFERROR(VLOOKUP($A317,ItemsImport!$A$2:$AD970,MATCH("Type",ItemsImport!$A$1:$AE$1,0),FALSE),"")</f>
        <v>Item</v>
      </c>
      <c r="H317" s="4" t="b">
        <v>0</v>
      </c>
      <c r="I317" s="1" t="str">
        <f>IFERROR(VLOOKUP($A317,ItemsImport!$A$2:$AD970,MATCH("ItemLoc",ItemsImport!$A$1:$AE$1,0),FALSE),"")</f>
        <v>Abstara</v>
      </c>
      <c r="W317" s="1" t="str">
        <f>IFERROR(__xludf.DUMMYFUNCTION("""COMPUTED_VALUE"""),"Tooth of the Volcanic Serpent")</f>
        <v>Tooth of the Volcanic Serpent</v>
      </c>
      <c r="X317" s="1" t="str">
        <f t="shared" si="1"/>
        <v/>
      </c>
    </row>
    <row r="318">
      <c r="A318" s="1" t="s">
        <v>353</v>
      </c>
      <c r="B318" s="1" t="str">
        <f>IFERROR(VLOOKUP($A318,ItemsImport!$A$2:$AD970,MATCH("Description",ItemsImport!$A$1:$AE$1,0),FALSE),"")</f>
        <v>Crafting Material, roll a d20 to see how many you get if this is a loot drop.</v>
      </c>
      <c r="C318" s="1" t="str">
        <f>IFERROR(VLOOKUP($A318,ItemsImport!$A$2:$AD970,MATCH("Type",ItemsImport!$A$1:$AE$1,0),FALSE),"")</f>
        <v>Item</v>
      </c>
      <c r="H318" s="4" t="b">
        <v>0</v>
      </c>
      <c r="I318" s="1" t="str">
        <f>IFERROR(VLOOKUP($A318,ItemsImport!$A$2:$AD970,MATCH("ItemLoc",ItemsImport!$A$1:$AE$1,0),FALSE),"")</f>
        <v>Abstara</v>
      </c>
      <c r="W318" s="1" t="str">
        <f>IFERROR(__xludf.DUMMYFUNCTION("""COMPUTED_VALUE"""),"Fire Jaguars Leather Skin")</f>
        <v>Fire Jaguars Leather Skin</v>
      </c>
      <c r="X318" s="1" t="str">
        <f t="shared" si="1"/>
        <v/>
      </c>
    </row>
    <row r="319">
      <c r="A319" s="1" t="s">
        <v>354</v>
      </c>
      <c r="B319" s="1" t="str">
        <f>IFERROR(VLOOKUP($A319,ItemsImport!$A$2:$AD970,MATCH("Description",ItemsImport!$A$1:$AE$1,0),FALSE),"")</f>
        <v>500 Thirst and 400 Hunger</v>
      </c>
      <c r="C319" s="1" t="str">
        <f>IFERROR(VLOOKUP($A319,ItemsImport!$A$2:$AD970,MATCH("Type",ItemsImport!$A$1:$AE$1,0),FALSE),"")</f>
        <v>Crop</v>
      </c>
      <c r="H319" s="4" t="b">
        <v>0</v>
      </c>
      <c r="I319" s="1" t="str">
        <f>IFERROR(VLOOKUP($A319,ItemsImport!$A$2:$AD970,MATCH("ItemLoc",ItemsImport!$A$1:$AE$1,0),FALSE),"")</f>
        <v>Abstara</v>
      </c>
      <c r="W319" s="1" t="str">
        <f>IFERROR(__xludf.DUMMYFUNCTION("""COMPUTED_VALUE"""),"Black Lake Soup")</f>
        <v>Black Lake Soup</v>
      </c>
      <c r="X319" s="1" t="str">
        <f t="shared" si="1"/>
        <v/>
      </c>
    </row>
    <row r="320">
      <c r="A320" s="1" t="s">
        <v>355</v>
      </c>
      <c r="B320" s="1" t="str">
        <f>IFERROR(VLOOKUP($A320,ItemsImport!$A$2:$AD970,MATCH("Description",ItemsImport!$A$1:$AE$1,0),FALSE),"")</f>
        <v>500 Hunger</v>
      </c>
      <c r="C320" s="1" t="str">
        <f>IFERROR(VLOOKUP($A320,ItemsImport!$A$2:$AD970,MATCH("Type",ItemsImport!$A$1:$AE$1,0),FALSE),"")</f>
        <v>Crop</v>
      </c>
      <c r="H320" s="4" t="b">
        <v>0</v>
      </c>
      <c r="I320" s="1" t="str">
        <f>IFERROR(VLOOKUP($A320,ItemsImport!$A$2:$AD970,MATCH("ItemLoc",ItemsImport!$A$1:$AE$1,0),FALSE),"")</f>
        <v>Abstara</v>
      </c>
      <c r="W320" s="1" t="str">
        <f>IFERROR(__xludf.DUMMYFUNCTION("""COMPUTED_VALUE"""),"Basilisk Veal")</f>
        <v>Basilisk Veal</v>
      </c>
      <c r="X320" s="1" t="str">
        <f t="shared" si="1"/>
        <v/>
      </c>
    </row>
    <row r="321">
      <c r="A321" s="1" t="s">
        <v>356</v>
      </c>
      <c r="B321" s="1" t="str">
        <f>IFERROR(VLOOKUP($A321,ItemsImport!$A$2:$AD970,MATCH("Description",ItemsImport!$A$1:$AE$1,0),FALSE),"")</f>
        <v>500 Thirst</v>
      </c>
      <c r="C321" s="1" t="str">
        <f>IFERROR(VLOOKUP($A321,ItemsImport!$A$2:$AD970,MATCH("Type",ItemsImport!$A$1:$AE$1,0),FALSE),"")</f>
        <v>Item</v>
      </c>
      <c r="H321" s="4" t="b">
        <v>0</v>
      </c>
      <c r="I321" s="1" t="str">
        <f>IFERROR(VLOOKUP($A321,ItemsImport!$A$2:$AD970,MATCH("ItemLoc",ItemsImport!$A$1:$AE$1,0),FALSE),"")</f>
        <v>Abstara</v>
      </c>
      <c r="W321" s="1" t="str">
        <f>IFERROR(__xludf.DUMMYFUNCTION("""COMPUTED_VALUE"""),"Black Cactus juice")</f>
        <v>Black Cactus juice</v>
      </c>
      <c r="X321" s="1" t="str">
        <f t="shared" si="1"/>
        <v/>
      </c>
    </row>
    <row r="322">
      <c r="A322" s="1" t="s">
        <v>357</v>
      </c>
      <c r="B322" s="1" t="str">
        <f>IFERROR(VLOOKUP($A322,ItemsImport!$A$2:$AD970,MATCH("Description",ItemsImport!$A$1:$AE$1,0),FALSE),"")</f>
        <v>650 Thirst</v>
      </c>
      <c r="C322" s="1" t="str">
        <f>IFERROR(VLOOKUP($A322,ItemsImport!$A$2:$AD970,MATCH("Type",ItemsImport!$A$1:$AE$1,0),FALSE),"")</f>
        <v>Item</v>
      </c>
      <c r="H322" s="4" t="b">
        <v>0</v>
      </c>
      <c r="I322" s="1" t="str">
        <f>IFERROR(VLOOKUP($A322,ItemsImport!$A$2:$AD970,MATCH("ItemLoc",ItemsImport!$A$1:$AE$1,0),FALSE),"")</f>
        <v>Abstara</v>
      </c>
      <c r="W322" s="1" t="str">
        <f>IFERROR(__xludf.DUMMYFUNCTION("""COMPUTED_VALUE"""),"Black Lake Purified Water")</f>
        <v>Black Lake Purified Water</v>
      </c>
      <c r="X322" s="1" t="str">
        <f t="shared" si="1"/>
        <v/>
      </c>
    </row>
    <row r="323">
      <c r="A323" s="1" t="s">
        <v>358</v>
      </c>
      <c r="B323" s="1" t="str">
        <f>IFERROR(VLOOKUP($A323,ItemsImport!$A$2:$AD970,MATCH("Description",ItemsImport!$A$1:$AE$1,0),FALSE),"")</f>
        <v>1000 Thirst</v>
      </c>
      <c r="C323" s="1" t="str">
        <f>IFERROR(VLOOKUP($A323,ItemsImport!$A$2:$AD970,MATCH("Type",ItemsImport!$A$1:$AE$1,0),FALSE),"")</f>
        <v>Item</v>
      </c>
      <c r="H323" s="4" t="b">
        <v>0</v>
      </c>
      <c r="I323" s="1" t="str">
        <f>IFERROR(VLOOKUP($A323,ItemsImport!$A$2:$AD970,MATCH("ItemLoc",ItemsImport!$A$1:$AE$1,0),FALSE),"")</f>
        <v>Abstara</v>
      </c>
      <c r="W323" s="1" t="str">
        <f>IFERROR(__xludf.DUMMYFUNCTION("""COMPUTED_VALUE"""),"Neutralized Basilisk Venom Shot")</f>
        <v>Neutralized Basilisk Venom Shot</v>
      </c>
      <c r="X323" s="1" t="str">
        <f t="shared" si="1"/>
        <v/>
      </c>
    </row>
    <row r="324">
      <c r="A324" s="1" t="s">
        <v>359</v>
      </c>
      <c r="B324" s="1" t="str">
        <f>IFERROR(VLOOKUP($A324,ItemsImport!$A$2:$AD970,MATCH("Description",ItemsImport!$A$1:$AE$1,0),FALSE),"")</f>
        <v>250 Hunger</v>
      </c>
      <c r="C324" s="1" t="str">
        <f>IFERROR(VLOOKUP($A324,ItemsImport!$A$2:$AD970,MATCH("Type",ItemsImport!$A$1:$AE$1,0),FALSE),"")</f>
        <v>Crop</v>
      </c>
      <c r="H324" s="4" t="b">
        <v>0</v>
      </c>
      <c r="I324" s="1" t="str">
        <f>IFERROR(VLOOKUP($A324,ItemsImport!$A$2:$AD970,MATCH("ItemLoc",ItemsImport!$A$1:$AE$1,0),FALSE),"")</f>
        <v>Abstara</v>
      </c>
      <c r="W324" s="1" t="str">
        <f>IFERROR(__xludf.DUMMYFUNCTION("""COMPUTED_VALUE"""),"Ebony Mushrooms")</f>
        <v>Ebony Mushrooms</v>
      </c>
      <c r="X324" s="1" t="str">
        <f t="shared" si="1"/>
        <v/>
      </c>
    </row>
    <row r="325">
      <c r="A325" s="1" t="s">
        <v>360</v>
      </c>
      <c r="B325" s="1" t="str">
        <f>IFERROR(VLOOKUP($A325,ItemsImport!$A$2:$AD970,MATCH("Description",ItemsImport!$A$1:$AE$1,0),FALSE),"")</f>
        <v>Make a fail/succeed roll
Success - +500 Hunger and Thirst
Fail - -250 Hunger and Thirst From Vomiting.</v>
      </c>
      <c r="C325" s="1" t="str">
        <f>IFERROR(VLOOKUP($A325,ItemsImport!$A$2:$AD970,MATCH("Type",ItemsImport!$A$1:$AE$1,0),FALSE),"")</f>
        <v>Crop</v>
      </c>
      <c r="H325" s="4" t="b">
        <v>0</v>
      </c>
      <c r="I325" s="1" t="str">
        <f>IFERROR(VLOOKUP($A325,ItemsImport!$A$2:$AD970,MATCH("ItemLoc",ItemsImport!$A$1:$AE$1,0),FALSE),"")</f>
        <v>Abstara</v>
      </c>
      <c r="W325" s="1" t="str">
        <f>IFERROR(__xludf.DUMMYFUNCTION("""COMPUTED_VALUE"""),"Black Sludge")</f>
        <v>Black Sludge</v>
      </c>
      <c r="X325" s="1" t="str">
        <f t="shared" si="1"/>
        <v/>
      </c>
    </row>
    <row r="326">
      <c r="A326" s="1" t="s">
        <v>361</v>
      </c>
      <c r="B326" s="1" t="str">
        <f>IFERROR(VLOOKUP($A326,ItemsImport!$A$2:$AD970,MATCH("Description",ItemsImport!$A$1:$AE$1,0),FALSE),"")</f>
        <v>Crafting Material, roll a d20 to see how many you get if this is a loot drop.</v>
      </c>
      <c r="C326" s="1" t="str">
        <f>IFERROR(VLOOKUP($A326,ItemsImport!$A$2:$AD970,MATCH("Type",ItemsImport!$A$1:$AE$1,0),FALSE),"")</f>
        <v>Item</v>
      </c>
      <c r="H326" s="4" t="b">
        <v>0</v>
      </c>
      <c r="I326" s="1" t="str">
        <f>IFERROR(VLOOKUP($A326,ItemsImport!$A$2:$AD970,MATCH("ItemLoc",ItemsImport!$A$1:$AE$1,0),FALSE),"")</f>
        <v>Abstara</v>
      </c>
      <c r="W326" s="1" t="str">
        <f>IFERROR(__xludf.DUMMYFUNCTION("""COMPUTED_VALUE"""),"Black Sepent Dragon Scales")</f>
        <v>Black Sepent Dragon Scales</v>
      </c>
      <c r="X326" s="1" t="str">
        <f t="shared" si="1"/>
        <v/>
      </c>
    </row>
    <row r="327">
      <c r="A327" s="1" t="s">
        <v>362</v>
      </c>
      <c r="B327" s="1" t="str">
        <f>IFERROR(VLOOKUP($A327,ItemsImport!$A$2:$AD970,MATCH("Description",ItemsImport!$A$1:$AE$1,0),FALSE),"")</f>
        <v>Crafting Material, roll a d20 to see how many you get if this is a loot drop.</v>
      </c>
      <c r="C327" s="1" t="str">
        <f>IFERROR(VLOOKUP($A327,ItemsImport!$A$2:$AD970,MATCH("Type",ItemsImport!$A$1:$AE$1,0),FALSE),"")</f>
        <v>Item</v>
      </c>
      <c r="H327" s="4" t="b">
        <v>0</v>
      </c>
      <c r="I327" s="1" t="str">
        <f>IFERROR(VLOOKUP($A327,ItemsImport!$A$2:$AD970,MATCH("ItemLoc",ItemsImport!$A$1:$AE$1,0),FALSE),"")</f>
        <v>Land of Spira</v>
      </c>
      <c r="W327" s="1" t="str">
        <f>IFERROR(__xludf.DUMMYFUNCTION("""COMPUTED_VALUE"""),"Chaotic Shadow Dragon Scales")</f>
        <v>Chaotic Shadow Dragon Scales</v>
      </c>
      <c r="X327" s="1" t="str">
        <f t="shared" si="1"/>
        <v/>
      </c>
    </row>
    <row r="328">
      <c r="A328" s="1" t="s">
        <v>363</v>
      </c>
      <c r="B328" s="1" t="str">
        <f>IFERROR(VLOOKUP($A328,ItemsImport!$A$2:$AD970,MATCH("Description",ItemsImport!$A$1:$AE$1,0),FALSE),"")</f>
        <v>can be consumed to obtain 1 free dark or chaos power. (Only one per character)</v>
      </c>
      <c r="C328" s="1" t="str">
        <f>IFERROR(VLOOKUP($A328,ItemsImport!$A$2:$AD970,MATCH("Type",ItemsImport!$A$1:$AE$1,0),FALSE),"")</f>
        <v>Item</v>
      </c>
      <c r="H328" s="4" t="b">
        <v>0</v>
      </c>
      <c r="I328" s="1" t="str">
        <f>IFERROR(VLOOKUP($A328,ItemsImport!$A$2:$AD970,MATCH("ItemLoc",ItemsImport!$A$1:$AE$1,0),FALSE),"")</f>
        <v>Land of Spira</v>
      </c>
      <c r="W328" s="1" t="str">
        <f>IFERROR(__xludf.DUMMYFUNCTION("""COMPUTED_VALUE"""),"Chaotic Shadow Dragon Skull")</f>
        <v>Chaotic Shadow Dragon Skull</v>
      </c>
      <c r="X328" s="1" t="str">
        <f t="shared" si="1"/>
        <v/>
      </c>
    </row>
    <row r="329">
      <c r="A329" s="1" t="s">
        <v>364</v>
      </c>
      <c r="B329" s="1" t="str">
        <f>IFERROR(VLOOKUP($A329,ItemsImport!$A$2:$AD970,MATCH("Description",ItemsImport!$A$1:$AE$1,0),FALSE),"")</f>
        <v>Consumable, 100 sharp teeth = permanantly increase attack by 1.</v>
      </c>
      <c r="C329" s="1" t="str">
        <f>IFERROR(VLOOKUP($A329,ItemsImport!$A$2:$AD970,MATCH("Type",ItemsImport!$A$1:$AE$1,0),FALSE),"")</f>
        <v>Item</v>
      </c>
      <c r="H329" s="4" t="b">
        <v>0</v>
      </c>
      <c r="I329" s="1" t="str">
        <f>IFERROR(VLOOKUP($A329,ItemsImport!$A$2:$AD970,MATCH("ItemLoc",ItemsImport!$A$1:$AE$1,0),FALSE),"")</f>
        <v>Land of Spira</v>
      </c>
      <c r="W329" s="1" t="str">
        <f>IFERROR(__xludf.DUMMYFUNCTION("""COMPUTED_VALUE"""),"Sharp Teeth")</f>
        <v>Sharp Teeth</v>
      </c>
      <c r="X329" s="1" t="str">
        <f t="shared" si="1"/>
        <v/>
      </c>
    </row>
    <row r="330">
      <c r="A330" s="1" t="s">
        <v>365</v>
      </c>
      <c r="B330" s="1" t="str">
        <f>IFERROR(VLOOKUP($A330,ItemsImport!$A$2:$AD970,MATCH("Description",ItemsImport!$A$1:$AE$1,0),FALSE),"")</f>
        <v>Get out of jail for free. Can only be used once, Cannot be duplicated.</v>
      </c>
      <c r="C330" s="1" t="str">
        <f>IFERROR(VLOOKUP($A330,ItemsImport!$A$2:$AD970,MATCH("Type",ItemsImport!$A$1:$AE$1,0),FALSE),"")</f>
        <v>Item</v>
      </c>
      <c r="H330" s="4" t="b">
        <v>0</v>
      </c>
      <c r="I330" s="1" t="str">
        <f>IFERROR(VLOOKUP($A330,ItemsImport!$A$2:$AD970,MATCH("ItemLoc",ItemsImport!$A$1:$AE$1,0),FALSE),"")</f>
        <v>Land of Spira</v>
      </c>
      <c r="W330" s="1" t="str">
        <f>IFERROR(__xludf.DUMMYFUNCTION("""COMPUTED_VALUE"""),"Letter from the Warden")</f>
        <v>Letter from the Warden</v>
      </c>
      <c r="X330" s="1" t="str">
        <f t="shared" si="1"/>
        <v/>
      </c>
    </row>
    <row r="331">
      <c r="A331" s="1" t="s">
        <v>366</v>
      </c>
      <c r="B331" s="1" t="str">
        <f>IFERROR(VLOOKUP($A331,ItemsImport!$A$2:$AD970,MATCH("Description",ItemsImport!$A$1:$AE$1,0),FALSE),"")</f>
        <v>Allows you to use up to Rank 9 Light Powers.</v>
      </c>
      <c r="C331" s="1" t="str">
        <f>IFERROR(VLOOKUP($A331,ItemsImport!$A$2:$AD970,MATCH("Type",ItemsImport!$A$1:$AE$1,0),FALSE),"")</f>
        <v>Item</v>
      </c>
      <c r="H331" s="4" t="b">
        <v>0</v>
      </c>
      <c r="I331" s="1" t="str">
        <f>IFERROR(VLOOKUP($A331,ItemsImport!$A$2:$AD970,MATCH("ItemLoc",ItemsImport!$A$1:$AE$1,0),FALSE),"")</f>
        <v>Land of Spira</v>
      </c>
      <c r="W331" s="1" t="str">
        <f>IFERROR(__xludf.DUMMYFUNCTION("""COMPUTED_VALUE"""),"Rank 9 Light Tome")</f>
        <v>Rank 9 Light Tome</v>
      </c>
      <c r="X331" s="1" t="str">
        <f t="shared" si="1"/>
        <v/>
      </c>
    </row>
    <row r="332">
      <c r="A332" s="1" t="s">
        <v>367</v>
      </c>
      <c r="B332" s="1" t="str">
        <f>IFERROR(VLOOKUP($A332,ItemsImport!$A$2:$AD970,MATCH("Description",ItemsImport!$A$1:$AE$1,0),FALSE),"")</f>
        <v>: + +25HP</v>
      </c>
      <c r="C332" s="1" t="str">
        <f>IFERROR(VLOOKUP($A332,ItemsImport!$A$2:$AD970,MATCH("Type",ItemsImport!$A$1:$AE$1,0),FALSE),"")</f>
        <v>Item</v>
      </c>
      <c r="H332" s="4" t="b">
        <v>0</v>
      </c>
      <c r="I332" s="1" t="str">
        <f>IFERROR(VLOOKUP($A332,ItemsImport!$A$2:$AD970,MATCH("ItemLoc",ItemsImport!$A$1:$AE$1,0),FALSE),"")</f>
        <v>Land of Spira</v>
      </c>
      <c r="W332" s="1" t="str">
        <f>IFERROR(__xludf.DUMMYFUNCTION("""COMPUTED_VALUE"""),"Lesser Healing Potion")</f>
        <v>Lesser Healing Potion</v>
      </c>
      <c r="X332" s="1" t="str">
        <f t="shared" si="1"/>
        <v/>
      </c>
    </row>
    <row r="333">
      <c r="A333" s="1" t="s">
        <v>368</v>
      </c>
      <c r="B333" s="1" t="str">
        <f>IFERROR(VLOOKUP($A333,ItemsImport!$A$2:$AD970,MATCH("Description",ItemsImport!$A$1:$AE$1,0),FALSE),"")</f>
        <v>: + +75HP</v>
      </c>
      <c r="C333" s="1" t="str">
        <f>IFERROR(VLOOKUP($A333,ItemsImport!$A$2:$AD970,MATCH("Type",ItemsImport!$A$1:$AE$1,0),FALSE),"")</f>
        <v>Item</v>
      </c>
      <c r="H333" s="4" t="b">
        <v>0</v>
      </c>
      <c r="I333" s="1" t="str">
        <f>IFERROR(VLOOKUP($A333,ItemsImport!$A$2:$AD970,MATCH("ItemLoc",ItemsImport!$A$1:$AE$1,0),FALSE),"")</f>
        <v>Land of Spira</v>
      </c>
      <c r="W333" s="1" t="str">
        <f>IFERROR(__xludf.DUMMYFUNCTION("""COMPUTED_VALUE"""),"Blackhorn Healing Potion")</f>
        <v>Blackhorn Healing Potion</v>
      </c>
      <c r="X333" s="1" t="str">
        <f t="shared" si="1"/>
        <v/>
      </c>
    </row>
    <row r="334">
      <c r="A334" s="1" t="s">
        <v>369</v>
      </c>
      <c r="B334" s="1" t="str">
        <f>IFERROR(VLOOKUP($A334,ItemsImport!$A$2:$AD970,MATCH("Description",ItemsImport!$A$1:$AE$1,0),FALSE),"")</f>
        <v>: + +100HP</v>
      </c>
      <c r="C334" s="1" t="str">
        <f>IFERROR(VLOOKUP($A334,ItemsImport!$A$2:$AD970,MATCH("Type",ItemsImport!$A$1:$AE$1,0),FALSE),"")</f>
        <v>Item</v>
      </c>
      <c r="H334" s="4" t="b">
        <v>0</v>
      </c>
      <c r="I334" s="1" t="str">
        <f>IFERROR(VLOOKUP($A334,ItemsImport!$A$2:$AD970,MATCH("ItemLoc",ItemsImport!$A$1:$AE$1,0),FALSE),"")</f>
        <v>Land of Spira</v>
      </c>
      <c r="W334" s="1" t="str">
        <f>IFERROR(__xludf.DUMMYFUNCTION("""COMPUTED_VALUE"""),"Greater Healing Potion")</f>
        <v>Greater Healing Potion</v>
      </c>
      <c r="X334" s="1" t="str">
        <f t="shared" si="1"/>
        <v/>
      </c>
    </row>
    <row r="335">
      <c r="A335" s="1" t="s">
        <v>370</v>
      </c>
      <c r="B335" s="1" t="str">
        <f>IFERROR(VLOOKUP($A335,ItemsImport!$A$2:$AD970,MATCH("Description",ItemsImport!$A$1:$AE$1,0),FALSE),"")</f>
        <v>: + +100HP And 100 SP</v>
      </c>
      <c r="C335" s="1" t="str">
        <f>IFERROR(VLOOKUP($A335,ItemsImport!$A$2:$AD970,MATCH("Type",ItemsImport!$A$1:$AE$1,0),FALSE),"")</f>
        <v>Item</v>
      </c>
      <c r="H335" s="4" t="b">
        <v>0</v>
      </c>
      <c r="I335" s="1" t="str">
        <f>IFERROR(VLOOKUP($A335,ItemsImport!$A$2:$AD970,MATCH("ItemLoc",ItemsImport!$A$1:$AE$1,0),FALSE),"")</f>
        <v>Land of Spira</v>
      </c>
      <c r="W335" s="1" t="str">
        <f>IFERROR(__xludf.DUMMYFUNCTION("""COMPUTED_VALUE"""),"Awkward Potion")</f>
        <v>Awkward Potion</v>
      </c>
      <c r="X335" s="1" t="str">
        <f t="shared" si="1"/>
        <v/>
      </c>
    </row>
    <row r="336">
      <c r="A336" s="1" t="s">
        <v>371</v>
      </c>
      <c r="B336" s="1" t="str">
        <f>IFERROR(VLOOKUP($A336,ItemsImport!$A$2:$AD970,MATCH("Description",ItemsImport!$A$1:$AE$1,0),FALSE),"")</f>
        <v>: + +1000 def for 3 rounds</v>
      </c>
      <c r="C336" s="1" t="str">
        <f>IFERROR(VLOOKUP($A336,ItemsImport!$A$2:$AD970,MATCH("Type",ItemsImport!$A$1:$AE$1,0),FALSE),"")</f>
        <v>Item</v>
      </c>
      <c r="H336" s="4" t="b">
        <v>0</v>
      </c>
      <c r="I336" s="1" t="str">
        <f>IFERROR(VLOOKUP($A336,ItemsImport!$A$2:$AD970,MATCH("ItemLoc",ItemsImport!$A$1:$AE$1,0),FALSE),"")</f>
        <v>Land of Spira</v>
      </c>
      <c r="W336" s="1" t="str">
        <f>IFERROR(__xludf.DUMMYFUNCTION("""COMPUTED_VALUE"""),"Defensive Potion")</f>
        <v>Defensive Potion</v>
      </c>
      <c r="X336" s="1" t="str">
        <f t="shared" si="1"/>
        <v/>
      </c>
    </row>
    <row r="337">
      <c r="A337" s="1" t="s">
        <v>372</v>
      </c>
      <c r="B337" s="1" t="str">
        <f>IFERROR(VLOOKUP($A337,ItemsImport!$A$2:$AD970,MATCH("Description",ItemsImport!$A$1:$AE$1,0),FALSE),"")</f>
        <v>: + +1000 atk for 3 rounds</v>
      </c>
      <c r="C337" s="1" t="str">
        <f>IFERROR(VLOOKUP($A337,ItemsImport!$A$2:$AD970,MATCH("Type",ItemsImport!$A$1:$AE$1,0),FALSE),"")</f>
        <v>Item</v>
      </c>
      <c r="H337" s="4" t="b">
        <v>0</v>
      </c>
      <c r="I337" s="1" t="str">
        <f>IFERROR(VLOOKUP($A337,ItemsImport!$A$2:$AD970,MATCH("ItemLoc",ItemsImport!$A$1:$AE$1,0),FALSE),"")</f>
        <v>Land of Spira</v>
      </c>
      <c r="W337" s="1" t="str">
        <f>IFERROR(__xludf.DUMMYFUNCTION("""COMPUTED_VALUE"""),"Offensive Potion")</f>
        <v>Offensive Potion</v>
      </c>
      <c r="X337" s="1" t="str">
        <f t="shared" si="1"/>
        <v/>
      </c>
    </row>
    <row r="338">
      <c r="A338" s="1" t="s">
        <v>373</v>
      </c>
      <c r="B338" s="1" t="str">
        <f>IFERROR(VLOOKUP($A338,ItemsImport!$A$2:$AD970,MATCH("Description",ItemsImport!$A$1:$AE$1,0),FALSE),"")</f>
        <v>: + +add 5 evasion for 3 rounds</v>
      </c>
      <c r="C338" s="1" t="str">
        <f>IFERROR(VLOOKUP($A338,ItemsImport!$A$2:$AD970,MATCH("Type",ItemsImport!$A$1:$AE$1,0),FALSE),"")</f>
        <v>Item</v>
      </c>
      <c r="H338" s="4" t="b">
        <v>0</v>
      </c>
      <c r="I338" s="1" t="str">
        <f>IFERROR(VLOOKUP($A338,ItemsImport!$A$2:$AD970,MATCH("ItemLoc",ItemsImport!$A$1:$AE$1,0),FALSE),"")</f>
        <v>Land of Spira</v>
      </c>
      <c r="W338" s="1" t="str">
        <f>IFERROR(__xludf.DUMMYFUNCTION("""COMPUTED_VALUE"""),"Potion of Swift")</f>
        <v>Potion of Swift</v>
      </c>
      <c r="X338" s="1" t="str">
        <f t="shared" si="1"/>
        <v/>
      </c>
    </row>
    <row r="339">
      <c r="A339" s="1" t="s">
        <v>374</v>
      </c>
      <c r="B339" s="1" t="str">
        <f>IFERROR(VLOOKUP($A339,ItemsImport!$A$2:$AD970,MATCH("Description",ItemsImport!$A$1:$AE$1,0),FALSE),"")</f>
        <v>: + +500SP p/r for 3 rounds</v>
      </c>
      <c r="C339" s="1" t="str">
        <f>IFERROR(VLOOKUP($A339,ItemsImport!$A$2:$AD970,MATCH("Type",ItemsImport!$A$1:$AE$1,0),FALSE),"")</f>
        <v>Item</v>
      </c>
      <c r="H339" s="4" t="b">
        <v>0</v>
      </c>
      <c r="I339" s="1" t="str">
        <f>IFERROR(VLOOKUP($A339,ItemsImport!$A$2:$AD970,MATCH("ItemLoc",ItemsImport!$A$1:$AE$1,0),FALSE),"")</f>
        <v>Land of Spira</v>
      </c>
      <c r="W339" s="1" t="str">
        <f>IFERROR(__xludf.DUMMYFUNCTION("""COMPUTED_VALUE"""),"Potion of Mana Regeneration")</f>
        <v>Potion of Mana Regeneration</v>
      </c>
      <c r="X339" s="1" t="str">
        <f t="shared" si="1"/>
        <v/>
      </c>
    </row>
    <row r="340">
      <c r="A340" s="1" t="s">
        <v>375</v>
      </c>
      <c r="B340" s="1" t="str">
        <f>IFERROR(VLOOKUP($A340,ItemsImport!$A$2:$AD970,MATCH("Description",ItemsImport!$A$1:$AE$1,0),FALSE),"")</f>
        <v>: + +When a target deals damage to you they take the same amount of damage back.</v>
      </c>
      <c r="C340" s="1" t="str">
        <f>IFERROR(VLOOKUP($A340,ItemsImport!$A$2:$AD970,MATCH("Type",ItemsImport!$A$1:$AE$1,0),FALSE),"")</f>
        <v>Item</v>
      </c>
      <c r="H340" s="4" t="b">
        <v>0</v>
      </c>
      <c r="I340" s="1" t="str">
        <f>IFERROR(VLOOKUP($A340,ItemsImport!$A$2:$AD970,MATCH("ItemLoc",ItemsImport!$A$1:$AE$1,0),FALSE),"")</f>
        <v>Land of Spira</v>
      </c>
      <c r="W340" s="1" t="str">
        <f>IFERROR(__xludf.DUMMYFUNCTION("""COMPUTED_VALUE"""),"Potion of Thorns")</f>
        <v>Potion of Thorns</v>
      </c>
      <c r="X340" s="1" t="str">
        <f t="shared" si="1"/>
        <v/>
      </c>
    </row>
    <row r="341">
      <c r="A341" s="1" t="s">
        <v>376</v>
      </c>
      <c r="B341" s="1" t="str">
        <f>IFERROR(VLOOKUP($A341,ItemsImport!$A$2:$AD970,MATCH("Description",ItemsImport!$A$1:$AE$1,0),FALSE),"")</f>
        <v>: + +1000 resistance to all attacks for 3 rounds.</v>
      </c>
      <c r="C341" s="1" t="str">
        <f>IFERROR(VLOOKUP($A341,ItemsImport!$A$2:$AD970,MATCH("Type",ItemsImport!$A$1:$AE$1,0),FALSE),"")</f>
        <v>Item</v>
      </c>
      <c r="H341" s="4" t="b">
        <v>0</v>
      </c>
      <c r="I341" s="1" t="str">
        <f>IFERROR(VLOOKUP($A341,ItemsImport!$A$2:$AD970,MATCH("ItemLoc",ItemsImport!$A$1:$AE$1,0),FALSE),"")</f>
        <v>Land of Spira</v>
      </c>
      <c r="W341" s="1" t="str">
        <f>IFERROR(__xludf.DUMMYFUNCTION("""COMPUTED_VALUE"""),"Potion of Resistance")</f>
        <v>Potion of Resistance</v>
      </c>
      <c r="X341" s="1" t="str">
        <f t="shared" si="1"/>
        <v/>
      </c>
    </row>
    <row r="342">
      <c r="A342" s="1" t="s">
        <v>377</v>
      </c>
      <c r="B342" s="1" t="str">
        <f>IFERROR(VLOOKUP($A342,ItemsImport!$A$2:$AD970,MATCH("Description",ItemsImport!$A$1:$AE$1,0),FALSE),"")</f>
        <v>: + +Allows 2 additional turns in one on your next turn.</v>
      </c>
      <c r="C342" s="1" t="str">
        <f>IFERROR(VLOOKUP($A342,ItemsImport!$A$2:$AD970,MATCH("Type",ItemsImport!$A$1:$AE$1,0),FALSE),"")</f>
        <v>Item</v>
      </c>
      <c r="H342" s="4" t="b">
        <v>0</v>
      </c>
      <c r="I342" s="1" t="str">
        <f>IFERROR(VLOOKUP($A342,ItemsImport!$A$2:$AD970,MATCH("ItemLoc",ItemsImport!$A$1:$AE$1,0),FALSE),"")</f>
        <v>Land of Spira</v>
      </c>
      <c r="W342" s="1" t="str">
        <f>IFERROR(__xludf.DUMMYFUNCTION("""COMPUTED_VALUE"""),"Potion of Speed")</f>
        <v>Potion of Speed</v>
      </c>
      <c r="X342" s="1" t="str">
        <f t="shared" si="1"/>
        <v/>
      </c>
    </row>
    <row r="343">
      <c r="A343" s="1" t="s">
        <v>378</v>
      </c>
      <c r="B343" s="1" t="str">
        <f>IFERROR(VLOOKUP($A343,ItemsImport!$A$2:$AD970,MATCH("Description",ItemsImport!$A$1:$AE$1,0),FALSE),"")</f>
        <v>: + +Allows you to get an enemies highest loot role (Must be used during battle)</v>
      </c>
      <c r="C343" s="1" t="str">
        <f>IFERROR(VLOOKUP($A343,ItemsImport!$A$2:$AD970,MATCH("Type",ItemsImport!$A$1:$AE$1,0),FALSE),"")</f>
        <v>Item</v>
      </c>
      <c r="H343" s="4" t="b">
        <v>0</v>
      </c>
      <c r="I343" s="1" t="str">
        <f>IFERROR(VLOOKUP($A343,ItemsImport!$A$2:$AD970,MATCH("ItemLoc",ItemsImport!$A$1:$AE$1,0),FALSE),"")</f>
        <v>Land of Spira</v>
      </c>
      <c r="W343" s="1" t="str">
        <f>IFERROR(__xludf.DUMMYFUNCTION("""COMPUTED_VALUE"""),"Potion of Luck")</f>
        <v>Potion of Luck</v>
      </c>
      <c r="X343" s="1" t="str">
        <f t="shared" si="1"/>
        <v/>
      </c>
    </row>
    <row r="344">
      <c r="A344" s="1" t="s">
        <v>100</v>
      </c>
      <c r="B344" s="1" t="str">
        <f>IFERROR(VLOOKUP($A344,ItemsImport!$A$2:$AD970,MATCH("Description",ItemsImport!$A$1:$AE$1,0),FALSE),"")</f>
        <v>: + +500HP p/r for 3 rounds.</v>
      </c>
      <c r="C344" s="1" t="str">
        <f>IFERROR(VLOOKUP($A344,ItemsImport!$A$2:$AD970,MATCH("Type",ItemsImport!$A$1:$AE$1,0),FALSE),"")</f>
        <v>Item</v>
      </c>
      <c r="H344" s="4" t="b">
        <v>0</v>
      </c>
      <c r="I344" s="1" t="str">
        <f>IFERROR(VLOOKUP($A344,ItemsImport!$A$2:$AD970,MATCH("ItemLoc",ItemsImport!$A$1:$AE$1,0),FALSE),"")</f>
        <v>Land of Spira</v>
      </c>
      <c r="W344" s="1" t="str">
        <f>IFERROR(__xludf.DUMMYFUNCTION("""COMPUTED_VALUE"""),"Potion of Regeneration")</f>
        <v>Potion of Regeneration</v>
      </c>
      <c r="X344" s="1" t="str">
        <f t="shared" si="1"/>
        <v/>
      </c>
    </row>
    <row r="345">
      <c r="A345" s="1" t="s">
        <v>379</v>
      </c>
      <c r="B345" s="1" t="str">
        <f>IFERROR(VLOOKUP($A345,ItemsImport!$A$2:$AD970,MATCH("Description",ItemsImport!$A$1:$AE$1,0),FALSE),"")</f>
        <v>: + +Gain immunity to all attacks for 3 rounds.</v>
      </c>
      <c r="C345" s="1" t="str">
        <f>IFERROR(VLOOKUP($A345,ItemsImport!$A$2:$AD970,MATCH("Type",ItemsImport!$A$1:$AE$1,0),FALSE),"")</f>
        <v>Item</v>
      </c>
      <c r="H345" s="4" t="b">
        <v>0</v>
      </c>
      <c r="I345" s="1" t="str">
        <f>IFERROR(VLOOKUP($A345,ItemsImport!$A$2:$AD970,MATCH("ItemLoc",ItemsImport!$A$1:$AE$1,0),FALSE),"")</f>
        <v>Land of Spira</v>
      </c>
      <c r="W345" s="1" t="str">
        <f>IFERROR(__xludf.DUMMYFUNCTION("""COMPUTED_VALUE"""),"Potion of Immunity")</f>
        <v>Potion of Immunity</v>
      </c>
      <c r="X345" s="1" t="str">
        <f t="shared" si="1"/>
        <v/>
      </c>
    </row>
    <row r="346">
      <c r="A346" s="1" t="s">
        <v>380</v>
      </c>
      <c r="B346" s="1" t="str">
        <f>IFERROR(VLOOKUP($A346,ItemsImport!$A$2:$AD970,MATCH("Description",ItemsImport!$A$1:$AE$1,0),FALSE),"")</f>
        <v>5 hunger and thirst.</v>
      </c>
      <c r="C346" s="1" t="str">
        <f>IFERROR(VLOOKUP($A346,ItemsImport!$A$2:$AD970,MATCH("Type",ItemsImport!$A$1:$AE$1,0),FALSE),"")</f>
        <v>Crop</v>
      </c>
      <c r="H346" s="4" t="b">
        <v>0</v>
      </c>
      <c r="I346" s="1" t="str">
        <f>IFERROR(VLOOKUP($A346,ItemsImport!$A$2:$AD970,MATCH("ItemLoc",ItemsImport!$A$1:$AE$1,0),FALSE),"")</f>
        <v>Land of Spira</v>
      </c>
      <c r="W346" s="1" t="str">
        <f>IFERROR(__xludf.DUMMYFUNCTION("""COMPUTED_VALUE"""),"Apple")</f>
        <v>Apple</v>
      </c>
      <c r="X346" s="1" t="str">
        <f t="shared" si="1"/>
        <v/>
      </c>
    </row>
    <row r="347">
      <c r="A347" s="1" t="s">
        <v>381</v>
      </c>
      <c r="B347" s="1" t="str">
        <f>IFERROR(VLOOKUP($A347,ItemsImport!$A$2:$AD970,MATCH("Description",ItemsImport!$A$1:$AE$1,0),FALSE),"")</f>
        <v>100 hunger, thirst, and energy. Feeds self and up to 2 party members.</v>
      </c>
      <c r="C347" s="1" t="str">
        <f>IFERROR(VLOOKUP($A347,ItemsImport!$A$2:$AD970,MATCH("Type",ItemsImport!$A$1:$AE$1,0),FALSE),"")</f>
        <v>Crop</v>
      </c>
      <c r="H347" s="4" t="b">
        <v>0</v>
      </c>
      <c r="I347" s="1" t="str">
        <f>IFERROR(VLOOKUP($A347,ItemsImport!$A$2:$AD970,MATCH("ItemLoc",ItemsImport!$A$1:$AE$1,0),FALSE),"")</f>
        <v>Land of Spira</v>
      </c>
      <c r="W347" s="1" t="str">
        <f>IFERROR(__xludf.DUMMYFUNCTION("""COMPUTED_VALUE"""),"Watermelon")</f>
        <v>Watermelon</v>
      </c>
      <c r="X347" s="1" t="str">
        <f t="shared" si="1"/>
        <v/>
      </c>
    </row>
    <row r="348">
      <c r="A348" s="1" t="s">
        <v>382</v>
      </c>
      <c r="B348" s="1" t="str">
        <f>IFERROR(VLOOKUP($A348,ItemsImport!$A$2:$AD970,MATCH("Description",ItemsImport!$A$1:$AE$1,0),FALSE),"")</f>
        <v>5 hunger and thirst.</v>
      </c>
      <c r="C348" s="1" t="str">
        <f>IFERROR(VLOOKUP($A348,ItemsImport!$A$2:$AD970,MATCH("Type",ItemsImport!$A$1:$AE$1,0),FALSE),"")</f>
        <v>Crop</v>
      </c>
      <c r="H348" s="4" t="b">
        <v>0</v>
      </c>
      <c r="I348" s="1" t="str">
        <f>IFERROR(VLOOKUP($A348,ItemsImport!$A$2:$AD970,MATCH("ItemLoc",ItemsImport!$A$1:$AE$1,0),FALSE),"")</f>
        <v>Land of Spira</v>
      </c>
      <c r="W348" s="1" t="str">
        <f>IFERROR(__xludf.DUMMYFUNCTION("""COMPUTED_VALUE"""),"Orange")</f>
        <v>Orange</v>
      </c>
      <c r="X348" s="1" t="str">
        <f t="shared" si="1"/>
        <v/>
      </c>
    </row>
    <row r="349">
      <c r="A349" s="1" t="s">
        <v>383</v>
      </c>
      <c r="B349" s="1" t="str">
        <f>IFERROR(VLOOKUP($A349,ItemsImport!$A$2:$AD970,MATCH("Description",ItemsImport!$A$1:$AE$1,0),FALSE),"")</f>
        <v>5 hunger and thirst.</v>
      </c>
      <c r="C349" s="1" t="str">
        <f>IFERROR(VLOOKUP($A349,ItemsImport!$A$2:$AD970,MATCH("Type",ItemsImport!$A$1:$AE$1,0),FALSE),"")</f>
        <v>Crop</v>
      </c>
      <c r="H349" s="4" t="b">
        <v>0</v>
      </c>
      <c r="I349" s="1" t="str">
        <f>IFERROR(VLOOKUP($A349,ItemsImport!$A$2:$AD970,MATCH("ItemLoc",ItemsImport!$A$1:$AE$1,0),FALSE),"")</f>
        <v>Land of Spira</v>
      </c>
      <c r="W349" s="1" t="str">
        <f>IFERROR(__xludf.DUMMYFUNCTION("""COMPUTED_VALUE"""),"Pear")</f>
        <v>Pear</v>
      </c>
      <c r="X349" s="1" t="str">
        <f t="shared" si="1"/>
        <v/>
      </c>
    </row>
    <row r="350">
      <c r="A350" s="1" t="s">
        <v>384</v>
      </c>
      <c r="B350" s="1" t="str">
        <f>IFERROR(VLOOKUP($A350,ItemsImport!$A$2:$AD970,MATCH("Description",ItemsImport!$A$1:$AE$1,0),FALSE),"")</f>
        <v>5 hunger and thirst.</v>
      </c>
      <c r="C350" s="1" t="str">
        <f>IFERROR(VLOOKUP($A350,ItemsImport!$A$2:$AD970,MATCH("Type",ItemsImport!$A$1:$AE$1,0),FALSE),"")</f>
        <v>Crop</v>
      </c>
      <c r="H350" s="4" t="b">
        <v>0</v>
      </c>
      <c r="I350" s="1" t="str">
        <f>IFERROR(VLOOKUP($A350,ItemsImport!$A$2:$AD970,MATCH("ItemLoc",ItemsImport!$A$1:$AE$1,0),FALSE),"")</f>
        <v>Land of Spira</v>
      </c>
      <c r="W350" s="1" t="str">
        <f>IFERROR(__xludf.DUMMYFUNCTION("""COMPUTED_VALUE"""),"Cherry")</f>
        <v>Cherry</v>
      </c>
      <c r="X350" s="1" t="str">
        <f t="shared" si="1"/>
        <v/>
      </c>
    </row>
    <row r="351">
      <c r="A351" s="1" t="s">
        <v>385</v>
      </c>
      <c r="B351" s="1" t="str">
        <f>IFERROR(VLOOKUP($A351,ItemsImport!$A$2:$AD970,MATCH("Description",ItemsImport!$A$1:$AE$1,0),FALSE),"")</f>
        <v>5 hunger and thirst.</v>
      </c>
      <c r="C351" s="1" t="str">
        <f>IFERROR(VLOOKUP($A351,ItemsImport!$A$2:$AD970,MATCH("Type",ItemsImport!$A$1:$AE$1,0),FALSE),"")</f>
        <v>Crop</v>
      </c>
      <c r="H351" s="4" t="b">
        <v>0</v>
      </c>
      <c r="I351" s="1" t="str">
        <f>IFERROR(VLOOKUP($A351,ItemsImport!$A$2:$AD970,MATCH("ItemLoc",ItemsImport!$A$1:$AE$1,0),FALSE),"")</f>
        <v>Land of Spira</v>
      </c>
      <c r="W351" s="1" t="str">
        <f>IFERROR(__xludf.DUMMYFUNCTION("""COMPUTED_VALUE"""),"Strawberries")</f>
        <v>Strawberries</v>
      </c>
      <c r="X351" s="1" t="str">
        <f t="shared" si="1"/>
        <v/>
      </c>
    </row>
    <row r="352">
      <c r="A352" s="1" t="s">
        <v>386</v>
      </c>
      <c r="B352" s="1" t="str">
        <f>IFERROR(VLOOKUP($A352,ItemsImport!$A$2:$AD970,MATCH("Description",ItemsImport!$A$1:$AE$1,0),FALSE),"")</f>
        <v>5 hunger and thirst.</v>
      </c>
      <c r="C352" s="1" t="str">
        <f>IFERROR(VLOOKUP($A352,ItemsImport!$A$2:$AD970,MATCH("Type",ItemsImport!$A$1:$AE$1,0),FALSE),"")</f>
        <v>Crop</v>
      </c>
      <c r="H352" s="4" t="b">
        <v>0</v>
      </c>
      <c r="I352" s="1" t="str">
        <f>IFERROR(VLOOKUP($A352,ItemsImport!$A$2:$AD970,MATCH("ItemLoc",ItemsImport!$A$1:$AE$1,0),FALSE),"")</f>
        <v>Land of Spira</v>
      </c>
      <c r="W352" s="1" t="str">
        <f>IFERROR(__xludf.DUMMYFUNCTION("""COMPUTED_VALUE"""),"Nectarine")</f>
        <v>Nectarine</v>
      </c>
      <c r="X352" s="1" t="str">
        <f t="shared" si="1"/>
        <v/>
      </c>
    </row>
    <row r="353">
      <c r="A353" s="1" t="s">
        <v>387</v>
      </c>
      <c r="B353" s="1" t="str">
        <f>IFERROR(VLOOKUP($A353,ItemsImport!$A$2:$AD970,MATCH("Description",ItemsImport!$A$1:$AE$1,0),FALSE),"")</f>
        <v>5 hunger and thirst.</v>
      </c>
      <c r="C353" s="1" t="str">
        <f>IFERROR(VLOOKUP($A353,ItemsImport!$A$2:$AD970,MATCH("Type",ItemsImport!$A$1:$AE$1,0),FALSE),"")</f>
        <v>Crop</v>
      </c>
      <c r="H353" s="4" t="b">
        <v>0</v>
      </c>
      <c r="I353" s="1" t="str">
        <f>IFERROR(VLOOKUP($A353,ItemsImport!$A$2:$AD970,MATCH("ItemLoc",ItemsImport!$A$1:$AE$1,0),FALSE),"")</f>
        <v>Land of Spira</v>
      </c>
      <c r="W353" s="1" t="str">
        <f>IFERROR(__xludf.DUMMYFUNCTION("""COMPUTED_VALUE"""),"Grapes")</f>
        <v>Grapes</v>
      </c>
      <c r="X353" s="1" t="str">
        <f t="shared" si="1"/>
        <v/>
      </c>
    </row>
    <row r="354">
      <c r="A354" s="1" t="s">
        <v>388</v>
      </c>
      <c r="B354" s="1" t="str">
        <f>IFERROR(VLOOKUP($A354,ItemsImport!$A$2:$AD970,MATCH("Description",ItemsImport!$A$1:$AE$1,0),FALSE),"")</f>
        <v>5 hunger and thirst.</v>
      </c>
      <c r="C354" s="1" t="str">
        <f>IFERROR(VLOOKUP($A354,ItemsImport!$A$2:$AD970,MATCH("Type",ItemsImport!$A$1:$AE$1,0),FALSE),"")</f>
        <v>Crop</v>
      </c>
      <c r="H354" s="4" t="b">
        <v>0</v>
      </c>
      <c r="I354" s="1" t="str">
        <f>IFERROR(VLOOKUP($A354,ItemsImport!$A$2:$AD970,MATCH("ItemLoc",ItemsImport!$A$1:$AE$1,0),FALSE),"")</f>
        <v>Land of Spira</v>
      </c>
      <c r="W354" s="1" t="str">
        <f>IFERROR(__xludf.DUMMYFUNCTION("""COMPUTED_VALUE"""),"Mango")</f>
        <v>Mango</v>
      </c>
      <c r="X354" s="1" t="str">
        <f t="shared" si="1"/>
        <v/>
      </c>
    </row>
    <row r="355">
      <c r="A355" s="1" t="s">
        <v>389</v>
      </c>
      <c r="B355" s="1" t="str">
        <f>IFERROR(VLOOKUP($A355,ItemsImport!$A$2:$AD970,MATCH("Description",ItemsImport!$A$1:$AE$1,0),FALSE),"")</f>
        <v>5 hunger and thirst.</v>
      </c>
      <c r="C355" s="1" t="str">
        <f>IFERROR(VLOOKUP($A355,ItemsImport!$A$2:$AD970,MATCH("Type",ItemsImport!$A$1:$AE$1,0),FALSE),"")</f>
        <v>Crop</v>
      </c>
      <c r="H355" s="4" t="b">
        <v>0</v>
      </c>
      <c r="I355" s="1" t="str">
        <f>IFERROR(VLOOKUP($A355,ItemsImport!$A$2:$AD970,MATCH("ItemLoc",ItemsImport!$A$1:$AE$1,0),FALSE),"")</f>
        <v>Land of Spira</v>
      </c>
      <c r="W355" s="1" t="str">
        <f>IFERROR(__xludf.DUMMYFUNCTION("""COMPUTED_VALUE"""),"Blueberries")</f>
        <v>Blueberries</v>
      </c>
      <c r="X355" s="1" t="str">
        <f t="shared" si="1"/>
        <v/>
      </c>
    </row>
    <row r="356">
      <c r="A356" s="1" t="s">
        <v>390</v>
      </c>
      <c r="B356" s="1" t="str">
        <f>IFERROR(VLOOKUP($A356,ItemsImport!$A$2:$AD970,MATCH("Description",ItemsImport!$A$1:$AE$1,0),FALSE),"")</f>
        <v>10 hunger and thirst.</v>
      </c>
      <c r="C356" s="1" t="str">
        <f>IFERROR(VLOOKUP($A356,ItemsImport!$A$2:$AD970,MATCH("Type",ItemsImport!$A$1:$AE$1,0),FALSE),"")</f>
        <v>Crop</v>
      </c>
      <c r="H356" s="4" t="b">
        <v>0</v>
      </c>
      <c r="I356" s="1" t="str">
        <f>IFERROR(VLOOKUP($A356,ItemsImport!$A$2:$AD970,MATCH("ItemLoc",ItemsImport!$A$1:$AE$1,0),FALSE),"")</f>
        <v>Land of Spira</v>
      </c>
      <c r="W356" s="1" t="str">
        <f>IFERROR(__xludf.DUMMYFUNCTION("""COMPUTED_VALUE"""),"Pomegranate")</f>
        <v>Pomegranate</v>
      </c>
      <c r="X356" s="1" t="str">
        <f t="shared" si="1"/>
        <v/>
      </c>
    </row>
    <row r="357">
      <c r="A357" s="1" t="s">
        <v>391</v>
      </c>
      <c r="B357" s="1" t="str">
        <f>IFERROR(VLOOKUP($A357,ItemsImport!$A$2:$AD970,MATCH("Description",ItemsImport!$A$1:$AE$1,0),FALSE),"")</f>
        <v>5 hunger and thirst.</v>
      </c>
      <c r="C357" s="1" t="str">
        <f>IFERROR(VLOOKUP($A357,ItemsImport!$A$2:$AD970,MATCH("Type",ItemsImport!$A$1:$AE$1,0),FALSE),"")</f>
        <v>Crop</v>
      </c>
      <c r="H357" s="4" t="b">
        <v>0</v>
      </c>
      <c r="I357" s="1" t="str">
        <f>IFERROR(VLOOKUP($A357,ItemsImport!$A$2:$AD970,MATCH("ItemLoc",ItemsImport!$A$1:$AE$1,0),FALSE),"")</f>
        <v>Land of Spira</v>
      </c>
      <c r="W357" s="1" t="str">
        <f>IFERROR(__xludf.DUMMYFUNCTION("""COMPUTED_VALUE"""),"StarFruit")</f>
        <v>StarFruit</v>
      </c>
      <c r="X357" s="1" t="str">
        <f t="shared" si="1"/>
        <v/>
      </c>
    </row>
    <row r="358">
      <c r="A358" s="1" t="s">
        <v>392</v>
      </c>
      <c r="B358" s="1" t="str">
        <f>IFERROR(VLOOKUP($A358,ItemsImport!$A$2:$AD970,MATCH("Description",ItemsImport!$A$1:$AE$1,0),FALSE),"")</f>
        <v>5 hunger and thirst.</v>
      </c>
      <c r="C358" s="1" t="str">
        <f>IFERROR(VLOOKUP($A358,ItemsImport!$A$2:$AD970,MATCH("Type",ItemsImport!$A$1:$AE$1,0),FALSE),"")</f>
        <v>Crop</v>
      </c>
      <c r="H358" s="4" t="b">
        <v>0</v>
      </c>
      <c r="I358" s="1" t="str">
        <f>IFERROR(VLOOKUP($A358,ItemsImport!$A$2:$AD970,MATCH("ItemLoc",ItemsImport!$A$1:$AE$1,0),FALSE),"")</f>
        <v>Land of Spira</v>
      </c>
      <c r="W358" s="1" t="str">
        <f>IFERROR(__xludf.DUMMYFUNCTION("""COMPUTED_VALUE"""),"Plum")</f>
        <v>Plum</v>
      </c>
      <c r="X358" s="1" t="str">
        <f t="shared" si="1"/>
        <v/>
      </c>
    </row>
    <row r="359">
      <c r="A359" s="1" t="s">
        <v>393</v>
      </c>
      <c r="B359" s="1" t="str">
        <f>IFERROR(VLOOKUP($A359,ItemsImport!$A$2:$AD970,MATCH("Description",ItemsImport!$A$1:$AE$1,0),FALSE),"")</f>
        <v>10 hunger.</v>
      </c>
      <c r="C359" s="1" t="str">
        <f>IFERROR(VLOOKUP($A359,ItemsImport!$A$2:$AD970,MATCH("Type",ItemsImport!$A$1:$AE$1,0),FALSE),"")</f>
        <v>Crop</v>
      </c>
      <c r="H359" s="4" t="b">
        <v>0</v>
      </c>
      <c r="I359" s="1" t="str">
        <f>IFERROR(VLOOKUP($A359,ItemsImport!$A$2:$AD970,MATCH("ItemLoc",ItemsImport!$A$1:$AE$1,0),FALSE),"")</f>
        <v>Land of Spira</v>
      </c>
      <c r="W359" s="1" t="str">
        <f>IFERROR(__xludf.DUMMYFUNCTION("""COMPUTED_VALUE"""),"Bananas")</f>
        <v>Bananas</v>
      </c>
      <c r="X359" s="1" t="str">
        <f t="shared" si="1"/>
        <v/>
      </c>
    </row>
    <row r="360">
      <c r="A360" s="1" t="s">
        <v>394</v>
      </c>
      <c r="B360" s="1" t="str">
        <f>IFERROR(VLOOKUP($A360,ItemsImport!$A$2:$AD970,MATCH("Description",ItemsImport!$A$1:$AE$1,0),FALSE),"")</f>
        <v>5 hunger and thirst.</v>
      </c>
      <c r="C360" s="1" t="str">
        <f>IFERROR(VLOOKUP($A360,ItemsImport!$A$2:$AD970,MATCH("Type",ItemsImport!$A$1:$AE$1,0),FALSE),"")</f>
        <v>Crop</v>
      </c>
      <c r="H360" s="4" t="b">
        <v>0</v>
      </c>
      <c r="I360" s="1" t="str">
        <f>IFERROR(VLOOKUP($A360,ItemsImport!$A$2:$AD970,MATCH("ItemLoc",ItemsImport!$A$1:$AE$1,0),FALSE),"")</f>
        <v>Land of Spira</v>
      </c>
      <c r="W360" s="1" t="str">
        <f>IFERROR(__xludf.DUMMYFUNCTION("""COMPUTED_VALUE"""),"Raspberry")</f>
        <v>Raspberry</v>
      </c>
      <c r="X360" s="1" t="str">
        <f t="shared" si="1"/>
        <v/>
      </c>
    </row>
    <row r="361">
      <c r="A361" s="1" t="s">
        <v>395</v>
      </c>
      <c r="B361" s="1" t="str">
        <f>IFERROR(VLOOKUP($A361,ItemsImport!$A$2:$AD970,MATCH("Description",ItemsImport!$A$1:$AE$1,0),FALSE),"")</f>
        <v>5 hunger and thirst.</v>
      </c>
      <c r="C361" s="1" t="str">
        <f>IFERROR(VLOOKUP($A361,ItemsImport!$A$2:$AD970,MATCH("Type",ItemsImport!$A$1:$AE$1,0),FALSE),"")</f>
        <v>Crop</v>
      </c>
      <c r="H361" s="4" t="b">
        <v>0</v>
      </c>
      <c r="I361" s="1" t="str">
        <f>IFERROR(VLOOKUP($A361,ItemsImport!$A$2:$AD970,MATCH("ItemLoc",ItemsImport!$A$1:$AE$1,0),FALSE),"")</f>
        <v>Land of Spira</v>
      </c>
      <c r="W361" s="1" t="str">
        <f>IFERROR(__xludf.DUMMYFUNCTION("""COMPUTED_VALUE"""),"Mandarin")</f>
        <v>Mandarin</v>
      </c>
      <c r="X361" s="1" t="str">
        <f t="shared" si="1"/>
        <v/>
      </c>
    </row>
    <row r="362">
      <c r="A362" s="1" t="s">
        <v>396</v>
      </c>
      <c r="B362" s="1" t="str">
        <f>IFERROR(VLOOKUP($A362,ItemsImport!$A$2:$AD970,MATCH("Description",ItemsImport!$A$1:$AE$1,0),FALSE),"")</f>
        <v>5 hunger and thirst.</v>
      </c>
      <c r="C362" s="1" t="str">
        <f>IFERROR(VLOOKUP($A362,ItemsImport!$A$2:$AD970,MATCH("Type",ItemsImport!$A$1:$AE$1,0),FALSE),"")</f>
        <v>Crop</v>
      </c>
      <c r="H362" s="4" t="b">
        <v>0</v>
      </c>
      <c r="I362" s="1" t="str">
        <f>IFERROR(VLOOKUP($A362,ItemsImport!$A$2:$AD970,MATCH("ItemLoc",ItemsImport!$A$1:$AE$1,0),FALSE),"")</f>
        <v>Land of Spira</v>
      </c>
      <c r="W362" s="1" t="str">
        <f>IFERROR(__xludf.DUMMYFUNCTION("""COMPUTED_VALUE"""),"Jackfruit")</f>
        <v>Jackfruit</v>
      </c>
      <c r="X362" s="1" t="str">
        <f t="shared" si="1"/>
        <v/>
      </c>
    </row>
    <row r="363">
      <c r="A363" s="1" t="s">
        <v>397</v>
      </c>
      <c r="B363" s="1" t="str">
        <f>IFERROR(VLOOKUP($A363,ItemsImport!$A$2:$AD970,MATCH("Description",ItemsImport!$A$1:$AE$1,0),FALSE),"")</f>
        <v>10 hunger and thirst.</v>
      </c>
      <c r="C363" s="1" t="str">
        <f>IFERROR(VLOOKUP($A363,ItemsImport!$A$2:$AD970,MATCH("Type",ItemsImport!$A$1:$AE$1,0),FALSE),"")</f>
        <v>Crop</v>
      </c>
      <c r="H363" s="4" t="b">
        <v>0</v>
      </c>
      <c r="I363" s="1" t="str">
        <f>IFERROR(VLOOKUP($A363,ItemsImport!$A$2:$AD970,MATCH("ItemLoc",ItemsImport!$A$1:$AE$1,0),FALSE),"")</f>
        <v>Land of Spira</v>
      </c>
      <c r="W363" s="1" t="str">
        <f>IFERROR(__xludf.DUMMYFUNCTION("""COMPUTED_VALUE"""),"Papaya")</f>
        <v>Papaya</v>
      </c>
      <c r="X363" s="1" t="str">
        <f t="shared" si="1"/>
        <v/>
      </c>
    </row>
    <row r="364">
      <c r="A364" s="1" t="s">
        <v>398</v>
      </c>
      <c r="B364" s="1" t="str">
        <f>IFERROR(VLOOKUP($A364,ItemsImport!$A$2:$AD970,MATCH("Description",ItemsImport!$A$1:$AE$1,0),FALSE),"")</f>
        <v>5 hunger and thirst.</v>
      </c>
      <c r="C364" s="1" t="str">
        <f>IFERROR(VLOOKUP($A364,ItemsImport!$A$2:$AD970,MATCH("Type",ItemsImport!$A$1:$AE$1,0),FALSE),"")</f>
        <v>Crop</v>
      </c>
      <c r="H364" s="4" t="b">
        <v>0</v>
      </c>
      <c r="I364" s="1" t="str">
        <f>IFERROR(VLOOKUP($A364,ItemsImport!$A$2:$AD970,MATCH("ItemLoc",ItemsImport!$A$1:$AE$1,0),FALSE),"")</f>
        <v>Land of Spira</v>
      </c>
      <c r="W364" s="1" t="str">
        <f>IFERROR(__xludf.DUMMYFUNCTION("""COMPUTED_VALUE"""),"Kiwi")</f>
        <v>Kiwi</v>
      </c>
      <c r="X364" s="1" t="str">
        <f t="shared" si="1"/>
        <v/>
      </c>
    </row>
    <row r="365">
      <c r="A365" s="1" t="s">
        <v>399</v>
      </c>
      <c r="B365" s="1" t="str">
        <f>IFERROR(VLOOKUP($A365,ItemsImport!$A$2:$AD970,MATCH("Description",ItemsImport!$A$1:$AE$1,0),FALSE),"")</f>
        <v>20 hunger and thirst.</v>
      </c>
      <c r="C365" s="1" t="str">
        <f>IFERROR(VLOOKUP($A365,ItemsImport!$A$2:$AD970,MATCH("Type",ItemsImport!$A$1:$AE$1,0),FALSE),"")</f>
        <v>Crop</v>
      </c>
      <c r="H365" s="4" t="b">
        <v>0</v>
      </c>
      <c r="I365" s="1" t="str">
        <f>IFERROR(VLOOKUP($A365,ItemsImport!$A$2:$AD970,MATCH("ItemLoc",ItemsImport!$A$1:$AE$1,0),FALSE),"")</f>
        <v>Land of Spira</v>
      </c>
      <c r="W365" s="1" t="str">
        <f>IFERROR(__xludf.DUMMYFUNCTION("""COMPUTED_VALUE"""),"Pineapple")</f>
        <v>Pineapple</v>
      </c>
      <c r="X365" s="1" t="str">
        <f t="shared" si="1"/>
        <v/>
      </c>
    </row>
    <row r="366">
      <c r="A366" s="1" t="s">
        <v>400</v>
      </c>
      <c r="B366" s="1" t="str">
        <f>IFERROR(VLOOKUP($A366,ItemsImport!$A$2:$AD970,MATCH("Description",ItemsImport!$A$1:$AE$1,0),FALSE),"")</f>
        <v>5 hunger and thirst or 25% chance to lose 10 hunger and thirst.</v>
      </c>
      <c r="C366" s="1" t="str">
        <f>IFERROR(VLOOKUP($A366,ItemsImport!$A$2:$AD970,MATCH("Type",ItemsImport!$A$1:$AE$1,0),FALSE),"")</f>
        <v>Crop</v>
      </c>
      <c r="H366" s="4" t="b">
        <v>0</v>
      </c>
      <c r="I366" s="1" t="str">
        <f>IFERROR(VLOOKUP($A366,ItemsImport!$A$2:$AD970,MATCH("ItemLoc",ItemsImport!$A$1:$AE$1,0),FALSE),"")</f>
        <v>Land of Spira</v>
      </c>
      <c r="W366" s="1" t="str">
        <f>IFERROR(__xludf.DUMMYFUNCTION("""COMPUTED_VALUE"""),"Lime")</f>
        <v>Lime</v>
      </c>
      <c r="X366" s="1" t="str">
        <f t="shared" si="1"/>
        <v/>
      </c>
    </row>
    <row r="367">
      <c r="A367" s="1" t="s">
        <v>401</v>
      </c>
      <c r="B367" s="1" t="str">
        <f>IFERROR(VLOOKUP($A367,ItemsImport!$A$2:$AD970,MATCH("Description",ItemsImport!$A$1:$AE$1,0),FALSE),"")</f>
        <v>5 hunger and thirst or 50% chance to lose 10 hunger and thirst.</v>
      </c>
      <c r="C367" s="1" t="str">
        <f>IFERROR(VLOOKUP($A367,ItemsImport!$A$2:$AD970,MATCH("Type",ItemsImport!$A$1:$AE$1,0),FALSE),"")</f>
        <v>Crop</v>
      </c>
      <c r="H367" s="4" t="b">
        <v>0</v>
      </c>
      <c r="I367" s="1" t="str">
        <f>IFERROR(VLOOKUP($A367,ItemsImport!$A$2:$AD970,MATCH("ItemLoc",ItemsImport!$A$1:$AE$1,0),FALSE),"")</f>
        <v>Land of Spira</v>
      </c>
      <c r="W367" s="1" t="str">
        <f>IFERROR(__xludf.DUMMYFUNCTION("""COMPUTED_VALUE"""),"Lemon")</f>
        <v>Lemon</v>
      </c>
      <c r="X367" s="1" t="str">
        <f t="shared" si="1"/>
        <v/>
      </c>
    </row>
    <row r="368">
      <c r="A368" s="1" t="s">
        <v>402</v>
      </c>
      <c r="B368" s="1" t="str">
        <f>IFERROR(VLOOKUP($A368,ItemsImport!$A$2:$AD970,MATCH("Description",ItemsImport!$A$1:$AE$1,0),FALSE),"")</f>
        <v>5 hunger and thirst.</v>
      </c>
      <c r="C368" s="1" t="str">
        <f>IFERROR(VLOOKUP($A368,ItemsImport!$A$2:$AD970,MATCH("Type",ItemsImport!$A$1:$AE$1,0),FALSE),"")</f>
        <v>Crop</v>
      </c>
      <c r="H368" s="4" t="b">
        <v>0</v>
      </c>
      <c r="I368" s="1" t="str">
        <f>IFERROR(VLOOKUP($A368,ItemsImport!$A$2:$AD970,MATCH("ItemLoc",ItemsImport!$A$1:$AE$1,0),FALSE),"")</f>
        <v>Land of Spira</v>
      </c>
      <c r="W368" s="1" t="str">
        <f>IFERROR(__xludf.DUMMYFUNCTION("""COMPUTED_VALUE"""),"Apricot")</f>
        <v>Apricot</v>
      </c>
      <c r="X368" s="1" t="str">
        <f t="shared" si="1"/>
        <v/>
      </c>
    </row>
    <row r="369">
      <c r="A369" s="1" t="s">
        <v>403</v>
      </c>
      <c r="B369" s="1" t="str">
        <f>IFERROR(VLOOKUP($A369,ItemsImport!$A$2:$AD970,MATCH("Description",ItemsImport!$A$1:$AE$1,0),FALSE),"")</f>
        <v>10 hunger and thirst.</v>
      </c>
      <c r="C369" s="1" t="str">
        <f>IFERROR(VLOOKUP($A369,ItemsImport!$A$2:$AD970,MATCH("Type",ItemsImport!$A$1:$AE$1,0),FALSE),"")</f>
        <v>Crop</v>
      </c>
      <c r="H369" s="4" t="b">
        <v>0</v>
      </c>
      <c r="I369" s="1" t="str">
        <f>IFERROR(VLOOKUP($A369,ItemsImport!$A$2:$AD970,MATCH("ItemLoc",ItemsImport!$A$1:$AE$1,0),FALSE),"")</f>
        <v>Land of Spira</v>
      </c>
      <c r="W369" s="1" t="str">
        <f>IFERROR(__xludf.DUMMYFUNCTION("""COMPUTED_VALUE"""),"Grapefruit")</f>
        <v>Grapefruit</v>
      </c>
      <c r="X369" s="1" t="str">
        <f t="shared" si="1"/>
        <v/>
      </c>
    </row>
    <row r="370">
      <c r="A370" s="1" t="s">
        <v>404</v>
      </c>
      <c r="B370" s="1" t="str">
        <f>IFERROR(VLOOKUP($A370,ItemsImport!$A$2:$AD970,MATCH("Description",ItemsImport!$A$1:$AE$1,0),FALSE),"")</f>
        <v>10 hunger and thirst.</v>
      </c>
      <c r="C370" s="1" t="str">
        <f>IFERROR(VLOOKUP($A370,ItemsImport!$A$2:$AD970,MATCH("Type",ItemsImport!$A$1:$AE$1,0),FALSE),"")</f>
        <v>Crop</v>
      </c>
      <c r="H370" s="4" t="b">
        <v>0</v>
      </c>
      <c r="I370" s="1" t="str">
        <f>IFERROR(VLOOKUP($A370,ItemsImport!$A$2:$AD970,MATCH("ItemLoc",ItemsImport!$A$1:$AE$1,0),FALSE),"")</f>
        <v>Land of Spira</v>
      </c>
      <c r="W370" s="1" t="str">
        <f>IFERROR(__xludf.DUMMYFUNCTION("""COMPUTED_VALUE"""),"Coconut")</f>
        <v>Coconut</v>
      </c>
      <c r="X370" s="1" t="str">
        <f t="shared" si="1"/>
        <v/>
      </c>
    </row>
    <row r="371">
      <c r="A371" s="1" t="s">
        <v>405</v>
      </c>
      <c r="B371" s="1" t="str">
        <f>IFERROR(VLOOKUP($A371,ItemsImport!$A$2:$AD970,MATCH("Description",ItemsImport!$A$1:$AE$1,0),FALSE),"")</f>
        <v>5 hunger.</v>
      </c>
      <c r="C371" s="1" t="str">
        <f>IFERROR(VLOOKUP($A371,ItemsImport!$A$2:$AD970,MATCH("Type",ItemsImport!$A$1:$AE$1,0),FALSE),"")</f>
        <v>Crop</v>
      </c>
      <c r="H371" s="4" t="b">
        <v>0</v>
      </c>
      <c r="I371" s="1" t="str">
        <f>IFERROR(VLOOKUP($A371,ItemsImport!$A$2:$AD970,MATCH("ItemLoc",ItemsImport!$A$1:$AE$1,0),FALSE),"")</f>
        <v>Land of Spira</v>
      </c>
      <c r="W371" s="1" t="str">
        <f>IFERROR(__xludf.DUMMYFUNCTION("""COMPUTED_VALUE"""),"Avocado")</f>
        <v>Avocado</v>
      </c>
      <c r="X371" s="1" t="str">
        <f t="shared" si="1"/>
        <v/>
      </c>
    </row>
    <row r="372">
      <c r="A372" s="1" t="s">
        <v>406</v>
      </c>
      <c r="B372" s="1" t="str">
        <f>IFERROR(VLOOKUP($A372,ItemsImport!$A$2:$AD970,MATCH("Description",ItemsImport!$A$1:$AE$1,0),FALSE),"")</f>
        <v>5 hunger and thirst.</v>
      </c>
      <c r="C372" s="1" t="str">
        <f>IFERROR(VLOOKUP($A372,ItemsImport!$A$2:$AD970,MATCH("Type",ItemsImport!$A$1:$AE$1,0),FALSE),"")</f>
        <v>Crop</v>
      </c>
      <c r="H372" s="4" t="b">
        <v>0</v>
      </c>
      <c r="I372" s="1" t="str">
        <f>IFERROR(VLOOKUP($A372,ItemsImport!$A$2:$AD970,MATCH("ItemLoc",ItemsImport!$A$1:$AE$1,0),FALSE),"")</f>
        <v>Land of Spira</v>
      </c>
      <c r="W372" s="1" t="str">
        <f>IFERROR(__xludf.DUMMYFUNCTION("""COMPUTED_VALUE"""),"Peach")</f>
        <v>Peach</v>
      </c>
      <c r="X372" s="1" t="str">
        <f t="shared" si="1"/>
        <v/>
      </c>
    </row>
    <row r="373">
      <c r="A373" s="1" t="s">
        <v>407</v>
      </c>
      <c r="B373" s="1" t="str">
        <f>IFERROR(VLOOKUP($A373,ItemsImport!$A$2:$AD970,MATCH("Description",ItemsImport!$A$1:$AE$1,0),FALSE),"")</f>
        <v>10 hunger.</v>
      </c>
      <c r="C373" s="1" t="str">
        <f>IFERROR(VLOOKUP($A373,ItemsImport!$A$2:$AD970,MATCH("Type",ItemsImport!$A$1:$AE$1,0),FALSE),"")</f>
        <v>Crop</v>
      </c>
      <c r="H373" s="4" t="b">
        <v>0</v>
      </c>
      <c r="I373" s="1" t="str">
        <f>IFERROR(VLOOKUP($A373,ItemsImport!$A$2:$AD970,MATCH("ItemLoc",ItemsImport!$A$1:$AE$1,0),FALSE),"")</f>
        <v>Land of Spira</v>
      </c>
      <c r="W373" s="1" t="str">
        <f>IFERROR(__xludf.DUMMYFUNCTION("""COMPUTED_VALUE"""),"Corn")</f>
        <v>Corn</v>
      </c>
      <c r="X373" s="1" t="str">
        <f t="shared" si="1"/>
        <v/>
      </c>
    </row>
    <row r="374">
      <c r="A374" s="1" t="s">
        <v>408</v>
      </c>
      <c r="B374" s="1" t="str">
        <f>IFERROR(VLOOKUP($A374,ItemsImport!$A$2:$AD970,MATCH("Description",ItemsImport!$A$1:$AE$1,0),FALSE),"")</f>
        <v>10 hunger, 25% chance of wandering away from the party.</v>
      </c>
      <c r="C374" s="1" t="str">
        <f>IFERROR(VLOOKUP($A374,ItemsImport!$A$2:$AD970,MATCH("Type",ItemsImport!$A$1:$AE$1,0),FALSE),"")</f>
        <v>Crop</v>
      </c>
      <c r="H374" s="4" t="b">
        <v>0</v>
      </c>
      <c r="I374" s="1" t="str">
        <f>IFERROR(VLOOKUP($A374,ItemsImport!$A$2:$AD970,MATCH("ItemLoc",ItemsImport!$A$1:$AE$1,0),FALSE),"")</f>
        <v>Land of Spira</v>
      </c>
      <c r="W374" s="1" t="str">
        <f>IFERROR(__xludf.DUMMYFUNCTION("""COMPUTED_VALUE"""),"Mushroom")</f>
        <v>Mushroom</v>
      </c>
      <c r="X374" s="1" t="str">
        <f t="shared" si="1"/>
        <v/>
      </c>
    </row>
    <row r="375">
      <c r="A375" s="1" t="s">
        <v>409</v>
      </c>
      <c r="B375" s="1" t="str">
        <f>IFERROR(VLOOKUP($A375,ItemsImport!$A$2:$AD970,MATCH("Description",ItemsImport!$A$1:$AE$1,0),FALSE),"")</f>
        <v>5 hunger</v>
      </c>
      <c r="C375" s="1" t="str">
        <f>IFERROR(VLOOKUP($A375,ItemsImport!$A$2:$AD970,MATCH("Type",ItemsImport!$A$1:$AE$1,0),FALSE),"")</f>
        <v>Crop</v>
      </c>
      <c r="H375" s="4" t="b">
        <v>0</v>
      </c>
      <c r="I375" s="1" t="str">
        <f>IFERROR(VLOOKUP($A375,ItemsImport!$A$2:$AD970,MATCH("ItemLoc",ItemsImport!$A$1:$AE$1,0),FALSE),"")</f>
        <v>Land of Spira</v>
      </c>
      <c r="W375" s="1" t="str">
        <f>IFERROR(__xludf.DUMMYFUNCTION("""COMPUTED_VALUE"""),"Broccoli")</f>
        <v>Broccoli</v>
      </c>
      <c r="X375" s="1" t="str">
        <f t="shared" si="1"/>
        <v/>
      </c>
    </row>
    <row r="376">
      <c r="A376" s="1" t="s">
        <v>410</v>
      </c>
      <c r="B376" s="1" t="str">
        <f>IFERROR(VLOOKUP($A376,ItemsImport!$A$2:$AD970,MATCH("Description",ItemsImport!$A$1:$AE$1,0),FALSE),"")</f>
        <v>5 hunger</v>
      </c>
      <c r="C376" s="1" t="str">
        <f>IFERROR(VLOOKUP($A376,ItemsImport!$A$2:$AD970,MATCH("Type",ItemsImport!$A$1:$AE$1,0),FALSE),"")</f>
        <v>Crop</v>
      </c>
      <c r="H376" s="4" t="b">
        <v>0</v>
      </c>
      <c r="I376" s="1" t="str">
        <f>IFERROR(VLOOKUP($A376,ItemsImport!$A$2:$AD970,MATCH("ItemLoc",ItemsImport!$A$1:$AE$1,0),FALSE),"")</f>
        <v>Land of Spira</v>
      </c>
      <c r="W376" s="1" t="str">
        <f>IFERROR(__xludf.DUMMYFUNCTION("""COMPUTED_VALUE"""),"Cucumber")</f>
        <v>Cucumber</v>
      </c>
      <c r="X376" s="1" t="str">
        <f t="shared" si="1"/>
        <v/>
      </c>
    </row>
    <row r="377">
      <c r="A377" s="1" t="s">
        <v>411</v>
      </c>
      <c r="B377" s="1" t="str">
        <f>IFERROR(VLOOKUP($A377,ItemsImport!$A$2:$AD970,MATCH("Description",ItemsImport!$A$1:$AE$1,0),FALSE),"")</f>
        <v>5 hunger</v>
      </c>
      <c r="C377" s="1" t="str">
        <f>IFERROR(VLOOKUP($A377,ItemsImport!$A$2:$AD970,MATCH("Type",ItemsImport!$A$1:$AE$1,0),FALSE),"")</f>
        <v>Crop</v>
      </c>
      <c r="H377" s="4" t="b">
        <v>0</v>
      </c>
      <c r="I377" s="1" t="str">
        <f>IFERROR(VLOOKUP($A377,ItemsImport!$A$2:$AD970,MATCH("ItemLoc",ItemsImport!$A$1:$AE$1,0),FALSE),"")</f>
        <v>Land of Spira</v>
      </c>
      <c r="W377" s="1" t="str">
        <f>IFERROR(__xludf.DUMMYFUNCTION("""COMPUTED_VALUE"""),"Red Pepper/Red Bell Pepper")</f>
        <v>Red Pepper/Red Bell Pepper</v>
      </c>
      <c r="X377" s="1" t="str">
        <f t="shared" si="1"/>
        <v/>
      </c>
    </row>
    <row r="378">
      <c r="A378" s="1" t="s">
        <v>412</v>
      </c>
      <c r="B378" s="1" t="str">
        <f>IFERROR(VLOOKUP($A378,ItemsImport!$A$2:$AD970,MATCH("Description",ItemsImport!$A$1:$AE$1,0),FALSE),"")</f>
        <v>5 hunger and thirst</v>
      </c>
      <c r="C378" s="1" t="str">
        <f>IFERROR(VLOOKUP($A378,ItemsImport!$A$2:$AD970,MATCH("Type",ItemsImport!$A$1:$AE$1,0),FALSE),"")</f>
        <v>Crop</v>
      </c>
      <c r="H378" s="4" t="b">
        <v>0</v>
      </c>
      <c r="I378" s="1" t="str">
        <f>IFERROR(VLOOKUP($A378,ItemsImport!$A$2:$AD970,MATCH("ItemLoc",ItemsImport!$A$1:$AE$1,0),FALSE),"")</f>
        <v>Land of Spira</v>
      </c>
      <c r="W378" s="1" t="str">
        <f>IFERROR(__xludf.DUMMYFUNCTION("""COMPUTED_VALUE"""),"Tomato")</f>
        <v>Tomato</v>
      </c>
      <c r="X378" s="1" t="str">
        <f t="shared" si="1"/>
        <v/>
      </c>
    </row>
    <row r="379">
      <c r="A379" s="1" t="s">
        <v>413</v>
      </c>
      <c r="B379" s="1" t="str">
        <f>IFERROR(VLOOKUP($A379,ItemsImport!$A$2:$AD970,MATCH("Description",ItemsImport!$A$1:$AE$1,0),FALSE),"")</f>
        <v>5 hunger</v>
      </c>
      <c r="C379" s="1" t="str">
        <f>IFERROR(VLOOKUP($A379,ItemsImport!$A$2:$AD970,MATCH("Type",ItemsImport!$A$1:$AE$1,0),FALSE),"")</f>
        <v>Crop</v>
      </c>
      <c r="H379" s="4" t="b">
        <v>0</v>
      </c>
      <c r="I379" s="1" t="str">
        <f>IFERROR(VLOOKUP($A379,ItemsImport!$A$2:$AD970,MATCH("ItemLoc",ItemsImport!$A$1:$AE$1,0),FALSE),"")</f>
        <v>Land of Spira</v>
      </c>
      <c r="W379" s="1" t="str">
        <f>IFERROR(__xludf.DUMMYFUNCTION("""COMPUTED_VALUE"""),"Carrot")</f>
        <v>Carrot</v>
      </c>
      <c r="X379" s="1" t="str">
        <f t="shared" si="1"/>
        <v/>
      </c>
    </row>
    <row r="380">
      <c r="A380" s="1" t="s">
        <v>414</v>
      </c>
      <c r="B380" s="1" t="str">
        <f>IFERROR(VLOOKUP($A380,ItemsImport!$A$2:$AD970,MATCH("Description",ItemsImport!$A$1:$AE$1,0),FALSE),"")</f>
        <v>5 hunger</v>
      </c>
      <c r="C380" s="1" t="str">
        <f>IFERROR(VLOOKUP($A380,ItemsImport!$A$2:$AD970,MATCH("Type",ItemsImport!$A$1:$AE$1,0),FALSE),"")</f>
        <v>Crop</v>
      </c>
      <c r="H380" s="4" t="b">
        <v>0</v>
      </c>
      <c r="I380" s="1" t="str">
        <f>IFERROR(VLOOKUP($A380,ItemsImport!$A$2:$AD970,MATCH("ItemLoc",ItemsImport!$A$1:$AE$1,0),FALSE),"")</f>
        <v>Land of Spira</v>
      </c>
      <c r="W380" s="1" t="str">
        <f>IFERROR(__xludf.DUMMYFUNCTION("""COMPUTED_VALUE"""),"Brussels Sprout")</f>
        <v>Brussels Sprout</v>
      </c>
      <c r="X380" s="1" t="str">
        <f t="shared" si="1"/>
        <v/>
      </c>
    </row>
    <row r="381">
      <c r="A381" s="1" t="s">
        <v>415</v>
      </c>
      <c r="B381" s="1" t="str">
        <f>IFERROR(VLOOKUP($A381,ItemsImport!$A$2:$AD970,MATCH("Description",ItemsImport!$A$1:$AE$1,0),FALSE),"")</f>
        <v>10 hunger</v>
      </c>
      <c r="C381" s="1" t="str">
        <f>IFERROR(VLOOKUP($A381,ItemsImport!$A$2:$AD970,MATCH("Type",ItemsImport!$A$1:$AE$1,0),FALSE),"")</f>
        <v>Crop</v>
      </c>
      <c r="H381" s="4" t="b">
        <v>0</v>
      </c>
      <c r="I381" s="1" t="str">
        <f>IFERROR(VLOOKUP($A381,ItemsImport!$A$2:$AD970,MATCH("ItemLoc",ItemsImport!$A$1:$AE$1,0),FALSE),"")</f>
        <v>Land of Spira</v>
      </c>
      <c r="W381" s="1" t="str">
        <f>IFERROR(__xludf.DUMMYFUNCTION("""COMPUTED_VALUE"""),"Cabbage")</f>
        <v>Cabbage</v>
      </c>
      <c r="X381" s="1" t="str">
        <f t="shared" si="1"/>
        <v/>
      </c>
    </row>
    <row r="382">
      <c r="A382" s="1" t="s">
        <v>416</v>
      </c>
      <c r="B382" s="1" t="str">
        <f>IFERROR(VLOOKUP($A382,ItemsImport!$A$2:$AD970,MATCH("Description",ItemsImport!$A$1:$AE$1,0),FALSE),"")</f>
        <v>5 hunger</v>
      </c>
      <c r="C382" s="1" t="str">
        <f>IFERROR(VLOOKUP($A382,ItemsImport!$A$2:$AD970,MATCH("Type",ItemsImport!$A$1:$AE$1,0),FALSE),"")</f>
        <v>Crop</v>
      </c>
      <c r="H382" s="4" t="b">
        <v>0</v>
      </c>
      <c r="I382" s="1" t="str">
        <f>IFERROR(VLOOKUP($A382,ItemsImport!$A$2:$AD970,MATCH("ItemLoc",ItemsImport!$A$1:$AE$1,0),FALSE),"")</f>
        <v>Land of Spira</v>
      </c>
      <c r="W382" s="1" t="str">
        <f>IFERROR(__xludf.DUMMYFUNCTION("""COMPUTED_VALUE"""),"Potato")</f>
        <v>Potato</v>
      </c>
      <c r="X382" s="1" t="str">
        <f t="shared" si="1"/>
        <v/>
      </c>
    </row>
    <row r="383">
      <c r="A383" s="1" t="s">
        <v>417</v>
      </c>
      <c r="B383" s="1" t="str">
        <f>IFERROR(VLOOKUP($A383,ItemsImport!$A$2:$AD970,MATCH("Description",ItemsImport!$A$1:$AE$1,0),FALSE),"")</f>
        <v>10 hunger</v>
      </c>
      <c r="C383" s="1" t="str">
        <f>IFERROR(VLOOKUP($A383,ItemsImport!$A$2:$AD970,MATCH("Type",ItemsImport!$A$1:$AE$1,0),FALSE),"")</f>
        <v>Crop</v>
      </c>
      <c r="H383" s="4" t="b">
        <v>0</v>
      </c>
      <c r="I383" s="1" t="str">
        <f>IFERROR(VLOOKUP($A383,ItemsImport!$A$2:$AD970,MATCH("ItemLoc",ItemsImport!$A$1:$AE$1,0),FALSE),"")</f>
        <v>Land of Spira</v>
      </c>
      <c r="W383" s="1" t="str">
        <f>IFERROR(__xludf.DUMMYFUNCTION("""COMPUTED_VALUE"""),"Eggplant")</f>
        <v>Eggplant</v>
      </c>
      <c r="X383" s="1" t="str">
        <f t="shared" si="1"/>
        <v/>
      </c>
    </row>
    <row r="384">
      <c r="A384" s="1" t="s">
        <v>418</v>
      </c>
      <c r="B384" s="1" t="str">
        <f>IFERROR(VLOOKUP($A384,ItemsImport!$A$2:$AD970,MATCH("Description",ItemsImport!$A$1:$AE$1,0),FALSE),"")</f>
        <v>5 hunger</v>
      </c>
      <c r="C384" s="1" t="str">
        <f>IFERROR(VLOOKUP($A384,ItemsImport!$A$2:$AD970,MATCH("Type",ItemsImport!$A$1:$AE$1,0),FALSE),"")</f>
        <v>Crop</v>
      </c>
      <c r="H384" s="4" t="b">
        <v>0</v>
      </c>
      <c r="I384" s="1" t="str">
        <f>IFERROR(VLOOKUP($A384,ItemsImport!$A$2:$AD970,MATCH("ItemLoc",ItemsImport!$A$1:$AE$1,0),FALSE),"")</f>
        <v>Land of Spira</v>
      </c>
      <c r="W384" s="1" t="str">
        <f>IFERROR(__xludf.DUMMYFUNCTION("""COMPUTED_VALUE"""),"Sweet Potato")</f>
        <v>Sweet Potato</v>
      </c>
      <c r="X384" s="1" t="str">
        <f t="shared" si="1"/>
        <v/>
      </c>
    </row>
    <row r="385">
      <c r="A385" s="1" t="s">
        <v>419</v>
      </c>
      <c r="B385" s="1" t="str">
        <f>IFERROR(VLOOKUP($A385,ItemsImport!$A$2:$AD970,MATCH("Description",ItemsImport!$A$1:$AE$1,0),FALSE),"")</f>
        <v>5 hunger</v>
      </c>
      <c r="C385" s="1" t="str">
        <f>IFERROR(VLOOKUP($A385,ItemsImport!$A$2:$AD970,MATCH("Type",ItemsImport!$A$1:$AE$1,0),FALSE),"")</f>
        <v>Crop</v>
      </c>
      <c r="H385" s="4" t="b">
        <v>0</v>
      </c>
      <c r="I385" s="1" t="str">
        <f>IFERROR(VLOOKUP($A385,ItemsImport!$A$2:$AD970,MATCH("ItemLoc",ItemsImport!$A$1:$AE$1,0),FALSE),"")</f>
        <v>Land of Spira</v>
      </c>
      <c r="W385" s="1" t="str">
        <f>IFERROR(__xludf.DUMMYFUNCTION("""COMPUTED_VALUE"""),"Turnip")</f>
        <v>Turnip</v>
      </c>
      <c r="X385" s="1" t="str">
        <f t="shared" si="1"/>
        <v/>
      </c>
    </row>
    <row r="386">
      <c r="A386" s="1" t="s">
        <v>420</v>
      </c>
      <c r="B386" s="1" t="str">
        <f>IFERROR(VLOOKUP($A386,ItemsImport!$A$2:$AD970,MATCH("Description",ItemsImport!$A$1:$AE$1,0),FALSE),"")</f>
        <v>5 hunger</v>
      </c>
      <c r="C386" s="1" t="str">
        <f>IFERROR(VLOOKUP($A386,ItemsImport!$A$2:$AD970,MATCH("Type",ItemsImport!$A$1:$AE$1,0),FALSE),"")</f>
        <v>Crop</v>
      </c>
      <c r="H386" s="4" t="b">
        <v>0</v>
      </c>
      <c r="I386" s="1" t="str">
        <f>IFERROR(VLOOKUP($A386,ItemsImport!$A$2:$AD970,MATCH("ItemLoc",ItemsImport!$A$1:$AE$1,0),FALSE),"")</f>
        <v>Land of Spira</v>
      </c>
      <c r="W386" s="1" t="str">
        <f>IFERROR(__xludf.DUMMYFUNCTION("""COMPUTED_VALUE"""),"Green Chilli")</f>
        <v>Green Chilli</v>
      </c>
      <c r="X386" s="1" t="str">
        <f t="shared" si="1"/>
        <v/>
      </c>
    </row>
    <row r="387">
      <c r="A387" s="1" t="s">
        <v>421</v>
      </c>
      <c r="B387" s="1" t="str">
        <f>IFERROR(VLOOKUP($A387,ItemsImport!$A$2:$AD970,MATCH("Description",ItemsImport!$A$1:$AE$1,0),FALSE),"")</f>
        <v>5 hunger, 50% Blindness 3 during the next battle.</v>
      </c>
      <c r="C387" s="1" t="str">
        <f>IFERROR(VLOOKUP($A387,ItemsImport!$A$2:$AD970,MATCH("Type",ItemsImport!$A$1:$AE$1,0),FALSE),"")</f>
        <v>Crop</v>
      </c>
      <c r="H387" s="4" t="b">
        <v>0</v>
      </c>
      <c r="I387" s="1" t="str">
        <f>IFERROR(VLOOKUP($A387,ItemsImport!$A$2:$AD970,MATCH("ItemLoc",ItemsImport!$A$1:$AE$1,0),FALSE),"")</f>
        <v>Land of Spira</v>
      </c>
      <c r="W387" s="1" t="str">
        <f>IFERROR(__xludf.DUMMYFUNCTION("""COMPUTED_VALUE"""),"Onion")</f>
        <v>Onion</v>
      </c>
      <c r="X387" s="1" t="str">
        <f t="shared" si="1"/>
        <v/>
      </c>
    </row>
    <row r="388">
      <c r="A388" s="1" t="s">
        <v>422</v>
      </c>
      <c r="B388" s="1" t="str">
        <f>IFERROR(VLOOKUP($A388,ItemsImport!$A$2:$AD970,MATCH("Description",ItemsImport!$A$1:$AE$1,0),FALSE),"")</f>
        <v>5 hunger</v>
      </c>
      <c r="C388" s="1" t="str">
        <f>IFERROR(VLOOKUP($A388,ItemsImport!$A$2:$AD970,MATCH("Type",ItemsImport!$A$1:$AE$1,0),FALSE),"")</f>
        <v>Crop</v>
      </c>
      <c r="H388" s="4" t="b">
        <v>0</v>
      </c>
      <c r="I388" s="1" t="str">
        <f>IFERROR(VLOOKUP($A388,ItemsImport!$A$2:$AD970,MATCH("ItemLoc",ItemsImport!$A$1:$AE$1,0),FALSE),"")</f>
        <v>Land of Spira</v>
      </c>
      <c r="W388" s="1" t="str">
        <f>IFERROR(__xludf.DUMMYFUNCTION("""COMPUTED_VALUE"""),"Lettuce")</f>
        <v>Lettuce</v>
      </c>
      <c r="X388" s="1" t="str">
        <f t="shared" si="1"/>
        <v/>
      </c>
    </row>
    <row r="389">
      <c r="A389" s="1" t="s">
        <v>423</v>
      </c>
      <c r="B389" s="1" t="str">
        <f>IFERROR(VLOOKUP($A389,ItemsImport!$A$2:$AD970,MATCH("Description",ItemsImport!$A$1:$AE$1,0),FALSE),"")</f>
        <v>5 hunger</v>
      </c>
      <c r="C389" s="1" t="str">
        <f>IFERROR(VLOOKUP($A389,ItemsImport!$A$2:$AD970,MATCH("Type",ItemsImport!$A$1:$AE$1,0),FALSE),"")</f>
        <v>Crop</v>
      </c>
      <c r="H389" s="4" t="b">
        <v>0</v>
      </c>
      <c r="I389" s="1" t="str">
        <f>IFERROR(VLOOKUP($A389,ItemsImport!$A$2:$AD970,MATCH("ItemLoc",ItemsImport!$A$1:$AE$1,0),FALSE),"")</f>
        <v>Land of Spira</v>
      </c>
      <c r="W389" s="1" t="str">
        <f>IFERROR(__xludf.DUMMYFUNCTION("""COMPUTED_VALUE"""),"Radish")</f>
        <v>Radish</v>
      </c>
      <c r="X389" s="1" t="str">
        <f t="shared" si="1"/>
        <v/>
      </c>
    </row>
    <row r="390">
      <c r="A390" s="1" t="s">
        <v>424</v>
      </c>
      <c r="B390" s="1" t="str">
        <f>IFERROR(VLOOKUP($A390,ItemsImport!$A$2:$AD970,MATCH("Description",ItemsImport!$A$1:$AE$1,0),FALSE),"")</f>
        <v>5 hunger</v>
      </c>
      <c r="C390" s="1" t="str">
        <f>IFERROR(VLOOKUP($A390,ItemsImport!$A$2:$AD970,MATCH("Type",ItemsImport!$A$1:$AE$1,0),FALSE),"")</f>
        <v>Crop</v>
      </c>
      <c r="H390" s="4" t="b">
        <v>0</v>
      </c>
      <c r="I390" s="1" t="str">
        <f>IFERROR(VLOOKUP($A390,ItemsImport!$A$2:$AD970,MATCH("ItemLoc",ItemsImport!$A$1:$AE$1,0),FALSE),"")</f>
        <v>Land of Spira</v>
      </c>
      <c r="W390" s="1" t="str">
        <f>IFERROR(__xludf.DUMMYFUNCTION("""COMPUTED_VALUE"""),"Peas")</f>
        <v>Peas</v>
      </c>
      <c r="X390" s="1" t="str">
        <f t="shared" si="1"/>
        <v/>
      </c>
    </row>
    <row r="391">
      <c r="A391" s="1" t="s">
        <v>425</v>
      </c>
      <c r="B391" s="1" t="str">
        <f>IFERROR(VLOOKUP($A391,ItemsImport!$A$2:$AD970,MATCH("Description",ItemsImport!$A$1:$AE$1,0),FALSE),"")</f>
        <v>5 hunger</v>
      </c>
      <c r="C391" s="1" t="str">
        <f>IFERROR(VLOOKUP($A391,ItemsImport!$A$2:$AD970,MATCH("Type",ItemsImport!$A$1:$AE$1,0),FALSE),"")</f>
        <v>Crop</v>
      </c>
      <c r="H391" s="4" t="b">
        <v>0</v>
      </c>
      <c r="I391" s="1" t="str">
        <f>IFERROR(VLOOKUP($A391,ItemsImport!$A$2:$AD970,MATCH("ItemLoc",ItemsImport!$A$1:$AE$1,0),FALSE),"")</f>
        <v>Land of Spira</v>
      </c>
      <c r="W391" s="1" t="str">
        <f>IFERROR(__xludf.DUMMYFUNCTION("""COMPUTED_VALUE"""),"Asparagus")</f>
        <v>Asparagus</v>
      </c>
      <c r="X391" s="1" t="str">
        <f t="shared" si="1"/>
        <v/>
      </c>
    </row>
    <row r="392">
      <c r="A392" s="1" t="s">
        <v>426</v>
      </c>
      <c r="B392" s="1" t="str">
        <f>IFERROR(VLOOKUP($A392,ItemsImport!$A$2:$AD970,MATCH("Description",ItemsImport!$A$1:$AE$1,0),FALSE),"")</f>
        <v>5 hunger</v>
      </c>
      <c r="C392" s="1" t="str">
        <f>IFERROR(VLOOKUP($A392,ItemsImport!$A$2:$AD970,MATCH("Type",ItemsImport!$A$1:$AE$1,0),FALSE),"")</f>
        <v>Crop</v>
      </c>
      <c r="H392" s="4" t="b">
        <v>0</v>
      </c>
      <c r="I392" s="1" t="str">
        <f>IFERROR(VLOOKUP($A392,ItemsImport!$A$2:$AD970,MATCH("ItemLoc",ItemsImport!$A$1:$AE$1,0),FALSE),"")</f>
        <v>Land of Spira</v>
      </c>
      <c r="W392" s="1" t="str">
        <f>IFERROR(__xludf.DUMMYFUNCTION("""COMPUTED_VALUE"""),"Celery")</f>
        <v>Celery</v>
      </c>
      <c r="X392" s="1" t="str">
        <f t="shared" si="1"/>
        <v/>
      </c>
    </row>
    <row r="393">
      <c r="A393" s="1" t="s">
        <v>427</v>
      </c>
      <c r="B393" s="1" t="str">
        <f>IFERROR(VLOOKUP($A393,ItemsImport!$A$2:$AD970,MATCH("Description",ItemsImport!$A$1:$AE$1,0),FALSE),"")</f>
        <v>5 hunger</v>
      </c>
      <c r="C393" s="1" t="str">
        <f>IFERROR(VLOOKUP($A393,ItemsImport!$A$2:$AD970,MATCH("Type",ItemsImport!$A$1:$AE$1,0),FALSE),"")</f>
        <v>Crop</v>
      </c>
      <c r="H393" s="4" t="b">
        <v>0</v>
      </c>
      <c r="I393" s="1" t="str">
        <f>IFERROR(VLOOKUP($A393,ItemsImport!$A$2:$AD970,MATCH("ItemLoc",ItemsImport!$A$1:$AE$1,0),FALSE),"")</f>
        <v>Land of Spira</v>
      </c>
      <c r="W393" s="1" t="str">
        <f>IFERROR(__xludf.DUMMYFUNCTION("""COMPUTED_VALUE"""),"Green Pepper")</f>
        <v>Green Pepper</v>
      </c>
      <c r="X393" s="1" t="str">
        <f t="shared" si="1"/>
        <v/>
      </c>
    </row>
    <row r="394">
      <c r="A394" s="1" t="s">
        <v>428</v>
      </c>
      <c r="B394" s="1" t="str">
        <f>IFERROR(VLOOKUP($A394,ItemsImport!$A$2:$AD970,MATCH("Description",ItemsImport!$A$1:$AE$1,0),FALSE),"")</f>
        <v>5 hunger</v>
      </c>
      <c r="C394" s="1" t="str">
        <f>IFERROR(VLOOKUP($A394,ItemsImport!$A$2:$AD970,MATCH("Type",ItemsImport!$A$1:$AE$1,0),FALSE),"")</f>
        <v>Crop</v>
      </c>
      <c r="H394" s="4" t="b">
        <v>0</v>
      </c>
      <c r="I394" s="1" t="str">
        <f>IFERROR(VLOOKUP($A394,ItemsImport!$A$2:$AD970,MATCH("ItemLoc",ItemsImport!$A$1:$AE$1,0),FALSE),"")</f>
        <v>Land of Spira</v>
      </c>
      <c r="W394" s="1" t="str">
        <f>IFERROR(__xludf.DUMMYFUNCTION("""COMPUTED_VALUE"""),"French Beans")</f>
        <v>French Beans</v>
      </c>
      <c r="X394" s="1" t="str">
        <f t="shared" si="1"/>
        <v/>
      </c>
    </row>
    <row r="395">
      <c r="A395" s="1" t="s">
        <v>429</v>
      </c>
      <c r="B395" s="1" t="str">
        <f>IFERROR(VLOOKUP($A395,ItemsImport!$A$2:$AD970,MATCH("Description",ItemsImport!$A$1:$AE$1,0),FALSE),"")</f>
        <v>5 hunger</v>
      </c>
      <c r="C395" s="1" t="str">
        <f>IFERROR(VLOOKUP($A395,ItemsImport!$A$2:$AD970,MATCH("Type",ItemsImport!$A$1:$AE$1,0),FALSE),"")</f>
        <v>Crop</v>
      </c>
      <c r="H395" s="4" t="b">
        <v>0</v>
      </c>
      <c r="I395" s="1" t="str">
        <f>IFERROR(VLOOKUP($A395,ItemsImport!$A$2:$AD970,MATCH("ItemLoc",ItemsImport!$A$1:$AE$1,0),FALSE),"")</f>
        <v>Land of Spira</v>
      </c>
      <c r="W395" s="1" t="str">
        <f>IFERROR(__xludf.DUMMYFUNCTION("""COMPUTED_VALUE"""),"Spinach")</f>
        <v>Spinach</v>
      </c>
      <c r="X395" s="1" t="str">
        <f t="shared" si="1"/>
        <v/>
      </c>
    </row>
    <row r="396">
      <c r="A396" s="1" t="s">
        <v>430</v>
      </c>
      <c r="B396" s="1" t="str">
        <f>IFERROR(VLOOKUP($A396,ItemsImport!$A$2:$AD970,MATCH("Description",ItemsImport!$A$1:$AE$1,0),FALSE),"")</f>
        <v>5 hunger</v>
      </c>
      <c r="C396" s="1" t="str">
        <f>IFERROR(VLOOKUP($A396,ItemsImport!$A$2:$AD970,MATCH("Type",ItemsImport!$A$1:$AE$1,0),FALSE),"")</f>
        <v>Crop</v>
      </c>
      <c r="H396" s="4" t="b">
        <v>0</v>
      </c>
      <c r="I396" s="1" t="str">
        <f>IFERROR(VLOOKUP($A396,ItemsImport!$A$2:$AD970,MATCH("ItemLoc",ItemsImport!$A$1:$AE$1,0),FALSE),"")</f>
        <v>Land of Spira</v>
      </c>
      <c r="W396" s="1" t="str">
        <f>IFERROR(__xludf.DUMMYFUNCTION("""COMPUTED_VALUE"""),"Beetroot")</f>
        <v>Beetroot</v>
      </c>
      <c r="X396" s="1" t="str">
        <f t="shared" si="1"/>
        <v/>
      </c>
    </row>
    <row r="397">
      <c r="A397" s="1" t="s">
        <v>431</v>
      </c>
      <c r="B397" s="1" t="str">
        <f>IFERROR(VLOOKUP($A397,ItemsImport!$A$2:$AD970,MATCH("Description",ItemsImport!$A$1:$AE$1,0),FALSE),"")</f>
        <v>5 hunger</v>
      </c>
      <c r="C397" s="1" t="str">
        <f>IFERROR(VLOOKUP($A397,ItemsImport!$A$2:$AD970,MATCH("Type",ItemsImport!$A$1:$AE$1,0),FALSE),"")</f>
        <v>Crop</v>
      </c>
      <c r="H397" s="4" t="b">
        <v>0</v>
      </c>
      <c r="I397" s="1" t="str">
        <f>IFERROR(VLOOKUP($A397,ItemsImport!$A$2:$AD970,MATCH("ItemLoc",ItemsImport!$A$1:$AE$1,0),FALSE),"")</f>
        <v>Land of Spira</v>
      </c>
      <c r="W397" s="1" t="str">
        <f>IFERROR(__xludf.DUMMYFUNCTION("""COMPUTED_VALUE"""),"Red Chili Peppers ")</f>
        <v>Red Chili Peppers </v>
      </c>
      <c r="X397" s="1" t="str">
        <f t="shared" si="1"/>
        <v/>
      </c>
    </row>
    <row r="398">
      <c r="A398" s="1" t="s">
        <v>125</v>
      </c>
      <c r="B398" s="1" t="str">
        <f>IFERROR(VLOOKUP($A398,ItemsImport!$A$2:$AD970,MATCH("Description",ItemsImport!$A$1:$AE$1,0),FALSE),"")</f>
        <v>Summons 1 of the following dragons with a d4 roll: Fire Dragon, Poison Dragon, Storm Dragon, Ancient Water Dragon (Can only be used once) (Level determined by dm/gm)</v>
      </c>
      <c r="C398" s="1" t="str">
        <f>IFERROR(VLOOKUP($A398,ItemsImport!$A$2:$AD970,MATCH("Type",ItemsImport!$A$1:$AE$1,0),FALSE),"")</f>
        <v>Item</v>
      </c>
      <c r="H398" s="4" t="b">
        <v>0</v>
      </c>
      <c r="I398" s="1" t="str">
        <f>IFERROR(VLOOKUP($A398,ItemsImport!$A$2:$AD970,MATCH("ItemLoc",ItemsImport!$A$1:$AE$1,0),FALSE),"")</f>
        <v>Land of Spira</v>
      </c>
      <c r="W398" s="1"/>
      <c r="X398" s="1" t="str">
        <f t="shared" si="1"/>
        <v/>
      </c>
    </row>
    <row r="399">
      <c r="A399" s="1" t="s">
        <v>432</v>
      </c>
      <c r="B399" s="1" t="str">
        <f>IFERROR(VLOOKUP($A399,ItemsImport!$A$2:$AD970,MATCH("Description",ItemsImport!$A$1:$AE$1,0),FALSE),"")</f>
        <v>When consumed X2 additional Damage towards the users weapons. (Can only use 1 per battle)</v>
      </c>
      <c r="C399" s="1" t="str">
        <f>IFERROR(VLOOKUP($A399,ItemsImport!$A$2:$AD970,MATCH("Type",ItemsImport!$A$1:$AE$1,0),FALSE),"")</f>
        <v>Item</v>
      </c>
      <c r="H399" s="4" t="b">
        <v>0</v>
      </c>
      <c r="I399" s="1" t="str">
        <f>IFERROR(VLOOKUP($A399,ItemsImport!$A$2:$AD970,MATCH("ItemLoc",ItemsImport!$A$1:$AE$1,0),FALSE),"")</f>
        <v>Land of Spira</v>
      </c>
      <c r="W399" s="1" t="str">
        <f>IFERROR(__xludf.DUMMYFUNCTION("""COMPUTED_VALUE"""),"Crystal Apple")</f>
        <v>Crystal Apple</v>
      </c>
      <c r="X399" s="1" t="str">
        <f t="shared" si="1"/>
        <v/>
      </c>
    </row>
    <row r="400">
      <c r="A400" s="1" t="s">
        <v>433</v>
      </c>
      <c r="B400" s="1" t="str">
        <f>IFERROR(VLOOKUP($A400,ItemsImport!$A$2:$AD970,MATCH("Description",ItemsImport!$A$1:$AE$1,0),FALSE),"")</f>
        <v>Quest item, Crafting Material, roll a d20 to see how many you get if this is a loot drop.</v>
      </c>
      <c r="C400" s="1" t="str">
        <f>IFERROR(VLOOKUP($A400,ItemsImport!$A$2:$AD970,MATCH("Type",ItemsImport!$A$1:$AE$1,0),FALSE),"")</f>
        <v>Item</v>
      </c>
      <c r="H400" s="4" t="b">
        <v>0</v>
      </c>
      <c r="I400" s="1" t="str">
        <f>IFERROR(VLOOKUP($A400,ItemsImport!$A$2:$AD970,MATCH("ItemLoc",ItemsImport!$A$1:$AE$1,0),FALSE),"")</f>
        <v>Land of Spira</v>
      </c>
      <c r="W400" s="1" t="str">
        <f>IFERROR(__xludf.DUMMYFUNCTION("""COMPUTED_VALUE"""),"Dark Crystal Shard")</f>
        <v>Dark Crystal Shard</v>
      </c>
      <c r="X400" s="1" t="str">
        <f t="shared" si="1"/>
        <v/>
      </c>
    </row>
    <row r="401">
      <c r="A401" s="1" t="s">
        <v>434</v>
      </c>
      <c r="B401" s="1" t="str">
        <f>IFERROR(VLOOKUP($A401,ItemsImport!$A$2:$AD970,MATCH("Description",ItemsImport!$A$1:$AE$1,0),FALSE),"")</f>
        <v>Restores 100 Fuel</v>
      </c>
      <c r="C401" s="1" t="str">
        <f>IFERROR(VLOOKUP($A401,ItemsImport!$A$2:$AD970,MATCH("Type",ItemsImport!$A$1:$AE$1,0),FALSE),"")</f>
        <v>Item</v>
      </c>
      <c r="H401" s="4" t="b">
        <v>0</v>
      </c>
      <c r="I401" s="1" t="str">
        <f>IFERROR(VLOOKUP($A401,ItemsImport!$A$2:$AD970,MATCH("ItemLoc",ItemsImport!$A$1:$AE$1,0),FALSE),"")</f>
        <v>Land of Spira</v>
      </c>
      <c r="W401" s="1" t="str">
        <f>IFERROR(__xludf.DUMMYFUNCTION("""COMPUTED_VALUE"""),"Small Fuel Canister")</f>
        <v>Small Fuel Canister</v>
      </c>
      <c r="X401" s="1" t="str">
        <f t="shared" si="1"/>
        <v/>
      </c>
    </row>
    <row r="402">
      <c r="A402" s="1" t="s">
        <v>435</v>
      </c>
      <c r="B402" s="1" t="str">
        <f>IFERROR(VLOOKUP($A402,ItemsImport!$A$2:$AD970,MATCH("Description",ItemsImport!$A$1:$AE$1,0),FALSE),"")</f>
        <v>Restores 250 Fuel</v>
      </c>
      <c r="C402" s="1" t="str">
        <f>IFERROR(VLOOKUP($A402,ItemsImport!$A$2:$AD970,MATCH("Type",ItemsImport!$A$1:$AE$1,0),FALSE),"")</f>
        <v>Item</v>
      </c>
      <c r="H402" s="4" t="b">
        <v>0</v>
      </c>
      <c r="I402" s="1" t="str">
        <f>IFERROR(VLOOKUP($A402,ItemsImport!$A$2:$AD970,MATCH("ItemLoc",ItemsImport!$A$1:$AE$1,0),FALSE),"")</f>
        <v>Land of Spira</v>
      </c>
      <c r="W402" s="1" t="str">
        <f>IFERROR(__xludf.DUMMYFUNCTION("""COMPUTED_VALUE"""),"Medium Fuel Canister")</f>
        <v>Medium Fuel Canister</v>
      </c>
      <c r="X402" s="1" t="str">
        <f t="shared" si="1"/>
        <v/>
      </c>
    </row>
    <row r="403">
      <c r="A403" s="1" t="s">
        <v>436</v>
      </c>
      <c r="B403" s="1" t="str">
        <f>IFERROR(VLOOKUP($A403,ItemsImport!$A$2:$AD970,MATCH("Description",ItemsImport!$A$1:$AE$1,0),FALSE),"")</f>
        <v>Restores 500 Fuel</v>
      </c>
      <c r="C403" s="1" t="str">
        <f>IFERROR(VLOOKUP($A403,ItemsImport!$A$2:$AD970,MATCH("Type",ItemsImport!$A$1:$AE$1,0),FALSE),"")</f>
        <v>Item</v>
      </c>
      <c r="H403" s="4" t="b">
        <v>0</v>
      </c>
      <c r="I403" s="1" t="str">
        <f>IFERROR(VLOOKUP($A403,ItemsImport!$A$2:$AD970,MATCH("ItemLoc",ItemsImport!$A$1:$AE$1,0),FALSE),"")</f>
        <v>Land of Spira</v>
      </c>
      <c r="W403" s="1" t="str">
        <f>IFERROR(__xludf.DUMMYFUNCTION("""COMPUTED_VALUE"""),"Large Fuel Canister")</f>
        <v>Large Fuel Canister</v>
      </c>
      <c r="X403" s="1" t="str">
        <f t="shared" si="1"/>
        <v/>
      </c>
    </row>
    <row r="404">
      <c r="A404" s="1" t="s">
        <v>437</v>
      </c>
      <c r="B404" s="1" t="str">
        <f>IFERROR(VLOOKUP($A404,ItemsImport!$A$2:$AD970,MATCH("Description",ItemsImport!$A$1:$AE$1,0),FALSE),"")</f>
        <v>Absolved from all crimes whitin The Land of Spira. Can only be used once, Cannot be duplicated</v>
      </c>
      <c r="C404" s="1" t="str">
        <f>IFERROR(VLOOKUP($A404,ItemsImport!$A$2:$AD970,MATCH("Type",ItemsImport!$A$1:$AE$1,0),FALSE),"")</f>
        <v>Item</v>
      </c>
      <c r="H404" s="4" t="b">
        <v>0</v>
      </c>
      <c r="I404" s="1" t="str">
        <f>IFERROR(VLOOKUP($A404,ItemsImport!$A$2:$AD970,MATCH("ItemLoc",ItemsImport!$A$1:$AE$1,0),FALSE),"")</f>
        <v>Land of Spira</v>
      </c>
      <c r="W404" s="1" t="str">
        <f>IFERROR(__xludf.DUMMYFUNCTION("""COMPUTED_VALUE"""),"Letter from the Lord of Spira")</f>
        <v>Letter from the Lord of Spira</v>
      </c>
      <c r="X404" s="1" t="str">
        <f t="shared" si="1"/>
        <v/>
      </c>
    </row>
    <row r="405">
      <c r="A405" s="1" t="s">
        <v>438</v>
      </c>
      <c r="B405" s="1" t="str">
        <f>IFERROR(VLOOKUP($A405,ItemsImport!$A$2:$AD970,MATCH("Description",ItemsImport!$A$1:$AE$1,0),FALSE),"")</f>
        <v>if you can learn the power you may absorb it and put it in your spell book, otherwise you can read the scroll to use the power once</v>
      </c>
      <c r="C405" s="1" t="str">
        <f>IFERROR(VLOOKUP($A405,ItemsImport!$A$2:$AD970,MATCH("Type",ItemsImport!$A$1:$AE$1,0),FALSE),"")</f>
        <v>Item</v>
      </c>
      <c r="H405" s="4" t="b">
        <v>0</v>
      </c>
      <c r="I405" s="1" t="str">
        <f>IFERROR(VLOOKUP($A405,ItemsImport!$A$2:$AD970,MATCH("ItemLoc",ItemsImport!$A$1:$AE$1,0),FALSE),"")</f>
        <v>Abstara</v>
      </c>
      <c r="W405" s="1" t="str">
        <f>IFERROR(__xludf.DUMMYFUNCTION("""COMPUTED_VALUE"""),"Scroll of Bad Dreams")</f>
        <v>Scroll of Bad Dreams</v>
      </c>
      <c r="X405" s="1" t="str">
        <f t="shared" si="1"/>
        <v/>
      </c>
    </row>
    <row r="406">
      <c r="A406" s="1" t="s">
        <v>439</v>
      </c>
      <c r="B406" s="1" t="str">
        <f>IFERROR(VLOOKUP($A406,ItemsImport!$A$2:$AD970,MATCH("Description",ItemsImport!$A$1:$AE$1,0),FALSE),"")</f>
        <v>Crafting Material, roll a d20 to see how many you get if this is a loot drop.</v>
      </c>
      <c r="C406" s="1" t="str">
        <f>IFERROR(VLOOKUP($A406,ItemsImport!$A$2:$AD970,MATCH("Type",ItemsImport!$A$1:$AE$1,0),FALSE),"")</f>
        <v>Item</v>
      </c>
      <c r="H406" s="4" t="b">
        <v>0</v>
      </c>
      <c r="I406" s="1" t="str">
        <f>IFERROR(VLOOKUP($A406,ItemsImport!$A$2:$AD970,MATCH("ItemLoc",ItemsImport!$A$1:$AE$1,0),FALSE),"")</f>
        <v>Abstara</v>
      </c>
      <c r="W406" s="1" t="str">
        <f>IFERROR(__xludf.DUMMYFUNCTION("""COMPUTED_VALUE"""),"A Jar of Blood")</f>
        <v>A Jar of Blood</v>
      </c>
      <c r="X406" s="1" t="str">
        <f t="shared" si="1"/>
        <v/>
      </c>
    </row>
    <row r="407">
      <c r="A407" s="1" t="s">
        <v>440</v>
      </c>
      <c r="B407" s="1" t="str">
        <f>IFERROR(VLOOKUP($A407,ItemsImport!$A$2:$AD970,MATCH("Description",ItemsImport!$A$1:$AE$1,0),FALSE),"")</f>
        <v>Crafting Material, roll a d20 to see how many you get if this is a loot drop.</v>
      </c>
      <c r="C407" s="1" t="str">
        <f>IFERROR(VLOOKUP($A407,ItemsImport!$A$2:$AD970,MATCH("Type",ItemsImport!$A$1:$AE$1,0),FALSE),"")</f>
        <v>Item</v>
      </c>
      <c r="H407" s="4" t="b">
        <v>0</v>
      </c>
      <c r="I407" s="1" t="str">
        <f>IFERROR(VLOOKUP($A407,ItemsImport!$A$2:$AD970,MATCH("ItemLoc",ItemsImport!$A$1:$AE$1,0),FALSE),"")</f>
        <v>Abstara</v>
      </c>
      <c r="W407" s="1" t="str">
        <f>IFERROR(__xludf.DUMMYFUNCTION("""COMPUTED_VALUE"""),"Demon Blood")</f>
        <v>Demon Blood</v>
      </c>
      <c r="X407" s="1" t="str">
        <f t="shared" si="1"/>
        <v/>
      </c>
    </row>
    <row r="408">
      <c r="A408" s="1" t="s">
        <v>441</v>
      </c>
      <c r="B408" s="1" t="str">
        <f>IFERROR(VLOOKUP($A408,ItemsImport!$A$2:$AD970,MATCH("Description",ItemsImport!$A$1:$AE$1,0),FALSE),"")</f>
        <v>Crafting Material, roll a d20 to see how many you get if this is a loot drop.</v>
      </c>
      <c r="C408" s="1" t="str">
        <f>IFERROR(VLOOKUP($A408,ItemsImport!$A$2:$AD970,MATCH("Type",ItemsImport!$A$1:$AE$1,0),FALSE),"")</f>
        <v>Item</v>
      </c>
      <c r="H408" s="4" t="b">
        <v>0</v>
      </c>
      <c r="I408" s="1" t="str">
        <f>IFERROR(VLOOKUP($A408,ItemsImport!$A$2:$AD970,MATCH("ItemLoc",ItemsImport!$A$1:$AE$1,0),FALSE),"")</f>
        <v>Abstara</v>
      </c>
      <c r="W408" s="1" t="str">
        <f>IFERROR(__xludf.DUMMYFUNCTION("""COMPUTED_VALUE"""),"Demon Skull")</f>
        <v>Demon Skull</v>
      </c>
      <c r="X408" s="1" t="str">
        <f t="shared" si="1"/>
        <v/>
      </c>
    </row>
    <row r="409">
      <c r="A409" s="1" t="s">
        <v>442</v>
      </c>
      <c r="B409" s="1" t="str">
        <f>IFERROR(VLOOKUP($A409,ItemsImport!$A$2:$AD970,MATCH("Description",ItemsImport!$A$1:$AE$1,0),FALSE),"")</f>
        <v>Crafting Material, roll a d20 to see how many you get if this is a loot drop.</v>
      </c>
      <c r="C409" s="1" t="str">
        <f>IFERROR(VLOOKUP($A409,ItemsImport!$A$2:$AD970,MATCH("Type",ItemsImport!$A$1:$AE$1,0),FALSE),"")</f>
        <v>Item</v>
      </c>
      <c r="H409" s="4" t="b">
        <v>0</v>
      </c>
      <c r="I409" s="1" t="str">
        <f>IFERROR(VLOOKUP($A409,ItemsImport!$A$2:$AD970,MATCH("ItemLoc",ItemsImport!$A$1:$AE$1,0),FALSE),"")</f>
        <v>Abstara</v>
      </c>
      <c r="W409" s="1" t="str">
        <f>IFERROR(__xludf.DUMMYFUNCTION("""COMPUTED_VALUE"""),"Volcanic Teeth")</f>
        <v>Volcanic Teeth</v>
      </c>
      <c r="X409" s="1" t="str">
        <f t="shared" si="1"/>
        <v/>
      </c>
    </row>
    <row r="410">
      <c r="A410" s="1" t="s">
        <v>443</v>
      </c>
      <c r="B410" s="1" t="str">
        <f>IFERROR(VLOOKUP($A410,ItemsImport!$A$2:$AD970,MATCH("Description",ItemsImport!$A$1:$AE$1,0),FALSE),"")</f>
        <v>Crafting Material, roll a d20 to see how many you get if this is a loot drop.</v>
      </c>
      <c r="C410" s="1" t="str">
        <f>IFERROR(VLOOKUP($A410,ItemsImport!$A$2:$AD970,MATCH("Type",ItemsImport!$A$1:$AE$1,0),FALSE),"")</f>
        <v>Item</v>
      </c>
      <c r="H410" s="4" t="b">
        <v>0</v>
      </c>
      <c r="I410" s="1" t="str">
        <f>IFERROR(VLOOKUP($A410,ItemsImport!$A$2:$AD970,MATCH("ItemLoc",ItemsImport!$A$1:$AE$1,0),FALSE),"")</f>
        <v>Abstara</v>
      </c>
      <c r="W410" s="1" t="str">
        <f>IFERROR(__xludf.DUMMYFUNCTION("""COMPUTED_VALUE"""),"Volcanic Serpent Teeth ")</f>
        <v>Volcanic Serpent Teeth </v>
      </c>
      <c r="X410" s="1" t="str">
        <f t="shared" si="1"/>
        <v/>
      </c>
    </row>
    <row r="411">
      <c r="A411" s="1" t="s">
        <v>444</v>
      </c>
      <c r="B411" s="1" t="str">
        <f>IFERROR(VLOOKUP($A411,ItemsImport!$A$2:$AD970,MATCH("Description",ItemsImport!$A$1:$AE$1,0),FALSE),"")</f>
        <v>Crafting Material, roll a d20 to see how many you get if this is a loot drop.</v>
      </c>
      <c r="C411" s="1" t="str">
        <f>IFERROR(VLOOKUP($A411,ItemsImport!$A$2:$AD970,MATCH("Type",ItemsImport!$A$1:$AE$1,0),FALSE),"")</f>
        <v>Item</v>
      </c>
      <c r="H411" s="4" t="b">
        <v>0</v>
      </c>
      <c r="I411" s="1" t="str">
        <f>IFERROR(VLOOKUP($A411,ItemsImport!$A$2:$AD970,MATCH("ItemLoc",ItemsImport!$A$1:$AE$1,0),FALSE),"")</f>
        <v>Abstara</v>
      </c>
      <c r="W411" s="1" t="str">
        <f>IFERROR(__xludf.DUMMYFUNCTION("""COMPUTED_VALUE"""),"Volcanic Serpent Scales")</f>
        <v>Volcanic Serpent Scales</v>
      </c>
      <c r="X411" s="1" t="str">
        <f t="shared" si="1"/>
        <v/>
      </c>
    </row>
    <row r="412">
      <c r="A412" s="1" t="s">
        <v>445</v>
      </c>
      <c r="B412" s="1" t="str">
        <f>IFERROR(VLOOKUP($A412,ItemsImport!$A$2:$AD970,MATCH("Description",ItemsImport!$A$1:$AE$1,0),FALSE),"")</f>
        <v>Crafting Material, roll a d20 to see how many you get if this is a loot drop.</v>
      </c>
      <c r="C412" s="1" t="str">
        <f>IFERROR(VLOOKUP($A412,ItemsImport!$A$2:$AD970,MATCH("Type",ItemsImport!$A$1:$AE$1,0),FALSE),"")</f>
        <v>Item</v>
      </c>
      <c r="H412" s="4" t="b">
        <v>0</v>
      </c>
      <c r="I412" s="1" t="str">
        <f>IFERROR(VLOOKUP($A412,ItemsImport!$A$2:$AD970,MATCH("ItemLoc",ItemsImport!$A$1:$AE$1,0),FALSE),"")</f>
        <v>Abstara</v>
      </c>
      <c r="W412" s="1" t="str">
        <f>IFERROR(__xludf.DUMMYFUNCTION("""COMPUTED_VALUE"""),"Lava Panther Leather")</f>
        <v>Lava Panther Leather</v>
      </c>
      <c r="X412" s="1" t="str">
        <f t="shared" si="1"/>
        <v/>
      </c>
    </row>
    <row r="413">
      <c r="A413" s="1" t="s">
        <v>446</v>
      </c>
      <c r="B413" s="1" t="str">
        <f>IFERROR(VLOOKUP($A413,ItemsImport!$A$2:$AD970,MATCH("Description",ItemsImport!$A$1:$AE$1,0),FALSE),"")</f>
        <v>Return a banished character from banishment without having to fight the Keeper of the Banished. (1 use)</v>
      </c>
      <c r="C413" s="1" t="str">
        <f>IFERROR(VLOOKUP($A413,ItemsImport!$A$2:$AD970,MATCH("Type",ItemsImport!$A$1:$AE$1,0),FALSE),"")</f>
        <v>Item</v>
      </c>
      <c r="H413" s="4" t="b">
        <v>0</v>
      </c>
      <c r="I413" s="1" t="str">
        <f>IFERROR(VLOOKUP($A413,ItemsImport!$A$2:$AD970,MATCH("ItemLoc",ItemsImport!$A$1:$AE$1,0),FALSE),"")</f>
        <v>Abstara</v>
      </c>
      <c r="W413" s="1" t="str">
        <f>IFERROR(__xludf.DUMMYFUNCTION("""COMPUTED_VALUE"""),"Endless Dark Core")</f>
        <v>Endless Dark Core</v>
      </c>
      <c r="X413" s="1" t="str">
        <f t="shared" si="1"/>
        <v/>
      </c>
    </row>
    <row r="414">
      <c r="A414" s="1" t="s">
        <v>447</v>
      </c>
      <c r="B414" s="1" t="str">
        <f>IFERROR(VLOOKUP($A414,ItemsImport!$A$2:$AD970,MATCH("Description",ItemsImport!$A$1:$AE$1,0),FALSE),"")</f>
        <v>Crafting Material, roll a d20 to see how many you get if this is a loot drop.</v>
      </c>
      <c r="C414" s="1" t="str">
        <f>IFERROR(VLOOKUP($A414,ItemsImport!$A$2:$AD970,MATCH("Type",ItemsImport!$A$1:$AE$1,0),FALSE),"")</f>
        <v>Item</v>
      </c>
      <c r="H414" s="4" t="b">
        <v>0</v>
      </c>
      <c r="I414" s="1" t="str">
        <f>IFERROR(VLOOKUP($A414,ItemsImport!$A$2:$AD970,MATCH("ItemLoc",ItemsImport!$A$1:$AE$1,0),FALSE),"")</f>
        <v>Abstara</v>
      </c>
      <c r="W414" s="1" t="str">
        <f>IFERROR(__xludf.DUMMYFUNCTION("""COMPUTED_VALUE"""),"Endless Dark Dragon Scales")</f>
        <v>Endless Dark Dragon Scales</v>
      </c>
      <c r="X414" s="1" t="str">
        <f t="shared" si="1"/>
        <v/>
      </c>
    </row>
    <row r="415">
      <c r="A415" s="1" t="s">
        <v>448</v>
      </c>
      <c r="B415" s="1" t="str">
        <f>IFERROR(VLOOKUP($A415,ItemsImport!$A$2:$AD970,MATCH("Description",ItemsImport!$A$1:$AE$1,0),FALSE),"")</f>
        <v>Crafting Material, roll a d20 to see how many you get if this is a loot drop.</v>
      </c>
      <c r="C415" s="1" t="str">
        <f>IFERROR(VLOOKUP($A415,ItemsImport!$A$2:$AD970,MATCH("Type",ItemsImport!$A$1:$AE$1,0),FALSE),"")</f>
        <v>Item</v>
      </c>
      <c r="H415" s="4" t="b">
        <v>0</v>
      </c>
      <c r="I415" s="1" t="str">
        <f>IFERROR(VLOOKUP($A415,ItemsImport!$A$2:$AD970,MATCH("ItemLoc",ItemsImport!$A$1:$AE$1,0),FALSE),"")</f>
        <v>Abstara</v>
      </c>
      <c r="W415" s="1" t="str">
        <f>IFERROR(__xludf.DUMMYFUNCTION("""COMPUTED_VALUE"""),"Magma Stone")</f>
        <v>Magma Stone</v>
      </c>
      <c r="X415" s="1" t="str">
        <f t="shared" si="1"/>
        <v/>
      </c>
    </row>
    <row r="416">
      <c r="A416" s="1" t="s">
        <v>449</v>
      </c>
      <c r="B416" s="1" t="str">
        <f>IFERROR(VLOOKUP($A416,ItemsImport!$A$2:$AD970,MATCH("Description",ItemsImport!$A$1:$AE$1,0),FALSE),"")</f>
        <v>Crafting Material, roll a d20 to see how many you get if this is a loot drop.</v>
      </c>
      <c r="C416" s="1" t="str">
        <f>IFERROR(VLOOKUP($A416,ItemsImport!$A$2:$AD970,MATCH("Type",ItemsImport!$A$1:$AE$1,0),FALSE),"")</f>
        <v>Item</v>
      </c>
      <c r="H416" s="4" t="b">
        <v>0</v>
      </c>
      <c r="I416" s="1" t="str">
        <f>IFERROR(VLOOKUP($A416,ItemsImport!$A$2:$AD970,MATCH("ItemLoc",ItemsImport!$A$1:$AE$1,0),FALSE),"")</f>
        <v>Abstara</v>
      </c>
      <c r="W416" s="1" t="str">
        <f>IFERROR(__xludf.DUMMYFUNCTION("""COMPUTED_VALUE"""),"Inferno Feather")</f>
        <v>Inferno Feather</v>
      </c>
      <c r="X416" s="1" t="str">
        <f t="shared" si="1"/>
        <v/>
      </c>
    </row>
    <row r="417">
      <c r="A417" s="1" t="s">
        <v>450</v>
      </c>
      <c r="B417" s="1" t="str">
        <f>IFERROR(VLOOKUP($A417,ItemsImport!$A$2:$AD970,MATCH("Description",ItemsImport!$A$1:$AE$1,0),FALSE),"")</f>
        <v>Allows access to the Ruins of Mana.</v>
      </c>
      <c r="C417" s="1" t="str">
        <f>IFERROR(VLOOKUP($A417,ItemsImport!$A$2:$AD970,MATCH("Type",ItemsImport!$A$1:$AE$1,0),FALSE),"")</f>
        <v>Item</v>
      </c>
      <c r="H417" s="4" t="b">
        <v>0</v>
      </c>
      <c r="I417" s="1" t="str">
        <f>IFERROR(VLOOKUP($A417,ItemsImport!$A$2:$AD970,MATCH("ItemLoc",ItemsImport!$A$1:$AE$1,0),FALSE),"")</f>
        <v>Land of Spira</v>
      </c>
      <c r="W417" s="1" t="str">
        <f>IFERROR(__xludf.DUMMYFUNCTION("""COMPUTED_VALUE"""),"Ancient Stone Medallion")</f>
        <v>Ancient Stone Medallion</v>
      </c>
      <c r="X417" s="1" t="str">
        <f t="shared" si="1"/>
        <v/>
      </c>
    </row>
    <row r="418">
      <c r="A418" s="1" t="s">
        <v>451</v>
      </c>
      <c r="B418" s="1" t="str">
        <f>IFERROR(VLOOKUP($A418,ItemsImport!$A$2:$AD970,MATCH("Description",ItemsImport!$A$1:$AE$1,0),FALSE),"")</f>
        <v>When consumed, roll a d20. For the next 3 rounds, lose the result d20x100 health and gain the result d20x500SP.</v>
      </c>
      <c r="C418" s="1" t="str">
        <f>IFERROR(VLOOKUP($A418,ItemsImport!$A$2:$AD970,MATCH("Type",ItemsImport!$A$1:$AE$1,0),FALSE),"")</f>
        <v>Item</v>
      </c>
      <c r="H418" s="4" t="b">
        <v>0</v>
      </c>
      <c r="I418" s="1" t="str">
        <f>IFERROR(VLOOKUP($A418,ItemsImport!$A$2:$AD970,MATCH("ItemLoc",ItemsImport!$A$1:$AE$1,0),FALSE),"")</f>
        <v>Land of Spira</v>
      </c>
      <c r="W418" s="1" t="str">
        <f>IFERROR(__xludf.DUMMYFUNCTION("""COMPUTED_VALUE"""),"Vial of Unknown Liquid")</f>
        <v>Vial of Unknown Liquid</v>
      </c>
      <c r="X418" s="1" t="str">
        <f t="shared" si="1"/>
        <v/>
      </c>
    </row>
    <row r="419">
      <c r="A419" s="1" t="s">
        <v>452</v>
      </c>
      <c r="B419" s="1" t="str">
        <f>IFERROR(VLOOKUP($A419,ItemsImport!$A$2:$AD970,MATCH("Description",ItemsImport!$A$1:$AE$1,0),FALSE),"")</f>
        <v>100/100 Uses. Used for fishing.</v>
      </c>
      <c r="C419" s="1" t="str">
        <f>IFERROR(VLOOKUP($A419,ItemsImport!$A$2:$AD970,MATCH("Type",ItemsImport!$A$1:$AE$1,0),FALSE),"")</f>
        <v>Item</v>
      </c>
      <c r="H419" s="4" t="b">
        <v>0</v>
      </c>
      <c r="I419" s="1" t="str">
        <f>IFERROR(VLOOKUP($A419,ItemsImport!$A$2:$AD970,MATCH("ItemLoc",ItemsImport!$A$1:$AE$1,0),FALSE),"")</f>
        <v>Land of Spira</v>
      </c>
      <c r="W419" s="1" t="str">
        <f>IFERROR(__xludf.DUMMYFUNCTION("""COMPUTED_VALUE"""),"Diamond Fishing Pole ")</f>
        <v>Diamond Fishing Pole </v>
      </c>
      <c r="X419" s="1" t="str">
        <f t="shared" si="1"/>
        <v/>
      </c>
    </row>
    <row r="420">
      <c r="A420" s="1" t="s">
        <v>453</v>
      </c>
      <c r="B420" s="1" t="str">
        <f>IFERROR(VLOOKUP($A420,ItemsImport!$A$2:$AD970,MATCH("Description",ItemsImport!$A$1:$AE$1,0),FALSE),"")</f>
        <v>120/120 Uses. Used for fishing.</v>
      </c>
      <c r="C420" s="1" t="str">
        <f>IFERROR(VLOOKUP($A420,ItemsImport!$A$2:$AD970,MATCH("Type",ItemsImport!$A$1:$AE$1,0),FALSE),"")</f>
        <v>Item</v>
      </c>
      <c r="H420" s="4" t="b">
        <v>0</v>
      </c>
      <c r="I420" s="1" t="str">
        <f>IFERROR(VLOOKUP($A420,ItemsImport!$A$2:$AD970,MATCH("ItemLoc",ItemsImport!$A$1:$AE$1,0),FALSE),"")</f>
        <v>Land of Spira</v>
      </c>
      <c r="W420" s="1" t="str">
        <f>IFERROR(__xludf.DUMMYFUNCTION("""COMPUTED_VALUE"""),"Obsidian Fishing Pole ")</f>
        <v>Obsidian Fishing Pole </v>
      </c>
      <c r="X420" s="1" t="str">
        <f t="shared" si="1"/>
        <v/>
      </c>
    </row>
    <row r="421">
      <c r="A421" s="1" t="s">
        <v>454</v>
      </c>
      <c r="B421" s="1" t="str">
        <f>IFERROR(VLOOKUP($A421,ItemsImport!$A$2:$AD970,MATCH("Description",ItemsImport!$A$1:$AE$1,0),FALSE),"")</f>
        <v>80/80 Uses. Used for mining.</v>
      </c>
      <c r="C421" s="1" t="str">
        <f>IFERROR(VLOOKUP($A421,ItemsImport!$A$2:$AD970,MATCH("Type",ItemsImport!$A$1:$AE$1,0),FALSE),"")</f>
        <v>Item</v>
      </c>
      <c r="H421" s="4" t="b">
        <v>0</v>
      </c>
      <c r="I421" s="1" t="str">
        <f>IFERROR(VLOOKUP($A421,ItemsImport!$A$2:$AD970,MATCH("ItemLoc",ItemsImport!$A$1:$AE$1,0),FALSE),"")</f>
        <v>Land of Spira</v>
      </c>
      <c r="W421" s="1" t="str">
        <f>IFERROR(__xludf.DUMMYFUNCTION("""COMPUTED_VALUE"""),"Golden Pickaxe")</f>
        <v>Golden Pickaxe</v>
      </c>
      <c r="X421" s="1" t="str">
        <f t="shared" si="1"/>
        <v/>
      </c>
    </row>
    <row r="422">
      <c r="A422" s="1" t="s">
        <v>455</v>
      </c>
      <c r="B422" s="1" t="str">
        <f>IFERROR(VLOOKUP($A422,ItemsImport!$A$2:$AD970,MATCH("Description",ItemsImport!$A$1:$AE$1,0),FALSE),"")</f>
        <v>10/10 Uses. Used for mining.</v>
      </c>
      <c r="C422" s="1" t="str">
        <f>IFERROR(VLOOKUP($A422,ItemsImport!$A$2:$AD970,MATCH("Type",ItemsImport!$A$1:$AE$1,0),FALSE),"")</f>
        <v>Item</v>
      </c>
      <c r="H422" s="4" t="b">
        <v>0</v>
      </c>
      <c r="I422" s="1" t="str">
        <f>IFERROR(VLOOKUP($A422,ItemsImport!$A$2:$AD970,MATCH("ItemLoc",ItemsImport!$A$1:$AE$1,0),FALSE),"")</f>
        <v>Land of Spira</v>
      </c>
      <c r="W422" s="1" t="str">
        <f>IFERROR(__xludf.DUMMYFUNCTION("""COMPUTED_VALUE"""),"Wooden Pickaxe")</f>
        <v>Wooden Pickaxe</v>
      </c>
      <c r="X422" s="1" t="str">
        <f t="shared" si="1"/>
        <v/>
      </c>
    </row>
    <row r="423">
      <c r="A423" s="1" t="s">
        <v>456</v>
      </c>
      <c r="B423" s="1" t="str">
        <f>IFERROR(VLOOKUP($A423,ItemsImport!$A$2:$AD970,MATCH("Description",ItemsImport!$A$1:$AE$1,0),FALSE),"")</f>
        <v>20/20 Uses. Used for mining.</v>
      </c>
      <c r="C423" s="1" t="str">
        <f>IFERROR(VLOOKUP($A423,ItemsImport!$A$2:$AD970,MATCH("Type",ItemsImport!$A$1:$AE$1,0),FALSE),"")</f>
        <v>Item</v>
      </c>
      <c r="H423" s="4" t="b">
        <v>0</v>
      </c>
      <c r="I423" s="1" t="str">
        <f>IFERROR(VLOOKUP($A423,ItemsImport!$A$2:$AD970,MATCH("ItemLoc",ItemsImport!$A$1:$AE$1,0),FALSE),"")</f>
        <v>Land of Spira</v>
      </c>
      <c r="W423" s="1" t="str">
        <f>IFERROR(__xludf.DUMMYFUNCTION("""COMPUTED_VALUE"""),"Iron Pickaxe")</f>
        <v>Iron Pickaxe</v>
      </c>
      <c r="X423" s="1" t="str">
        <f t="shared" si="1"/>
        <v/>
      </c>
    </row>
    <row r="424">
      <c r="A424" s="1" t="s">
        <v>457</v>
      </c>
      <c r="B424" s="1" t="str">
        <f>IFERROR(VLOOKUP($A424,ItemsImport!$A$2:$AD970,MATCH("Description",ItemsImport!$A$1:$AE$1,0),FALSE),"")</f>
        <v>60/60 Uses. Used for mining.</v>
      </c>
      <c r="C424" s="1" t="str">
        <f>IFERROR(VLOOKUP($A424,ItemsImport!$A$2:$AD970,MATCH("Type",ItemsImport!$A$1:$AE$1,0),FALSE),"")</f>
        <v>Item</v>
      </c>
      <c r="H424" s="4" t="b">
        <v>0</v>
      </c>
      <c r="I424" s="1" t="str">
        <f>IFERROR(VLOOKUP($A424,ItemsImport!$A$2:$AD970,MATCH("ItemLoc",ItemsImport!$A$1:$AE$1,0),FALSE),"")</f>
        <v>Land of Spira</v>
      </c>
      <c r="W424" s="1" t="str">
        <f>IFERROR(__xludf.DUMMYFUNCTION("""COMPUTED_VALUE"""),"Silver Pickaxe")</f>
        <v>Silver Pickaxe</v>
      </c>
      <c r="X424" s="1" t="str">
        <f t="shared" si="1"/>
        <v/>
      </c>
    </row>
    <row r="425">
      <c r="A425" s="1" t="s">
        <v>458</v>
      </c>
      <c r="B425" s="1" t="str">
        <f>IFERROR(VLOOKUP($A425,ItemsImport!$A$2:$AD970,MATCH("Description",ItemsImport!$A$1:$AE$1,0),FALSE),"")</f>
        <v>100/100 Uses. Used for mining.</v>
      </c>
      <c r="C425" s="1" t="str">
        <f>IFERROR(VLOOKUP($A425,ItemsImport!$A$2:$AD970,MATCH("Type",ItemsImport!$A$1:$AE$1,0),FALSE),"")</f>
        <v>Item</v>
      </c>
      <c r="H425" s="4" t="b">
        <v>0</v>
      </c>
      <c r="I425" s="1" t="str">
        <f>IFERROR(VLOOKUP($A425,ItemsImport!$A$2:$AD970,MATCH("ItemLoc",ItemsImport!$A$1:$AE$1,0),FALSE),"")</f>
        <v>Land of Spira</v>
      </c>
      <c r="W425" s="1" t="str">
        <f>IFERROR(__xludf.DUMMYFUNCTION("""COMPUTED_VALUE"""),"Diamond Pickaxe")</f>
        <v>Diamond Pickaxe</v>
      </c>
      <c r="X425" s="1" t="str">
        <f t="shared" si="1"/>
        <v/>
      </c>
    </row>
    <row r="426">
      <c r="A426" s="1" t="s">
        <v>459</v>
      </c>
      <c r="B426" s="1" t="str">
        <f>IFERROR(VLOOKUP($A426,ItemsImport!$A$2:$AD970,MATCH("Description",ItemsImport!$A$1:$AE$1,0),FALSE),"")</f>
        <v>120/120 Uses. Used for mining.</v>
      </c>
      <c r="C426" s="1" t="str">
        <f>IFERROR(VLOOKUP($A426,ItemsImport!$A$2:$AD970,MATCH("Type",ItemsImport!$A$1:$AE$1,0),FALSE),"")</f>
        <v>Item</v>
      </c>
      <c r="H426" s="4" t="b">
        <v>0</v>
      </c>
      <c r="I426" s="1" t="str">
        <f>IFERROR(VLOOKUP($A426,ItemsImport!$A$2:$AD970,MATCH("ItemLoc",ItemsImport!$A$1:$AE$1,0),FALSE),"")</f>
        <v>Land of Spira</v>
      </c>
      <c r="W426" s="1" t="str">
        <f>IFERROR(__xludf.DUMMYFUNCTION("""COMPUTED_VALUE"""),"Obsidian Pickaxe")</f>
        <v>Obsidian Pickaxe</v>
      </c>
      <c r="X426" s="1" t="str">
        <f t="shared" si="1"/>
        <v/>
      </c>
    </row>
    <row r="427">
      <c r="A427" s="1" t="s">
        <v>460</v>
      </c>
      <c r="B427" s="1" t="str">
        <f>IFERROR(VLOOKUP($A427,ItemsImport!$A$2:$AD970,MATCH("Description",ItemsImport!$A$1:$AE$1,0),FALSE),"")</f>
        <v>Made out of Iron. 20/20 Uses. Will cook fish caught giving them an additional hunger. Used for fishing.</v>
      </c>
      <c r="C427" s="1" t="str">
        <f>IFERROR(VLOOKUP($A427,ItemsImport!$A$2:$AD970,MATCH("Type",ItemsImport!$A$1:$AE$1,0),FALSE),"")</f>
        <v>Crop</v>
      </c>
      <c r="H427" s="4" t="b">
        <v>0</v>
      </c>
      <c r="I427" s="1" t="str">
        <f>IFERROR(VLOOKUP($A427,ItemsImport!$A$2:$AD970,MATCH("ItemLoc",ItemsImport!$A$1:$AE$1,0),FALSE),"")</f>
        <v>Land of Spira</v>
      </c>
      <c r="W427" s="1" t="str">
        <f>IFERROR(__xludf.DUMMYFUNCTION("""COMPUTED_VALUE"""),"Fire Fishing Pole ")</f>
        <v>Fire Fishing Pole </v>
      </c>
      <c r="X427" s="1" t="str">
        <f t="shared" si="1"/>
        <v/>
      </c>
    </row>
    <row r="428">
      <c r="A428" s="1" t="s">
        <v>461</v>
      </c>
      <c r="B428" s="1" t="str">
        <f>IFERROR(VLOOKUP($A428,ItemsImport!$A$2:$AD970,MATCH("Description",ItemsImport!$A$1:$AE$1,0),FALSE),"")</f>
        <v>80/80 uses. Used for fishing.</v>
      </c>
      <c r="C428" s="1" t="str">
        <f>IFERROR(VLOOKUP($A428,ItemsImport!$A$2:$AD970,MATCH("Type",ItemsImport!$A$1:$AE$1,0),FALSE),"")</f>
        <v>Item</v>
      </c>
      <c r="H428" s="4" t="b">
        <v>0</v>
      </c>
      <c r="I428" s="1" t="str">
        <f>IFERROR(VLOOKUP($A428,ItemsImport!$A$2:$AD970,MATCH("ItemLoc",ItemsImport!$A$1:$AE$1,0),FALSE),"")</f>
        <v>Land of Spira</v>
      </c>
      <c r="W428" s="1" t="str">
        <f>IFERROR(__xludf.DUMMYFUNCTION("""COMPUTED_VALUE"""),"Golden Fishing Pole ")</f>
        <v>Golden Fishing Pole </v>
      </c>
      <c r="X428" s="1" t="str">
        <f t="shared" si="1"/>
        <v/>
      </c>
    </row>
    <row r="429">
      <c r="A429" s="1" t="s">
        <v>462</v>
      </c>
      <c r="B429" s="1" t="str">
        <f>IFERROR(VLOOKUP($A429,ItemsImport!$A$2:$AD970,MATCH("Description",ItemsImport!$A$1:$AE$1,0),FALSE),"")</f>
        <v>10/10 uses. Used for fishing.</v>
      </c>
      <c r="C429" s="1" t="str">
        <f>IFERROR(VLOOKUP($A429,ItemsImport!$A$2:$AD970,MATCH("Type",ItemsImport!$A$1:$AE$1,0),FALSE),"")</f>
        <v>Item</v>
      </c>
      <c r="H429" s="4" t="b">
        <v>0</v>
      </c>
      <c r="I429" s="1" t="str">
        <f>IFERROR(VLOOKUP($A429,ItemsImport!$A$2:$AD970,MATCH("ItemLoc",ItemsImport!$A$1:$AE$1,0),FALSE),"")</f>
        <v>Land of Spira</v>
      </c>
      <c r="W429" s="1" t="str">
        <f>IFERROR(__xludf.DUMMYFUNCTION("""COMPUTED_VALUE"""),"Wooden Fishing Pole ")</f>
        <v>Wooden Fishing Pole </v>
      </c>
      <c r="X429" s="1" t="str">
        <f t="shared" si="1"/>
        <v/>
      </c>
    </row>
    <row r="430">
      <c r="A430" s="1" t="s">
        <v>463</v>
      </c>
      <c r="B430" s="1" t="str">
        <f>IFERROR(VLOOKUP($A430,ItemsImport!$A$2:$AD970,MATCH("Description",ItemsImport!$A$1:$AE$1,0),FALSE),"")</f>
        <v>40/40 Uses. Used for fishing.</v>
      </c>
      <c r="C430" s="1" t="str">
        <f>IFERROR(VLOOKUP($A430,ItemsImport!$A$2:$AD970,MATCH("Type",ItemsImport!$A$1:$AE$1,0),FALSE),"")</f>
        <v>Item</v>
      </c>
      <c r="H430" s="4" t="b">
        <v>0</v>
      </c>
      <c r="I430" s="1" t="str">
        <f>IFERROR(VLOOKUP($A430,ItemsImport!$A$2:$AD970,MATCH("ItemLoc",ItemsImport!$A$1:$AE$1,0),FALSE),"")</f>
        <v>Land of Spira</v>
      </c>
      <c r="W430" s="1" t="str">
        <f>IFERROR(__xludf.DUMMYFUNCTION("""COMPUTED_VALUE"""),"Steel Fishing Pole ")</f>
        <v>Steel Fishing Pole </v>
      </c>
      <c r="X430" s="1" t="str">
        <f t="shared" si="1"/>
        <v/>
      </c>
    </row>
    <row r="431">
      <c r="A431" s="1" t="s">
        <v>464</v>
      </c>
      <c r="B431" s="1" t="str">
        <f>IFERROR(VLOOKUP($A431,ItemsImport!$A$2:$AD970,MATCH("Description",ItemsImport!$A$1:$AE$1,0),FALSE),"")</f>
        <v>60/60 Uses. Used for fishing.</v>
      </c>
      <c r="C431" s="1" t="str">
        <f>IFERROR(VLOOKUP($A431,ItemsImport!$A$2:$AD970,MATCH("Type",ItemsImport!$A$1:$AE$1,0),FALSE),"")</f>
        <v>Item</v>
      </c>
      <c r="H431" s="4" t="b">
        <v>0</v>
      </c>
      <c r="I431" s="1" t="str">
        <f>IFERROR(VLOOKUP($A431,ItemsImport!$A$2:$AD970,MATCH("ItemLoc",ItemsImport!$A$1:$AE$1,0),FALSE),"")</f>
        <v>Land of Spira</v>
      </c>
      <c r="W431" s="1" t="str">
        <f>IFERROR(__xludf.DUMMYFUNCTION("""COMPUTED_VALUE"""),"Silver Fishing Pole ")</f>
        <v>Silver Fishing Pole </v>
      </c>
      <c r="X431" s="1" t="str">
        <f t="shared" si="1"/>
        <v/>
      </c>
    </row>
    <row r="432">
      <c r="A432" s="1" t="s">
        <v>465</v>
      </c>
      <c r="B432" s="1" t="str">
        <f>IFERROR(VLOOKUP($A432,ItemsImport!$A$2:$AD970,MATCH("Description",ItemsImport!$A$1:$AE$1,0),FALSE),"")</f>
        <v>20/20 Uses. Used for fishing.</v>
      </c>
      <c r="C432" s="1" t="str">
        <f>IFERROR(VLOOKUP($A432,ItemsImport!$A$2:$AD970,MATCH("Type",ItemsImport!$A$1:$AE$1,0),FALSE),"")</f>
        <v>Item</v>
      </c>
      <c r="H432" s="4" t="b">
        <v>0</v>
      </c>
      <c r="I432" s="1" t="str">
        <f>IFERROR(VLOOKUP($A432,ItemsImport!$A$2:$AD970,MATCH("ItemLoc",ItemsImport!$A$1:$AE$1,0),FALSE),"")</f>
        <v>Land of Spira</v>
      </c>
      <c r="W432" s="1" t="str">
        <f>IFERROR(__xludf.DUMMYFUNCTION("""COMPUTED_VALUE"""),"Iron Fishing Pole ")</f>
        <v>Iron Fishing Pole </v>
      </c>
      <c r="X432" s="1" t="str">
        <f t="shared" si="1"/>
        <v/>
      </c>
    </row>
    <row r="433">
      <c r="A433" s="1" t="s">
        <v>466</v>
      </c>
      <c r="B433" s="1" t="str">
        <f>IFERROR(VLOOKUP($A433,ItemsImport!$A$2:$AD970,MATCH("Description",ItemsImport!$A$1:$AE$1,0),FALSE),"")</f>
        <v>Crafting Material, roll a d20 to see how many you get if this is a loot drop.</v>
      </c>
      <c r="C433" s="1" t="str">
        <f>IFERROR(VLOOKUP($A433,ItemsImport!$A$2:$AD970,MATCH("Type",ItemsImport!$A$1:$AE$1,0),FALSE),"")</f>
        <v>Item</v>
      </c>
      <c r="H433" s="4" t="b">
        <v>0</v>
      </c>
      <c r="I433" s="1" t="str">
        <f>IFERROR(VLOOKUP($A433,ItemsImport!$A$2:$AD970,MATCH("ItemLoc",ItemsImport!$A$1:$AE$1,0),FALSE),"")</f>
        <v>Land of Spira</v>
      </c>
      <c r="W433" s="1" t="str">
        <f>IFERROR(__xludf.DUMMYFUNCTION("""COMPUTED_VALUE"""),"Elemental Crystal")</f>
        <v>Elemental Crystal</v>
      </c>
      <c r="X433" s="1" t="str">
        <f t="shared" si="1"/>
        <v/>
      </c>
    </row>
    <row r="434">
      <c r="A434" s="1" t="s">
        <v>467</v>
      </c>
      <c r="B434" s="1" t="str">
        <f>IFERROR(VLOOKUP($A434,ItemsImport!$A$2:$AD970,MATCH("Description",ItemsImport!$A$1:$AE$1,0),FALSE),"")</f>
        <v>Crafting Material, roll a d20 to see how many you get if this is a loot drop.</v>
      </c>
      <c r="C434" s="1" t="str">
        <f>IFERROR(VLOOKUP($A434,ItemsImport!$A$2:$AD970,MATCH("Type",ItemsImport!$A$1:$AE$1,0),FALSE),"")</f>
        <v>Item</v>
      </c>
      <c r="H434" s="4" t="b">
        <v>0</v>
      </c>
      <c r="I434" s="1" t="str">
        <f>IFERROR(VLOOKUP($A434,ItemsImport!$A$2:$AD970,MATCH("ItemLoc",ItemsImport!$A$1:$AE$1,0),FALSE),"")</f>
        <v>Land of Spira</v>
      </c>
      <c r="W434" s="1" t="str">
        <f>IFERROR(__xludf.DUMMYFUNCTION("""COMPUTED_VALUE"""),"Leather")</f>
        <v>Leather</v>
      </c>
      <c r="X434" s="1" t="str">
        <f t="shared" si="1"/>
        <v/>
      </c>
    </row>
    <row r="435">
      <c r="A435" s="1" t="s">
        <v>468</v>
      </c>
      <c r="B435" s="1" t="str">
        <f>IFERROR(VLOOKUP($A435,ItemsImport!$A$2:$AD970,MATCH("Description",ItemsImport!$A$1:$AE$1,0),FALSE),"")</f>
        <v>Allows lava fishing, Unbreakable.</v>
      </c>
      <c r="C435" s="1" t="str">
        <f>IFERROR(VLOOKUP($A435,ItemsImport!$A$2:$AD970,MATCH("Type",ItemsImport!$A$1:$AE$1,0),FALSE),"")</f>
        <v>Item</v>
      </c>
      <c r="H435" s="4" t="b">
        <v>1</v>
      </c>
      <c r="I435" s="1" t="str">
        <f>IFERROR(VLOOKUP($A435,ItemsImport!$A$2:$AD970,MATCH("ItemLoc",ItemsImport!$A$1:$AE$1,0),FALSE),"")</f>
        <v>Abstara</v>
      </c>
      <c r="W435" s="1" t="str">
        <f>IFERROR(__xludf.DUMMYFUNCTION("""COMPUTED_VALUE"""),"Pearlescent Fishing Rod ")</f>
        <v>Pearlescent Fishing Rod </v>
      </c>
      <c r="X435" s="1" t="str">
        <f t="shared" si="1"/>
        <v/>
      </c>
    </row>
    <row r="436">
      <c r="A436" s="1" t="s">
        <v>469</v>
      </c>
      <c r="B436" s="1" t="str">
        <f>IFERROR(VLOOKUP($A436,ItemsImport!$A$2:$AD970,MATCH("Description",ItemsImport!$A$1:$AE$1,0),FALSE),"")</f>
        <v>Crafting Material, roll a d20 to see how many you get if this is a loot drop. A celestial stone holding minor heavenly power.</v>
      </c>
      <c r="C436" s="1" t="str">
        <f>IFERROR(VLOOKUP($A436,ItemsImport!$A$2:$AD970,MATCH("Type",ItemsImport!$A$1:$AE$1,0),FALSE),"")</f>
        <v>Item</v>
      </c>
      <c r="H436" s="4" t="b">
        <v>0</v>
      </c>
      <c r="I436" s="1" t="str">
        <f>IFERROR(VLOOKUP($A436,ItemsImport!$A$2:$AD970,MATCH("ItemLoc",ItemsImport!$A$1:$AE$1,0),FALSE),"")</f>
        <v>Land of Spira</v>
      </c>
      <c r="W436" s="1" t="str">
        <f>IFERROR(__xludf.DUMMYFUNCTION("""COMPUTED_VALUE"""),"Mithril")</f>
        <v>Mithril</v>
      </c>
      <c r="X436" s="1" t="str">
        <f t="shared" si="1"/>
        <v/>
      </c>
    </row>
    <row r="437">
      <c r="A437" s="1" t="s">
        <v>470</v>
      </c>
      <c r="B437" s="1" t="str">
        <f>IFERROR(VLOOKUP($A437,ItemsImport!$A$2:$AD970,MATCH("Description",ItemsImport!$A$1:$AE$1,0),FALSE),"")</f>
        <v>Crafting Material, roll a d20 to see how many you get if this is a loot drop.</v>
      </c>
      <c r="C437" s="1" t="str">
        <f>IFERROR(VLOOKUP($A437,ItemsImport!$A$2:$AD970,MATCH("Type",ItemsImport!$A$1:$AE$1,0),FALSE),"")</f>
        <v>Item</v>
      </c>
      <c r="H437" s="4" t="b">
        <v>0</v>
      </c>
      <c r="I437" s="1" t="str">
        <f>IFERROR(VLOOKUP($A437,ItemsImport!$A$2:$AD970,MATCH("ItemLoc",ItemsImport!$A$1:$AE$1,0),FALSE),"")</f>
        <v>Dragonscale Island</v>
      </c>
      <c r="W437" s="1" t="str">
        <f>IFERROR(__xludf.DUMMYFUNCTION("""COMPUTED_VALUE"""),"Enchanted Leather")</f>
        <v>Enchanted Leather</v>
      </c>
      <c r="X437" s="1" t="str">
        <f t="shared" si="1"/>
        <v/>
      </c>
    </row>
    <row r="438">
      <c r="A438" s="1" t="s">
        <v>471</v>
      </c>
      <c r="B438" s="1" t="str">
        <f>IFERROR(VLOOKUP($A438,ItemsImport!$A$2:$AD970,MATCH("Description",ItemsImport!$A$1:$AE$1,0),FALSE),"")</f>
        <v>Ammo</v>
      </c>
      <c r="C438" s="1" t="str">
        <f>IFERROR(VLOOKUP($A438,ItemsImport!$A$2:$AD970,MATCH("Type",ItemsImport!$A$1:$AE$1,0),FALSE),"")</f>
        <v>Item</v>
      </c>
      <c r="H438" s="4" t="b">
        <v>0</v>
      </c>
      <c r="I438" s="1" t="str">
        <f>IFERROR(VLOOKUP($A438,ItemsImport!$A$2:$AD970,MATCH("ItemLoc",ItemsImport!$A$1:$AE$1,0),FALSE),"")</f>
        <v>Dragonscale Island</v>
      </c>
      <c r="W438" s="1" t="str">
        <f>IFERROR(__xludf.DUMMYFUNCTION("""COMPUTED_VALUE"""),"Dart")</f>
        <v>Dart</v>
      </c>
      <c r="X438" s="1" t="str">
        <f t="shared" si="1"/>
        <v/>
      </c>
    </row>
    <row r="439">
      <c r="A439" s="1" t="s">
        <v>472</v>
      </c>
      <c r="B439" s="1" t="str">
        <f>IFERROR(VLOOKUP($A439,ItemsImport!$A$2:$AD970,MATCH("Description",ItemsImport!$A$1:$AE$1,0),FALSE),"")</f>
        <v>Flip: If heads 11-20 gain +5 Wisdom and Evasion until the end of battle. If tails 1-10 Half evasion and Wisdom. This item can only be used once per Battle/RP action. Cannot be duplicated.</v>
      </c>
      <c r="C439" s="1" t="str">
        <f>IFERROR(VLOOKUP($A439,ItemsImport!$A$2:$AD970,MATCH("Type",ItemsImport!$A$1:$AE$1,0),FALSE),"")</f>
        <v>Item</v>
      </c>
      <c r="H439" s="4" t="b">
        <v>1</v>
      </c>
      <c r="I439" s="1" t="str">
        <f>IFERROR(VLOOKUP($A439,ItemsImport!$A$2:$AD970,MATCH("ItemLoc",ItemsImport!$A$1:$AE$1,0),FALSE),"")</f>
        <v>Land of Spira</v>
      </c>
      <c r="W439" s="1" t="str">
        <f>IFERROR(__xludf.DUMMYFUNCTION("""COMPUTED_VALUE"""),"Golden Coin")</f>
        <v>Golden Coin</v>
      </c>
      <c r="X439" s="1" t="str">
        <f t="shared" si="1"/>
        <v/>
      </c>
    </row>
    <row r="440">
      <c r="A440" s="1" t="s">
        <v>473</v>
      </c>
      <c r="B440" s="1" t="str">
        <f>IFERROR(VLOOKUP($A440,ItemsImport!$A$2:$AD970,MATCH("Description",ItemsImport!$A$1:$AE$1,0),FALSE),"")</f>
        <v>Illuminates your path or any room your in</v>
      </c>
      <c r="C440" s="1" t="str">
        <f>IFERROR(VLOOKUP($A440,ItemsImport!$A$2:$AD970,MATCH("Type",ItemsImport!$A$1:$AE$1,0),FALSE),"")</f>
        <v>Item</v>
      </c>
      <c r="H440" s="4" t="b">
        <v>0</v>
      </c>
      <c r="I440" s="1" t="str">
        <f>IFERROR(VLOOKUP($A440,ItemsImport!$A$2:$AD970,MATCH("ItemLoc",ItemsImport!$A$1:$AE$1,0),FALSE),"")</f>
        <v>Land of Spira</v>
      </c>
      <c r="W440" s="1" t="str">
        <f>IFERROR(__xludf.DUMMYFUNCTION("""COMPUTED_VALUE"""),"Oil lamp")</f>
        <v>Oil lamp</v>
      </c>
      <c r="X440" s="1" t="str">
        <f t="shared" si="1"/>
        <v/>
      </c>
    </row>
    <row r="441">
      <c r="A441" s="4" t="s">
        <v>474</v>
      </c>
      <c r="B441" s="1" t="str">
        <f>IFERROR(VLOOKUP($A441,ItemsImport!$A$2:$AD970,MATCH("Description",ItemsImport!$A$1:$AE$1,0),FALSE),"")</f>
        <v>Can harvest in X/X days.</v>
      </c>
      <c r="C441" s="1" t="str">
        <f>IFERROR(VLOOKUP($A441,ItemsImport!$A$2:$AD970,MATCH("Type",ItemsImport!$A$1:$AE$1,0),FALSE),"")</f>
        <v>Item</v>
      </c>
      <c r="H441" s="4" t="b">
        <v>0</v>
      </c>
      <c r="I441" s="1" t="str">
        <f>IFERROR(VLOOKUP($A441,ItemsImport!$A$2:$AD970,MATCH("ItemLoc",ItemsImport!$A$1:$AE$1,0),FALSE),"")</f>
        <v>Land of Spira</v>
      </c>
      <c r="W441" s="1" t="str">
        <f>IFERROR(__xludf.DUMMYFUNCTION("""COMPUTED_VALUE"""),"Seed")</f>
        <v>Seed</v>
      </c>
      <c r="X441" s="1" t="str">
        <f t="shared" si="1"/>
        <v/>
      </c>
    </row>
    <row r="442">
      <c r="A442" s="17" t="s">
        <v>475</v>
      </c>
      <c r="B442" s="1" t="str">
        <f>IFERROR(VLOOKUP($A442,ItemsImport!$A$2:$AD970,MATCH("Description",ItemsImport!$A$1:$AE$1,0),FALSE),"")</f>
        <v>Using this will make all your weapon or natural attacks inflict an enemy with Poison 500 for 3 rounds.</v>
      </c>
      <c r="C442" s="1" t="str">
        <f>IFERROR(VLOOKUP($A442,ItemsImport!$A$2:$AD970,MATCH("Type",ItemsImport!$A$1:$AE$1,0),FALSE),"")</f>
        <v>Item</v>
      </c>
      <c r="H442" s="4" t="b">
        <v>0</v>
      </c>
      <c r="I442" s="1" t="str">
        <f>IFERROR(VLOOKUP($A442,ItemsImport!$A$2:$AD970,MATCH("ItemLoc",ItemsImport!$A$1:$AE$1,0),FALSE),"")</f>
        <v>Land of Spira</v>
      </c>
      <c r="W442" s="1" t="str">
        <f>IFERROR(__xludf.DUMMYFUNCTION("""COMPUTED_VALUE"""),"Potion of Cure Disease")</f>
        <v>Potion of Cure Disease</v>
      </c>
      <c r="X442" s="1" t="str">
        <f t="shared" si="1"/>
        <v/>
      </c>
    </row>
    <row r="443">
      <c r="A443" s="17" t="s">
        <v>476</v>
      </c>
      <c r="B443" s="1" t="str">
        <f>IFERROR(VLOOKUP($A443,ItemsImport!$A$2:$AD970,MATCH("Description",ItemsImport!$A$1:$AE$1,0),FALSE),"")</f>
        <v>Restores 20 hunger</v>
      </c>
      <c r="C443" s="1" t="str">
        <f>IFERROR(VLOOKUP($A443,ItemsImport!$A$2:$AD970,MATCH("Type",ItemsImport!$A$1:$AE$1,0),FALSE),"")</f>
        <v>Crop</v>
      </c>
      <c r="H443" s="4" t="b">
        <v>0</v>
      </c>
      <c r="I443" s="1" t="str">
        <f>IFERROR(VLOOKUP($A443,ItemsImport!$A$2:$AD970,MATCH("ItemLoc",ItemsImport!$A$1:$AE$1,0),FALSE),"")</f>
        <v>Land of Spira</v>
      </c>
      <c r="W443" s="1" t="str">
        <f>IFERROR(__xludf.DUMMYFUNCTION("""COMPUTED_VALUE"""),"Poison Vial")</f>
        <v>Poison Vial</v>
      </c>
      <c r="X443" s="1" t="str">
        <f t="shared" si="1"/>
        <v/>
      </c>
    </row>
    <row r="444">
      <c r="A444" s="17" t="s">
        <v>477</v>
      </c>
      <c r="B444" s="1" t="str">
        <f>IFERROR(VLOOKUP($A444,ItemsImport!$A$2:$AD970,MATCH("Description",ItemsImport!$A$1:$AE$1,0),FALSE),"")</f>
        <v>Restores 20 hunger</v>
      </c>
      <c r="C444" s="1" t="str">
        <f>IFERROR(VLOOKUP($A444,ItemsImport!$A$2:$AD970,MATCH("Type",ItemsImport!$A$1:$AE$1,0),FALSE),"")</f>
        <v>Crop</v>
      </c>
      <c r="H444" s="4" t="b">
        <v>0</v>
      </c>
      <c r="I444" s="1" t="str">
        <f>IFERROR(VLOOKUP($A444,ItemsImport!$A$2:$AD970,MATCH("ItemLoc",ItemsImport!$A$1:$AE$1,0),FALSE),"")</f>
        <v>Land of Spira</v>
      </c>
      <c r="W444" s="1" t="str">
        <f>IFERROR(__xludf.DUMMYFUNCTION("""COMPUTED_VALUE"""),"Stag Meat")</f>
        <v>Stag Meat</v>
      </c>
      <c r="X444" s="1" t="str">
        <f t="shared" si="1"/>
        <v/>
      </c>
    </row>
    <row r="445">
      <c r="A445" s="17" t="s">
        <v>478</v>
      </c>
      <c r="B445" s="1" t="str">
        <f>IFERROR(VLOOKUP($A445,ItemsImport!$A$2:$AD970,MATCH("Description",ItemsImport!$A$1:$AE$1,0),FALSE),"")</f>
        <v>Crafting Material, roll a d20 to see how many you get if this is a loot drop.</v>
      </c>
      <c r="C445" s="1" t="str">
        <f>IFERROR(VLOOKUP($A445,ItemsImport!$A$2:$AD970,MATCH("Type",ItemsImport!$A$1:$AE$1,0),FALSE),"")</f>
        <v>Item</v>
      </c>
      <c r="H445" s="4" t="b">
        <v>0</v>
      </c>
      <c r="I445" s="1" t="str">
        <f>IFERROR(VLOOKUP($A445,ItemsImport!$A$2:$AD970,MATCH("ItemLoc",ItemsImport!$A$1:$AE$1,0),FALSE),"")</f>
        <v>Land of Spira</v>
      </c>
      <c r="W445" s="1" t="str">
        <f>IFERROR(__xludf.DUMMYFUNCTION("""COMPUTED_VALUE"""),"Steed Meat")</f>
        <v>Steed Meat</v>
      </c>
      <c r="X445" s="1" t="str">
        <f t="shared" si="1"/>
        <v/>
      </c>
    </row>
    <row r="446">
      <c r="A446" s="17" t="s">
        <v>479</v>
      </c>
      <c r="B446" s="1" t="str">
        <f>IFERROR(VLOOKUP($A446,ItemsImport!$A$2:$AD970,MATCH("Description",ItemsImport!$A$1:$AE$1,0),FALSE),"")</f>
        <v>Crafting Material, roll a d20 to see how many you get if this is a loot drop.</v>
      </c>
      <c r="C446" s="1" t="str">
        <f>IFERROR(VLOOKUP($A446,ItemsImport!$A$2:$AD970,MATCH("Type",ItemsImport!$A$1:$AE$1,0),FALSE),"")</f>
        <v>Item</v>
      </c>
      <c r="H446" s="4" t="b">
        <v>1</v>
      </c>
      <c r="I446" s="1" t="str">
        <f>IFERROR(VLOOKUP($A446,ItemsImport!$A$2:$AD970,MATCH("ItemLoc",ItemsImport!$A$1:$AE$1,0),FALSE),"")</f>
        <v>Land of Spira</v>
      </c>
      <c r="W446" s="1" t="str">
        <f>IFERROR(__xludf.DUMMYFUNCTION("""COMPUTED_VALUE"""),"Moonstone")</f>
        <v>Moonstone</v>
      </c>
      <c r="X446" s="1" t="str">
        <f t="shared" si="1"/>
        <v/>
      </c>
    </row>
    <row r="447">
      <c r="A447" s="17" t="s">
        <v>480</v>
      </c>
      <c r="B447" s="1" t="str">
        <f>IFERROR(VLOOKUP($A447,ItemsImport!$A$2:$AD970,MATCH("Description",ItemsImport!$A$1:$AE$1,0),FALSE),"")</f>
        <v>Requires a Treasure Chest key to open</v>
      </c>
      <c r="C447" s="1" t="str">
        <f>IFERROR(VLOOKUP($A447,ItemsImport!$A$2:$AD970,MATCH("Type",ItemsImport!$A$1:$AE$1,0),FALSE),"")</f>
        <v>Item</v>
      </c>
      <c r="H447" s="4" t="b">
        <v>1</v>
      </c>
      <c r="I447" s="1" t="str">
        <f>IFERROR(VLOOKUP($A447,ItemsImport!$A$2:$AD970,MATCH("ItemLoc",ItemsImport!$A$1:$AE$1,0),FALSE),"")</f>
        <v>Land of Spira</v>
      </c>
      <c r="W447" s="1" t="str">
        <f>IFERROR(__xludf.DUMMYFUNCTION("""COMPUTED_VALUE"""),"Sunstone")</f>
        <v>Sunstone</v>
      </c>
      <c r="X447" s="1" t="str">
        <f t="shared" si="1"/>
        <v/>
      </c>
    </row>
    <row r="448">
      <c r="A448" s="17" t="s">
        <v>481</v>
      </c>
      <c r="B448" s="1" t="str">
        <f>IFERROR(VLOOKUP($A448,ItemsImport!$A$2:$AD970,MATCH("Description",ItemsImport!$A$1:$AE$1,0),FALSE),"")</f>
        <v>Requires a Treasure Chest key to open</v>
      </c>
      <c r="C448" s="1" t="str">
        <f>IFERROR(VLOOKUP($A448,ItemsImport!$A$2:$AD970,MATCH("Type",ItemsImport!$A$1:$AE$1,0),FALSE),"")</f>
        <v>Item</v>
      </c>
      <c r="H448" s="4" t="b">
        <v>1</v>
      </c>
      <c r="I448" s="1" t="str">
        <f>IFERROR(VLOOKUP($A448,ItemsImport!$A$2:$AD970,MATCH("ItemLoc",ItemsImport!$A$1:$AE$1,0),FALSE),"")</f>
        <v>Land of Spira</v>
      </c>
      <c r="W448" s="1" t="str">
        <f>IFERROR(__xludf.DUMMYFUNCTION("""COMPUTED_VALUE"""),"Tier 1 Treasure Chest (Non-Magical)")</f>
        <v>Tier 1 Treasure Chest (Non-Magical)</v>
      </c>
      <c r="X448" s="1" t="str">
        <f t="shared" si="1"/>
        <v/>
      </c>
    </row>
    <row r="449">
      <c r="A449" s="17" t="s">
        <v>482</v>
      </c>
      <c r="B449" s="1" t="str">
        <f>IFERROR(VLOOKUP($A449,ItemsImport!$A$2:$AD970,MATCH("Description",ItemsImport!$A$1:$AE$1,0),FALSE),"")</f>
        <v>Requires a Treasure Chest key to open</v>
      </c>
      <c r="C449" s="1" t="str">
        <f>IFERROR(VLOOKUP($A449,ItemsImport!$A$2:$AD970,MATCH("Type",ItemsImport!$A$1:$AE$1,0),FALSE),"")</f>
        <v>Item</v>
      </c>
      <c r="H449" s="4" t="b">
        <v>1</v>
      </c>
      <c r="I449" s="1" t="str">
        <f>IFERROR(VLOOKUP($A449,ItemsImport!$A$2:$AD970,MATCH("ItemLoc",ItemsImport!$A$1:$AE$1,0),FALSE),"")</f>
        <v>Land of Spira</v>
      </c>
      <c r="W449" s="1" t="str">
        <f>IFERROR(__xludf.DUMMYFUNCTION("""COMPUTED_VALUE"""),"Tier 2 Treasure Chest (Non-Magical)")</f>
        <v>Tier 2 Treasure Chest (Non-Magical)</v>
      </c>
      <c r="X449" s="1" t="str">
        <f t="shared" si="1"/>
        <v/>
      </c>
    </row>
    <row r="450">
      <c r="A450" s="17" t="s">
        <v>483</v>
      </c>
      <c r="B450" s="1" t="str">
        <f>IFERROR(VLOOKUP($A450,ItemsImport!$A$2:$AD970,MATCH("Description",ItemsImport!$A$1:$AE$1,0),FALSE),"")</f>
        <v>Unlocks Tier 1-3 Treasure Chests.</v>
      </c>
      <c r="C450" s="1" t="str">
        <f>IFERROR(VLOOKUP($A450,ItemsImport!$A$2:$AD970,MATCH("Type",ItemsImport!$A$1:$AE$1,0),FALSE),"")</f>
        <v>Item</v>
      </c>
      <c r="H450" s="4" t="b">
        <v>1</v>
      </c>
      <c r="I450" s="1" t="str">
        <f>IFERROR(VLOOKUP($A450,ItemsImport!$A$2:$AD970,MATCH("ItemLoc",ItemsImport!$A$1:$AE$1,0),FALSE),"")</f>
        <v>Land of Spira</v>
      </c>
      <c r="W450" s="1" t="str">
        <f>IFERROR(__xludf.DUMMYFUNCTION("""COMPUTED_VALUE"""),"Tier 3 Treasure Chest (Non-Magical)")</f>
        <v>Tier 3 Treasure Chest (Non-Magical)</v>
      </c>
      <c r="X450" s="1" t="str">
        <f t="shared" si="1"/>
        <v/>
      </c>
    </row>
    <row r="451">
      <c r="A451" s="4" t="s">
        <v>484</v>
      </c>
      <c r="B451" s="1" t="str">
        <f>IFERROR(VLOOKUP($A451,ItemsImport!$A$2:$AD970,MATCH("Description",ItemsImport!$A$1:$AE$1,0),FALSE),"")</f>
        <v>Disease Antidote.</v>
      </c>
      <c r="C451" s="1" t="str">
        <f>IFERROR(VLOOKUP($A451,ItemsImport!$A$2:$AD970,MATCH("Type",ItemsImport!$A$1:$AE$1,0),FALSE),"")</f>
        <v>Item</v>
      </c>
      <c r="H451" s="4" t="b">
        <v>1</v>
      </c>
      <c r="I451" s="1" t="str">
        <f>IFERROR(VLOOKUP($A451,ItemsImport!$A$2:$AD970,MATCH("ItemLoc",ItemsImport!$A$1:$AE$1,0),FALSE),"")</f>
        <v>Land of Spira</v>
      </c>
      <c r="W451" s="1" t="str">
        <f>IFERROR(__xludf.DUMMYFUNCTION("""COMPUTED_VALUE"""),"Treasure Chest Key (Non-Magical)")</f>
        <v>Treasure Chest Key (Non-Magical)</v>
      </c>
      <c r="X451" s="1" t="str">
        <f t="shared" si="1"/>
        <v/>
      </c>
    </row>
    <row r="452">
      <c r="A452" s="4" t="s">
        <v>485</v>
      </c>
      <c r="B452" s="1" t="str">
        <f>IFERROR(VLOOKUP($A452,ItemsImport!$A$2:$AD970,MATCH("Description",ItemsImport!$A$1:$AE$1,0),FALSE),"")</f>
        <v>Missile Turret Ammunition.+50,000 Damage. +50,000 Fire Damage. roll a d5 to see how many you get if this is a loot drop.</v>
      </c>
      <c r="C452" s="1" t="str">
        <f>IFERROR(VLOOKUP($A452,ItemsImport!$A$2:$AD970,MATCH("Type",ItemsImport!$A$1:$AE$1,0),FALSE),"")</f>
        <v>Item</v>
      </c>
      <c r="H452" s="4" t="b">
        <v>0</v>
      </c>
      <c r="I452" s="1" t="str">
        <f>IFERROR(VLOOKUP($A452,ItemsImport!$A$2:$AD970,MATCH("ItemLoc",ItemsImport!$A$1:$AE$1,0),FALSE),"")</f>
        <v>Land of Spira</v>
      </c>
      <c r="W452" s="1" t="str">
        <f>IFERROR(__xludf.DUMMYFUNCTION("""COMPUTED_VALUE"""),"Random Dragon Egg")</f>
        <v>Random Dragon Egg</v>
      </c>
      <c r="X452" s="1" t="str">
        <f t="shared" si="1"/>
        <v>Random Dragon Egg</v>
      </c>
    </row>
    <row r="453">
      <c r="A453" s="4" t="s">
        <v>486</v>
      </c>
      <c r="B453" s="1" t="str">
        <f>IFERROR(VLOOKUP($A453,ItemsImport!$A$2:$AD970,MATCH("Description",ItemsImport!$A$1:$AE$1,0),FALSE),"")</f>
        <v>Missile Turret Ammunition.+100,000 Damage. +100,000 Fire Damage. +Burn 10,000. +Poison 10,000. roll a d5 to see how many you get if this is a loot drop.</v>
      </c>
      <c r="C453" s="1" t="str">
        <f>IFERROR(VLOOKUP($A453,ItemsImport!$A$2:$AD970,MATCH("Type",ItemsImport!$A$1:$AE$1,0),FALSE),"")</f>
        <v>Item</v>
      </c>
      <c r="H453" s="4" t="b">
        <v>0</v>
      </c>
      <c r="I453" s="1" t="str">
        <f>IFERROR(VLOOKUP($A453,ItemsImport!$A$2:$AD970,MATCH("ItemLoc",ItemsImport!$A$1:$AE$1,0),FALSE),"")</f>
        <v>Land of Spira</v>
      </c>
      <c r="W453" s="1" t="str">
        <f>IFERROR(__xludf.DUMMYFUNCTION("""COMPUTED_VALUE"""),"Poisoned Bolts")</f>
        <v>Poisoned Bolts</v>
      </c>
      <c r="X453" s="1" t="str">
        <f t="shared" si="1"/>
        <v>Poisoned Bolts</v>
      </c>
    </row>
    <row r="454">
      <c r="A454" s="4" t="s">
        <v>487</v>
      </c>
      <c r="B454" s="1" t="str">
        <f>IFERROR(VLOOKUP($A454,ItemsImport!$A$2:$AD970,MATCH("Description",ItemsImport!$A$1:$AE$1,0),FALSE),"")</f>
        <v>Missile Turret Ammunition. +50,000 Damage. +50,000 Storm Damage. +25% chance the target(s) losses it's next turn. roll a d5 to see how many you get if this is a loot drop.</v>
      </c>
      <c r="C454" s="1" t="str">
        <f>IFERROR(VLOOKUP($A454,ItemsImport!$A$2:$AD970,MATCH("Type",ItemsImport!$A$1:$AE$1,0),FALSE),"")</f>
        <v>Item</v>
      </c>
      <c r="H454" s="4" t="b">
        <v>0</v>
      </c>
      <c r="I454" s="1" t="str">
        <f>IFERROR(VLOOKUP($A454,ItemsImport!$A$2:$AD970,MATCH("ItemLoc",ItemsImport!$A$1:$AE$1,0),FALSE),"")</f>
        <v>Land of Spira</v>
      </c>
      <c r="W454" s="1" t="str">
        <f>IFERROR(__xludf.DUMMYFUNCTION("""COMPUTED_VALUE"""),"Standard Missile")</f>
        <v>Standard Missile</v>
      </c>
      <c r="X454" s="1" t="str">
        <f t="shared" si="1"/>
        <v/>
      </c>
    </row>
    <row r="455">
      <c r="A455" s="4" t="s">
        <v>488</v>
      </c>
      <c r="B455" s="1" t="str">
        <f>IFERROR(VLOOKUP($A455,ItemsImport!$A$2:$AD970,MATCH("Description",ItemsImport!$A$1:$AE$1,0),FALSE),"")</f>
        <v>Firearm Ammunition. +100 chaos damage. roll a d20 to see how many you get if this is a loot drop.</v>
      </c>
      <c r="C455" s="1" t="str">
        <f>IFERROR(VLOOKUP($A455,ItemsImport!$A$2:$AD970,MATCH("Type",ItemsImport!$A$1:$AE$1,0),FALSE),"")</f>
        <v>Item</v>
      </c>
      <c r="H455" s="4" t="b">
        <v>0</v>
      </c>
      <c r="I455" s="1" t="str">
        <f>IFERROR(VLOOKUP($A455,ItemsImport!$A$2:$AD970,MATCH("ItemLoc",ItemsImport!$A$1:$AE$1,0),FALSE),"")</f>
        <v>Land of Spira</v>
      </c>
      <c r="W455" s="1" t="str">
        <f>IFERROR(__xludf.DUMMYFUNCTION("""COMPUTED_VALUE"""),"Nuclear Missile")</f>
        <v>Nuclear Missile</v>
      </c>
      <c r="X455" s="1" t="str">
        <f t="shared" si="1"/>
        <v/>
      </c>
    </row>
    <row r="456">
      <c r="A456" s="4" t="s">
        <v>489</v>
      </c>
      <c r="B456" s="1" t="str">
        <f>IFERROR(VLOOKUP($A456,ItemsImport!$A$2:$AD970,MATCH("Description",ItemsImport!$A$1:$AE$1,0),FALSE),"")</f>
        <v>Firearm Ammunition. +100 dark damage. roll a d20 to see how many you get if this is a loot drop.</v>
      </c>
      <c r="C456" s="1" t="str">
        <f>IFERROR(VLOOKUP($A456,ItemsImport!$A$2:$AD970,MATCH("Type",ItemsImport!$A$1:$AE$1,0),FALSE),"")</f>
        <v>Item</v>
      </c>
      <c r="H456" s="4" t="b">
        <v>0</v>
      </c>
      <c r="I456" s="1" t="str">
        <f>IFERROR(VLOOKUP($A456,ItemsImport!$A$2:$AD970,MATCH("ItemLoc",ItemsImport!$A$1:$AE$1,0),FALSE),"")</f>
        <v>Land of Spira</v>
      </c>
      <c r="W456" s="1" t="str">
        <f>IFERROR(__xludf.DUMMYFUNCTION("""COMPUTED_VALUE"""),"EMP Missile")</f>
        <v>EMP Missile</v>
      </c>
      <c r="X456" s="1" t="str">
        <f t="shared" si="1"/>
        <v/>
      </c>
    </row>
    <row r="457">
      <c r="A457" s="4" t="s">
        <v>490</v>
      </c>
      <c r="B457" s="1" t="str">
        <f>IFERROR(VLOOKUP($A457,ItemsImport!$A$2:$AD970,MATCH("Description",ItemsImport!$A$1:$AE$1,0),FALSE),"")</f>
        <v>Firearm Ammunition. +100 earth damage. roll a d20 to see how many you get if this is a loot drop.</v>
      </c>
      <c r="C457" s="1" t="str">
        <f>IFERROR(VLOOKUP($A457,ItemsImport!$A$2:$AD970,MATCH("Type",ItemsImport!$A$1:$AE$1,0),FALSE),"")</f>
        <v>Item</v>
      </c>
      <c r="H457" s="4" t="b">
        <v>0</v>
      </c>
      <c r="I457" s="1" t="str">
        <f>IFERROR(VLOOKUP($A457,ItemsImport!$A$2:$AD970,MATCH("ItemLoc",ItemsImport!$A$1:$AE$1,0),FALSE),"")</f>
        <v>Land of Spira</v>
      </c>
      <c r="W457" s="1" t="str">
        <f>IFERROR(__xludf.DUMMYFUNCTION("""COMPUTED_VALUE"""),"Chaos Bullet")</f>
        <v>Chaos Bullet</v>
      </c>
      <c r="X457" s="1" t="str">
        <f t="shared" si="1"/>
        <v/>
      </c>
    </row>
    <row r="458">
      <c r="A458" s="4" t="s">
        <v>491</v>
      </c>
      <c r="B458" s="1" t="str">
        <f>IFERROR(VLOOKUP($A458,ItemsImport!$A$2:$AD970,MATCH("Description",ItemsImport!$A$1:$AE$1,0),FALSE),"")</f>
        <v>Firearm Ammunition. +100 fire damage. roll a d20 to see how many you get if this is a loot drop.</v>
      </c>
      <c r="C458" s="1" t="str">
        <f>IFERROR(VLOOKUP($A458,ItemsImport!$A$2:$AD970,MATCH("Type",ItemsImport!$A$1:$AE$1,0),FALSE),"")</f>
        <v>Item</v>
      </c>
      <c r="H458" s="4" t="b">
        <v>0</v>
      </c>
      <c r="I458" s="1" t="str">
        <f>IFERROR(VLOOKUP($A458,ItemsImport!$A$2:$AD970,MATCH("ItemLoc",ItemsImport!$A$1:$AE$1,0),FALSE),"")</f>
        <v>Land of Spira</v>
      </c>
      <c r="W458" s="1" t="str">
        <f>IFERROR(__xludf.DUMMYFUNCTION("""COMPUTED_VALUE"""),"Dark Bullet")</f>
        <v>Dark Bullet</v>
      </c>
      <c r="X458" s="1" t="str">
        <f t="shared" si="1"/>
        <v/>
      </c>
    </row>
    <row r="459">
      <c r="A459" s="4" t="s">
        <v>492</v>
      </c>
      <c r="B459" s="1" t="str">
        <f>IFERROR(VLOOKUP($A459,ItemsImport!$A$2:$AD970,MATCH("Description",ItemsImport!$A$1:$AE$1,0),FALSE),"")</f>
        <v>Firearm Ammunition. +100 light damage. roll a d20 to see how many you get if this is a loot drop.</v>
      </c>
      <c r="C459" s="1" t="str">
        <f>IFERROR(VLOOKUP($A459,ItemsImport!$A$2:$AD970,MATCH("Type",ItemsImport!$A$1:$AE$1,0),FALSE),"")</f>
        <v>Item</v>
      </c>
      <c r="H459" s="4" t="b">
        <v>0</v>
      </c>
      <c r="I459" s="1" t="str">
        <f>IFERROR(VLOOKUP($A459,ItemsImport!$A$2:$AD970,MATCH("ItemLoc",ItemsImport!$A$1:$AE$1,0),FALSE),"")</f>
        <v>Land of Spira</v>
      </c>
      <c r="W459" s="1" t="str">
        <f>IFERROR(__xludf.DUMMYFUNCTION("""COMPUTED_VALUE"""),"Earth Bullet")</f>
        <v>Earth Bullet</v>
      </c>
      <c r="X459" s="1" t="str">
        <f t="shared" si="1"/>
        <v/>
      </c>
    </row>
    <row r="460">
      <c r="A460" s="4" t="s">
        <v>493</v>
      </c>
      <c r="B460" s="1" t="str">
        <f>IFERROR(VLOOKUP($A460,ItemsImport!$A$2:$AD970,MATCH("Description",ItemsImport!$A$1:$AE$1,0),FALSE),"")</f>
        <v>Firearm Ammunition. +100 spirit damage. roll a d20 to see how many you get if this is a loot drop.</v>
      </c>
      <c r="C460" s="1" t="str">
        <f>IFERROR(VLOOKUP($A460,ItemsImport!$A$2:$AD970,MATCH("Type",ItemsImport!$A$1:$AE$1,0),FALSE),"")</f>
        <v>Item</v>
      </c>
      <c r="H460" s="4" t="b">
        <v>0</v>
      </c>
      <c r="I460" s="1" t="str">
        <f>IFERROR(VLOOKUP($A460,ItemsImport!$A$2:$AD970,MATCH("ItemLoc",ItemsImport!$A$1:$AE$1,0),FALSE),"")</f>
        <v>Land of Spira</v>
      </c>
      <c r="W460" s="1" t="str">
        <f>IFERROR(__xludf.DUMMYFUNCTION("""COMPUTED_VALUE"""),"Fire Bullet")</f>
        <v>Fire Bullet</v>
      </c>
      <c r="X460" s="1" t="str">
        <f t="shared" si="1"/>
        <v/>
      </c>
    </row>
    <row r="461">
      <c r="A461" s="4" t="s">
        <v>494</v>
      </c>
      <c r="B461" s="1" t="str">
        <f>IFERROR(VLOOKUP($A461,ItemsImport!$A$2:$AD970,MATCH("Description",ItemsImport!$A$1:$AE$1,0),FALSE),"")</f>
        <v>Firearm Ammunition. +100 storm damage. +25% chance of Stun 3 to the enemy if using no more than 1 bullet. roll a d20 to see how many you get if this is a loot drop.</v>
      </c>
      <c r="C461" s="1" t="str">
        <f>IFERROR(VLOOKUP($A461,ItemsImport!$A$2:$AD970,MATCH("Type",ItemsImport!$A$1:$AE$1,0),FALSE),"")</f>
        <v>Item</v>
      </c>
      <c r="H461" s="4" t="b">
        <v>0</v>
      </c>
      <c r="I461" s="1" t="str">
        <f>IFERROR(VLOOKUP($A461,ItemsImport!$A$2:$AD970,MATCH("ItemLoc",ItemsImport!$A$1:$AE$1,0),FALSE),"")</f>
        <v>Land of Spira</v>
      </c>
      <c r="W461" s="1" t="str">
        <f>IFERROR(__xludf.DUMMYFUNCTION("""COMPUTED_VALUE"""),"Light Bullet")</f>
        <v>Light Bullet</v>
      </c>
      <c r="X461" s="1" t="str">
        <f t="shared" si="1"/>
        <v/>
      </c>
    </row>
    <row r="462">
      <c r="A462" s="4" t="s">
        <v>495</v>
      </c>
      <c r="B462" s="1" t="str">
        <f>IFERROR(VLOOKUP($A462,ItemsImport!$A$2:$AD970,MATCH("Description",ItemsImport!$A$1:$AE$1,0),FALSE),"")</f>
        <v>Firearm Ammunition. +100 fire damage. +25% chance of Freeze to the enemy if using no more than 1 bullet. roll a d20 to see how many you get if this is a loot drop.</v>
      </c>
      <c r="C462" s="1" t="str">
        <f>IFERROR(VLOOKUP($A462,ItemsImport!$A$2:$AD970,MATCH("Type",ItemsImport!$A$1:$AE$1,0),FALSE),"")</f>
        <v>Item</v>
      </c>
      <c r="H462" s="4" t="b">
        <v>0</v>
      </c>
      <c r="I462" s="1" t="str">
        <f>IFERROR(VLOOKUP($A462,ItemsImport!$A$2:$AD970,MATCH("ItemLoc",ItemsImport!$A$1:$AE$1,0),FALSE),"")</f>
        <v>Land of Spira</v>
      </c>
      <c r="W462" s="1" t="str">
        <f>IFERROR(__xludf.DUMMYFUNCTION("""COMPUTED_VALUE"""),"Spectral Bullet")</f>
        <v>Spectral Bullet</v>
      </c>
      <c r="X462" s="1" t="str">
        <f t="shared" si="1"/>
        <v/>
      </c>
    </row>
    <row r="463">
      <c r="A463" s="4" t="s">
        <v>496</v>
      </c>
      <c r="B463" s="1" t="str">
        <f>IFERROR(VLOOKUP($A463,ItemsImport!$A$2:$AD970,MATCH("Description",ItemsImport!$A$1:$AE$1,0),FALSE),"")</f>
        <v>Firearm Ammunition. +Restores 1000 HP and SP to the target if using no more than 1 bullet. roll a d20 to see how many you get if this is a loot drop.</v>
      </c>
      <c r="C463" s="1" t="str">
        <f>IFERROR(VLOOKUP($A463,ItemsImport!$A$2:$AD970,MATCH("Type",ItemsImport!$A$1:$AE$1,0),FALSE),"")</f>
        <v>Item</v>
      </c>
      <c r="H463" s="4" t="b">
        <v>0</v>
      </c>
      <c r="I463" s="1" t="str">
        <f>IFERROR(VLOOKUP($A463,ItemsImport!$A$2:$AD970,MATCH("ItemLoc",ItemsImport!$A$1:$AE$1,0),FALSE),"")</f>
        <v>Land of Spira</v>
      </c>
      <c r="W463" s="1" t="str">
        <f>IFERROR(__xludf.DUMMYFUNCTION("""COMPUTED_VALUE"""),"Stunning Bullet")</f>
        <v>Stunning Bullet</v>
      </c>
      <c r="X463" s="1" t="str">
        <f t="shared" si="1"/>
        <v/>
      </c>
    </row>
    <row r="464">
      <c r="A464" s="4" t="s">
        <v>497</v>
      </c>
      <c r="B464" s="1" t="str">
        <f>IFERROR(VLOOKUP($A464,ItemsImport!$A$2:$AD970,MATCH("Description",ItemsImport!$A$1:$AE$1,0),FALSE),"")</f>
        <v>Bow Ammunition. +500 celestial damage. roll a d20 to see how many you get if this is a loot drop.</v>
      </c>
      <c r="C464" s="1" t="str">
        <f>IFERROR(VLOOKUP($A464,ItemsImport!$A$2:$AD970,MATCH("Type",ItemsImport!$A$1:$AE$1,0),FALSE),"")</f>
        <v>Item</v>
      </c>
      <c r="H464" s="4" t="b">
        <v>0</v>
      </c>
      <c r="I464" s="1" t="str">
        <f>IFERROR(VLOOKUP($A464,ItemsImport!$A$2:$AD970,MATCH("ItemLoc",ItemsImport!$A$1:$AE$1,0),FALSE),"")</f>
        <v>Land of Spira</v>
      </c>
      <c r="W464" s="1" t="str">
        <f>IFERROR(__xludf.DUMMYFUNCTION("""COMPUTED_VALUE"""),"Freezing Bullet")</f>
        <v>Freezing Bullet</v>
      </c>
      <c r="X464" s="1" t="str">
        <f t="shared" si="1"/>
        <v/>
      </c>
    </row>
    <row r="465">
      <c r="A465" s="4" t="s">
        <v>498</v>
      </c>
      <c r="B465" s="1" t="str">
        <f>IFERROR(VLOOKUP($A465,ItemsImport!$A$2:$AD970,MATCH("Description",ItemsImport!$A$1:$AE$1,0),FALSE),"")</f>
        <v>Bow Ammunition. +500 chaos damage. roll a d20 to see how many you get if this is a loot drop.</v>
      </c>
      <c r="C465" s="1" t="str">
        <f>IFERROR(VLOOKUP($A465,ItemsImport!$A$2:$AD970,MATCH("Type",ItemsImport!$A$1:$AE$1,0),FALSE),"")</f>
        <v>Item</v>
      </c>
      <c r="H465" s="4" t="b">
        <v>0</v>
      </c>
      <c r="I465" s="1" t="str">
        <f>IFERROR(VLOOKUP($A465,ItemsImport!$A$2:$AD970,MATCH("ItemLoc",ItemsImport!$A$1:$AE$1,0),FALSE),"")</f>
        <v>Land of Spira</v>
      </c>
      <c r="W465" s="1" t="str">
        <f>IFERROR(__xludf.DUMMYFUNCTION("""COMPUTED_VALUE"""),"Healing Bullet")</f>
        <v>Healing Bullet</v>
      </c>
      <c r="X465" s="1" t="str">
        <f t="shared" si="1"/>
        <v/>
      </c>
    </row>
    <row r="466">
      <c r="A466" s="4" t="s">
        <v>499</v>
      </c>
      <c r="B466" s="1" t="str">
        <f>IFERROR(VLOOKUP($A466,ItemsImport!$A$2:$AD970,MATCH("Description",ItemsImport!$A$1:$AE$1,0),FALSE),"")</f>
        <v>Bow Ammunition. +500 dark damage. roll a d20 to see how many you get if this is a loot drop.</v>
      </c>
      <c r="C466" s="1" t="str">
        <f>IFERROR(VLOOKUP($A466,ItemsImport!$A$2:$AD970,MATCH("Type",ItemsImport!$A$1:$AE$1,0),FALSE),"")</f>
        <v>Item</v>
      </c>
      <c r="H466" s="4" t="b">
        <v>0</v>
      </c>
      <c r="I466" s="1" t="str">
        <f>IFERROR(VLOOKUP($A466,ItemsImport!$A$2:$AD970,MATCH("ItemLoc",ItemsImport!$A$1:$AE$1,0),FALSE),"")</f>
        <v>Land of Spira</v>
      </c>
      <c r="W466" s="1" t="str">
        <f>IFERROR(__xludf.DUMMYFUNCTION("""COMPUTED_VALUE"""),"Celestial Arrow")</f>
        <v>Celestial Arrow</v>
      </c>
      <c r="X466" s="1" t="str">
        <f t="shared" si="1"/>
        <v/>
      </c>
    </row>
    <row r="467">
      <c r="A467" s="4" t="s">
        <v>500</v>
      </c>
      <c r="B467" s="1" t="str">
        <f>IFERROR(VLOOKUP($A467,ItemsImport!$A$2:$AD970,MATCH("Description",ItemsImport!$A$1:$AE$1,0),FALSE),"")</f>
        <v>Bow Ammunition. +500 earth damage. roll a d20 to see how many you get if this is a loot drop.</v>
      </c>
      <c r="C467" s="1" t="str">
        <f>IFERROR(VLOOKUP($A467,ItemsImport!$A$2:$AD970,MATCH("Type",ItemsImport!$A$1:$AE$1,0),FALSE),"")</f>
        <v>Item</v>
      </c>
      <c r="H467" s="4" t="b">
        <v>0</v>
      </c>
      <c r="I467" s="1" t="str">
        <f>IFERROR(VLOOKUP($A467,ItemsImport!$A$2:$AD970,MATCH("ItemLoc",ItemsImport!$A$1:$AE$1,0),FALSE),"")</f>
        <v>Land of Spira</v>
      </c>
      <c r="W467" s="1" t="str">
        <f>IFERROR(__xludf.DUMMYFUNCTION("""COMPUTED_VALUE"""),"Chaos Arrow")</f>
        <v>Chaos Arrow</v>
      </c>
      <c r="X467" s="1" t="str">
        <f t="shared" si="1"/>
        <v/>
      </c>
    </row>
    <row r="468">
      <c r="A468" s="4" t="s">
        <v>501</v>
      </c>
      <c r="B468" s="1" t="str">
        <f>IFERROR(VLOOKUP($A468,ItemsImport!$A$2:$AD970,MATCH("Description",ItemsImport!$A$1:$AE$1,0),FALSE),"")</f>
        <v>Bow Ammunition. +500 spirit damage. roll a d20 to see how many you get if this is a loot drop.</v>
      </c>
      <c r="C468" s="1" t="str">
        <f>IFERROR(VLOOKUP($A468,ItemsImport!$A$2:$AD970,MATCH("Type",ItemsImport!$A$1:$AE$1,0),FALSE),"")</f>
        <v>Item</v>
      </c>
      <c r="H468" s="4" t="b">
        <v>0</v>
      </c>
      <c r="I468" s="1" t="str">
        <f>IFERROR(VLOOKUP($A468,ItemsImport!$A$2:$AD970,MATCH("ItemLoc",ItemsImport!$A$1:$AE$1,0),FALSE),"")</f>
        <v>Land of Spira</v>
      </c>
      <c r="W468" s="1" t="str">
        <f>IFERROR(__xludf.DUMMYFUNCTION("""COMPUTED_VALUE"""),"Dark Arrow")</f>
        <v>Dark Arrow</v>
      </c>
      <c r="X468" s="1" t="str">
        <f t="shared" si="1"/>
        <v/>
      </c>
    </row>
    <row r="469">
      <c r="A469" s="4" t="s">
        <v>502</v>
      </c>
      <c r="B469" s="1" t="str">
        <f>IFERROR(VLOOKUP($A469,ItemsImport!$A$2:$AD970,MATCH("Description",ItemsImport!$A$1:$AE$1,0),FALSE),"")</f>
        <v>Bow Ammunition. +500 storm damage. +25% chance of Stun 3. roll a d20 to see how many you get if this is a loot drop.</v>
      </c>
      <c r="C469" s="1" t="str">
        <f>IFERROR(VLOOKUP($A469,ItemsImport!$A$2:$AD970,MATCH("Type",ItemsImport!$A$1:$AE$1,0),FALSE),"")</f>
        <v>Item</v>
      </c>
      <c r="H469" s="4" t="b">
        <v>0</v>
      </c>
      <c r="I469" s="1" t="str">
        <f>IFERROR(VLOOKUP($A469,ItemsImport!$A$2:$AD970,MATCH("ItemLoc",ItemsImport!$A$1:$AE$1,0),FALSE),"")</f>
        <v>Land of Spira</v>
      </c>
      <c r="W469" s="1" t="str">
        <f>IFERROR(__xludf.DUMMYFUNCTION("""COMPUTED_VALUE"""),"Earth Arrow")</f>
        <v>Earth Arrow</v>
      </c>
      <c r="X469" s="1" t="str">
        <f t="shared" si="1"/>
        <v/>
      </c>
    </row>
    <row r="470">
      <c r="A470" s="4" t="s">
        <v>503</v>
      </c>
      <c r="B470" s="1" t="str">
        <f>IFERROR(VLOOKUP($A470,ItemsImport!$A$2:$AD970,MATCH("Description",ItemsImport!$A$1:$AE$1,0),FALSE),"")</f>
        <v>Bow Ammunition. +500 water damage. +25% chance of Freeze to the enemy. roll a d20 to see how many you get if this is a loot drop.</v>
      </c>
      <c r="C470" s="1" t="str">
        <f>IFERROR(VLOOKUP($A470,ItemsImport!$A$2:$AD970,MATCH("Type",ItemsImport!$A$1:$AE$1,0),FALSE),"")</f>
        <v>Item</v>
      </c>
      <c r="H470" s="4" t="b">
        <v>0</v>
      </c>
      <c r="I470" s="1" t="str">
        <f>IFERROR(VLOOKUP($A470,ItemsImport!$A$2:$AD970,MATCH("ItemLoc",ItemsImport!$A$1:$AE$1,0),FALSE),"")</f>
        <v>Land of Spira</v>
      </c>
      <c r="W470" s="1" t="str">
        <f>IFERROR(__xludf.DUMMYFUNCTION("""COMPUTED_VALUE"""),"Fire Arrow")</f>
        <v>Fire Arrow</v>
      </c>
      <c r="X470" s="1" t="str">
        <f t="shared" si="1"/>
        <v/>
      </c>
    </row>
    <row r="471">
      <c r="A471" s="4" t="s">
        <v>504</v>
      </c>
      <c r="B471" s="1" t="str">
        <f>IFERROR(VLOOKUP($A471,ItemsImport!$A$2:$AD970,MATCH("Description",ItemsImport!$A$1:$AE$1,0),FALSE),"")</f>
        <v>Bow Ammunition. +Restores 1000 HP and SP to the target. roll a d20 to see how many you get if this is a loot drop.</v>
      </c>
      <c r="C471" s="1" t="str">
        <f>IFERROR(VLOOKUP($A471,ItemsImport!$A$2:$AD970,MATCH("Type",ItemsImport!$A$1:$AE$1,0),FALSE),"")</f>
        <v>Item</v>
      </c>
      <c r="H471" s="4" t="b">
        <v>0</v>
      </c>
      <c r="I471" s="1" t="str">
        <f>IFERROR(VLOOKUP($A471,ItemsImport!$A$2:$AD970,MATCH("ItemLoc",ItemsImport!$A$1:$AE$1,0),FALSE),"")</f>
        <v>Land of Spira</v>
      </c>
      <c r="W471" s="1" t="str">
        <f>IFERROR(__xludf.DUMMYFUNCTION("""COMPUTED_VALUE"""),"Light Arrow")</f>
        <v>Light Arrow</v>
      </c>
      <c r="X471" s="1" t="str">
        <f t="shared" si="1"/>
        <v/>
      </c>
    </row>
    <row r="472">
      <c r="A472" s="4" t="s">
        <v>505</v>
      </c>
      <c r="B472" s="1" t="str">
        <f>IFERROR(VLOOKUP($A472,ItemsImport!$A$2:$AD970,MATCH("Description",ItemsImport!$A$1:$AE$1,0),FALSE),"")</f>
        <v>Firearm Ammunition. +100 celestial damage. roll a d20 to see how many you get if this is a loot drop.</v>
      </c>
      <c r="C472" s="1" t="str">
        <f>IFERROR(VLOOKUP($A472,ItemsImport!$A$2:$AD970,MATCH("Type",ItemsImport!$A$1:$AE$1,0),FALSE),"")</f>
        <v>Item</v>
      </c>
      <c r="H472" s="4" t="b">
        <v>0</v>
      </c>
      <c r="I472" s="1" t="str">
        <f>IFERROR(VLOOKUP($A472,ItemsImport!$A$2:$AD970,MATCH("ItemLoc",ItemsImport!$A$1:$AE$1,0),FALSE),"")</f>
        <v>Land of Spira</v>
      </c>
      <c r="W472" s="1" t="str">
        <f>IFERROR(__xludf.DUMMYFUNCTION("""COMPUTED_VALUE"""),"Spectral Arrow")</f>
        <v>Spectral Arrow</v>
      </c>
      <c r="X472" s="1" t="str">
        <f t="shared" si="1"/>
        <v/>
      </c>
    </row>
    <row r="473">
      <c r="A473" s="4" t="s">
        <v>506</v>
      </c>
      <c r="B473" s="1" t="str">
        <f>IFERROR(VLOOKUP($A473,ItemsImport!$A$2:$AD970,MATCH("Description",ItemsImport!$A$1:$AE$1,0),FALSE),"")</f>
        <v>Fireball Cannon Ammunition, +5000 fire damage. roll a d20 to see how many you get if this is a loot drop.</v>
      </c>
      <c r="C473" s="1" t="str">
        <f>IFERROR(VLOOKUP($A473,ItemsImport!$A$2:$AD970,MATCH("Type",ItemsImport!$A$1:$AE$1,0),FALSE),"")</f>
        <v>Item</v>
      </c>
      <c r="H473" s="4" t="b">
        <v>0</v>
      </c>
      <c r="I473" s="1" t="str">
        <f>IFERROR(VLOOKUP($A473,ItemsImport!$A$2:$AD970,MATCH("ItemLoc",ItemsImport!$A$1:$AE$1,0),FALSE),"")</f>
        <v>Land of Spira</v>
      </c>
      <c r="W473" s="1" t="str">
        <f>IFERROR(__xludf.DUMMYFUNCTION("""COMPUTED_VALUE"""),"Stunning Arrow")</f>
        <v>Stunning Arrow</v>
      </c>
      <c r="X473" s="1" t="str">
        <f t="shared" si="1"/>
        <v/>
      </c>
    </row>
    <row r="474">
      <c r="A474" s="1"/>
      <c r="B474" s="1" t="str">
        <f>IFERROR(VLOOKUP($A474,ItemsImport!$A$2:$AD970,MATCH("Description",ItemsImport!$A$1:$AE$1,0),FALSE),"")</f>
        <v/>
      </c>
      <c r="C474" s="1" t="str">
        <f>IFERROR(VLOOKUP($A474,ItemsImport!$A$2:$AD970,MATCH("Type",ItemsImport!$A$1:$AE$1,0),FALSE),"")</f>
        <v/>
      </c>
      <c r="H474" s="4" t="b">
        <v>0</v>
      </c>
      <c r="I474" s="1" t="str">
        <f>IFERROR(VLOOKUP($A474,ItemsImport!$A$2:$AD970,MATCH("ItemLoc",ItemsImport!$A$1:$AE$1,0),FALSE),"")</f>
        <v/>
      </c>
      <c r="W474" s="1" t="str">
        <f>IFERROR(__xludf.DUMMYFUNCTION("""COMPUTED_VALUE"""),"Freezing Arrow")</f>
        <v>Freezing Arrow</v>
      </c>
      <c r="X474" s="1" t="str">
        <f t="shared" si="1"/>
        <v/>
      </c>
    </row>
    <row r="475">
      <c r="A475" s="1"/>
      <c r="B475" s="1" t="str">
        <f>IFERROR(VLOOKUP($A475,ItemsImport!$A$2:$AD970,MATCH("Description",ItemsImport!$A$1:$AE$1,0),FALSE),"")</f>
        <v/>
      </c>
      <c r="C475" s="1" t="str">
        <f>IFERROR(VLOOKUP($A475,ItemsImport!$A$2:$AD970,MATCH("Type",ItemsImport!$A$1:$AE$1,0),FALSE),"")</f>
        <v/>
      </c>
      <c r="H475" s="4" t="b">
        <v>0</v>
      </c>
      <c r="I475" s="1" t="str">
        <f>IFERROR(VLOOKUP($A475,ItemsImport!$A$2:$AD970,MATCH("ItemLoc",ItemsImport!$A$1:$AE$1,0),FALSE),"")</f>
        <v/>
      </c>
      <c r="W475" s="1" t="str">
        <f>IFERROR(__xludf.DUMMYFUNCTION("""COMPUTED_VALUE"""),"Healing Arrow")</f>
        <v>Healing Arrow</v>
      </c>
      <c r="X475" s="1" t="str">
        <f t="shared" si="1"/>
        <v/>
      </c>
    </row>
    <row r="476">
      <c r="A476" s="1"/>
      <c r="B476" s="1" t="str">
        <f>IFERROR(VLOOKUP($A476,ItemsImport!$A$2:$AD970,MATCH("Description",ItemsImport!$A$1:$AE$1,0),FALSE),"")</f>
        <v/>
      </c>
      <c r="C476" s="1" t="str">
        <f>IFERROR(VLOOKUP($A476,ItemsImport!$A$2:$AD970,MATCH("Type",ItemsImport!$A$1:$AE$1,0),FALSE),"")</f>
        <v/>
      </c>
      <c r="H476" s="4" t="b">
        <v>0</v>
      </c>
      <c r="I476" s="1" t="str">
        <f>IFERROR(VLOOKUP($A476,ItemsImport!$A$2:$AD970,MATCH("ItemLoc",ItemsImport!$A$1:$AE$1,0),FALSE),"")</f>
        <v/>
      </c>
      <c r="W476" s="1" t="str">
        <f>IFERROR(__xludf.DUMMYFUNCTION("""COMPUTED_VALUE"""),"Celestial Bullet")</f>
        <v>Celestial Bullet</v>
      </c>
      <c r="X476" s="1" t="str">
        <f t="shared" si="1"/>
        <v/>
      </c>
    </row>
    <row r="477">
      <c r="A477" s="1"/>
      <c r="B477" s="1" t="str">
        <f>IFERROR(VLOOKUP($A477,ItemsImport!$A$2:$AD970,MATCH("Description",ItemsImport!$A$1:$AE$1,0),FALSE),"")</f>
        <v/>
      </c>
      <c r="C477" s="1" t="str">
        <f>IFERROR(VLOOKUP($A477,ItemsImport!$A$2:$AD970,MATCH("Type",ItemsImport!$A$1:$AE$1,0),FALSE),"")</f>
        <v/>
      </c>
      <c r="H477" s="4" t="b">
        <v>0</v>
      </c>
      <c r="I477" s="1" t="str">
        <f>IFERROR(VLOOKUP($A477,ItemsImport!$A$2:$AD970,MATCH("ItemLoc",ItemsImport!$A$1:$AE$1,0),FALSE),"")</f>
        <v/>
      </c>
      <c r="W477" s="1" t="str">
        <f>IFERROR(__xludf.DUMMYFUNCTION("""COMPUTED_VALUE"""),"Fire Cannon Ball")</f>
        <v>Fire Cannon Ball</v>
      </c>
      <c r="X477" s="1" t="str">
        <f t="shared" si="1"/>
        <v/>
      </c>
    </row>
    <row r="478">
      <c r="A478" s="1"/>
      <c r="B478" s="1" t="str">
        <f>IFERROR(VLOOKUP($A478,ItemsImport!$A$2:$AD970,MATCH("Description",ItemsImport!$A$1:$AE$1,0),FALSE),"")</f>
        <v/>
      </c>
      <c r="C478" s="1" t="str">
        <f>IFERROR(VLOOKUP($A478,ItemsImport!$A$2:$AD970,MATCH("Type",ItemsImport!$A$1:$AE$1,0),FALSE),"")</f>
        <v/>
      </c>
      <c r="H478" s="4" t="b">
        <v>0</v>
      </c>
      <c r="I478" s="1" t="str">
        <f>IFERROR(VLOOKUP($A478,ItemsImport!$A$2:$AD970,MATCH("ItemLoc",ItemsImport!$A$1:$AE$1,0),FALSE),"")</f>
        <v/>
      </c>
      <c r="W478" s="1" t="str">
        <f>IFERROR(__xludf.DUMMYFUNCTION("""COMPUTED_VALUE"""),"Torpedo")</f>
        <v>Torpedo</v>
      </c>
      <c r="X478" s="1" t="str">
        <f t="shared" si="1"/>
        <v>Torpedo</v>
      </c>
    </row>
    <row r="479">
      <c r="A479" s="1"/>
      <c r="B479" s="1" t="str">
        <f>IFERROR(VLOOKUP($A479,ItemsImport!$A$2:$AD970,MATCH("Description",ItemsImport!$A$1:$AE$1,0),FALSE),"")</f>
        <v/>
      </c>
      <c r="C479" s="1" t="str">
        <f>IFERROR(VLOOKUP($A479,ItemsImport!$A$2:$AD970,MATCH("Type",ItemsImport!$A$1:$AE$1,0),FALSE),"")</f>
        <v/>
      </c>
      <c r="H479" s="4" t="b">
        <v>0</v>
      </c>
      <c r="I479" s="1" t="str">
        <f>IFERROR(VLOOKUP($A479,ItemsImport!$A$2:$AD970,MATCH("ItemLoc",ItemsImport!$A$1:$AE$1,0),FALSE),"")</f>
        <v/>
      </c>
      <c r="W479" s="1" t="str">
        <f>IFERROR(__xludf.DUMMYFUNCTION("""COMPUTED_VALUE"""),"Fragmentation Grenade")</f>
        <v>Fragmentation Grenade</v>
      </c>
      <c r="X479" s="1" t="str">
        <f t="shared" si="1"/>
        <v>Fragmentation Grenade</v>
      </c>
    </row>
    <row r="480">
      <c r="A480" s="1"/>
      <c r="B480" s="1" t="str">
        <f>IFERROR(VLOOKUP($A480,ItemsImport!$A$2:$AD970,MATCH("Description",ItemsImport!$A$1:$AE$1,0),FALSE),"")</f>
        <v/>
      </c>
      <c r="C480" s="1" t="str">
        <f>IFERROR(VLOOKUP($A480,ItemsImport!$A$2:$AD970,MATCH("Type",ItemsImport!$A$1:$AE$1,0),FALSE),"")</f>
        <v/>
      </c>
      <c r="H480" s="4" t="b">
        <v>0</v>
      </c>
      <c r="I480" s="1" t="str">
        <f>IFERROR(VLOOKUP($A480,ItemsImport!$A$2:$AD970,MATCH("ItemLoc",ItemsImport!$A$1:$AE$1,0),FALSE),"")</f>
        <v/>
      </c>
      <c r="W480" s="1" t="str">
        <f>IFERROR(__xludf.DUMMYFUNCTION("""COMPUTED_VALUE"""),"Flashbang")</f>
        <v>Flashbang</v>
      </c>
      <c r="X480" s="1" t="str">
        <f t="shared" si="1"/>
        <v>Flashbang</v>
      </c>
    </row>
    <row r="481">
      <c r="A481" s="1"/>
      <c r="B481" s="1" t="str">
        <f>IFERROR(VLOOKUP($A481,ItemsImport!$A$2:$AD970,MATCH("Description",ItemsImport!$A$1:$AE$1,0),FALSE),"")</f>
        <v/>
      </c>
      <c r="C481" s="1" t="str">
        <f>IFERROR(VLOOKUP($A481,ItemsImport!$A$2:$AD970,MATCH("Type",ItemsImport!$A$1:$AE$1,0),FALSE),"")</f>
        <v/>
      </c>
      <c r="H481" s="4" t="b">
        <v>0</v>
      </c>
      <c r="I481" s="1" t="str">
        <f>IFERROR(VLOOKUP($A481,ItemsImport!$A$2:$AD970,MATCH("ItemLoc",ItemsImport!$A$1:$AE$1,0),FALSE),"")</f>
        <v/>
      </c>
      <c r="W481" s="1" t="str">
        <f>IFERROR(__xludf.DUMMYFUNCTION("""COMPUTED_VALUE"""),"Earth Golem Core")</f>
        <v>Earth Golem Core</v>
      </c>
      <c r="X481" s="1" t="str">
        <f t="shared" si="1"/>
        <v>Earth Golem Core</v>
      </c>
    </row>
    <row r="482">
      <c r="A482" s="1"/>
      <c r="B482" s="1" t="str">
        <f>IFERROR(VLOOKUP($A482,ItemsImport!$A$2:$AD970,MATCH("Description",ItemsImport!$A$1:$AE$1,0),FALSE),"")</f>
        <v/>
      </c>
      <c r="C482" s="1" t="str">
        <f>IFERROR(VLOOKUP($A482,ItemsImport!$A$2:$AD970,MATCH("Type",ItemsImport!$A$1:$AE$1,0),FALSE),"")</f>
        <v/>
      </c>
      <c r="H482" s="4" t="b">
        <v>0</v>
      </c>
      <c r="I482" s="1" t="str">
        <f>IFERROR(VLOOKUP($A482,ItemsImport!$A$2:$AD970,MATCH("ItemLoc",ItemsImport!$A$1:$AE$1,0),FALSE),"")</f>
        <v/>
      </c>
      <c r="W482" s="1" t="str">
        <f>IFERROR(__xludf.DUMMYFUNCTION("""COMPUTED_VALUE"""),"Nailbomb")</f>
        <v>Nailbomb</v>
      </c>
      <c r="X482" s="1" t="str">
        <f t="shared" si="1"/>
        <v>Nailbomb</v>
      </c>
    </row>
    <row r="483">
      <c r="A483" s="1"/>
      <c r="B483" s="1" t="str">
        <f>IFERROR(VLOOKUP($A483,ItemsImport!$A$2:$AD970,MATCH("Description",ItemsImport!$A$1:$AE$1,0),FALSE),"")</f>
        <v/>
      </c>
      <c r="C483" s="1" t="str">
        <f>IFERROR(VLOOKUP($A483,ItemsImport!$A$2:$AD970,MATCH("Type",ItemsImport!$A$1:$AE$1,0),FALSE),"")</f>
        <v/>
      </c>
      <c r="H483" s="4" t="b">
        <v>0</v>
      </c>
      <c r="I483" s="1" t="str">
        <f>IFERROR(VLOOKUP($A483,ItemsImport!$A$2:$AD970,MATCH("ItemLoc",ItemsImport!$A$1:$AE$1,0),FALSE),"")</f>
        <v/>
      </c>
      <c r="W483" s="1" t="str">
        <f>IFERROR(__xludf.DUMMYFUNCTION("""COMPUTED_VALUE"""),"Molotov")</f>
        <v>Molotov</v>
      </c>
      <c r="X483" s="1" t="str">
        <f t="shared" si="1"/>
        <v>Molotov</v>
      </c>
    </row>
    <row r="484">
      <c r="A484" s="1"/>
      <c r="B484" s="1" t="str">
        <f>IFERROR(VLOOKUP($A484,ItemsImport!$A$2:$AD970,MATCH("Description",ItemsImport!$A$1:$AE$1,0),FALSE),"")</f>
        <v/>
      </c>
      <c r="C484" s="1" t="str">
        <f>IFERROR(VLOOKUP($A484,ItemsImport!$A$2:$AD970,MATCH("Type",ItemsImport!$A$1:$AE$1,0),FALSE),"")</f>
        <v/>
      </c>
      <c r="H484" s="4" t="b">
        <v>0</v>
      </c>
      <c r="I484" s="1" t="str">
        <f>IFERROR(VLOOKUP($A484,ItemsImport!$A$2:$AD970,MATCH("ItemLoc",ItemsImport!$A$1:$AE$1,0),FALSE),"")</f>
        <v/>
      </c>
      <c r="W484" s="1" t="str">
        <f>IFERROR(__xludf.DUMMYFUNCTION("""COMPUTED_VALUE"""),"Smoke Bomb")</f>
        <v>Smoke Bomb</v>
      </c>
      <c r="X484" s="1" t="str">
        <f t="shared" si="1"/>
        <v>Smoke Bomb</v>
      </c>
    </row>
    <row r="485">
      <c r="A485" s="1"/>
      <c r="B485" s="1" t="str">
        <f>IFERROR(VLOOKUP($A485,ItemsImport!$A$2:$AD970,MATCH("Description",ItemsImport!$A$1:$AE$1,0),FALSE),"")</f>
        <v/>
      </c>
      <c r="C485" s="1" t="str">
        <f>IFERROR(VLOOKUP($A485,ItemsImport!$A$2:$AD970,MATCH("Type",ItemsImport!$A$1:$AE$1,0),FALSE),"")</f>
        <v/>
      </c>
      <c r="H485" s="4" t="b">
        <v>0</v>
      </c>
      <c r="I485" s="1" t="str">
        <f>IFERROR(VLOOKUP($A485,ItemsImport!$A$2:$AD970,MATCH("ItemLoc",ItemsImport!$A$1:$AE$1,0),FALSE),"")</f>
        <v/>
      </c>
      <c r="W485" s="1" t="str">
        <f>IFERROR(__xludf.DUMMYFUNCTION("""COMPUTED_VALUE"""),"Gas Grenade")</f>
        <v>Gas Grenade</v>
      </c>
      <c r="X485" s="1" t="str">
        <f t="shared" si="1"/>
        <v>Gas Grenade</v>
      </c>
    </row>
    <row r="486">
      <c r="A486" s="1"/>
      <c r="B486" s="1" t="str">
        <f>IFERROR(VLOOKUP($A486,ItemsImport!$A$2:$AD970,MATCH("Description",ItemsImport!$A$1:$AE$1,0),FALSE),"")</f>
        <v/>
      </c>
      <c r="C486" s="1" t="str">
        <f>IFERROR(VLOOKUP($A486,ItemsImport!$A$2:$AD970,MATCH("Type",ItemsImport!$A$1:$AE$1,0),FALSE),"")</f>
        <v/>
      </c>
      <c r="H486" s="4" t="b">
        <v>0</v>
      </c>
      <c r="I486" s="1" t="str">
        <f>IFERROR(VLOOKUP($A486,ItemsImport!$A$2:$AD970,MATCH("ItemLoc",ItemsImport!$A$1:$AE$1,0),FALSE),"")</f>
        <v/>
      </c>
      <c r="W486" s="1" t="str">
        <f>IFERROR(__xludf.DUMMYFUNCTION("""COMPUTED_VALUE"""),"Booze Bomb")</f>
        <v>Booze Bomb</v>
      </c>
      <c r="X486" s="1" t="str">
        <f t="shared" si="1"/>
        <v>Booze Bomb</v>
      </c>
    </row>
    <row r="487">
      <c r="A487" s="1"/>
      <c r="B487" s="1" t="str">
        <f>IFERROR(VLOOKUP($A487,ItemsImport!$A$2:$AD970,MATCH("Description",ItemsImport!$A$1:$AE$1,0),FALSE),"")</f>
        <v/>
      </c>
      <c r="C487" s="1" t="str">
        <f>IFERROR(VLOOKUP($A487,ItemsImport!$A$2:$AD970,MATCH("Type",ItemsImport!$A$1:$AE$1,0),FALSE),"")</f>
        <v/>
      </c>
      <c r="H487" s="4" t="b">
        <v>0</v>
      </c>
      <c r="I487" s="1" t="str">
        <f>IFERROR(VLOOKUP($A487,ItemsImport!$A$2:$AD970,MATCH("ItemLoc",ItemsImport!$A$1:$AE$1,0),FALSE),"")</f>
        <v/>
      </c>
      <c r="W487" s="1" t="str">
        <f>IFERROR(__xludf.DUMMYFUNCTION("""COMPUTED_VALUE"""),"Ice bomb")</f>
        <v>Ice bomb</v>
      </c>
      <c r="X487" s="1" t="str">
        <f t="shared" si="1"/>
        <v>Ice bomb</v>
      </c>
    </row>
    <row r="488">
      <c r="A488" s="1"/>
      <c r="B488" s="1" t="str">
        <f>IFERROR(VLOOKUP($A488,ItemsImport!$A$2:$AD970,MATCH("Description",ItemsImport!$A$1:$AE$1,0),FALSE),"")</f>
        <v/>
      </c>
      <c r="C488" s="1" t="str">
        <f>IFERROR(VLOOKUP($A488,ItemsImport!$A$2:$AD970,MATCH("Type",ItemsImport!$A$1:$AE$1,0),FALSE),"")</f>
        <v/>
      </c>
      <c r="H488" s="4" t="b">
        <v>0</v>
      </c>
      <c r="I488" s="1" t="str">
        <f>IFERROR(VLOOKUP($A488,ItemsImport!$A$2:$AD970,MATCH("ItemLoc",ItemsImport!$A$1:$AE$1,0),FALSE),"")</f>
        <v/>
      </c>
      <c r="W488" s="1" t="str">
        <f>IFERROR(__xludf.DUMMYFUNCTION("""COMPUTED_VALUE"""),"Holy Water")</f>
        <v>Holy Water</v>
      </c>
      <c r="X488" s="1" t="str">
        <f t="shared" si="1"/>
        <v>Holy Water</v>
      </c>
    </row>
    <row r="489">
      <c r="A489" s="1"/>
      <c r="B489" s="1" t="str">
        <f>IFERROR(VLOOKUP($A489,ItemsImport!$A$2:$AD970,MATCH("Description",ItemsImport!$A$1:$AE$1,0),FALSE),"")</f>
        <v/>
      </c>
      <c r="C489" s="1" t="str">
        <f>IFERROR(VLOOKUP($A489,ItemsImport!$A$2:$AD970,MATCH("Type",ItemsImport!$A$1:$AE$1,0),FALSE),"")</f>
        <v/>
      </c>
      <c r="H489" s="4" t="b">
        <v>0</v>
      </c>
      <c r="I489" s="1" t="str">
        <f>IFERROR(VLOOKUP($A489,ItemsImport!$A$2:$AD970,MATCH("ItemLoc",ItemsImport!$A$1:$AE$1,0),FALSE),"")</f>
        <v/>
      </c>
      <c r="W489" s="1" t="str">
        <f>IFERROR(__xludf.DUMMYFUNCTION("""COMPUTED_VALUE"""),"Salve Grenade")</f>
        <v>Salve Grenade</v>
      </c>
      <c r="X489" s="1" t="str">
        <f t="shared" si="1"/>
        <v>Salve Grenade</v>
      </c>
    </row>
    <row r="490">
      <c r="A490" s="1"/>
      <c r="B490" s="1" t="str">
        <f>IFERROR(VLOOKUP($A490,ItemsImport!$A$2:$AD970,MATCH("Description",ItemsImport!$A$1:$AE$1,0),FALSE),"")</f>
        <v/>
      </c>
      <c r="C490" s="1" t="str">
        <f>IFERROR(VLOOKUP($A490,ItemsImport!$A$2:$AD970,MATCH("Type",ItemsImport!$A$1:$AE$1,0),FALSE),"")</f>
        <v/>
      </c>
      <c r="H490" s="4" t="b">
        <v>0</v>
      </c>
      <c r="I490" s="1" t="str">
        <f>IFERROR(VLOOKUP($A490,ItemsImport!$A$2:$AD970,MATCH("ItemLoc",ItemsImport!$A$1:$AE$1,0),FALSE),"")</f>
        <v/>
      </c>
      <c r="W490" s="1" t="str">
        <f>IFERROR(__xludf.DUMMYFUNCTION("""COMPUTED_VALUE"""),"Potion of Banishment")</f>
        <v>Potion of Banishment</v>
      </c>
      <c r="X490" s="1" t="str">
        <f t="shared" si="1"/>
        <v>Potion of Banishment</v>
      </c>
    </row>
    <row r="491">
      <c r="A491" s="1"/>
      <c r="B491" s="1" t="str">
        <f>IFERROR(VLOOKUP($A491,ItemsImport!$A$2:$AD970,MATCH("Description",ItemsImport!$A$1:$AE$1,0),FALSE),"")</f>
        <v/>
      </c>
      <c r="C491" s="1" t="str">
        <f>IFERROR(VLOOKUP($A491,ItemsImport!$A$2:$AD970,MATCH("Type",ItemsImport!$A$1:$AE$1,0),FALSE),"")</f>
        <v/>
      </c>
      <c r="H491" s="4" t="b">
        <v>0</v>
      </c>
      <c r="I491" s="1" t="str">
        <f>IFERROR(VLOOKUP($A491,ItemsImport!$A$2:$AD970,MATCH("ItemLoc",ItemsImport!$A$1:$AE$1,0),FALSE),"")</f>
        <v/>
      </c>
      <c r="W491" s="1" t="str">
        <f>IFERROR(__xludf.DUMMYFUNCTION("""COMPUTED_VALUE"""),"Wooden Arrow")</f>
        <v>Wooden Arrow</v>
      </c>
      <c r="X491" s="1" t="str">
        <f t="shared" si="1"/>
        <v>Wooden Arrow</v>
      </c>
    </row>
    <row r="492">
      <c r="A492" s="1"/>
      <c r="B492" s="1" t="str">
        <f>IFERROR(VLOOKUP($A492,ItemsImport!$A$2:$AD970,MATCH("Description",ItemsImport!$A$1:$AE$1,0),FALSE),"")</f>
        <v/>
      </c>
      <c r="C492" s="1" t="str">
        <f>IFERROR(VLOOKUP($A492,ItemsImport!$A$2:$AD970,MATCH("Type",ItemsImport!$A$1:$AE$1,0),FALSE),"")</f>
        <v/>
      </c>
      <c r="H492" s="4" t="b">
        <v>0</v>
      </c>
      <c r="I492" s="1" t="str">
        <f>IFERROR(VLOOKUP($A492,ItemsImport!$A$2:$AD970,MATCH("ItemLoc",ItemsImport!$A$1:$AE$1,0),FALSE),"")</f>
        <v/>
      </c>
      <c r="W492" s="1" t="str">
        <f>IFERROR(__xludf.DUMMYFUNCTION("""COMPUTED_VALUE"""),"Bone Tipped Arrow")</f>
        <v>Bone Tipped Arrow</v>
      </c>
      <c r="X492" s="1" t="str">
        <f t="shared" si="1"/>
        <v>Bone Tipped Arrow</v>
      </c>
    </row>
    <row r="493">
      <c r="A493" s="1"/>
      <c r="B493" s="1" t="str">
        <f>IFERROR(VLOOKUP($A493,ItemsImport!$A$2:$AD970,MATCH("Description",ItemsImport!$A$1:$AE$1,0),FALSE),"")</f>
        <v/>
      </c>
      <c r="C493" s="1" t="str">
        <f>IFERROR(VLOOKUP($A493,ItemsImport!$A$2:$AD970,MATCH("Type",ItemsImport!$A$1:$AE$1,0),FALSE),"")</f>
        <v/>
      </c>
      <c r="H493" s="4" t="b">
        <v>0</v>
      </c>
      <c r="I493" s="1" t="str">
        <f>IFERROR(VLOOKUP($A493,ItemsImport!$A$2:$AD970,MATCH("ItemLoc",ItemsImport!$A$1:$AE$1,0),FALSE),"")</f>
        <v/>
      </c>
      <c r="W493" s="1" t="str">
        <f>IFERROR(__xludf.DUMMYFUNCTION("""COMPUTED_VALUE"""),"Holy Arrow")</f>
        <v>Holy Arrow</v>
      </c>
      <c r="X493" s="1" t="str">
        <f t="shared" si="1"/>
        <v>Holy Arrow</v>
      </c>
    </row>
    <row r="494">
      <c r="A494" s="1"/>
      <c r="B494" s="1" t="str">
        <f>IFERROR(VLOOKUP($A494,ItemsImport!$A$2:$AD970,MATCH("Description",ItemsImport!$A$1:$AE$1,0),FALSE),"")</f>
        <v/>
      </c>
      <c r="C494" s="1" t="str">
        <f>IFERROR(VLOOKUP($A494,ItemsImport!$A$2:$AD970,MATCH("Type",ItemsImport!$A$1:$AE$1,0),FALSE),"")</f>
        <v/>
      </c>
      <c r="H494" s="4" t="b">
        <v>0</v>
      </c>
      <c r="I494" s="1" t="str">
        <f>IFERROR(VLOOKUP($A494,ItemsImport!$A$2:$AD970,MATCH("ItemLoc",ItemsImport!$A$1:$AE$1,0),FALSE),"")</f>
        <v/>
      </c>
      <c r="W494" s="1" t="str">
        <f>IFERROR(__xludf.DUMMYFUNCTION("""COMPUTED_VALUE"""),"Small Bang")</f>
        <v>Small Bang</v>
      </c>
      <c r="X494" s="1" t="str">
        <f t="shared" si="1"/>
        <v>Small Bang</v>
      </c>
    </row>
    <row r="495">
      <c r="A495" s="1"/>
      <c r="B495" s="1" t="str">
        <f>IFERROR(VLOOKUP($A495,ItemsImport!$A$2:$AD970,MATCH("Description",ItemsImport!$A$1:$AE$1,0),FALSE),"")</f>
        <v/>
      </c>
      <c r="C495" s="1" t="str">
        <f>IFERROR(VLOOKUP($A495,ItemsImport!$A$2:$AD970,MATCH("Type",ItemsImport!$A$1:$AE$1,0),FALSE),"")</f>
        <v/>
      </c>
      <c r="H495" s="4" t="b">
        <v>0</v>
      </c>
      <c r="I495" s="1" t="str">
        <f>IFERROR(VLOOKUP($A495,ItemsImport!$A$2:$AD970,MATCH("ItemLoc",ItemsImport!$A$1:$AE$1,0),FALSE),"")</f>
        <v/>
      </c>
      <c r="W495" s="1" t="str">
        <f>IFERROR(__xludf.DUMMYFUNCTION("""COMPUTED_VALUE"""),"Dragon Burst")</f>
        <v>Dragon Burst</v>
      </c>
      <c r="X495" s="1" t="str">
        <f t="shared" si="1"/>
        <v>Dragon Burst</v>
      </c>
    </row>
    <row r="496">
      <c r="A496" s="1"/>
      <c r="B496" s="1" t="str">
        <f>IFERROR(VLOOKUP($A496,ItemsImport!$A$2:$AD970,MATCH("Description",ItemsImport!$A$1:$AE$1,0),FALSE),"")</f>
        <v/>
      </c>
      <c r="C496" s="1" t="str">
        <f>IFERROR(VLOOKUP($A496,ItemsImport!$A$2:$AD970,MATCH("Type",ItemsImport!$A$1:$AE$1,0),FALSE),"")</f>
        <v/>
      </c>
      <c r="H496" s="4" t="b">
        <v>0</v>
      </c>
      <c r="I496" s="1" t="str">
        <f>IFERROR(VLOOKUP($A496,ItemsImport!$A$2:$AD970,MATCH("ItemLoc",ItemsImport!$A$1:$AE$1,0),FALSE),"")</f>
        <v/>
      </c>
      <c r="W496" s="1" t="str">
        <f>IFERROR(__xludf.DUMMYFUNCTION("""COMPUTED_VALUE"""),"Iguanian Assassin's Box")</f>
        <v>Iguanian Assassin's Box</v>
      </c>
      <c r="X496" s="1" t="str">
        <f t="shared" si="1"/>
        <v>Iguanian Assassin's Box</v>
      </c>
    </row>
    <row r="497">
      <c r="A497" s="1"/>
      <c r="B497" s="1" t="str">
        <f>IFERROR(VLOOKUP($A497,ItemsImport!$A$2:$AD970,MATCH("Description",ItemsImport!$A$1:$AE$1,0),FALSE),"")</f>
        <v/>
      </c>
      <c r="C497" s="1" t="str">
        <f>IFERROR(VLOOKUP($A497,ItemsImport!$A$2:$AD970,MATCH("Type",ItemsImport!$A$1:$AE$1,0),FALSE),"")</f>
        <v/>
      </c>
      <c r="H497" s="4" t="b">
        <v>0</v>
      </c>
      <c r="I497" s="1" t="str">
        <f>IFERROR(VLOOKUP($A497,ItemsImport!$A$2:$AD970,MATCH("ItemLoc",ItemsImport!$A$1:$AE$1,0),FALSE),"")</f>
        <v/>
      </c>
      <c r="W497" s="1" t="str">
        <f>IFERROR(__xludf.DUMMYFUNCTION("""COMPUTED_VALUE"""),"Lizardfolk Warrior's Box")</f>
        <v>Lizardfolk Warrior's Box</v>
      </c>
      <c r="X497" s="1" t="str">
        <f t="shared" si="1"/>
        <v>Lizardfolk Warrior's Box</v>
      </c>
    </row>
    <row r="498">
      <c r="A498" s="1"/>
      <c r="B498" s="1" t="str">
        <f>IFERROR(VLOOKUP($A498,ItemsImport!$A$2:$AD970,MATCH("Description",ItemsImport!$A$1:$AE$1,0),FALSE),"")</f>
        <v/>
      </c>
      <c r="C498" s="1" t="str">
        <f>IFERROR(VLOOKUP($A498,ItemsImport!$A$2:$AD970,MATCH("Type",ItemsImport!$A$1:$AE$1,0),FALSE),"")</f>
        <v/>
      </c>
      <c r="H498" s="4" t="b">
        <v>0</v>
      </c>
      <c r="I498" s="1" t="str">
        <f>IFERROR(VLOOKUP($A498,ItemsImport!$A$2:$AD970,MATCH("ItemLoc",ItemsImport!$A$1:$AE$1,0),FALSE),"")</f>
        <v/>
      </c>
      <c r="W498" s="1" t="str">
        <f>IFERROR(__xludf.DUMMYFUNCTION("""COMPUTED_VALUE"""),"Lizard Thief's Box")</f>
        <v>Lizard Thief's Box</v>
      </c>
      <c r="X498" s="1" t="str">
        <f t="shared" si="1"/>
        <v>Lizard Thief's Box</v>
      </c>
    </row>
    <row r="499">
      <c r="A499" s="1"/>
      <c r="B499" s="1" t="str">
        <f>IFERROR(VLOOKUP($A499,ItemsImport!$A$2:$AD970,MATCH("Description",ItemsImport!$A$1:$AE$1,0),FALSE),"")</f>
        <v/>
      </c>
      <c r="C499" s="1" t="str">
        <f>IFERROR(VLOOKUP($A499,ItemsImport!$A$2:$AD970,MATCH("Type",ItemsImport!$A$1:$AE$1,0),FALSE),"")</f>
        <v/>
      </c>
      <c r="H499" s="4" t="b">
        <v>0</v>
      </c>
      <c r="I499" s="1" t="str">
        <f>IFERROR(VLOOKUP($A499,ItemsImport!$A$2:$AD970,MATCH("ItemLoc",ItemsImport!$A$1:$AE$1,0),FALSE),"")</f>
        <v/>
      </c>
      <c r="W499" s="1" t="str">
        <f>IFERROR(__xludf.DUMMYFUNCTION("""COMPUTED_VALUE"""),"Lizard Wizard's Box")</f>
        <v>Lizard Wizard's Box</v>
      </c>
      <c r="X499" s="1" t="str">
        <f t="shared" si="1"/>
        <v>Lizard Wizard's Box</v>
      </c>
    </row>
    <row r="500">
      <c r="A500" s="1"/>
      <c r="B500" s="1" t="str">
        <f>IFERROR(VLOOKUP($A500,ItemsImport!$A$2:$AD970,MATCH("Description",ItemsImport!$A$1:$AE$1,0),FALSE),"")</f>
        <v/>
      </c>
      <c r="C500" s="1" t="str">
        <f>IFERROR(VLOOKUP($A500,ItemsImport!$A$2:$AD970,MATCH("Type",ItemsImport!$A$1:$AE$1,0),FALSE),"")</f>
        <v/>
      </c>
      <c r="H500" s="4" t="b">
        <v>0</v>
      </c>
      <c r="I500" s="1" t="str">
        <f>IFERROR(VLOOKUP($A500,ItemsImport!$A$2:$AD970,MATCH("ItemLoc",ItemsImport!$A$1:$AE$1,0),FALSE),"")</f>
        <v/>
      </c>
      <c r="W500" s="1" t="str">
        <f>IFERROR(__xludf.DUMMYFUNCTION("""COMPUTED_VALUE"""),"Iguanian Brawler's Box")</f>
        <v>Iguanian Brawler's Box</v>
      </c>
      <c r="X500" s="1" t="str">
        <f t="shared" si="1"/>
        <v>Iguanian Brawler's Box</v>
      </c>
    </row>
    <row r="501">
      <c r="A501" s="1"/>
      <c r="B501" s="1" t="str">
        <f>IFERROR(VLOOKUP($A501,ItemsImport!$A$2:$AD970,MATCH("Description",ItemsImport!$A$1:$AE$1,0),FALSE),"")</f>
        <v/>
      </c>
      <c r="C501" s="1" t="str">
        <f>IFERROR(VLOOKUP($A501,ItemsImport!$A$2:$AD970,MATCH("Type",ItemsImport!$A$1:$AE$1,0),FALSE),"")</f>
        <v/>
      </c>
      <c r="H501" s="4" t="b">
        <v>0</v>
      </c>
      <c r="I501" s="1" t="str">
        <f>IFERROR(VLOOKUP($A501,ItemsImport!$A$2:$AD970,MATCH("ItemLoc",ItemsImport!$A$1:$AE$1,0),FALSE),"")</f>
        <v/>
      </c>
      <c r="W501" s="1" t="str">
        <f>IFERROR(__xludf.DUMMYFUNCTION("""COMPUTED_VALUE"""),"Iguanian Mage's Box")</f>
        <v>Iguanian Mage's Box</v>
      </c>
      <c r="X501" s="1" t="str">
        <f t="shared" si="1"/>
        <v>Iguanian Mage's Box</v>
      </c>
    </row>
    <row r="502">
      <c r="A502" s="1"/>
      <c r="B502" s="1" t="str">
        <f>IFERROR(VLOOKUP($A502,ItemsImport!$A$2:$AD970,MATCH("Description",ItemsImport!$A$1:$AE$1,0),FALSE),"")</f>
        <v/>
      </c>
      <c r="C502" s="1" t="str">
        <f>IFERROR(VLOOKUP($A502,ItemsImport!$A$2:$AD970,MATCH("Type",ItemsImport!$A$1:$AE$1,0),FALSE),"")</f>
        <v/>
      </c>
      <c r="H502" s="4" t="b">
        <v>0</v>
      </c>
      <c r="I502" s="1" t="str">
        <f>IFERROR(VLOOKUP($A502,ItemsImport!$A$2:$AD970,MATCH("ItemLoc",ItemsImport!$A$1:$AE$1,0),FALSE),"")</f>
        <v/>
      </c>
      <c r="W502" s="1"/>
      <c r="X502" s="1" t="str">
        <f t="shared" si="1"/>
        <v/>
      </c>
    </row>
    <row r="503">
      <c r="A503" s="1"/>
      <c r="B503" s="1" t="str">
        <f>IFERROR(VLOOKUP($A503,ItemsImport!$A$2:$AD970,MATCH("Description",ItemsImport!$A$1:$AE$1,0),FALSE),"")</f>
        <v/>
      </c>
      <c r="C503" s="1" t="str">
        <f>IFERROR(VLOOKUP($A503,ItemsImport!$A$2:$AD970,MATCH("Type",ItemsImport!$A$1:$AE$1,0),FALSE),"")</f>
        <v/>
      </c>
      <c r="H503" s="4" t="b">
        <v>0</v>
      </c>
      <c r="I503" s="1" t="str">
        <f>IFERROR(VLOOKUP($A503,ItemsImport!$A$2:$AD970,MATCH("ItemLoc",ItemsImport!$A$1:$AE$1,0),FALSE),"")</f>
        <v/>
      </c>
      <c r="W503" s="1"/>
      <c r="X503" s="1" t="str">
        <f t="shared" si="1"/>
        <v/>
      </c>
    </row>
    <row r="504">
      <c r="A504" s="1"/>
      <c r="B504" s="1" t="str">
        <f>IFERROR(VLOOKUP($A504,ItemsImport!$A$2:$AD970,MATCH("Description",ItemsImport!$A$1:$AE$1,0),FALSE),"")</f>
        <v/>
      </c>
      <c r="C504" s="1" t="str">
        <f>IFERROR(VLOOKUP($A504,ItemsImport!$A$2:$AD970,MATCH("Type",ItemsImport!$A$1:$AE$1,0),FALSE),"")</f>
        <v/>
      </c>
      <c r="H504" s="4" t="b">
        <v>0</v>
      </c>
      <c r="I504" s="1" t="str">
        <f>IFERROR(VLOOKUP($A504,ItemsImport!$A$2:$AD970,MATCH("ItemLoc",ItemsImport!$A$1:$AE$1,0),FALSE),"")</f>
        <v/>
      </c>
      <c r="W504" s="1"/>
      <c r="X504" s="1" t="str">
        <f t="shared" si="1"/>
        <v/>
      </c>
    </row>
    <row r="505">
      <c r="A505" s="1"/>
      <c r="B505" s="1" t="str">
        <f>IFERROR(VLOOKUP($A505,ItemsImport!$A$2:$AD970,MATCH("Description",ItemsImport!$A$1:$AE$1,0),FALSE),"")</f>
        <v/>
      </c>
      <c r="C505" s="1" t="str">
        <f>IFERROR(VLOOKUP($A505,ItemsImport!$A$2:$AD970,MATCH("Type",ItemsImport!$A$1:$AE$1,0),FALSE),"")</f>
        <v/>
      </c>
      <c r="H505" s="4" t="b">
        <v>0</v>
      </c>
      <c r="I505" s="1" t="str">
        <f>IFERROR(VLOOKUP($A505,ItemsImport!$A$2:$AD970,MATCH("ItemLoc",ItemsImport!$A$1:$AE$1,0),FALSE),"")</f>
        <v/>
      </c>
      <c r="W505" s="1"/>
      <c r="X505" s="1" t="str">
        <f t="shared" si="1"/>
        <v/>
      </c>
    </row>
    <row r="506">
      <c r="A506" s="1"/>
      <c r="B506" s="1" t="str">
        <f>IFERROR(VLOOKUP($A506,ItemsImport!$A$2:$AD970,MATCH("Description",ItemsImport!$A$1:$AE$1,0),FALSE),"")</f>
        <v/>
      </c>
      <c r="C506" s="1" t="str">
        <f>IFERROR(VLOOKUP($A506,ItemsImport!$A$2:$AD970,MATCH("Type",ItemsImport!$A$1:$AE$1,0),FALSE),"")</f>
        <v/>
      </c>
      <c r="H506" s="4" t="b">
        <v>0</v>
      </c>
      <c r="I506" s="1" t="str">
        <f>IFERROR(VLOOKUP($A506,ItemsImport!$A$2:$AD970,MATCH("ItemLoc",ItemsImport!$A$1:$AE$1,0),FALSE),"")</f>
        <v/>
      </c>
      <c r="W506" s="1"/>
      <c r="X506" s="1" t="str">
        <f t="shared" si="1"/>
        <v/>
      </c>
    </row>
    <row r="507">
      <c r="A507" s="1"/>
      <c r="B507" s="1" t="str">
        <f>IFERROR(VLOOKUP($A507,ItemsImport!$A$2:$AD970,MATCH("Description",ItemsImport!$A$1:$AE$1,0),FALSE),"")</f>
        <v/>
      </c>
      <c r="C507" s="1" t="str">
        <f>IFERROR(VLOOKUP($A507,ItemsImport!$A$2:$AD970,MATCH("Type",ItemsImport!$A$1:$AE$1,0),FALSE),"")</f>
        <v/>
      </c>
      <c r="H507" s="4" t="b">
        <v>0</v>
      </c>
      <c r="I507" s="1" t="str">
        <f>IFERROR(VLOOKUP($A507,ItemsImport!$A$2:$AD970,MATCH("ItemLoc",ItemsImport!$A$1:$AE$1,0),FALSE),"")</f>
        <v/>
      </c>
      <c r="W507" s="1"/>
      <c r="X507" s="1" t="str">
        <f t="shared" si="1"/>
        <v/>
      </c>
    </row>
    <row r="508">
      <c r="A508" s="1"/>
      <c r="B508" s="1" t="str">
        <f>IFERROR(VLOOKUP($A508,ItemsImport!$A$2:$AD970,MATCH("Description",ItemsImport!$A$1:$AE$1,0),FALSE),"")</f>
        <v/>
      </c>
      <c r="C508" s="1" t="str">
        <f>IFERROR(VLOOKUP($A508,ItemsImport!$A$2:$AD970,MATCH("Type",ItemsImport!$A$1:$AE$1,0),FALSE),"")</f>
        <v/>
      </c>
      <c r="H508" s="4" t="b">
        <v>0</v>
      </c>
      <c r="I508" s="1" t="str">
        <f>IFERROR(VLOOKUP($A508,ItemsImport!$A$2:$AD970,MATCH("ItemLoc",ItemsImport!$A$1:$AE$1,0),FALSE),"")</f>
        <v/>
      </c>
      <c r="W508" s="1"/>
      <c r="X508" s="1" t="str">
        <f t="shared" si="1"/>
        <v/>
      </c>
    </row>
    <row r="509">
      <c r="A509" s="1"/>
      <c r="B509" s="1" t="str">
        <f>IFERROR(VLOOKUP($A509,ItemsImport!$A$2:$AD970,MATCH("Description",ItemsImport!$A$1:$AE$1,0),FALSE),"")</f>
        <v/>
      </c>
      <c r="C509" s="1" t="str">
        <f>IFERROR(VLOOKUP($A509,ItemsImport!$A$2:$AD970,MATCH("Type",ItemsImport!$A$1:$AE$1,0),FALSE),"")</f>
        <v/>
      </c>
      <c r="H509" s="4" t="b">
        <v>0</v>
      </c>
      <c r="I509" s="1" t="str">
        <f>IFERROR(VLOOKUP($A509,ItemsImport!$A$2:$AD970,MATCH("ItemLoc",ItemsImport!$A$1:$AE$1,0),FALSE),"")</f>
        <v/>
      </c>
      <c r="W509" s="1"/>
      <c r="X509" s="1" t="str">
        <f t="shared" si="1"/>
        <v/>
      </c>
    </row>
    <row r="510">
      <c r="A510" s="1"/>
      <c r="B510" s="1" t="str">
        <f>IFERROR(VLOOKUP($A510,ItemsImport!$A$2:$AD970,MATCH("Description",ItemsImport!$A$1:$AE$1,0),FALSE),"")</f>
        <v/>
      </c>
      <c r="C510" s="1" t="str">
        <f>IFERROR(VLOOKUP($A510,ItemsImport!$A$2:$AD970,MATCH("Type",ItemsImport!$A$1:$AE$1,0),FALSE),"")</f>
        <v/>
      </c>
      <c r="H510" s="4" t="b">
        <v>0</v>
      </c>
      <c r="I510" s="1" t="str">
        <f>IFERROR(VLOOKUP($A510,ItemsImport!$A$2:$AD970,MATCH("ItemLoc",ItemsImport!$A$1:$AE$1,0),FALSE),"")</f>
        <v/>
      </c>
      <c r="W510" s="1"/>
      <c r="X510" s="1" t="str">
        <f t="shared" si="1"/>
        <v/>
      </c>
    </row>
    <row r="511">
      <c r="A511" s="1"/>
      <c r="B511" s="1" t="str">
        <f>IFERROR(VLOOKUP($A511,ItemsImport!$A$2:$AD970,MATCH("Description",ItemsImport!$A$1:$AE$1,0),FALSE),"")</f>
        <v/>
      </c>
      <c r="C511" s="1" t="str">
        <f>IFERROR(VLOOKUP($A511,ItemsImport!$A$2:$AD970,MATCH("Type",ItemsImport!$A$1:$AE$1,0),FALSE),"")</f>
        <v/>
      </c>
      <c r="H511" s="4" t="b">
        <v>0</v>
      </c>
      <c r="I511" s="1" t="str">
        <f>IFERROR(VLOOKUP($A511,ItemsImport!$A$2:$AD970,MATCH("ItemLoc",ItemsImport!$A$1:$AE$1,0),FALSE),"")</f>
        <v/>
      </c>
      <c r="W511" s="1"/>
      <c r="X511" s="1" t="str">
        <f t="shared" si="1"/>
        <v/>
      </c>
    </row>
    <row r="512">
      <c r="A512" s="1"/>
      <c r="B512" s="1" t="str">
        <f>IFERROR(VLOOKUP($A512,ItemsImport!$A$2:$AD970,MATCH("Description",ItemsImport!$A$1:$AE$1,0),FALSE),"")</f>
        <v/>
      </c>
      <c r="C512" s="1" t="str">
        <f>IFERROR(VLOOKUP($A512,ItemsImport!$A$2:$AD970,MATCH("Type",ItemsImport!$A$1:$AE$1,0),FALSE),"")</f>
        <v/>
      </c>
      <c r="H512" s="4" t="b">
        <v>0</v>
      </c>
      <c r="I512" s="1" t="str">
        <f>IFERROR(VLOOKUP($A512,ItemsImport!$A$2:$AD970,MATCH("ItemLoc",ItemsImport!$A$1:$AE$1,0),FALSE),"")</f>
        <v/>
      </c>
      <c r="W512" s="1"/>
      <c r="X512" s="1" t="str">
        <f t="shared" si="1"/>
        <v/>
      </c>
    </row>
    <row r="513">
      <c r="A513" s="1"/>
      <c r="B513" s="1" t="str">
        <f>IFERROR(VLOOKUP($A513,ItemsImport!$A$2:$AD970,MATCH("Description",ItemsImport!$A$1:$AE$1,0),FALSE),"")</f>
        <v/>
      </c>
      <c r="C513" s="1" t="str">
        <f>IFERROR(VLOOKUP($A513,ItemsImport!$A$2:$AD970,MATCH("Type",ItemsImport!$A$1:$AE$1,0),FALSE),"")</f>
        <v/>
      </c>
      <c r="H513" s="4" t="b">
        <v>0</v>
      </c>
      <c r="I513" s="1" t="str">
        <f>IFERROR(VLOOKUP($A513,ItemsImport!$A$2:$AD970,MATCH("ItemLoc",ItemsImport!$A$1:$AE$1,0),FALSE),"")</f>
        <v/>
      </c>
      <c r="W513" s="1"/>
      <c r="X513" s="1" t="str">
        <f t="shared" si="1"/>
        <v/>
      </c>
    </row>
    <row r="514">
      <c r="A514" s="1"/>
      <c r="B514" s="1" t="str">
        <f>IFERROR(VLOOKUP($A514,ItemsImport!$A$2:$AD970,MATCH("Description",ItemsImport!$A$1:$AE$1,0),FALSE),"")</f>
        <v/>
      </c>
      <c r="C514" s="1" t="str">
        <f>IFERROR(VLOOKUP($A514,ItemsImport!$A$2:$AD970,MATCH("Type",ItemsImport!$A$1:$AE$1,0),FALSE),"")</f>
        <v/>
      </c>
      <c r="H514" s="4" t="b">
        <v>0</v>
      </c>
      <c r="I514" s="1" t="str">
        <f>IFERROR(VLOOKUP($A514,ItemsImport!$A$2:$AD970,MATCH("ItemLoc",ItemsImport!$A$1:$AE$1,0),FALSE),"")</f>
        <v/>
      </c>
      <c r="W514" s="1"/>
      <c r="X514" s="1" t="str">
        <f t="shared" si="1"/>
        <v/>
      </c>
    </row>
    <row r="515">
      <c r="A515" s="1"/>
      <c r="B515" s="1" t="str">
        <f>IFERROR(VLOOKUP($A515,ItemsImport!$A$2:$AD970,MATCH("Description",ItemsImport!$A$1:$AE$1,0),FALSE),"")</f>
        <v/>
      </c>
      <c r="C515" s="1" t="str">
        <f>IFERROR(VLOOKUP($A515,ItemsImport!$A$2:$AD970,MATCH("Type",ItemsImport!$A$1:$AE$1,0),FALSE),"")</f>
        <v/>
      </c>
      <c r="H515" s="4" t="b">
        <v>0</v>
      </c>
      <c r="I515" s="1" t="str">
        <f>IFERROR(VLOOKUP($A515,ItemsImport!$A$2:$AD970,MATCH("ItemLoc",ItemsImport!$A$1:$AE$1,0),FALSE),"")</f>
        <v/>
      </c>
      <c r="W515" s="1"/>
      <c r="X515" s="1" t="str">
        <f t="shared" si="1"/>
        <v/>
      </c>
    </row>
    <row r="516">
      <c r="A516" s="1"/>
      <c r="B516" s="1" t="str">
        <f>IFERROR(VLOOKUP($A516,ItemsImport!$A$2:$AD970,MATCH("Description",ItemsImport!$A$1:$AE$1,0),FALSE),"")</f>
        <v/>
      </c>
      <c r="C516" s="1" t="str">
        <f>IFERROR(VLOOKUP($A516,ItemsImport!$A$2:$AD970,MATCH("Type",ItemsImport!$A$1:$AE$1,0),FALSE),"")</f>
        <v/>
      </c>
      <c r="H516" s="4" t="b">
        <v>0</v>
      </c>
      <c r="I516" s="1" t="str">
        <f>IFERROR(VLOOKUP($A516,ItemsImport!$A$2:$AD970,MATCH("ItemLoc",ItemsImport!$A$1:$AE$1,0),FALSE),"")</f>
        <v/>
      </c>
      <c r="W516" s="1"/>
      <c r="X516" s="1" t="str">
        <f t="shared" si="1"/>
        <v/>
      </c>
    </row>
    <row r="517">
      <c r="A517" s="1"/>
      <c r="B517" s="1" t="str">
        <f>IFERROR(VLOOKUP($A517,ItemsImport!$A$2:$AD970,MATCH("Description",ItemsImport!$A$1:$AE$1,0),FALSE),"")</f>
        <v/>
      </c>
      <c r="C517" s="1" t="str">
        <f>IFERROR(VLOOKUP($A517,ItemsImport!$A$2:$AD970,MATCH("Type",ItemsImport!$A$1:$AE$1,0),FALSE),"")</f>
        <v/>
      </c>
      <c r="H517" s="4" t="b">
        <v>0</v>
      </c>
      <c r="I517" s="1" t="str">
        <f>IFERROR(VLOOKUP($A517,ItemsImport!$A$2:$AD970,MATCH("ItemLoc",ItemsImport!$A$1:$AE$1,0),FALSE),"")</f>
        <v/>
      </c>
      <c r="W517" s="1"/>
      <c r="X517" s="1" t="str">
        <f t="shared" si="1"/>
        <v/>
      </c>
    </row>
    <row r="518">
      <c r="A518" s="1"/>
      <c r="B518" s="1" t="str">
        <f>IFERROR(VLOOKUP($A518,ItemsImport!$A$2:$AD970,MATCH("Description",ItemsImport!$A$1:$AE$1,0),FALSE),"")</f>
        <v/>
      </c>
      <c r="C518" s="1" t="str">
        <f>IFERROR(VLOOKUP($A518,ItemsImport!$A$2:$AD970,MATCH("Type",ItemsImport!$A$1:$AE$1,0),FALSE),"")</f>
        <v/>
      </c>
      <c r="H518" s="4" t="b">
        <v>0</v>
      </c>
      <c r="I518" s="1" t="str">
        <f>IFERROR(VLOOKUP($A518,ItemsImport!$A$2:$AD970,MATCH("ItemLoc",ItemsImport!$A$1:$AE$1,0),FALSE),"")</f>
        <v/>
      </c>
      <c r="W518" s="1"/>
      <c r="X518" s="1" t="str">
        <f t="shared" si="1"/>
        <v/>
      </c>
    </row>
    <row r="519">
      <c r="A519" s="1"/>
      <c r="B519" s="1" t="str">
        <f>IFERROR(VLOOKUP($A519,ItemsImport!$A$2:$AD970,MATCH("Description",ItemsImport!$A$1:$AE$1,0),FALSE),"")</f>
        <v/>
      </c>
      <c r="C519" s="1" t="str">
        <f>IFERROR(VLOOKUP($A519,ItemsImport!$A$2:$AD970,MATCH("Type",ItemsImport!$A$1:$AE$1,0),FALSE),"")</f>
        <v/>
      </c>
      <c r="H519" s="4" t="b">
        <v>0</v>
      </c>
      <c r="I519" s="1" t="str">
        <f>IFERROR(VLOOKUP($A519,ItemsImport!$A$2:$AD970,MATCH("ItemLoc",ItemsImport!$A$1:$AE$1,0),FALSE),"")</f>
        <v/>
      </c>
      <c r="W519" s="1"/>
      <c r="X519" s="1" t="str">
        <f t="shared" si="1"/>
        <v/>
      </c>
    </row>
    <row r="520">
      <c r="A520" s="1"/>
      <c r="B520" s="1" t="str">
        <f>IFERROR(VLOOKUP($A520,ItemsImport!$A$2:$AD970,MATCH("Description",ItemsImport!$A$1:$AE$1,0),FALSE),"")</f>
        <v/>
      </c>
      <c r="C520" s="1" t="str">
        <f>IFERROR(VLOOKUP($A520,ItemsImport!$A$2:$AD970,MATCH("Type",ItemsImport!$A$1:$AE$1,0),FALSE),"")</f>
        <v/>
      </c>
      <c r="H520" s="4" t="b">
        <v>0</v>
      </c>
      <c r="I520" s="1" t="str">
        <f>IFERROR(VLOOKUP($A520,ItemsImport!$A$2:$AD970,MATCH("ItemLoc",ItemsImport!$A$1:$AE$1,0),FALSE),"")</f>
        <v/>
      </c>
      <c r="W520" s="1"/>
      <c r="X520" s="1" t="str">
        <f t="shared" si="1"/>
        <v/>
      </c>
    </row>
    <row r="521">
      <c r="A521" s="1"/>
      <c r="B521" s="1" t="str">
        <f>IFERROR(VLOOKUP($A521,ItemsImport!$A$2:$AD970,MATCH("Description",ItemsImport!$A$1:$AE$1,0),FALSE),"")</f>
        <v/>
      </c>
      <c r="C521" s="1" t="str">
        <f>IFERROR(VLOOKUP($A521,ItemsImport!$A$2:$AD970,MATCH("Type",ItemsImport!$A$1:$AE$1,0),FALSE),"")</f>
        <v/>
      </c>
      <c r="H521" s="4" t="b">
        <v>0</v>
      </c>
      <c r="I521" s="1" t="str">
        <f>IFERROR(VLOOKUP($A521,ItemsImport!$A$2:$AD970,MATCH("ItemLoc",ItemsImport!$A$1:$AE$1,0),FALSE),"")</f>
        <v/>
      </c>
      <c r="W521" s="1"/>
      <c r="X521" s="1" t="str">
        <f t="shared" si="1"/>
        <v/>
      </c>
    </row>
    <row r="522">
      <c r="A522" s="1"/>
      <c r="B522" s="1" t="str">
        <f>IFERROR(VLOOKUP($A522,ItemsImport!$A$2:$AD970,MATCH("Description",ItemsImport!$A$1:$AE$1,0),FALSE),"")</f>
        <v/>
      </c>
      <c r="C522" s="1" t="str">
        <f>IFERROR(VLOOKUP($A522,ItemsImport!$A$2:$AD970,MATCH("Type",ItemsImport!$A$1:$AE$1,0),FALSE),"")</f>
        <v/>
      </c>
      <c r="H522" s="4" t="b">
        <v>0</v>
      </c>
      <c r="I522" s="1" t="str">
        <f>IFERROR(VLOOKUP($A522,ItemsImport!$A$2:$AD970,MATCH("ItemLoc",ItemsImport!$A$1:$AE$1,0),FALSE),"")</f>
        <v/>
      </c>
      <c r="W522" s="1"/>
      <c r="X522" s="1" t="str">
        <f t="shared" si="1"/>
        <v/>
      </c>
    </row>
    <row r="523">
      <c r="A523" s="1"/>
      <c r="B523" s="1" t="str">
        <f>IFERROR(VLOOKUP($A523,ItemsImport!$A$2:$AD970,MATCH("Description",ItemsImport!$A$1:$AE$1,0),FALSE),"")</f>
        <v/>
      </c>
      <c r="C523" s="1" t="str">
        <f>IFERROR(VLOOKUP($A523,ItemsImport!$A$2:$AD970,MATCH("Type",ItemsImport!$A$1:$AE$1,0),FALSE),"")</f>
        <v/>
      </c>
      <c r="H523" s="4" t="b">
        <v>0</v>
      </c>
      <c r="I523" s="1" t="str">
        <f>IFERROR(VLOOKUP($A523,ItemsImport!$A$2:$AD970,MATCH("ItemLoc",ItemsImport!$A$1:$AE$1,0),FALSE),"")</f>
        <v/>
      </c>
      <c r="W523" s="1"/>
      <c r="X523" s="1" t="str">
        <f t="shared" si="1"/>
        <v/>
      </c>
    </row>
    <row r="524">
      <c r="A524" s="1"/>
      <c r="B524" s="1" t="str">
        <f>IFERROR(VLOOKUP($A524,ItemsImport!$A$2:$AD970,MATCH("Description",ItemsImport!$A$1:$AE$1,0),FALSE),"")</f>
        <v/>
      </c>
      <c r="C524" s="1" t="str">
        <f>IFERROR(VLOOKUP($A524,ItemsImport!$A$2:$AD970,MATCH("Type",ItemsImport!$A$1:$AE$1,0),FALSE),"")</f>
        <v/>
      </c>
      <c r="H524" s="4" t="b">
        <v>0</v>
      </c>
      <c r="I524" s="1" t="str">
        <f>IFERROR(VLOOKUP($A524,ItemsImport!$A$2:$AD970,MATCH("ItemLoc",ItemsImport!$A$1:$AE$1,0),FALSE),"")</f>
        <v/>
      </c>
      <c r="W524" s="1"/>
      <c r="X524" s="1" t="str">
        <f t="shared" si="1"/>
        <v/>
      </c>
    </row>
    <row r="525">
      <c r="A525" s="1"/>
      <c r="B525" s="1" t="str">
        <f>IFERROR(VLOOKUP($A525,ItemsImport!$A$2:$AD970,MATCH("Description",ItemsImport!$A$1:$AE$1,0),FALSE),"")</f>
        <v/>
      </c>
      <c r="C525" s="1" t="str">
        <f>IFERROR(VLOOKUP($A525,ItemsImport!$A$2:$AD970,MATCH("Type",ItemsImport!$A$1:$AE$1,0),FALSE),"")</f>
        <v/>
      </c>
      <c r="H525" s="4" t="b">
        <v>0</v>
      </c>
      <c r="I525" s="1" t="str">
        <f>IFERROR(VLOOKUP($A525,ItemsImport!$A$2:$AD970,MATCH("ItemLoc",ItemsImport!$A$1:$AE$1,0),FALSE),"")</f>
        <v/>
      </c>
      <c r="W525" s="1"/>
      <c r="X525" s="1" t="str">
        <f t="shared" si="1"/>
        <v/>
      </c>
    </row>
    <row r="526">
      <c r="A526" s="1"/>
      <c r="B526" s="1" t="str">
        <f>IFERROR(VLOOKUP($A526,ItemsImport!$A$2:$AD970,MATCH("Description",ItemsImport!$A$1:$AE$1,0),FALSE),"")</f>
        <v/>
      </c>
      <c r="C526" s="1" t="str">
        <f>IFERROR(VLOOKUP($A526,ItemsImport!$A$2:$AD970,MATCH("Type",ItemsImport!$A$1:$AE$1,0),FALSE),"")</f>
        <v/>
      </c>
      <c r="H526" s="4" t="b">
        <v>0</v>
      </c>
      <c r="I526" s="1" t="str">
        <f>IFERROR(VLOOKUP($A526,ItemsImport!$A$2:$AD970,MATCH("ItemLoc",ItemsImport!$A$1:$AE$1,0),FALSE),"")</f>
        <v/>
      </c>
      <c r="W526" s="1"/>
      <c r="X526" s="1" t="str">
        <f t="shared" si="1"/>
        <v/>
      </c>
    </row>
    <row r="527">
      <c r="A527" s="1"/>
      <c r="B527" s="1" t="str">
        <f>IFERROR(VLOOKUP($A527,ItemsImport!$A$2:$AD970,MATCH("Description",ItemsImport!$A$1:$AE$1,0),FALSE),"")</f>
        <v/>
      </c>
      <c r="C527" s="1" t="str">
        <f>IFERROR(VLOOKUP($A527,ItemsImport!$A$2:$AD970,MATCH("Type",ItemsImport!$A$1:$AE$1,0),FALSE),"")</f>
        <v/>
      </c>
      <c r="H527" s="4" t="b">
        <v>0</v>
      </c>
      <c r="I527" s="1" t="str">
        <f>IFERROR(VLOOKUP($A527,ItemsImport!$A$2:$AD970,MATCH("ItemLoc",ItemsImport!$A$1:$AE$1,0),FALSE),"")</f>
        <v/>
      </c>
      <c r="W527" s="1"/>
      <c r="X527" s="1" t="str">
        <f t="shared" si="1"/>
        <v/>
      </c>
    </row>
    <row r="528">
      <c r="A528" s="1"/>
      <c r="B528" s="1" t="str">
        <f>IFERROR(VLOOKUP($A528,ItemsImport!$A$2:$AD970,MATCH("Description",ItemsImport!$A$1:$AE$1,0),FALSE),"")</f>
        <v/>
      </c>
      <c r="C528" s="1" t="str">
        <f>IFERROR(VLOOKUP($A528,ItemsImport!$A$2:$AD970,MATCH("Type",ItemsImport!$A$1:$AE$1,0),FALSE),"")</f>
        <v/>
      </c>
      <c r="H528" s="4" t="b">
        <v>0</v>
      </c>
      <c r="I528" s="1" t="str">
        <f>IFERROR(VLOOKUP($A528,ItemsImport!$A$2:$AD970,MATCH("ItemLoc",ItemsImport!$A$1:$AE$1,0),FALSE),"")</f>
        <v/>
      </c>
      <c r="W528" s="1"/>
      <c r="X528" s="1" t="str">
        <f t="shared" si="1"/>
        <v/>
      </c>
    </row>
    <row r="529">
      <c r="A529" s="1"/>
      <c r="B529" s="1" t="str">
        <f>IFERROR(VLOOKUP($A529,ItemsImport!$A$2:$AD970,MATCH("Description",ItemsImport!$A$1:$AE$1,0),FALSE),"")</f>
        <v/>
      </c>
      <c r="C529" s="1" t="str">
        <f>IFERROR(VLOOKUP($A529,ItemsImport!$A$2:$AD970,MATCH("Type",ItemsImport!$A$1:$AE$1,0),FALSE),"")</f>
        <v/>
      </c>
      <c r="H529" s="4" t="b">
        <v>0</v>
      </c>
      <c r="I529" s="1" t="str">
        <f>IFERROR(VLOOKUP($A529,ItemsImport!$A$2:$AD970,MATCH("ItemLoc",ItemsImport!$A$1:$AE$1,0),FALSE),"")</f>
        <v/>
      </c>
      <c r="W529" s="1"/>
      <c r="X529" s="1" t="str">
        <f t="shared" si="1"/>
        <v/>
      </c>
    </row>
    <row r="530">
      <c r="A530" s="1"/>
      <c r="B530" s="1" t="str">
        <f>IFERROR(VLOOKUP($A530,ItemsImport!$A$2:$AD970,MATCH("Description",ItemsImport!$A$1:$AE$1,0),FALSE),"")</f>
        <v/>
      </c>
      <c r="C530" s="1" t="str">
        <f>IFERROR(VLOOKUP($A530,ItemsImport!$A$2:$AD970,MATCH("Type",ItemsImport!$A$1:$AE$1,0),FALSE),"")</f>
        <v/>
      </c>
      <c r="H530" s="4" t="b">
        <v>0</v>
      </c>
      <c r="I530" s="1" t="str">
        <f>IFERROR(VLOOKUP($A530,ItemsImport!$A$2:$AD970,MATCH("ItemLoc",ItemsImport!$A$1:$AE$1,0),FALSE),"")</f>
        <v/>
      </c>
      <c r="W530" s="1"/>
      <c r="X530" s="1" t="str">
        <f t="shared" si="1"/>
        <v/>
      </c>
    </row>
    <row r="531">
      <c r="A531" s="1"/>
      <c r="B531" s="1" t="str">
        <f>IFERROR(VLOOKUP($A531,ItemsImport!$A$2:$AD970,MATCH("Description",ItemsImport!$A$1:$AE$1,0),FALSE),"")</f>
        <v/>
      </c>
      <c r="C531" s="1" t="str">
        <f>IFERROR(VLOOKUP($A531,ItemsImport!$A$2:$AD970,MATCH("Type",ItemsImport!$A$1:$AE$1,0),FALSE),"")</f>
        <v/>
      </c>
      <c r="H531" s="4" t="b">
        <v>0</v>
      </c>
      <c r="I531" s="1" t="str">
        <f>IFERROR(VLOOKUP($A531,ItemsImport!$A$2:$AD970,MATCH("ItemLoc",ItemsImport!$A$1:$AE$1,0),FALSE),"")</f>
        <v/>
      </c>
      <c r="W531" s="1"/>
      <c r="X531" s="1" t="str">
        <f t="shared" si="1"/>
        <v/>
      </c>
    </row>
    <row r="532">
      <c r="A532" s="1"/>
      <c r="B532" s="1" t="str">
        <f>IFERROR(VLOOKUP($A532,ItemsImport!$A$2:$AD970,MATCH("Description",ItemsImport!$A$1:$AE$1,0),FALSE),"")</f>
        <v/>
      </c>
      <c r="C532" s="1" t="str">
        <f>IFERROR(VLOOKUP($A532,ItemsImport!$A$2:$AD970,MATCH("Type",ItemsImport!$A$1:$AE$1,0),FALSE),"")</f>
        <v/>
      </c>
      <c r="H532" s="4" t="b">
        <v>0</v>
      </c>
      <c r="I532" s="1" t="str">
        <f>IFERROR(VLOOKUP($A532,ItemsImport!$A$2:$AD970,MATCH("ItemLoc",ItemsImport!$A$1:$AE$1,0),FALSE),"")</f>
        <v/>
      </c>
      <c r="W532" s="1"/>
      <c r="X532" s="1" t="str">
        <f t="shared" si="1"/>
        <v/>
      </c>
    </row>
    <row r="533">
      <c r="A533" s="1"/>
      <c r="B533" s="1" t="str">
        <f>IFERROR(VLOOKUP($A533,ItemsImport!$A$2:$AD970,MATCH("Description",ItemsImport!$A$1:$AE$1,0),FALSE),"")</f>
        <v/>
      </c>
      <c r="C533" s="1" t="str">
        <f>IFERROR(VLOOKUP($A533,ItemsImport!$A$2:$AD970,MATCH("Type",ItemsImport!$A$1:$AE$1,0),FALSE),"")</f>
        <v/>
      </c>
      <c r="H533" s="4" t="b">
        <v>0</v>
      </c>
      <c r="I533" s="1" t="str">
        <f>IFERROR(VLOOKUP($A533,ItemsImport!$A$2:$AD970,MATCH("ItemLoc",ItemsImport!$A$1:$AE$1,0),FALSE),"")</f>
        <v/>
      </c>
      <c r="W533" s="1"/>
      <c r="X533" s="1" t="str">
        <f t="shared" si="1"/>
        <v/>
      </c>
    </row>
    <row r="534">
      <c r="A534" s="1"/>
      <c r="B534" s="1" t="str">
        <f>IFERROR(VLOOKUP($A534,ItemsImport!$A$2:$AD970,MATCH("Description",ItemsImport!$A$1:$AE$1,0),FALSE),"")</f>
        <v/>
      </c>
      <c r="C534" s="1" t="str">
        <f>IFERROR(VLOOKUP($A534,ItemsImport!$A$2:$AD970,MATCH("Type",ItemsImport!$A$1:$AE$1,0),FALSE),"")</f>
        <v/>
      </c>
      <c r="H534" s="4" t="b">
        <v>0</v>
      </c>
      <c r="I534" s="1" t="str">
        <f>IFERROR(VLOOKUP($A534,ItemsImport!$A$2:$AD970,MATCH("ItemLoc",ItemsImport!$A$1:$AE$1,0),FALSE),"")</f>
        <v/>
      </c>
      <c r="W534" s="1"/>
      <c r="X534" s="1" t="str">
        <f t="shared" si="1"/>
        <v/>
      </c>
    </row>
    <row r="535">
      <c r="A535" s="1"/>
      <c r="B535" s="1" t="str">
        <f>IFERROR(VLOOKUP($A535,ItemsImport!$A$2:$AD970,MATCH("Description",ItemsImport!$A$1:$AE$1,0),FALSE),"")</f>
        <v/>
      </c>
      <c r="C535" s="1" t="str">
        <f>IFERROR(VLOOKUP($A535,ItemsImport!$A$2:$AD970,MATCH("Type",ItemsImport!$A$1:$AE$1,0),FALSE),"")</f>
        <v/>
      </c>
      <c r="H535" s="4" t="b">
        <v>0</v>
      </c>
      <c r="I535" s="1" t="str">
        <f>IFERROR(VLOOKUP($A535,ItemsImport!$A$2:$AD970,MATCH("ItemLoc",ItemsImport!$A$1:$AE$1,0),FALSE),"")</f>
        <v/>
      </c>
      <c r="W535" s="1"/>
      <c r="X535" s="1" t="str">
        <f t="shared" si="1"/>
        <v/>
      </c>
    </row>
    <row r="536">
      <c r="A536" s="1"/>
      <c r="B536" s="1" t="str">
        <f>IFERROR(VLOOKUP($A536,ItemsImport!$A$2:$AD970,MATCH("Description",ItemsImport!$A$1:$AE$1,0),FALSE),"")</f>
        <v/>
      </c>
      <c r="C536" s="1" t="str">
        <f>IFERROR(VLOOKUP($A536,ItemsImport!$A$2:$AD970,MATCH("Type",ItemsImport!$A$1:$AE$1,0),FALSE),"")</f>
        <v/>
      </c>
      <c r="H536" s="4" t="b">
        <v>0</v>
      </c>
      <c r="I536" s="1" t="str">
        <f>IFERROR(VLOOKUP($A536,ItemsImport!$A$2:$AD970,MATCH("ItemLoc",ItemsImport!$A$1:$AE$1,0),FALSE),"")</f>
        <v/>
      </c>
      <c r="W536" s="1"/>
      <c r="X536" s="1" t="str">
        <f t="shared" si="1"/>
        <v/>
      </c>
    </row>
    <row r="537">
      <c r="A537" s="1"/>
      <c r="B537" s="1" t="str">
        <f>IFERROR(VLOOKUP($A537,ItemsImport!$A$2:$AD970,MATCH("Description",ItemsImport!$A$1:$AE$1,0),FALSE),"")</f>
        <v/>
      </c>
      <c r="C537" s="1" t="str">
        <f>IFERROR(VLOOKUP($A537,ItemsImport!$A$2:$AD970,MATCH("Type",ItemsImport!$A$1:$AE$1,0),FALSE),"")</f>
        <v/>
      </c>
      <c r="H537" s="4" t="b">
        <v>0</v>
      </c>
      <c r="I537" s="1" t="str">
        <f>IFERROR(VLOOKUP($A537,ItemsImport!$A$2:$AD970,MATCH("ItemLoc",ItemsImport!$A$1:$AE$1,0),FALSE),"")</f>
        <v/>
      </c>
      <c r="W537" s="1"/>
      <c r="X537" s="1" t="str">
        <f t="shared" si="1"/>
        <v/>
      </c>
    </row>
    <row r="538">
      <c r="A538" s="1"/>
      <c r="B538" s="1" t="str">
        <f>IFERROR(VLOOKUP($A538,ItemsImport!$A$2:$AD970,MATCH("Description",ItemsImport!$A$1:$AE$1,0),FALSE),"")</f>
        <v/>
      </c>
      <c r="C538" s="1" t="str">
        <f>IFERROR(VLOOKUP($A538,ItemsImport!$A$2:$AD970,MATCH("Type",ItemsImport!$A$1:$AE$1,0),FALSE),"")</f>
        <v/>
      </c>
      <c r="H538" s="4" t="b">
        <v>0</v>
      </c>
      <c r="I538" s="1" t="str">
        <f>IFERROR(VLOOKUP($A538,ItemsImport!$A$2:$AD970,MATCH("ItemLoc",ItemsImport!$A$1:$AE$1,0),FALSE),"")</f>
        <v/>
      </c>
      <c r="W538" s="1"/>
      <c r="X538" s="1" t="str">
        <f t="shared" si="1"/>
        <v/>
      </c>
    </row>
    <row r="539">
      <c r="A539" s="1"/>
      <c r="B539" s="1" t="str">
        <f>IFERROR(VLOOKUP($A539,ItemsImport!$A$2:$AD970,MATCH("Description",ItemsImport!$A$1:$AE$1,0),FALSE),"")</f>
        <v/>
      </c>
      <c r="C539" s="1" t="str">
        <f>IFERROR(VLOOKUP($A539,ItemsImport!$A$2:$AD970,MATCH("Type",ItemsImport!$A$1:$AE$1,0),FALSE),"")</f>
        <v/>
      </c>
      <c r="H539" s="4" t="b">
        <v>0</v>
      </c>
      <c r="I539" s="1" t="str">
        <f>IFERROR(VLOOKUP($A539,ItemsImport!$A$2:$AD970,MATCH("ItemLoc",ItemsImport!$A$1:$AE$1,0),FALSE),"")</f>
        <v/>
      </c>
      <c r="W539" s="1"/>
      <c r="X539" s="1" t="str">
        <f t="shared" si="1"/>
        <v/>
      </c>
    </row>
    <row r="540">
      <c r="A540" s="1"/>
      <c r="B540" s="1" t="str">
        <f>IFERROR(VLOOKUP($A540,ItemsImport!$A$2:$AD970,MATCH("Description",ItemsImport!$A$1:$AE$1,0),FALSE),"")</f>
        <v/>
      </c>
      <c r="C540" s="1" t="str">
        <f>IFERROR(VLOOKUP($A540,ItemsImport!$A$2:$AD970,MATCH("Type",ItemsImport!$A$1:$AE$1,0),FALSE),"")</f>
        <v/>
      </c>
      <c r="H540" s="4" t="b">
        <v>0</v>
      </c>
      <c r="I540" s="1" t="str">
        <f>IFERROR(VLOOKUP($A540,ItemsImport!$A$2:$AD970,MATCH("ItemLoc",ItemsImport!$A$1:$AE$1,0),FALSE),"")</f>
        <v/>
      </c>
      <c r="W540" s="1"/>
      <c r="X540" s="1" t="str">
        <f t="shared" si="1"/>
        <v/>
      </c>
    </row>
    <row r="541">
      <c r="A541" s="1"/>
      <c r="B541" s="1" t="str">
        <f>IFERROR(VLOOKUP($A541,ItemsImport!$A$2:$AD970,MATCH("Description",ItemsImport!$A$1:$AE$1,0),FALSE),"")</f>
        <v/>
      </c>
      <c r="C541" s="1" t="str">
        <f>IFERROR(VLOOKUP($A541,ItemsImport!$A$2:$AD970,MATCH("Type",ItemsImport!$A$1:$AE$1,0),FALSE),"")</f>
        <v/>
      </c>
      <c r="H541" s="4" t="b">
        <v>0</v>
      </c>
      <c r="I541" s="1" t="str">
        <f>IFERROR(VLOOKUP($A541,ItemsImport!$A$2:$AD970,MATCH("ItemLoc",ItemsImport!$A$1:$AE$1,0),FALSE),"")</f>
        <v/>
      </c>
      <c r="W541" s="1"/>
      <c r="X541" s="1" t="str">
        <f t="shared" si="1"/>
        <v/>
      </c>
    </row>
    <row r="542">
      <c r="A542" s="1"/>
      <c r="B542" s="1" t="str">
        <f>IFERROR(VLOOKUP($A542,ItemsImport!$A$2:$AD970,MATCH("Description",ItemsImport!$A$1:$AE$1,0),FALSE),"")</f>
        <v/>
      </c>
      <c r="C542" s="1" t="str">
        <f>IFERROR(VLOOKUP($A542,ItemsImport!$A$2:$AD970,MATCH("Type",ItemsImport!$A$1:$AE$1,0),FALSE),"")</f>
        <v/>
      </c>
      <c r="H542" s="4" t="b">
        <v>0</v>
      </c>
      <c r="I542" s="1" t="str">
        <f>IFERROR(VLOOKUP($A542,ItemsImport!$A$2:$AD970,MATCH("ItemLoc",ItemsImport!$A$1:$AE$1,0),FALSE),"")</f>
        <v/>
      </c>
      <c r="W542" s="1"/>
      <c r="X542" s="1" t="str">
        <f t="shared" si="1"/>
        <v/>
      </c>
    </row>
    <row r="543">
      <c r="A543" s="1"/>
      <c r="B543" s="1" t="str">
        <f>IFERROR(VLOOKUP($A543,ItemsImport!$A$2:$AD970,MATCH("Description",ItemsImport!$A$1:$AE$1,0),FALSE),"")</f>
        <v/>
      </c>
      <c r="C543" s="1" t="str">
        <f>IFERROR(VLOOKUP($A543,ItemsImport!$A$2:$AD970,MATCH("Type",ItemsImport!$A$1:$AE$1,0),FALSE),"")</f>
        <v/>
      </c>
      <c r="H543" s="4" t="b">
        <v>0</v>
      </c>
      <c r="I543" s="1" t="str">
        <f>IFERROR(VLOOKUP($A543,ItemsImport!$A$2:$AD970,MATCH("ItemLoc",ItemsImport!$A$1:$AE$1,0),FALSE),"")</f>
        <v/>
      </c>
      <c r="W543" s="1"/>
      <c r="X543" s="1" t="str">
        <f t="shared" si="1"/>
        <v/>
      </c>
    </row>
    <row r="544">
      <c r="A544" s="1"/>
      <c r="B544" s="1" t="str">
        <f>IFERROR(VLOOKUP($A544,ItemsImport!$A$2:$AD970,MATCH("Description",ItemsImport!$A$1:$AE$1,0),FALSE),"")</f>
        <v/>
      </c>
      <c r="C544" s="1" t="str">
        <f>IFERROR(VLOOKUP($A544,ItemsImport!$A$2:$AD970,MATCH("Type",ItemsImport!$A$1:$AE$1,0),FALSE),"")</f>
        <v/>
      </c>
      <c r="H544" s="4" t="b">
        <v>0</v>
      </c>
      <c r="I544" s="1" t="str">
        <f>IFERROR(VLOOKUP($A544,ItemsImport!$A$2:$AD970,MATCH("ItemLoc",ItemsImport!$A$1:$AE$1,0),FALSE),"")</f>
        <v/>
      </c>
      <c r="W544" s="1"/>
      <c r="X544" s="1" t="str">
        <f t="shared" si="1"/>
        <v/>
      </c>
    </row>
    <row r="545">
      <c r="A545" s="1"/>
      <c r="B545" s="1" t="str">
        <f>IFERROR(VLOOKUP($A545,ItemsImport!$A$2:$AD970,MATCH("Description",ItemsImport!$A$1:$AE$1,0),FALSE),"")</f>
        <v/>
      </c>
      <c r="C545" s="1" t="str">
        <f>IFERROR(VLOOKUP($A545,ItemsImport!$A$2:$AD970,MATCH("Type",ItemsImport!$A$1:$AE$1,0),FALSE),"")</f>
        <v/>
      </c>
      <c r="H545" s="4" t="b">
        <v>0</v>
      </c>
      <c r="I545" s="1" t="str">
        <f>IFERROR(VLOOKUP($A545,ItemsImport!$A$2:$AD970,MATCH("ItemLoc",ItemsImport!$A$1:$AE$1,0),FALSE),"")</f>
        <v/>
      </c>
      <c r="W545" s="1"/>
      <c r="X545" s="1" t="str">
        <f t="shared" si="1"/>
        <v/>
      </c>
    </row>
    <row r="546">
      <c r="A546" s="1"/>
      <c r="B546" s="1" t="str">
        <f>IFERROR(VLOOKUP($A546,ItemsImport!$A$2:$AD970,MATCH("Description",ItemsImport!$A$1:$AE$1,0),FALSE),"")</f>
        <v/>
      </c>
      <c r="C546" s="1" t="str">
        <f>IFERROR(VLOOKUP($A546,ItemsImport!$A$2:$AD970,MATCH("Type",ItemsImport!$A$1:$AE$1,0),FALSE),"")</f>
        <v/>
      </c>
      <c r="H546" s="4" t="b">
        <v>0</v>
      </c>
      <c r="I546" s="1" t="str">
        <f>IFERROR(VLOOKUP($A546,ItemsImport!$A$2:$AD970,MATCH("ItemLoc",ItemsImport!$A$1:$AE$1,0),FALSE),"")</f>
        <v/>
      </c>
      <c r="W546" s="1"/>
      <c r="X546" s="1" t="str">
        <f t="shared" si="1"/>
        <v/>
      </c>
    </row>
    <row r="547">
      <c r="A547" s="1"/>
      <c r="B547" s="1" t="str">
        <f>IFERROR(VLOOKUP($A547,ItemsImport!$A$2:$AD970,MATCH("Description",ItemsImport!$A$1:$AE$1,0),FALSE),"")</f>
        <v/>
      </c>
      <c r="C547" s="1" t="str">
        <f>IFERROR(VLOOKUP($A547,ItemsImport!$A$2:$AD970,MATCH("Type",ItemsImport!$A$1:$AE$1,0),FALSE),"")</f>
        <v/>
      </c>
      <c r="H547" s="4" t="b">
        <v>0</v>
      </c>
      <c r="I547" s="1" t="str">
        <f>IFERROR(VLOOKUP($A547,ItemsImport!$A$2:$AD970,MATCH("ItemLoc",ItemsImport!$A$1:$AE$1,0),FALSE),"")</f>
        <v/>
      </c>
      <c r="W547" s="1"/>
      <c r="X547" s="1" t="str">
        <f t="shared" si="1"/>
        <v/>
      </c>
    </row>
    <row r="548">
      <c r="A548" s="1"/>
      <c r="B548" s="1" t="str">
        <f>IFERROR(VLOOKUP($A548,ItemsImport!$A$2:$AD970,MATCH("Description",ItemsImport!$A$1:$AE$1,0),FALSE),"")</f>
        <v/>
      </c>
      <c r="C548" s="1" t="str">
        <f>IFERROR(VLOOKUP($A548,ItemsImport!$A$2:$AD970,MATCH("Type",ItemsImport!$A$1:$AE$1,0),FALSE),"")</f>
        <v/>
      </c>
      <c r="H548" s="4" t="b">
        <v>0</v>
      </c>
      <c r="I548" s="1" t="str">
        <f>IFERROR(VLOOKUP($A548,ItemsImport!$A$2:$AD970,MATCH("ItemLoc",ItemsImport!$A$1:$AE$1,0),FALSE),"")</f>
        <v/>
      </c>
      <c r="W548" s="1"/>
      <c r="X548" s="1" t="str">
        <f t="shared" si="1"/>
        <v/>
      </c>
    </row>
    <row r="549">
      <c r="A549" s="1"/>
      <c r="B549" s="1" t="str">
        <f>IFERROR(VLOOKUP($A549,ItemsImport!$A$2:$AD970,MATCH("Description",ItemsImport!$A$1:$AE$1,0),FALSE),"")</f>
        <v/>
      </c>
      <c r="C549" s="1" t="str">
        <f>IFERROR(VLOOKUP($A549,ItemsImport!$A$2:$AD970,MATCH("Type",ItemsImport!$A$1:$AE$1,0),FALSE),"")</f>
        <v/>
      </c>
      <c r="H549" s="4" t="b">
        <v>0</v>
      </c>
      <c r="I549" s="1" t="str">
        <f>IFERROR(VLOOKUP($A549,ItemsImport!$A$2:$AD970,MATCH("ItemLoc",ItemsImport!$A$1:$AE$1,0),FALSE),"")</f>
        <v/>
      </c>
      <c r="W549" s="1"/>
      <c r="X549" s="1" t="str">
        <f t="shared" si="1"/>
        <v/>
      </c>
    </row>
    <row r="550">
      <c r="A550" s="1"/>
      <c r="B550" s="1" t="str">
        <f>IFERROR(VLOOKUP($A550,ItemsImport!$A$2:$AD970,MATCH("Description",ItemsImport!$A$1:$AE$1,0),FALSE),"")</f>
        <v/>
      </c>
      <c r="C550" s="1" t="str">
        <f>IFERROR(VLOOKUP($A550,ItemsImport!$A$2:$AD970,MATCH("Type",ItemsImport!$A$1:$AE$1,0),FALSE),"")</f>
        <v/>
      </c>
      <c r="H550" s="4" t="b">
        <v>0</v>
      </c>
      <c r="I550" s="1" t="str">
        <f>IFERROR(VLOOKUP($A550,ItemsImport!$A$2:$AD970,MATCH("ItemLoc",ItemsImport!$A$1:$AE$1,0),FALSE),"")</f>
        <v/>
      </c>
      <c r="W550" s="1"/>
      <c r="X550" s="1" t="str">
        <f t="shared" si="1"/>
        <v/>
      </c>
    </row>
    <row r="551">
      <c r="A551" s="1"/>
      <c r="B551" s="1" t="str">
        <f>IFERROR(VLOOKUP($A551,ItemsImport!$A$2:$AD970,MATCH("Description",ItemsImport!$A$1:$AE$1,0),FALSE),"")</f>
        <v/>
      </c>
      <c r="C551" s="1" t="str">
        <f>IFERROR(VLOOKUP($A551,ItemsImport!$A$2:$AD970,MATCH("Type",ItemsImport!$A$1:$AE$1,0),FALSE),"")</f>
        <v/>
      </c>
      <c r="H551" s="4" t="b">
        <v>0</v>
      </c>
      <c r="I551" s="1" t="str">
        <f>IFERROR(VLOOKUP($A551,ItemsImport!$A$2:$AD970,MATCH("ItemLoc",ItemsImport!$A$1:$AE$1,0),FALSE),"")</f>
        <v/>
      </c>
      <c r="W551" s="1"/>
      <c r="X551" s="1" t="str">
        <f t="shared" si="1"/>
        <v/>
      </c>
    </row>
    <row r="552">
      <c r="A552" s="1"/>
      <c r="B552" s="1" t="str">
        <f>IFERROR(VLOOKUP($A552,ItemsImport!$A$2:$AD970,MATCH("Description",ItemsImport!$A$1:$AE$1,0),FALSE),"")</f>
        <v/>
      </c>
      <c r="C552" s="1" t="str">
        <f>IFERROR(VLOOKUP($A552,ItemsImport!$A$2:$AD970,MATCH("Type",ItemsImport!$A$1:$AE$1,0),FALSE),"")</f>
        <v/>
      </c>
      <c r="H552" s="4" t="b">
        <v>0</v>
      </c>
      <c r="I552" s="1" t="str">
        <f>IFERROR(VLOOKUP($A552,ItemsImport!$A$2:$AD970,MATCH("ItemLoc",ItemsImport!$A$1:$AE$1,0),FALSE),"")</f>
        <v/>
      </c>
      <c r="W552" s="1"/>
      <c r="X552" s="1" t="str">
        <f t="shared" si="1"/>
        <v/>
      </c>
    </row>
    <row r="553">
      <c r="A553" s="1"/>
      <c r="B553" s="1" t="str">
        <f>IFERROR(VLOOKUP($A553,ItemsImport!$A$2:$AD970,MATCH("Description",ItemsImport!$A$1:$AE$1,0),FALSE),"")</f>
        <v/>
      </c>
      <c r="C553" s="1" t="str">
        <f>IFERROR(VLOOKUP($A553,ItemsImport!$A$2:$AD970,MATCH("Type",ItemsImport!$A$1:$AE$1,0),FALSE),"")</f>
        <v/>
      </c>
      <c r="H553" s="4" t="b">
        <v>0</v>
      </c>
      <c r="I553" s="1" t="str">
        <f>IFERROR(VLOOKUP($A553,ItemsImport!$A$2:$AD970,MATCH("ItemLoc",ItemsImport!$A$1:$AE$1,0),FALSE),"")</f>
        <v/>
      </c>
      <c r="W553" s="1"/>
      <c r="X553" s="1" t="str">
        <f t="shared" si="1"/>
        <v/>
      </c>
    </row>
    <row r="554">
      <c r="A554" s="1"/>
      <c r="B554" s="1" t="str">
        <f>IFERROR(VLOOKUP($A554,ItemsImport!$A$2:$AD970,MATCH("Description",ItemsImport!$A$1:$AE$1,0),FALSE),"")</f>
        <v/>
      </c>
      <c r="C554" s="1" t="str">
        <f>IFERROR(VLOOKUP($A554,ItemsImport!$A$2:$AD970,MATCH("Type",ItemsImport!$A$1:$AE$1,0),FALSE),"")</f>
        <v/>
      </c>
      <c r="H554" s="4" t="b">
        <v>0</v>
      </c>
      <c r="I554" s="1" t="str">
        <f>IFERROR(VLOOKUP($A554,ItemsImport!$A$2:$AD970,MATCH("ItemLoc",ItemsImport!$A$1:$AE$1,0),FALSE),"")</f>
        <v/>
      </c>
      <c r="W554" s="1"/>
      <c r="X554" s="1" t="str">
        <f t="shared" si="1"/>
        <v/>
      </c>
    </row>
    <row r="555">
      <c r="A555" s="1"/>
      <c r="B555" s="1" t="str">
        <f>IFERROR(VLOOKUP($A555,ItemsImport!$A$2:$AD970,MATCH("Description",ItemsImport!$A$1:$AE$1,0),FALSE),"")</f>
        <v/>
      </c>
      <c r="C555" s="1" t="str">
        <f>IFERROR(VLOOKUP($A555,ItemsImport!$A$2:$AD970,MATCH("Type",ItemsImport!$A$1:$AE$1,0),FALSE),"")</f>
        <v/>
      </c>
      <c r="H555" s="4" t="b">
        <v>0</v>
      </c>
      <c r="I555" s="1" t="str">
        <f>IFERROR(VLOOKUP($A555,ItemsImport!$A$2:$AD970,MATCH("ItemLoc",ItemsImport!$A$1:$AE$1,0),FALSE),"")</f>
        <v/>
      </c>
      <c r="W555" s="1"/>
      <c r="X555" s="1" t="str">
        <f t="shared" si="1"/>
        <v/>
      </c>
    </row>
    <row r="556">
      <c r="A556" s="1"/>
      <c r="B556" s="1" t="str">
        <f>IFERROR(VLOOKUP($A556,ItemsImport!$A$2:$AD970,MATCH("Description",ItemsImport!$A$1:$AE$1,0),FALSE),"")</f>
        <v/>
      </c>
      <c r="C556" s="1" t="str">
        <f>IFERROR(VLOOKUP($A556,ItemsImport!$A$2:$AD970,MATCH("Type",ItemsImport!$A$1:$AE$1,0),FALSE),"")</f>
        <v/>
      </c>
      <c r="H556" s="4" t="b">
        <v>0</v>
      </c>
      <c r="I556" s="1" t="str">
        <f>IFERROR(VLOOKUP($A556,ItemsImport!$A$2:$AD970,MATCH("ItemLoc",ItemsImport!$A$1:$AE$1,0),FALSE),"")</f>
        <v/>
      </c>
      <c r="W556" s="1"/>
      <c r="X556" s="1" t="str">
        <f t="shared" si="1"/>
        <v/>
      </c>
    </row>
    <row r="557">
      <c r="A557" s="1"/>
      <c r="B557" s="1" t="str">
        <f>IFERROR(VLOOKUP($A557,ItemsImport!$A$2:$AD970,MATCH("Description",ItemsImport!$A$1:$AE$1,0),FALSE),"")</f>
        <v/>
      </c>
      <c r="C557" s="1" t="str">
        <f>IFERROR(VLOOKUP($A557,ItemsImport!$A$2:$AD970,MATCH("Type",ItemsImport!$A$1:$AE$1,0),FALSE),"")</f>
        <v/>
      </c>
      <c r="H557" s="4" t="b">
        <v>0</v>
      </c>
      <c r="I557" s="1" t="str">
        <f>IFERROR(VLOOKUP($A557,ItemsImport!$A$2:$AD970,MATCH("ItemLoc",ItemsImport!$A$1:$AE$1,0),FALSE),"")</f>
        <v/>
      </c>
      <c r="W557" s="1"/>
      <c r="X557" s="1" t="str">
        <f t="shared" si="1"/>
        <v/>
      </c>
    </row>
    <row r="558">
      <c r="A558" s="1"/>
      <c r="B558" s="1" t="str">
        <f>IFERROR(VLOOKUP($A558,ItemsImport!$A$2:$AD970,MATCH("Description",ItemsImport!$A$1:$AE$1,0),FALSE),"")</f>
        <v/>
      </c>
      <c r="C558" s="1" t="str">
        <f>IFERROR(VLOOKUP($A558,ItemsImport!$A$2:$AD970,MATCH("Type",ItemsImport!$A$1:$AE$1,0),FALSE),"")</f>
        <v/>
      </c>
      <c r="H558" s="4" t="b">
        <v>0</v>
      </c>
      <c r="I558" s="1" t="str">
        <f>IFERROR(VLOOKUP($A558,ItemsImport!$A$2:$AD970,MATCH("ItemLoc",ItemsImport!$A$1:$AE$1,0),FALSE),"")</f>
        <v/>
      </c>
      <c r="W558" s="1"/>
      <c r="X558" s="1" t="str">
        <f t="shared" si="1"/>
        <v/>
      </c>
    </row>
    <row r="559">
      <c r="A559" s="1"/>
      <c r="B559" s="1" t="str">
        <f>IFERROR(VLOOKUP($A559,ItemsImport!$A$2:$AD970,MATCH("Description",ItemsImport!$A$1:$AE$1,0),FALSE),"")</f>
        <v/>
      </c>
      <c r="C559" s="1" t="str">
        <f>IFERROR(VLOOKUP($A559,ItemsImport!$A$2:$AD970,MATCH("Type",ItemsImport!$A$1:$AE$1,0),FALSE),"")</f>
        <v/>
      </c>
      <c r="H559" s="4" t="b">
        <v>0</v>
      </c>
      <c r="I559" s="1" t="str">
        <f>IFERROR(VLOOKUP($A559,ItemsImport!$A$2:$AD970,MATCH("ItemLoc",ItemsImport!$A$1:$AE$1,0),FALSE),"")</f>
        <v/>
      </c>
      <c r="W559" s="1"/>
      <c r="X559" s="1" t="str">
        <f t="shared" si="1"/>
        <v/>
      </c>
    </row>
    <row r="560">
      <c r="A560" s="1"/>
      <c r="B560" s="1" t="str">
        <f>IFERROR(VLOOKUP($A560,ItemsImport!$A$2:$AD970,MATCH("Description",ItemsImport!$A$1:$AE$1,0),FALSE),"")</f>
        <v/>
      </c>
      <c r="C560" s="1" t="str">
        <f>IFERROR(VLOOKUP($A560,ItemsImport!$A$2:$AD970,MATCH("Type",ItemsImport!$A$1:$AE$1,0),FALSE),"")</f>
        <v/>
      </c>
      <c r="H560" s="4" t="b">
        <v>0</v>
      </c>
      <c r="I560" s="1" t="str">
        <f>IFERROR(VLOOKUP($A560,ItemsImport!$A$2:$AD970,MATCH("ItemLoc",ItemsImport!$A$1:$AE$1,0),FALSE),"")</f>
        <v/>
      </c>
      <c r="W560" s="1"/>
      <c r="X560" s="1" t="str">
        <f t="shared" si="1"/>
        <v/>
      </c>
    </row>
    <row r="561">
      <c r="A561" s="1"/>
      <c r="B561" s="1" t="str">
        <f>IFERROR(VLOOKUP($A561,ItemsImport!$A$2:$AD970,MATCH("Description",ItemsImport!$A$1:$AE$1,0),FALSE),"")</f>
        <v/>
      </c>
      <c r="C561" s="1" t="str">
        <f>IFERROR(VLOOKUP($A561,ItemsImport!$A$2:$AD970,MATCH("Type",ItemsImport!$A$1:$AE$1,0),FALSE),"")</f>
        <v/>
      </c>
      <c r="H561" s="4" t="b">
        <v>0</v>
      </c>
      <c r="I561" s="1" t="str">
        <f>IFERROR(VLOOKUP($A561,ItemsImport!$A$2:$AD970,MATCH("ItemLoc",ItemsImport!$A$1:$AE$1,0),FALSE),"")</f>
        <v/>
      </c>
      <c r="W561" s="1"/>
      <c r="X561" s="1" t="str">
        <f t="shared" si="1"/>
        <v/>
      </c>
    </row>
    <row r="562">
      <c r="A562" s="1"/>
      <c r="B562" s="1" t="str">
        <f>IFERROR(VLOOKUP($A562,ItemsImport!$A$2:$AD970,MATCH("Description",ItemsImport!$A$1:$AE$1,0),FALSE),"")</f>
        <v/>
      </c>
      <c r="C562" s="1" t="str">
        <f>IFERROR(VLOOKUP($A562,ItemsImport!$A$2:$AD970,MATCH("Type",ItemsImport!$A$1:$AE$1,0),FALSE),"")</f>
        <v/>
      </c>
      <c r="H562" s="4" t="b">
        <v>0</v>
      </c>
      <c r="I562" s="1" t="str">
        <f>IFERROR(VLOOKUP($A562,ItemsImport!$A$2:$AD970,MATCH("ItemLoc",ItemsImport!$A$1:$AE$1,0),FALSE),"")</f>
        <v/>
      </c>
      <c r="W562" s="1"/>
      <c r="X562" s="1" t="str">
        <f t="shared" si="1"/>
        <v/>
      </c>
    </row>
    <row r="563">
      <c r="A563" s="1"/>
      <c r="B563" s="1" t="str">
        <f>IFERROR(VLOOKUP($A563,ItemsImport!$A$2:$AD970,MATCH("Description",ItemsImport!$A$1:$AE$1,0),FALSE),"")</f>
        <v/>
      </c>
      <c r="C563" s="1" t="str">
        <f>IFERROR(VLOOKUP($A563,ItemsImport!$A$2:$AD970,MATCH("Type",ItemsImport!$A$1:$AE$1,0),FALSE),"")</f>
        <v/>
      </c>
      <c r="H563" s="4" t="b">
        <v>0</v>
      </c>
      <c r="I563" s="1" t="str">
        <f>IFERROR(VLOOKUP($A563,ItemsImport!$A$2:$AD970,MATCH("ItemLoc",ItemsImport!$A$1:$AE$1,0),FALSE),"")</f>
        <v/>
      </c>
      <c r="W563" s="1"/>
      <c r="X563" s="1" t="str">
        <f t="shared" si="1"/>
        <v/>
      </c>
    </row>
    <row r="564">
      <c r="A564" s="1"/>
      <c r="B564" s="1" t="str">
        <f>IFERROR(VLOOKUP($A564,ItemsImport!$A$2:$AD970,MATCH("Description",ItemsImport!$A$1:$AE$1,0),FALSE),"")</f>
        <v/>
      </c>
      <c r="C564" s="1" t="str">
        <f>IFERROR(VLOOKUP($A564,ItemsImport!$A$2:$AD970,MATCH("Type",ItemsImport!$A$1:$AE$1,0),FALSE),"")</f>
        <v/>
      </c>
      <c r="H564" s="4" t="b">
        <v>0</v>
      </c>
      <c r="I564" s="1" t="str">
        <f>IFERROR(VLOOKUP($A564,ItemsImport!$A$2:$AD970,MATCH("ItemLoc",ItemsImport!$A$1:$AE$1,0),FALSE),"")</f>
        <v/>
      </c>
      <c r="W564" s="1"/>
      <c r="X564" s="1" t="str">
        <f t="shared" si="1"/>
        <v/>
      </c>
    </row>
    <row r="565">
      <c r="A565" s="1"/>
      <c r="B565" s="1" t="str">
        <f>IFERROR(VLOOKUP($A565,ItemsImport!$A$2:$AD970,MATCH("Description",ItemsImport!$A$1:$AE$1,0),FALSE),"")</f>
        <v/>
      </c>
      <c r="C565" s="1" t="str">
        <f>IFERROR(VLOOKUP($A565,ItemsImport!$A$2:$AD970,MATCH("Type",ItemsImport!$A$1:$AE$1,0),FALSE),"")</f>
        <v/>
      </c>
      <c r="H565" s="4" t="b">
        <v>0</v>
      </c>
      <c r="I565" s="1" t="str">
        <f>IFERROR(VLOOKUP($A565,ItemsImport!$A$2:$AD970,MATCH("ItemLoc",ItemsImport!$A$1:$AE$1,0),FALSE),"")</f>
        <v/>
      </c>
      <c r="W565" s="1"/>
      <c r="X565" s="1" t="str">
        <f t="shared" si="1"/>
        <v/>
      </c>
    </row>
    <row r="566">
      <c r="A566" s="1"/>
      <c r="B566" s="1" t="str">
        <f>IFERROR(VLOOKUP($A566,ItemsImport!$A$2:$AD970,MATCH("Description",ItemsImport!$A$1:$AE$1,0),FALSE),"")</f>
        <v/>
      </c>
      <c r="C566" s="1" t="str">
        <f>IFERROR(VLOOKUP($A566,ItemsImport!$A$2:$AD970,MATCH("Type",ItemsImport!$A$1:$AE$1,0),FALSE),"")</f>
        <v/>
      </c>
      <c r="H566" s="4" t="b">
        <v>0</v>
      </c>
      <c r="I566" s="1" t="str">
        <f>IFERROR(VLOOKUP($A566,ItemsImport!$A$2:$AD970,MATCH("ItemLoc",ItemsImport!$A$1:$AE$1,0),FALSE),"")</f>
        <v/>
      </c>
      <c r="W566" s="1"/>
      <c r="X566" s="1" t="str">
        <f t="shared" si="1"/>
        <v/>
      </c>
    </row>
    <row r="567">
      <c r="A567" s="1"/>
      <c r="B567" s="1" t="str">
        <f>IFERROR(VLOOKUP($A567,ItemsImport!$A$2:$AD970,MATCH("Description",ItemsImport!$A$1:$AE$1,0),FALSE),"")</f>
        <v/>
      </c>
      <c r="C567" s="1" t="str">
        <f>IFERROR(VLOOKUP($A567,ItemsImport!$A$2:$AD970,MATCH("Type",ItemsImport!$A$1:$AE$1,0),FALSE),"")</f>
        <v/>
      </c>
      <c r="H567" s="4" t="b">
        <v>0</v>
      </c>
      <c r="I567" s="1" t="str">
        <f>IFERROR(VLOOKUP($A567,ItemsImport!$A$2:$AD970,MATCH("ItemLoc",ItemsImport!$A$1:$AE$1,0),FALSE),"")</f>
        <v/>
      </c>
      <c r="W567" s="1"/>
      <c r="X567" s="1" t="str">
        <f t="shared" si="1"/>
        <v/>
      </c>
    </row>
    <row r="568">
      <c r="A568" s="1"/>
      <c r="B568" s="1" t="str">
        <f>IFERROR(VLOOKUP($A568,ItemsImport!$A$2:$AD970,MATCH("Description",ItemsImport!$A$1:$AE$1,0),FALSE),"")</f>
        <v/>
      </c>
      <c r="C568" s="1" t="str">
        <f>IFERROR(VLOOKUP($A568,ItemsImport!$A$2:$AD970,MATCH("Type",ItemsImport!$A$1:$AE$1,0),FALSE),"")</f>
        <v/>
      </c>
      <c r="H568" s="4" t="b">
        <v>0</v>
      </c>
      <c r="I568" s="1" t="str">
        <f>IFERROR(VLOOKUP($A568,ItemsImport!$A$2:$AD970,MATCH("ItemLoc",ItemsImport!$A$1:$AE$1,0),FALSE),"")</f>
        <v/>
      </c>
      <c r="W568" s="1"/>
      <c r="X568" s="1" t="str">
        <f t="shared" si="1"/>
        <v/>
      </c>
    </row>
    <row r="569">
      <c r="A569" s="1"/>
      <c r="B569" s="1" t="str">
        <f>IFERROR(VLOOKUP($A569,ItemsImport!$A$2:$AD970,MATCH("Description",ItemsImport!$A$1:$AE$1,0),FALSE),"")</f>
        <v/>
      </c>
      <c r="C569" s="1" t="str">
        <f>IFERROR(VLOOKUP($A569,ItemsImport!$A$2:$AD970,MATCH("Type",ItemsImport!$A$1:$AE$1,0),FALSE),"")</f>
        <v/>
      </c>
      <c r="H569" s="4" t="b">
        <v>0</v>
      </c>
      <c r="I569" s="1" t="str">
        <f>IFERROR(VLOOKUP($A569,ItemsImport!$A$2:$AD970,MATCH("ItemLoc",ItemsImport!$A$1:$AE$1,0),FALSE),"")</f>
        <v/>
      </c>
      <c r="W569" s="1"/>
      <c r="X569" s="1" t="str">
        <f t="shared" si="1"/>
        <v/>
      </c>
    </row>
    <row r="570">
      <c r="A570" s="1"/>
      <c r="B570" s="1" t="str">
        <f>IFERROR(VLOOKUP($A570,ItemsImport!$A$2:$AD970,MATCH("Description",ItemsImport!$A$1:$AE$1,0),FALSE),"")</f>
        <v/>
      </c>
      <c r="C570" s="1" t="str">
        <f>IFERROR(VLOOKUP($A570,ItemsImport!$A$2:$AD970,MATCH("Type",ItemsImport!$A$1:$AE$1,0),FALSE),"")</f>
        <v/>
      </c>
      <c r="H570" s="4" t="b">
        <v>0</v>
      </c>
      <c r="I570" s="1" t="str">
        <f>IFERROR(VLOOKUP($A570,ItemsImport!$A$2:$AD970,MATCH("ItemLoc",ItemsImport!$A$1:$AE$1,0),FALSE),"")</f>
        <v/>
      </c>
      <c r="W570" s="1"/>
      <c r="X570" s="1" t="str">
        <f t="shared" si="1"/>
        <v/>
      </c>
    </row>
    <row r="571">
      <c r="A571" s="1"/>
      <c r="B571" s="1" t="str">
        <f>IFERROR(VLOOKUP($A571,ItemsImport!$A$2:$AD970,MATCH("Description",ItemsImport!$A$1:$AE$1,0),FALSE),"")</f>
        <v/>
      </c>
      <c r="C571" s="1" t="str">
        <f>IFERROR(VLOOKUP($A571,ItemsImport!$A$2:$AD970,MATCH("Type",ItemsImport!$A$1:$AE$1,0),FALSE),"")</f>
        <v/>
      </c>
      <c r="H571" s="4" t="b">
        <v>0</v>
      </c>
      <c r="I571" s="1" t="str">
        <f>IFERROR(VLOOKUP($A571,ItemsImport!$A$2:$AD970,MATCH("ItemLoc",ItemsImport!$A$1:$AE$1,0),FALSE),"")</f>
        <v/>
      </c>
      <c r="W571" s="1"/>
      <c r="X571" s="1" t="str">
        <f t="shared" si="1"/>
        <v/>
      </c>
    </row>
    <row r="572">
      <c r="A572" s="1"/>
      <c r="B572" s="1" t="str">
        <f>IFERROR(VLOOKUP($A572,ItemsImport!$A$2:$AD970,MATCH("Description",ItemsImport!$A$1:$AE$1,0),FALSE),"")</f>
        <v/>
      </c>
      <c r="C572" s="1" t="str">
        <f>IFERROR(VLOOKUP($A572,ItemsImport!$A$2:$AD970,MATCH("Type",ItemsImport!$A$1:$AE$1,0),FALSE),"")</f>
        <v/>
      </c>
      <c r="H572" s="4" t="b">
        <v>0</v>
      </c>
      <c r="I572" s="1" t="str">
        <f>IFERROR(VLOOKUP($A572,ItemsImport!$A$2:$AD970,MATCH("ItemLoc",ItemsImport!$A$1:$AE$1,0),FALSE),"")</f>
        <v/>
      </c>
      <c r="W572" s="1"/>
      <c r="X572" s="1" t="str">
        <f t="shared" si="1"/>
        <v/>
      </c>
    </row>
    <row r="573">
      <c r="A573" s="1"/>
      <c r="B573" s="1" t="str">
        <f>IFERROR(VLOOKUP($A573,ItemsImport!$A$2:$AD970,MATCH("Description",ItemsImport!$A$1:$AE$1,0),FALSE),"")</f>
        <v/>
      </c>
      <c r="C573" s="1" t="str">
        <f>IFERROR(VLOOKUP($A573,ItemsImport!$A$2:$AD970,MATCH("Type",ItemsImport!$A$1:$AE$1,0),FALSE),"")</f>
        <v/>
      </c>
      <c r="H573" s="4" t="b">
        <v>0</v>
      </c>
      <c r="I573" s="1" t="str">
        <f>IFERROR(VLOOKUP($A573,ItemsImport!$A$2:$AD970,MATCH("ItemLoc",ItemsImport!$A$1:$AE$1,0),FALSE),"")</f>
        <v/>
      </c>
      <c r="W573" s="1"/>
      <c r="X573" s="1" t="str">
        <f t="shared" si="1"/>
        <v/>
      </c>
    </row>
    <row r="574">
      <c r="A574" s="1"/>
      <c r="B574" s="1" t="str">
        <f>IFERROR(VLOOKUP($A574,ItemsImport!$A$2:$AD970,MATCH("Description",ItemsImport!$A$1:$AE$1,0),FALSE),"")</f>
        <v/>
      </c>
      <c r="C574" s="1" t="str">
        <f>IFERROR(VLOOKUP($A574,ItemsImport!$A$2:$AD970,MATCH("Type",ItemsImport!$A$1:$AE$1,0),FALSE),"")</f>
        <v/>
      </c>
      <c r="H574" s="4" t="b">
        <v>0</v>
      </c>
      <c r="I574" s="1" t="str">
        <f>IFERROR(VLOOKUP($A574,ItemsImport!$A$2:$AD970,MATCH("ItemLoc",ItemsImport!$A$1:$AE$1,0),FALSE),"")</f>
        <v/>
      </c>
      <c r="W574" s="1"/>
      <c r="X574" s="1" t="str">
        <f t="shared" si="1"/>
        <v/>
      </c>
    </row>
    <row r="575">
      <c r="A575" s="1"/>
      <c r="B575" s="1" t="str">
        <f>IFERROR(VLOOKUP($A575,ItemsImport!$A$2:$AD970,MATCH("Description",ItemsImport!$A$1:$AE$1,0),FALSE),"")</f>
        <v/>
      </c>
      <c r="C575" s="1" t="str">
        <f>IFERROR(VLOOKUP($A575,ItemsImport!$A$2:$AD970,MATCH("Type",ItemsImport!$A$1:$AE$1,0),FALSE),"")</f>
        <v/>
      </c>
      <c r="H575" s="4" t="b">
        <v>0</v>
      </c>
      <c r="I575" s="1" t="str">
        <f>IFERROR(VLOOKUP($A575,ItemsImport!$A$2:$AD970,MATCH("ItemLoc",ItemsImport!$A$1:$AE$1,0),FALSE),"")</f>
        <v/>
      </c>
      <c r="W575" s="1"/>
      <c r="X575" s="1" t="str">
        <f t="shared" si="1"/>
        <v/>
      </c>
    </row>
    <row r="576">
      <c r="A576" s="1"/>
      <c r="B576" s="1" t="str">
        <f>IFERROR(VLOOKUP($A576,ItemsImport!$A$2:$AD970,MATCH("Description",ItemsImport!$A$1:$AE$1,0),FALSE),"")</f>
        <v/>
      </c>
      <c r="C576" s="1" t="str">
        <f>IFERROR(VLOOKUP($A576,ItemsImport!$A$2:$AD970,MATCH("Type",ItemsImport!$A$1:$AE$1,0),FALSE),"")</f>
        <v/>
      </c>
      <c r="H576" s="4" t="b">
        <v>0</v>
      </c>
      <c r="I576" s="1" t="str">
        <f>IFERROR(VLOOKUP($A576,ItemsImport!$A$2:$AD970,MATCH("ItemLoc",ItemsImport!$A$1:$AE$1,0),FALSE),"")</f>
        <v/>
      </c>
      <c r="W576" s="1"/>
      <c r="X576" s="1" t="str">
        <f t="shared" si="1"/>
        <v/>
      </c>
    </row>
    <row r="577">
      <c r="A577" s="1"/>
      <c r="B577" s="1" t="str">
        <f>IFERROR(VLOOKUP($A577,ItemsImport!$A$2:$AD970,MATCH("Description",ItemsImport!$A$1:$AE$1,0),FALSE),"")</f>
        <v/>
      </c>
      <c r="C577" s="1" t="str">
        <f>IFERROR(VLOOKUP($A577,ItemsImport!$A$2:$AD970,MATCH("Type",ItemsImport!$A$1:$AE$1,0),FALSE),"")</f>
        <v/>
      </c>
      <c r="H577" s="4" t="b">
        <v>0</v>
      </c>
      <c r="I577" s="1" t="str">
        <f>IFERROR(VLOOKUP($A577,ItemsImport!$A$2:$AD970,MATCH("ItemLoc",ItemsImport!$A$1:$AE$1,0),FALSE),"")</f>
        <v/>
      </c>
      <c r="W577" s="1"/>
      <c r="X577" s="1" t="str">
        <f t="shared" si="1"/>
        <v/>
      </c>
    </row>
    <row r="578">
      <c r="A578" s="1"/>
      <c r="B578" s="1" t="str">
        <f>IFERROR(VLOOKUP($A578,ItemsImport!$A$2:$AD970,MATCH("Description",ItemsImport!$A$1:$AE$1,0),FALSE),"")</f>
        <v/>
      </c>
      <c r="C578" s="1" t="str">
        <f>IFERROR(VLOOKUP($A578,ItemsImport!$A$2:$AD970,MATCH("Type",ItemsImport!$A$1:$AE$1,0),FALSE),"")</f>
        <v/>
      </c>
      <c r="H578" s="4" t="b">
        <v>0</v>
      </c>
      <c r="I578" s="1" t="str">
        <f>IFERROR(VLOOKUP($A578,ItemsImport!$A$2:$AD970,MATCH("ItemLoc",ItemsImport!$A$1:$AE$1,0),FALSE),"")</f>
        <v/>
      </c>
      <c r="W578" s="1"/>
      <c r="X578" s="1" t="str">
        <f t="shared" si="1"/>
        <v/>
      </c>
    </row>
    <row r="579">
      <c r="A579" s="1"/>
      <c r="B579" s="1" t="str">
        <f>IFERROR(VLOOKUP($A579,ItemsImport!$A$2:$AD970,MATCH("Description",ItemsImport!$A$1:$AE$1,0),FALSE),"")</f>
        <v/>
      </c>
      <c r="C579" s="1" t="str">
        <f>IFERROR(VLOOKUP($A579,ItemsImport!$A$2:$AD970,MATCH("Type",ItemsImport!$A$1:$AE$1,0),FALSE),"")</f>
        <v/>
      </c>
      <c r="H579" s="4" t="b">
        <v>0</v>
      </c>
      <c r="I579" s="1" t="str">
        <f>IFERROR(VLOOKUP($A579,ItemsImport!$A$2:$AD970,MATCH("ItemLoc",ItemsImport!$A$1:$AE$1,0),FALSE),"")</f>
        <v/>
      </c>
      <c r="W579" s="1"/>
      <c r="X579" s="1" t="str">
        <f t="shared" si="1"/>
        <v/>
      </c>
    </row>
    <row r="580">
      <c r="A580" s="1"/>
      <c r="B580" s="1" t="str">
        <f>IFERROR(VLOOKUP($A580,ItemsImport!$A$2:$AD970,MATCH("Description",ItemsImport!$A$1:$AE$1,0),FALSE),"")</f>
        <v/>
      </c>
      <c r="C580" s="1" t="str">
        <f>IFERROR(VLOOKUP($A580,ItemsImport!$A$2:$AD970,MATCH("Type",ItemsImport!$A$1:$AE$1,0),FALSE),"")</f>
        <v/>
      </c>
      <c r="H580" s="4" t="b">
        <v>0</v>
      </c>
      <c r="I580" s="1" t="str">
        <f>IFERROR(VLOOKUP($A580,ItemsImport!$A$2:$AD970,MATCH("ItemLoc",ItemsImport!$A$1:$AE$1,0),FALSE),"")</f>
        <v/>
      </c>
      <c r="W580" s="1"/>
      <c r="X580" s="1" t="str">
        <f t="shared" si="1"/>
        <v/>
      </c>
    </row>
    <row r="581">
      <c r="A581" s="1"/>
      <c r="B581" s="1" t="str">
        <f>IFERROR(VLOOKUP($A581,ItemsImport!$A$2:$AD970,MATCH("Description",ItemsImport!$A$1:$AE$1,0),FALSE),"")</f>
        <v/>
      </c>
      <c r="C581" s="1" t="str">
        <f>IFERROR(VLOOKUP($A581,ItemsImport!$A$2:$AD970,MATCH("Type",ItemsImport!$A$1:$AE$1,0),FALSE),"")</f>
        <v/>
      </c>
      <c r="H581" s="4" t="b">
        <v>0</v>
      </c>
      <c r="I581" s="1" t="str">
        <f>IFERROR(VLOOKUP($A581,ItemsImport!$A$2:$AD970,MATCH("ItemLoc",ItemsImport!$A$1:$AE$1,0),FALSE),"")</f>
        <v/>
      </c>
      <c r="W581" s="1"/>
      <c r="X581" s="1" t="str">
        <f t="shared" si="1"/>
        <v/>
      </c>
    </row>
    <row r="582">
      <c r="A582" s="1"/>
      <c r="B582" s="1" t="str">
        <f>IFERROR(VLOOKUP($A582,ItemsImport!$A$2:$AD970,MATCH("Description",ItemsImport!$A$1:$AE$1,0),FALSE),"")</f>
        <v/>
      </c>
      <c r="C582" s="1" t="str">
        <f>IFERROR(VLOOKUP($A582,ItemsImport!$A$2:$AD970,MATCH("Type",ItemsImport!$A$1:$AE$1,0),FALSE),"")</f>
        <v/>
      </c>
      <c r="H582" s="4" t="b">
        <v>0</v>
      </c>
      <c r="I582" s="1" t="str">
        <f>IFERROR(VLOOKUP($A582,ItemsImport!$A$2:$AD970,MATCH("ItemLoc",ItemsImport!$A$1:$AE$1,0),FALSE),"")</f>
        <v/>
      </c>
      <c r="W582" s="1"/>
      <c r="X582" s="1" t="str">
        <f t="shared" si="1"/>
        <v/>
      </c>
    </row>
    <row r="583">
      <c r="A583" s="1"/>
      <c r="B583" s="1" t="str">
        <f>IFERROR(VLOOKUP($A583,ItemsImport!$A$2:$AD970,MATCH("Description",ItemsImport!$A$1:$AE$1,0),FALSE),"")</f>
        <v/>
      </c>
      <c r="C583" s="1" t="str">
        <f>IFERROR(VLOOKUP($A583,ItemsImport!$A$2:$AD970,MATCH("Type",ItemsImport!$A$1:$AE$1,0),FALSE),"")</f>
        <v/>
      </c>
      <c r="H583" s="4" t="b">
        <v>0</v>
      </c>
      <c r="I583" s="1" t="str">
        <f>IFERROR(VLOOKUP($A583,ItemsImport!$A$2:$AD970,MATCH("ItemLoc",ItemsImport!$A$1:$AE$1,0),FALSE),"")</f>
        <v/>
      </c>
      <c r="W583" s="1"/>
      <c r="X583" s="1" t="str">
        <f t="shared" si="1"/>
        <v/>
      </c>
    </row>
    <row r="584">
      <c r="A584" s="1"/>
      <c r="B584" s="1" t="str">
        <f>IFERROR(VLOOKUP($A584,ItemsImport!$A$2:$AD970,MATCH("Description",ItemsImport!$A$1:$AE$1,0),FALSE),"")</f>
        <v/>
      </c>
      <c r="C584" s="1" t="str">
        <f>IFERROR(VLOOKUP($A584,ItemsImport!$A$2:$AD970,MATCH("Type",ItemsImport!$A$1:$AE$1,0),FALSE),"")</f>
        <v/>
      </c>
      <c r="H584" s="4" t="b">
        <v>0</v>
      </c>
      <c r="I584" s="1" t="str">
        <f>IFERROR(VLOOKUP($A584,ItemsImport!$A$2:$AD970,MATCH("ItemLoc",ItemsImport!$A$1:$AE$1,0),FALSE),"")</f>
        <v/>
      </c>
      <c r="W584" s="1"/>
      <c r="X584" s="1" t="str">
        <f t="shared" si="1"/>
        <v/>
      </c>
    </row>
    <row r="585">
      <c r="A585" s="1"/>
      <c r="B585" s="1" t="str">
        <f>IFERROR(VLOOKUP($A585,ItemsImport!$A$2:$AD970,MATCH("Description",ItemsImport!$A$1:$AE$1,0),FALSE),"")</f>
        <v/>
      </c>
      <c r="C585" s="1" t="str">
        <f>IFERROR(VLOOKUP($A585,ItemsImport!$A$2:$AD970,MATCH("Type",ItemsImport!$A$1:$AE$1,0),FALSE),"")</f>
        <v/>
      </c>
      <c r="H585" s="4" t="b">
        <v>0</v>
      </c>
      <c r="I585" s="1" t="str">
        <f>IFERROR(VLOOKUP($A585,ItemsImport!$A$2:$AD970,MATCH("ItemLoc",ItemsImport!$A$1:$AE$1,0),FALSE),"")</f>
        <v/>
      </c>
      <c r="W585" s="1"/>
      <c r="X585" s="1" t="str">
        <f t="shared" si="1"/>
        <v/>
      </c>
    </row>
    <row r="586">
      <c r="A586" s="1"/>
      <c r="B586" s="1" t="str">
        <f>IFERROR(VLOOKUP($A586,ItemsImport!$A$2:$AD970,MATCH("Description",ItemsImport!$A$1:$AE$1,0),FALSE),"")</f>
        <v/>
      </c>
      <c r="C586" s="1" t="str">
        <f>IFERROR(VLOOKUP($A586,ItemsImport!$A$2:$AD970,MATCH("Type",ItemsImport!$A$1:$AE$1,0),FALSE),"")</f>
        <v/>
      </c>
      <c r="H586" s="4" t="b">
        <v>0</v>
      </c>
      <c r="I586" s="1" t="str">
        <f>IFERROR(VLOOKUP($A586,ItemsImport!$A$2:$AD970,MATCH("ItemLoc",ItemsImport!$A$1:$AE$1,0),FALSE),"")</f>
        <v/>
      </c>
      <c r="W586" s="1"/>
      <c r="X586" s="1" t="str">
        <f t="shared" si="1"/>
        <v/>
      </c>
    </row>
    <row r="587">
      <c r="A587" s="1"/>
      <c r="B587" s="1" t="str">
        <f>IFERROR(VLOOKUP($A587,ItemsImport!$A$2:$AD970,MATCH("Description",ItemsImport!$A$1:$AE$1,0),FALSE),"")</f>
        <v/>
      </c>
      <c r="C587" s="1" t="str">
        <f>IFERROR(VLOOKUP($A587,ItemsImport!$A$2:$AD970,MATCH("Type",ItemsImport!$A$1:$AE$1,0),FALSE),"")</f>
        <v/>
      </c>
      <c r="H587" s="4" t="b">
        <v>0</v>
      </c>
      <c r="I587" s="1" t="str">
        <f>IFERROR(VLOOKUP($A587,ItemsImport!$A$2:$AD970,MATCH("ItemLoc",ItemsImport!$A$1:$AE$1,0),FALSE),"")</f>
        <v/>
      </c>
      <c r="W587" s="1"/>
      <c r="X587" s="1" t="str">
        <f t="shared" si="1"/>
        <v/>
      </c>
    </row>
    <row r="588">
      <c r="A588" s="1"/>
      <c r="B588" s="1" t="str">
        <f>IFERROR(VLOOKUP($A588,ItemsImport!$A$2:$AD970,MATCH("Description",ItemsImport!$A$1:$AE$1,0),FALSE),"")</f>
        <v/>
      </c>
      <c r="C588" s="1" t="str">
        <f>IFERROR(VLOOKUP($A588,ItemsImport!$A$2:$AD970,MATCH("Type",ItemsImport!$A$1:$AE$1,0),FALSE),"")</f>
        <v/>
      </c>
      <c r="H588" s="4" t="b">
        <v>0</v>
      </c>
      <c r="I588" s="1" t="str">
        <f>IFERROR(VLOOKUP($A588,ItemsImport!$A$2:$AD970,MATCH("ItemLoc",ItemsImport!$A$1:$AE$1,0),FALSE),"")</f>
        <v/>
      </c>
      <c r="W588" s="1"/>
      <c r="X588" s="1" t="str">
        <f t="shared" si="1"/>
        <v/>
      </c>
    </row>
    <row r="589">
      <c r="A589" s="1"/>
      <c r="B589" s="1" t="str">
        <f>IFERROR(VLOOKUP($A589,ItemsImport!$A$2:$AD970,MATCH("Description",ItemsImport!$A$1:$AE$1,0),FALSE),"")</f>
        <v/>
      </c>
      <c r="C589" s="1" t="str">
        <f>IFERROR(VLOOKUP($A589,ItemsImport!$A$2:$AD970,MATCH("Type",ItemsImport!$A$1:$AE$1,0),FALSE),"")</f>
        <v/>
      </c>
      <c r="H589" s="4" t="b">
        <v>0</v>
      </c>
      <c r="I589" s="1" t="str">
        <f>IFERROR(VLOOKUP($A589,ItemsImport!$A$2:$AD970,MATCH("ItemLoc",ItemsImport!$A$1:$AE$1,0),FALSE),"")</f>
        <v/>
      </c>
      <c r="W589" s="1"/>
      <c r="X589" s="1" t="str">
        <f t="shared" si="1"/>
        <v/>
      </c>
    </row>
    <row r="590">
      <c r="A590" s="1"/>
      <c r="B590" s="1" t="str">
        <f>IFERROR(VLOOKUP($A590,ItemsImport!$A$2:$AD970,MATCH("Description",ItemsImport!$A$1:$AE$1,0),FALSE),"")</f>
        <v/>
      </c>
      <c r="C590" s="1" t="str">
        <f>IFERROR(VLOOKUP($A590,ItemsImport!$A$2:$AD970,MATCH("Type",ItemsImport!$A$1:$AE$1,0),FALSE),"")</f>
        <v/>
      </c>
      <c r="H590" s="4" t="b">
        <v>0</v>
      </c>
      <c r="I590" s="1" t="str">
        <f>IFERROR(VLOOKUP($A590,ItemsImport!$A$2:$AD970,MATCH("ItemLoc",ItemsImport!$A$1:$AE$1,0),FALSE),"")</f>
        <v/>
      </c>
      <c r="W590" s="1"/>
      <c r="X590" s="1" t="str">
        <f t="shared" si="1"/>
        <v/>
      </c>
    </row>
    <row r="591">
      <c r="A591" s="1"/>
      <c r="B591" s="1" t="str">
        <f>IFERROR(VLOOKUP($A591,ItemsImport!$A$2:$AD970,MATCH("Description",ItemsImport!$A$1:$AE$1,0),FALSE),"")</f>
        <v/>
      </c>
      <c r="C591" s="1" t="str">
        <f>IFERROR(VLOOKUP($A591,ItemsImport!$A$2:$AD970,MATCH("Type",ItemsImport!$A$1:$AE$1,0),FALSE),"")</f>
        <v/>
      </c>
      <c r="H591" s="4" t="b">
        <v>0</v>
      </c>
      <c r="I591" s="1" t="str">
        <f>IFERROR(VLOOKUP($A591,ItemsImport!$A$2:$AD970,MATCH("ItemLoc",ItemsImport!$A$1:$AE$1,0),FALSE),"")</f>
        <v/>
      </c>
      <c r="W591" s="1"/>
      <c r="X591" s="1" t="str">
        <f t="shared" si="1"/>
        <v/>
      </c>
    </row>
    <row r="592">
      <c r="A592" s="1"/>
      <c r="B592" s="1" t="str">
        <f>IFERROR(VLOOKUP($A592,ItemsImport!$A$2:$AD970,MATCH("Description",ItemsImport!$A$1:$AE$1,0),FALSE),"")</f>
        <v/>
      </c>
      <c r="C592" s="1" t="str">
        <f>IFERROR(VLOOKUP($A592,ItemsImport!$A$2:$AD970,MATCH("Type",ItemsImport!$A$1:$AE$1,0),FALSE),"")</f>
        <v/>
      </c>
      <c r="H592" s="4" t="b">
        <v>0</v>
      </c>
      <c r="I592" s="1" t="str">
        <f>IFERROR(VLOOKUP($A592,ItemsImport!$A$2:$AD970,MATCH("ItemLoc",ItemsImport!$A$1:$AE$1,0),FALSE),"")</f>
        <v/>
      </c>
      <c r="W592" s="1"/>
      <c r="X592" s="1" t="str">
        <f t="shared" si="1"/>
        <v/>
      </c>
    </row>
    <row r="593">
      <c r="A593" s="1"/>
      <c r="B593" s="1" t="str">
        <f>IFERROR(VLOOKUP($A593,ItemsImport!$A$2:$AD970,MATCH("Description",ItemsImport!$A$1:$AE$1,0),FALSE),"")</f>
        <v/>
      </c>
      <c r="C593" s="1" t="str">
        <f>IFERROR(VLOOKUP($A593,ItemsImport!$A$2:$AD970,MATCH("Type",ItemsImport!$A$1:$AE$1,0),FALSE),"")</f>
        <v/>
      </c>
      <c r="H593" s="4" t="b">
        <v>0</v>
      </c>
      <c r="I593" s="1" t="str">
        <f>IFERROR(VLOOKUP($A593,ItemsImport!$A$2:$AD970,MATCH("ItemLoc",ItemsImport!$A$1:$AE$1,0),FALSE),"")</f>
        <v/>
      </c>
      <c r="W593" s="1"/>
      <c r="X593" s="1" t="str">
        <f t="shared" si="1"/>
        <v/>
      </c>
    </row>
    <row r="594">
      <c r="A594" s="1"/>
      <c r="B594" s="1" t="str">
        <f>IFERROR(VLOOKUP($A594,ItemsImport!$A$2:$AD970,MATCH("Description",ItemsImport!$A$1:$AE$1,0),FALSE),"")</f>
        <v/>
      </c>
      <c r="C594" s="1" t="str">
        <f>IFERROR(VLOOKUP($A594,ItemsImport!$A$2:$AD970,MATCH("Type",ItemsImport!$A$1:$AE$1,0),FALSE),"")</f>
        <v/>
      </c>
      <c r="H594" s="4" t="b">
        <v>0</v>
      </c>
      <c r="I594" s="1" t="str">
        <f>IFERROR(VLOOKUP($A594,ItemsImport!$A$2:$AD970,MATCH("ItemLoc",ItemsImport!$A$1:$AE$1,0),FALSE),"")</f>
        <v/>
      </c>
      <c r="W594" s="1"/>
      <c r="X594" s="1" t="str">
        <f t="shared" si="1"/>
        <v/>
      </c>
    </row>
    <row r="595">
      <c r="A595" s="1"/>
      <c r="B595" s="1" t="str">
        <f>IFERROR(VLOOKUP($A595,ItemsImport!$A$2:$AD970,MATCH("Description",ItemsImport!$A$1:$AE$1,0),FALSE),"")</f>
        <v/>
      </c>
      <c r="C595" s="1" t="str">
        <f>IFERROR(VLOOKUP($A595,ItemsImport!$A$2:$AD970,MATCH("Type",ItemsImport!$A$1:$AE$1,0),FALSE),"")</f>
        <v/>
      </c>
      <c r="H595" s="4" t="b">
        <v>0</v>
      </c>
      <c r="I595" s="1" t="str">
        <f>IFERROR(VLOOKUP($A595,ItemsImport!$A$2:$AD970,MATCH("ItemLoc",ItemsImport!$A$1:$AE$1,0),FALSE),"")</f>
        <v/>
      </c>
      <c r="W595" s="1"/>
      <c r="X595" s="1" t="str">
        <f t="shared" si="1"/>
        <v/>
      </c>
    </row>
    <row r="596">
      <c r="A596" s="1"/>
      <c r="B596" s="1" t="str">
        <f>IFERROR(VLOOKUP($A596,ItemsImport!$A$2:$AD970,MATCH("Description",ItemsImport!$A$1:$AE$1,0),FALSE),"")</f>
        <v/>
      </c>
      <c r="C596" s="1" t="str">
        <f>IFERROR(VLOOKUP($A596,ItemsImport!$A$2:$AD970,MATCH("Type",ItemsImport!$A$1:$AE$1,0),FALSE),"")</f>
        <v/>
      </c>
      <c r="H596" s="4" t="b">
        <v>0</v>
      </c>
      <c r="I596" s="1" t="str">
        <f>IFERROR(VLOOKUP($A596,ItemsImport!$A$2:$AD970,MATCH("ItemLoc",ItemsImport!$A$1:$AE$1,0),FALSE),"")</f>
        <v/>
      </c>
      <c r="W596" s="1"/>
      <c r="X596" s="1" t="str">
        <f t="shared" si="1"/>
        <v/>
      </c>
    </row>
    <row r="597">
      <c r="A597" s="1"/>
      <c r="B597" s="1" t="str">
        <f>IFERROR(VLOOKUP($A597,ItemsImport!$A$2:$AD970,MATCH("Description",ItemsImport!$A$1:$AE$1,0),FALSE),"")</f>
        <v/>
      </c>
      <c r="C597" s="1" t="str">
        <f>IFERROR(VLOOKUP($A597,ItemsImport!$A$2:$AD970,MATCH("Type",ItemsImport!$A$1:$AE$1,0),FALSE),"")</f>
        <v/>
      </c>
      <c r="H597" s="4" t="b">
        <v>0</v>
      </c>
      <c r="I597" s="1" t="str">
        <f>IFERROR(VLOOKUP($A597,ItemsImport!$A$2:$AD970,MATCH("ItemLoc",ItemsImport!$A$1:$AE$1,0),FALSE),"")</f>
        <v/>
      </c>
      <c r="W597" s="1"/>
      <c r="X597" s="1" t="str">
        <f t="shared" si="1"/>
        <v/>
      </c>
    </row>
    <row r="598">
      <c r="A598" s="1"/>
      <c r="B598" s="1" t="str">
        <f>IFERROR(VLOOKUP($A598,ItemsImport!$A$2:$AD970,MATCH("Description",ItemsImport!$A$1:$AE$1,0),FALSE),"")</f>
        <v/>
      </c>
      <c r="C598" s="1" t="str">
        <f>IFERROR(VLOOKUP($A598,ItemsImport!$A$2:$AD970,MATCH("Type",ItemsImport!$A$1:$AE$1,0),FALSE),"")</f>
        <v/>
      </c>
      <c r="H598" s="4" t="b">
        <v>0</v>
      </c>
      <c r="I598" s="1" t="str">
        <f>IFERROR(VLOOKUP($A598,ItemsImport!$A$2:$AD970,MATCH("ItemLoc",ItemsImport!$A$1:$AE$1,0),FALSE),"")</f>
        <v/>
      </c>
      <c r="W598" s="1"/>
      <c r="X598" s="1" t="str">
        <f t="shared" si="1"/>
        <v/>
      </c>
    </row>
    <row r="599">
      <c r="A599" s="1"/>
      <c r="B599" s="1" t="str">
        <f>IFERROR(VLOOKUP($A599,ItemsImport!$A$2:$AD970,MATCH("Description",ItemsImport!$A$1:$AE$1,0),FALSE),"")</f>
        <v/>
      </c>
      <c r="C599" s="1" t="str">
        <f>IFERROR(VLOOKUP($A599,ItemsImport!$A$2:$AD970,MATCH("Type",ItemsImport!$A$1:$AE$1,0),FALSE),"")</f>
        <v/>
      </c>
      <c r="H599" s="4" t="b">
        <v>0</v>
      </c>
      <c r="I599" s="1" t="str">
        <f>IFERROR(VLOOKUP($A599,ItemsImport!$A$2:$AD970,MATCH("ItemLoc",ItemsImport!$A$1:$AE$1,0),FALSE),"")</f>
        <v/>
      </c>
      <c r="W599" s="1"/>
      <c r="X599" s="1" t="str">
        <f t="shared" si="1"/>
        <v/>
      </c>
    </row>
    <row r="600">
      <c r="A600" s="1"/>
      <c r="B600" s="1" t="str">
        <f>IFERROR(VLOOKUP($A600,ItemsImport!$A$2:$AD970,MATCH("Description",ItemsImport!$A$1:$AE$1,0),FALSE),"")</f>
        <v/>
      </c>
      <c r="C600" s="1" t="str">
        <f>IFERROR(VLOOKUP($A600,ItemsImport!$A$2:$AD970,MATCH("Type",ItemsImport!$A$1:$AE$1,0),FALSE),"")</f>
        <v/>
      </c>
      <c r="H600" s="4" t="b">
        <v>0</v>
      </c>
      <c r="I600" s="1" t="str">
        <f>IFERROR(VLOOKUP($A600,ItemsImport!$A$2:$AD970,MATCH("ItemLoc",ItemsImport!$A$1:$AE$1,0),FALSE),"")</f>
        <v/>
      </c>
      <c r="W600" s="1"/>
      <c r="X600" s="1" t="str">
        <f t="shared" si="1"/>
        <v/>
      </c>
    </row>
    <row r="601">
      <c r="A601" s="1"/>
      <c r="B601" s="1" t="str">
        <f>IFERROR(VLOOKUP($A601,ItemsImport!$A$2:$AD970,MATCH("Description",ItemsImport!$A$1:$AE$1,0),FALSE),"")</f>
        <v/>
      </c>
      <c r="C601" s="1" t="str">
        <f>IFERROR(VLOOKUP($A601,ItemsImport!$A$2:$AD970,MATCH("Type",ItemsImport!$A$1:$AE$1,0),FALSE),"")</f>
        <v/>
      </c>
      <c r="H601" s="4" t="b">
        <v>0</v>
      </c>
      <c r="I601" s="1" t="str">
        <f>IFERROR(VLOOKUP($A601,ItemsImport!$A$2:$AD970,MATCH("ItemLoc",ItemsImport!$A$1:$AE$1,0),FALSE),"")</f>
        <v/>
      </c>
      <c r="W601" s="1"/>
      <c r="X601" s="1" t="str">
        <f t="shared" si="1"/>
        <v/>
      </c>
    </row>
    <row r="602">
      <c r="A602" s="1"/>
      <c r="B602" s="1" t="str">
        <f>IFERROR(VLOOKUP($A602,ItemsImport!$A$2:$AD970,MATCH("Description",ItemsImport!$A$1:$AE$1,0),FALSE),"")</f>
        <v/>
      </c>
      <c r="C602" s="1" t="str">
        <f>IFERROR(VLOOKUP($A602,ItemsImport!$A$2:$AD970,MATCH("Type",ItemsImport!$A$1:$AE$1,0),FALSE),"")</f>
        <v/>
      </c>
      <c r="H602" s="4" t="b">
        <v>0</v>
      </c>
      <c r="I602" s="1" t="str">
        <f>IFERROR(VLOOKUP($A602,ItemsImport!$A$2:$AD970,MATCH("ItemLoc",ItemsImport!$A$1:$AE$1,0),FALSE),"")</f>
        <v/>
      </c>
      <c r="W602" s="1"/>
      <c r="X602" s="1" t="str">
        <f t="shared" si="1"/>
        <v/>
      </c>
    </row>
    <row r="603">
      <c r="A603" s="1"/>
      <c r="B603" s="1" t="str">
        <f>IFERROR(VLOOKUP($A603,ItemsImport!$A$2:$AD970,MATCH("Description",ItemsImport!$A$1:$AE$1,0),FALSE),"")</f>
        <v/>
      </c>
      <c r="C603" s="1" t="str">
        <f>IFERROR(VLOOKUP($A603,ItemsImport!$A$2:$AD970,MATCH("Type",ItemsImport!$A$1:$AE$1,0),FALSE),"")</f>
        <v/>
      </c>
      <c r="H603" s="4" t="b">
        <v>0</v>
      </c>
      <c r="I603" s="1" t="str">
        <f>IFERROR(VLOOKUP($A603,ItemsImport!$A$2:$AD970,MATCH("ItemLoc",ItemsImport!$A$1:$AE$1,0),FALSE),"")</f>
        <v/>
      </c>
      <c r="W603" s="1"/>
      <c r="X603" s="1" t="str">
        <f t="shared" si="1"/>
        <v/>
      </c>
    </row>
    <row r="604">
      <c r="A604" s="1"/>
      <c r="B604" s="1" t="str">
        <f>IFERROR(VLOOKUP($A604,ItemsImport!$A$2:$AD970,MATCH("Description",ItemsImport!$A$1:$AE$1,0),FALSE),"")</f>
        <v/>
      </c>
      <c r="C604" s="1" t="str">
        <f>IFERROR(VLOOKUP($A604,ItemsImport!$A$2:$AD970,MATCH("Type",ItemsImport!$A$1:$AE$1,0),FALSE),"")</f>
        <v/>
      </c>
      <c r="H604" s="4" t="b">
        <v>0</v>
      </c>
      <c r="I604" s="1" t="str">
        <f>IFERROR(VLOOKUP($A604,ItemsImport!$A$2:$AD970,MATCH("ItemLoc",ItemsImport!$A$1:$AE$1,0),FALSE),"")</f>
        <v/>
      </c>
      <c r="W604" s="1"/>
      <c r="X604" s="1" t="str">
        <f t="shared" si="1"/>
        <v/>
      </c>
    </row>
    <row r="605">
      <c r="A605" s="1"/>
      <c r="B605" s="1" t="str">
        <f>IFERROR(VLOOKUP($A605,ItemsImport!$A$2:$AD970,MATCH("Description",ItemsImport!$A$1:$AE$1,0),FALSE),"")</f>
        <v/>
      </c>
      <c r="C605" s="1" t="str">
        <f>IFERROR(VLOOKUP($A605,ItemsImport!$A$2:$AD970,MATCH("Type",ItemsImport!$A$1:$AE$1,0),FALSE),"")</f>
        <v/>
      </c>
      <c r="H605" s="4" t="b">
        <v>0</v>
      </c>
      <c r="I605" s="1" t="str">
        <f>IFERROR(VLOOKUP($A605,ItemsImport!$A$2:$AD970,MATCH("ItemLoc",ItemsImport!$A$1:$AE$1,0),FALSE),"")</f>
        <v/>
      </c>
      <c r="W605" s="1"/>
      <c r="X605" s="1" t="str">
        <f t="shared" si="1"/>
        <v/>
      </c>
    </row>
    <row r="606">
      <c r="A606" s="1"/>
      <c r="B606" s="1" t="str">
        <f>IFERROR(VLOOKUP($A606,ItemsImport!$A$2:$AD970,MATCH("Description",ItemsImport!$A$1:$AE$1,0),FALSE),"")</f>
        <v/>
      </c>
      <c r="C606" s="1" t="str">
        <f>IFERROR(VLOOKUP($A606,ItemsImport!$A$2:$AD970,MATCH("Type",ItemsImport!$A$1:$AE$1,0),FALSE),"")</f>
        <v/>
      </c>
      <c r="H606" s="4" t="b">
        <v>0</v>
      </c>
      <c r="I606" s="1" t="str">
        <f>IFERROR(VLOOKUP($A606,ItemsImport!$A$2:$AD970,MATCH("ItemLoc",ItemsImport!$A$1:$AE$1,0),FALSE),"")</f>
        <v/>
      </c>
      <c r="W606" s="1"/>
      <c r="X606" s="1" t="str">
        <f t="shared" si="1"/>
        <v/>
      </c>
    </row>
    <row r="607">
      <c r="A607" s="1"/>
      <c r="B607" s="1" t="str">
        <f>IFERROR(VLOOKUP($A607,ItemsImport!$A$2:$AD970,MATCH("Description",ItemsImport!$A$1:$AE$1,0),FALSE),"")</f>
        <v/>
      </c>
      <c r="C607" s="1" t="str">
        <f>IFERROR(VLOOKUP($A607,ItemsImport!$A$2:$AD970,MATCH("Type",ItemsImport!$A$1:$AE$1,0),FALSE),"")</f>
        <v/>
      </c>
      <c r="H607" s="4" t="b">
        <v>0</v>
      </c>
      <c r="I607" s="1" t="str">
        <f>IFERROR(VLOOKUP($A607,ItemsImport!$A$2:$AD970,MATCH("ItemLoc",ItemsImport!$A$1:$AE$1,0),FALSE),"")</f>
        <v/>
      </c>
      <c r="W607" s="1"/>
      <c r="X607" s="1" t="str">
        <f t="shared" si="1"/>
        <v/>
      </c>
    </row>
    <row r="608">
      <c r="A608" s="1"/>
      <c r="B608" s="1" t="str">
        <f>IFERROR(VLOOKUP($A608,ItemsImport!$A$2:$AD970,MATCH("Description",ItemsImport!$A$1:$AE$1,0),FALSE),"")</f>
        <v/>
      </c>
      <c r="C608" s="1" t="str">
        <f>IFERROR(VLOOKUP($A608,ItemsImport!$A$2:$AD970,MATCH("Type",ItemsImport!$A$1:$AE$1,0),FALSE),"")</f>
        <v/>
      </c>
      <c r="H608" s="4" t="b">
        <v>0</v>
      </c>
      <c r="I608" s="1" t="str">
        <f>IFERROR(VLOOKUP($A608,ItemsImport!$A$2:$AD970,MATCH("ItemLoc",ItemsImport!$A$1:$AE$1,0),FALSE),"")</f>
        <v/>
      </c>
      <c r="W608" s="1"/>
      <c r="X608" s="1" t="str">
        <f t="shared" si="1"/>
        <v/>
      </c>
    </row>
    <row r="609">
      <c r="A609" s="1"/>
      <c r="B609" s="1" t="str">
        <f>IFERROR(VLOOKUP($A609,ItemsImport!$A$2:$AD970,MATCH("Description",ItemsImport!$A$1:$AE$1,0),FALSE),"")</f>
        <v/>
      </c>
      <c r="C609" s="1" t="str">
        <f>IFERROR(VLOOKUP($A609,ItemsImport!$A$2:$AD970,MATCH("Type",ItemsImport!$A$1:$AE$1,0),FALSE),"")</f>
        <v/>
      </c>
      <c r="H609" s="4" t="b">
        <v>0</v>
      </c>
      <c r="I609" s="1" t="str">
        <f>IFERROR(VLOOKUP($A609,ItemsImport!$A$2:$AD970,MATCH("ItemLoc",ItemsImport!$A$1:$AE$1,0),FALSE),"")</f>
        <v/>
      </c>
      <c r="W609" s="1"/>
      <c r="X609" s="1" t="str">
        <f t="shared" si="1"/>
        <v/>
      </c>
    </row>
    <row r="610">
      <c r="A610" s="1"/>
      <c r="B610" s="1" t="str">
        <f>IFERROR(VLOOKUP($A610,ItemsImport!$A$2:$AD970,MATCH("Description",ItemsImport!$A$1:$AE$1,0),FALSE),"")</f>
        <v/>
      </c>
      <c r="C610" s="1" t="str">
        <f>IFERROR(VLOOKUP($A610,ItemsImport!$A$2:$AD970,MATCH("Type",ItemsImport!$A$1:$AE$1,0),FALSE),"")</f>
        <v/>
      </c>
      <c r="H610" s="4" t="b">
        <v>0</v>
      </c>
      <c r="I610" s="1" t="str">
        <f>IFERROR(VLOOKUP($A610,ItemsImport!$A$2:$AD970,MATCH("ItemLoc",ItemsImport!$A$1:$AE$1,0),FALSE),"")</f>
        <v/>
      </c>
      <c r="W610" s="1"/>
      <c r="X610" s="1" t="str">
        <f t="shared" si="1"/>
        <v/>
      </c>
    </row>
    <row r="611">
      <c r="A611" s="1"/>
      <c r="B611" s="1" t="str">
        <f>IFERROR(VLOOKUP($A611,ItemsImport!$A$2:$AD970,MATCH("Description",ItemsImport!$A$1:$AE$1,0),FALSE),"")</f>
        <v/>
      </c>
      <c r="C611" s="1" t="str">
        <f>IFERROR(VLOOKUP($A611,ItemsImport!$A$2:$AD970,MATCH("Type",ItemsImport!$A$1:$AE$1,0),FALSE),"")</f>
        <v/>
      </c>
      <c r="H611" s="4" t="b">
        <v>0</v>
      </c>
      <c r="I611" s="1" t="str">
        <f>IFERROR(VLOOKUP($A611,ItemsImport!$A$2:$AD970,MATCH("ItemLoc",ItemsImport!$A$1:$AE$1,0),FALSE),"")</f>
        <v/>
      </c>
      <c r="W611" s="1"/>
      <c r="X611" s="1" t="str">
        <f t="shared" si="1"/>
        <v/>
      </c>
    </row>
    <row r="612">
      <c r="A612" s="1"/>
      <c r="B612" s="1" t="str">
        <f>IFERROR(VLOOKUP($A612,ItemsImport!$A$2:$AD970,MATCH("Description",ItemsImport!$A$1:$AE$1,0),FALSE),"")</f>
        <v/>
      </c>
      <c r="C612" s="1" t="str">
        <f>IFERROR(VLOOKUP($A612,ItemsImport!$A$2:$AD970,MATCH("Type",ItemsImport!$A$1:$AE$1,0),FALSE),"")</f>
        <v/>
      </c>
      <c r="H612" s="4" t="b">
        <v>0</v>
      </c>
      <c r="I612" s="1" t="str">
        <f>IFERROR(VLOOKUP($A612,ItemsImport!$A$2:$AD970,MATCH("ItemLoc",ItemsImport!$A$1:$AE$1,0),FALSE),"")</f>
        <v/>
      </c>
      <c r="W612" s="1"/>
      <c r="X612" s="1" t="str">
        <f t="shared" si="1"/>
        <v/>
      </c>
    </row>
    <row r="613">
      <c r="A613" s="1"/>
      <c r="B613" s="1" t="str">
        <f>IFERROR(VLOOKUP($A613,ItemsImport!$A$2:$AD970,MATCH("Description",ItemsImport!$A$1:$AE$1,0),FALSE),"")</f>
        <v/>
      </c>
      <c r="C613" s="1" t="str">
        <f>IFERROR(VLOOKUP($A613,ItemsImport!$A$2:$AD970,MATCH("Type",ItemsImport!$A$1:$AE$1,0),FALSE),"")</f>
        <v/>
      </c>
      <c r="H613" s="4" t="b">
        <v>0</v>
      </c>
      <c r="I613" s="1" t="str">
        <f>IFERROR(VLOOKUP($A613,ItemsImport!$A$2:$AD970,MATCH("ItemLoc",ItemsImport!$A$1:$AE$1,0),FALSE),"")</f>
        <v/>
      </c>
      <c r="W613" s="1"/>
      <c r="X613" s="1" t="str">
        <f t="shared" si="1"/>
        <v/>
      </c>
    </row>
    <row r="614">
      <c r="A614" s="1"/>
      <c r="B614" s="1" t="str">
        <f>IFERROR(VLOOKUP($A614,ItemsImport!$A$2:$AD970,MATCH("Description",ItemsImport!$A$1:$AE$1,0),FALSE),"")</f>
        <v/>
      </c>
      <c r="C614" s="1" t="str">
        <f>IFERROR(VLOOKUP($A614,ItemsImport!$A$2:$AD970,MATCH("Type",ItemsImport!$A$1:$AE$1,0),FALSE),"")</f>
        <v/>
      </c>
      <c r="H614" s="4" t="b">
        <v>0</v>
      </c>
      <c r="I614" s="1" t="str">
        <f>IFERROR(VLOOKUP($A614,ItemsImport!$A$2:$AD970,MATCH("ItemLoc",ItemsImport!$A$1:$AE$1,0),FALSE),"")</f>
        <v/>
      </c>
      <c r="W614" s="1"/>
      <c r="X614" s="1" t="str">
        <f t="shared" si="1"/>
        <v/>
      </c>
    </row>
    <row r="615">
      <c r="A615" s="1"/>
      <c r="B615" s="1" t="str">
        <f>IFERROR(VLOOKUP($A615,ItemsImport!$A$2:$AD970,MATCH("Description",ItemsImport!$A$1:$AE$1,0),FALSE),"")</f>
        <v/>
      </c>
      <c r="C615" s="1" t="str">
        <f>IFERROR(VLOOKUP($A615,ItemsImport!$A$2:$AD970,MATCH("Type",ItemsImport!$A$1:$AE$1,0),FALSE),"")</f>
        <v/>
      </c>
      <c r="H615" s="4" t="b">
        <v>0</v>
      </c>
      <c r="I615" s="1" t="str">
        <f>IFERROR(VLOOKUP($A615,ItemsImport!$A$2:$AD970,MATCH("ItemLoc",ItemsImport!$A$1:$AE$1,0),FALSE),"")</f>
        <v/>
      </c>
      <c r="W615" s="1"/>
      <c r="X615" s="1" t="str">
        <f t="shared" si="1"/>
        <v/>
      </c>
    </row>
    <row r="616">
      <c r="A616" s="1"/>
      <c r="B616" s="1" t="str">
        <f>IFERROR(VLOOKUP($A616,ItemsImport!$A$2:$AD970,MATCH("Description",ItemsImport!$A$1:$AE$1,0),FALSE),"")</f>
        <v/>
      </c>
      <c r="C616" s="1" t="str">
        <f>IFERROR(VLOOKUP($A616,ItemsImport!$A$2:$AD970,MATCH("Type",ItemsImport!$A$1:$AE$1,0),FALSE),"")</f>
        <v/>
      </c>
      <c r="H616" s="4" t="b">
        <v>0</v>
      </c>
      <c r="I616" s="1" t="str">
        <f>IFERROR(VLOOKUP($A616,ItemsImport!$A$2:$AD970,MATCH("ItemLoc",ItemsImport!$A$1:$AE$1,0),FALSE),"")</f>
        <v/>
      </c>
      <c r="W616" s="1"/>
      <c r="X616" s="1" t="str">
        <f t="shared" si="1"/>
        <v/>
      </c>
    </row>
    <row r="617">
      <c r="A617" s="1"/>
      <c r="B617" s="1" t="str">
        <f>IFERROR(VLOOKUP($A617,ItemsImport!$A$2:$AD970,MATCH("Description",ItemsImport!$A$1:$AE$1,0),FALSE),"")</f>
        <v/>
      </c>
      <c r="C617" s="1" t="str">
        <f>IFERROR(VLOOKUP($A617,ItemsImport!$A$2:$AD970,MATCH("Type",ItemsImport!$A$1:$AE$1,0),FALSE),"")</f>
        <v/>
      </c>
      <c r="H617" s="4" t="b">
        <v>0</v>
      </c>
      <c r="I617" s="1" t="str">
        <f>IFERROR(VLOOKUP($A617,ItemsImport!$A$2:$AD970,MATCH("ItemLoc",ItemsImport!$A$1:$AE$1,0),FALSE),"")</f>
        <v/>
      </c>
      <c r="W617" s="1"/>
      <c r="X617" s="1" t="str">
        <f t="shared" si="1"/>
        <v/>
      </c>
    </row>
    <row r="618">
      <c r="A618" s="1"/>
      <c r="B618" s="1" t="str">
        <f>IFERROR(VLOOKUP($A618,ItemsImport!$A$2:$AD970,MATCH("Description",ItemsImport!$A$1:$AE$1,0),FALSE),"")</f>
        <v/>
      </c>
      <c r="C618" s="1" t="str">
        <f>IFERROR(VLOOKUP($A618,ItemsImport!$A$2:$AD970,MATCH("Type",ItemsImport!$A$1:$AE$1,0),FALSE),"")</f>
        <v/>
      </c>
      <c r="H618" s="4" t="b">
        <v>0</v>
      </c>
      <c r="I618" s="1" t="str">
        <f>IFERROR(VLOOKUP($A618,ItemsImport!$A$2:$AD970,MATCH("ItemLoc",ItemsImport!$A$1:$AE$1,0),FALSE),"")</f>
        <v/>
      </c>
      <c r="W618" s="1"/>
      <c r="X618" s="1" t="str">
        <f t="shared" si="1"/>
        <v/>
      </c>
    </row>
    <row r="619">
      <c r="A619" s="1"/>
      <c r="B619" s="1" t="str">
        <f>IFERROR(VLOOKUP($A619,ItemsImport!$A$2:$AD970,MATCH("Description",ItemsImport!$A$1:$AE$1,0),FALSE),"")</f>
        <v/>
      </c>
      <c r="C619" s="1" t="str">
        <f>IFERROR(VLOOKUP($A619,ItemsImport!$A$2:$AD970,MATCH("Type",ItemsImport!$A$1:$AE$1,0),FALSE),"")</f>
        <v/>
      </c>
      <c r="H619" s="4" t="b">
        <v>0</v>
      </c>
      <c r="I619" s="1" t="str">
        <f>IFERROR(VLOOKUP($A619,ItemsImport!$A$2:$AD970,MATCH("ItemLoc",ItemsImport!$A$1:$AE$1,0),FALSE),"")</f>
        <v/>
      </c>
      <c r="W619" s="1"/>
      <c r="X619" s="1" t="str">
        <f t="shared" si="1"/>
        <v/>
      </c>
    </row>
    <row r="620">
      <c r="A620" s="1"/>
      <c r="B620" s="1" t="str">
        <f>IFERROR(VLOOKUP($A620,ItemsImport!$A$2:$AD970,MATCH("Description",ItemsImport!$A$1:$AE$1,0),FALSE),"")</f>
        <v/>
      </c>
      <c r="C620" s="1" t="str">
        <f>IFERROR(VLOOKUP($A620,ItemsImport!$A$2:$AD970,MATCH("Type",ItemsImport!$A$1:$AE$1,0),FALSE),"")</f>
        <v/>
      </c>
      <c r="H620" s="4" t="b">
        <v>0</v>
      </c>
      <c r="I620" s="1" t="str">
        <f>IFERROR(VLOOKUP($A620,ItemsImport!$A$2:$AD970,MATCH("ItemLoc",ItemsImport!$A$1:$AE$1,0),FALSE),"")</f>
        <v/>
      </c>
      <c r="W620" s="1"/>
      <c r="X620" s="1" t="str">
        <f t="shared" si="1"/>
        <v/>
      </c>
    </row>
    <row r="621">
      <c r="A621" s="1"/>
      <c r="B621" s="1" t="str">
        <f>IFERROR(VLOOKUP($A621,ItemsImport!$A$2:$AD970,MATCH("Description",ItemsImport!$A$1:$AE$1,0),FALSE),"")</f>
        <v/>
      </c>
      <c r="C621" s="1" t="str">
        <f>IFERROR(VLOOKUP($A621,ItemsImport!$A$2:$AD970,MATCH("Type",ItemsImport!$A$1:$AE$1,0),FALSE),"")</f>
        <v/>
      </c>
      <c r="H621" s="4" t="b">
        <v>0</v>
      </c>
      <c r="I621" s="1" t="str">
        <f>IFERROR(VLOOKUP($A621,ItemsImport!$A$2:$AD970,MATCH("ItemLoc",ItemsImport!$A$1:$AE$1,0),FALSE),"")</f>
        <v/>
      </c>
      <c r="W621" s="1"/>
      <c r="X621" s="1" t="str">
        <f t="shared" si="1"/>
        <v/>
      </c>
    </row>
    <row r="622">
      <c r="A622" s="1"/>
      <c r="B622" s="1" t="str">
        <f>IFERROR(VLOOKUP($A622,ItemsImport!$A$2:$AD970,MATCH("Description",ItemsImport!$A$1:$AE$1,0),FALSE),"")</f>
        <v/>
      </c>
      <c r="C622" s="1" t="str">
        <f>IFERROR(VLOOKUP($A622,ItemsImport!$A$2:$AD970,MATCH("Type",ItemsImport!$A$1:$AE$1,0),FALSE),"")</f>
        <v/>
      </c>
      <c r="H622" s="4" t="b">
        <v>0</v>
      </c>
      <c r="I622" s="1" t="str">
        <f>IFERROR(VLOOKUP($A622,ItemsImport!$A$2:$AD970,MATCH("ItemLoc",ItemsImport!$A$1:$AE$1,0),FALSE),"")</f>
        <v/>
      </c>
      <c r="W622" s="1"/>
      <c r="X622" s="1" t="str">
        <f t="shared" si="1"/>
        <v/>
      </c>
    </row>
    <row r="623">
      <c r="A623" s="1"/>
      <c r="B623" s="1" t="str">
        <f>IFERROR(VLOOKUP($A623,ItemsImport!$A$2:$AD970,MATCH("Description",ItemsImport!$A$1:$AE$1,0),FALSE),"")</f>
        <v/>
      </c>
      <c r="C623" s="1" t="str">
        <f>IFERROR(VLOOKUP($A623,ItemsImport!$A$2:$AD970,MATCH("Type",ItemsImport!$A$1:$AE$1,0),FALSE),"")</f>
        <v/>
      </c>
      <c r="H623" s="4" t="b">
        <v>0</v>
      </c>
      <c r="I623" s="1" t="str">
        <f>IFERROR(VLOOKUP($A623,ItemsImport!$A$2:$AD970,MATCH("ItemLoc",ItemsImport!$A$1:$AE$1,0),FALSE),"")</f>
        <v/>
      </c>
      <c r="W623" s="1"/>
      <c r="X623" s="1" t="str">
        <f t="shared" si="1"/>
        <v/>
      </c>
    </row>
    <row r="624">
      <c r="A624" s="1"/>
      <c r="B624" s="1" t="str">
        <f>IFERROR(VLOOKUP($A624,ItemsImport!$A$2:$AD970,MATCH("Description",ItemsImport!$A$1:$AE$1,0),FALSE),"")</f>
        <v/>
      </c>
      <c r="C624" s="1" t="str">
        <f>IFERROR(VLOOKUP($A624,ItemsImport!$A$2:$AD970,MATCH("Type",ItemsImport!$A$1:$AE$1,0),FALSE),"")</f>
        <v/>
      </c>
      <c r="H624" s="4" t="b">
        <v>0</v>
      </c>
      <c r="I624" s="1" t="str">
        <f>IFERROR(VLOOKUP($A624,ItemsImport!$A$2:$AD970,MATCH("ItemLoc",ItemsImport!$A$1:$AE$1,0),FALSE),"")</f>
        <v/>
      </c>
      <c r="W624" s="1"/>
      <c r="X624" s="1" t="str">
        <f t="shared" si="1"/>
        <v/>
      </c>
    </row>
    <row r="625">
      <c r="A625" s="1"/>
      <c r="B625" s="1" t="str">
        <f>IFERROR(VLOOKUP($A625,ItemsImport!$A$2:$AD970,MATCH("Description",ItemsImport!$A$1:$AE$1,0),FALSE),"")</f>
        <v/>
      </c>
      <c r="C625" s="1" t="str">
        <f>IFERROR(VLOOKUP($A625,ItemsImport!$A$2:$AD970,MATCH("Type",ItemsImport!$A$1:$AE$1,0),FALSE),"")</f>
        <v/>
      </c>
      <c r="H625" s="4" t="b">
        <v>0</v>
      </c>
      <c r="I625" s="1" t="str">
        <f>IFERROR(VLOOKUP($A625,ItemsImport!$A$2:$AD970,MATCH("ItemLoc",ItemsImport!$A$1:$AE$1,0),FALSE),"")</f>
        <v/>
      </c>
      <c r="W625" s="1"/>
      <c r="X625" s="1" t="str">
        <f t="shared" si="1"/>
        <v/>
      </c>
    </row>
    <row r="626">
      <c r="A626" s="1"/>
      <c r="B626" s="1" t="str">
        <f>IFERROR(VLOOKUP($A626,ItemsImport!$A$2:$AD970,MATCH("Description",ItemsImport!$A$1:$AE$1,0),FALSE),"")</f>
        <v/>
      </c>
      <c r="C626" s="1" t="str">
        <f>IFERROR(VLOOKUP($A626,ItemsImport!$A$2:$AD970,MATCH("Type",ItemsImport!$A$1:$AE$1,0),FALSE),"")</f>
        <v/>
      </c>
      <c r="H626" s="4" t="b">
        <v>0</v>
      </c>
      <c r="I626" s="1" t="str">
        <f>IFERROR(VLOOKUP($A626,ItemsImport!$A$2:$AD970,MATCH("ItemLoc",ItemsImport!$A$1:$AE$1,0),FALSE),"")</f>
        <v/>
      </c>
      <c r="W626" s="1"/>
      <c r="X626" s="1" t="str">
        <f t="shared" si="1"/>
        <v/>
      </c>
    </row>
    <row r="627">
      <c r="A627" s="1"/>
      <c r="B627" s="1" t="str">
        <f>IFERROR(VLOOKUP($A627,ItemsImport!$A$2:$AD970,MATCH("Description",ItemsImport!$A$1:$AE$1,0),FALSE),"")</f>
        <v/>
      </c>
      <c r="C627" s="1" t="str">
        <f>IFERROR(VLOOKUP($A627,ItemsImport!$A$2:$AD970,MATCH("Type",ItemsImport!$A$1:$AE$1,0),FALSE),"")</f>
        <v/>
      </c>
      <c r="H627" s="4" t="b">
        <v>0</v>
      </c>
      <c r="I627" s="1" t="str">
        <f>IFERROR(VLOOKUP($A627,ItemsImport!$A$2:$AD970,MATCH("ItemLoc",ItemsImport!$A$1:$AE$1,0),FALSE),"")</f>
        <v/>
      </c>
      <c r="W627" s="1"/>
      <c r="X627" s="1" t="str">
        <f t="shared" si="1"/>
        <v/>
      </c>
    </row>
    <row r="628">
      <c r="A628" s="1"/>
      <c r="B628" s="1" t="str">
        <f>IFERROR(VLOOKUP($A628,ItemsImport!$A$2:$AD970,MATCH("Description",ItemsImport!$A$1:$AE$1,0),FALSE),"")</f>
        <v/>
      </c>
      <c r="C628" s="1" t="str">
        <f>IFERROR(VLOOKUP($A628,ItemsImport!$A$2:$AD970,MATCH("Type",ItemsImport!$A$1:$AE$1,0),FALSE),"")</f>
        <v/>
      </c>
      <c r="H628" s="4" t="b">
        <v>0</v>
      </c>
      <c r="I628" s="1" t="str">
        <f>IFERROR(VLOOKUP($A628,ItemsImport!$A$2:$AD970,MATCH("ItemLoc",ItemsImport!$A$1:$AE$1,0),FALSE),"")</f>
        <v/>
      </c>
      <c r="W628" s="1"/>
      <c r="X628" s="1" t="str">
        <f t="shared" si="1"/>
        <v/>
      </c>
    </row>
    <row r="629">
      <c r="A629" s="1"/>
      <c r="B629" s="1" t="str">
        <f>IFERROR(VLOOKUP($A629,ItemsImport!$A$2:$AD970,MATCH("Description",ItemsImport!$A$1:$AE$1,0),FALSE),"")</f>
        <v/>
      </c>
      <c r="C629" s="1" t="str">
        <f>IFERROR(VLOOKUP($A629,ItemsImport!$A$2:$AD970,MATCH("Type",ItemsImport!$A$1:$AE$1,0),FALSE),"")</f>
        <v/>
      </c>
      <c r="H629" s="4" t="b">
        <v>0</v>
      </c>
      <c r="I629" s="1" t="str">
        <f>IFERROR(VLOOKUP($A629,ItemsImport!$A$2:$AD970,MATCH("ItemLoc",ItemsImport!$A$1:$AE$1,0),FALSE),"")</f>
        <v/>
      </c>
      <c r="W629" s="1"/>
      <c r="X629" s="1" t="str">
        <f t="shared" si="1"/>
        <v/>
      </c>
    </row>
    <row r="630">
      <c r="A630" s="1"/>
      <c r="B630" s="1" t="str">
        <f>IFERROR(VLOOKUP($A630,ItemsImport!$A$2:$AD970,MATCH("Description",ItemsImport!$A$1:$AE$1,0),FALSE),"")</f>
        <v/>
      </c>
      <c r="C630" s="1" t="str">
        <f>IFERROR(VLOOKUP($A630,ItemsImport!$A$2:$AD970,MATCH("Type",ItemsImport!$A$1:$AE$1,0),FALSE),"")</f>
        <v/>
      </c>
      <c r="H630" s="4" t="b">
        <v>0</v>
      </c>
      <c r="I630" s="1" t="str">
        <f>IFERROR(VLOOKUP($A630,ItemsImport!$A$2:$AD970,MATCH("ItemLoc",ItemsImport!$A$1:$AE$1,0),FALSE),"")</f>
        <v/>
      </c>
      <c r="W630" s="1"/>
      <c r="X630" s="1" t="str">
        <f t="shared" si="1"/>
        <v/>
      </c>
    </row>
    <row r="631">
      <c r="A631" s="1"/>
      <c r="B631" s="1" t="str">
        <f>IFERROR(VLOOKUP($A631,ItemsImport!$A$2:$AD970,MATCH("Description",ItemsImport!$A$1:$AE$1,0),FALSE),"")</f>
        <v/>
      </c>
      <c r="C631" s="1" t="str">
        <f>IFERROR(VLOOKUP($A631,ItemsImport!$A$2:$AD970,MATCH("Type",ItemsImport!$A$1:$AE$1,0),FALSE),"")</f>
        <v/>
      </c>
      <c r="H631" s="4" t="b">
        <v>0</v>
      </c>
      <c r="I631" s="1" t="str">
        <f>IFERROR(VLOOKUP($A631,ItemsImport!$A$2:$AD970,MATCH("ItemLoc",ItemsImport!$A$1:$AE$1,0),FALSE),"")</f>
        <v/>
      </c>
      <c r="W631" s="1"/>
      <c r="X631" s="1" t="str">
        <f t="shared" si="1"/>
        <v/>
      </c>
    </row>
    <row r="632">
      <c r="A632" s="1"/>
      <c r="B632" s="1" t="str">
        <f>IFERROR(VLOOKUP($A632,ItemsImport!$A$2:$AD970,MATCH("Description",ItemsImport!$A$1:$AE$1,0),FALSE),"")</f>
        <v/>
      </c>
      <c r="C632" s="1" t="str">
        <f>IFERROR(VLOOKUP($A632,ItemsImport!$A$2:$AD970,MATCH("Type",ItemsImport!$A$1:$AE$1,0),FALSE),"")</f>
        <v/>
      </c>
      <c r="H632" s="4" t="b">
        <v>0</v>
      </c>
      <c r="I632" s="1" t="str">
        <f>IFERROR(VLOOKUP($A632,ItemsImport!$A$2:$AD970,MATCH("ItemLoc",ItemsImport!$A$1:$AE$1,0),FALSE),"")</f>
        <v/>
      </c>
      <c r="W632" s="1"/>
      <c r="X632" s="1" t="str">
        <f t="shared" si="1"/>
        <v/>
      </c>
    </row>
    <row r="633">
      <c r="A633" s="1"/>
      <c r="B633" s="1" t="str">
        <f>IFERROR(VLOOKUP($A633,ItemsImport!$A$2:$AD970,MATCH("Description",ItemsImport!$A$1:$AE$1,0),FALSE),"")</f>
        <v/>
      </c>
      <c r="C633" s="1" t="str">
        <f>IFERROR(VLOOKUP($A633,ItemsImport!$A$2:$AD970,MATCH("Type",ItemsImport!$A$1:$AE$1,0),FALSE),"")</f>
        <v/>
      </c>
      <c r="H633" s="4" t="b">
        <v>0</v>
      </c>
      <c r="I633" s="1" t="str">
        <f>IFERROR(VLOOKUP($A633,ItemsImport!$A$2:$AD970,MATCH("ItemLoc",ItemsImport!$A$1:$AE$1,0),FALSE),"")</f>
        <v/>
      </c>
      <c r="W633" s="1"/>
      <c r="X633" s="1" t="str">
        <f t="shared" si="1"/>
        <v/>
      </c>
    </row>
    <row r="634">
      <c r="A634" s="1"/>
      <c r="B634" s="1" t="str">
        <f>IFERROR(VLOOKUP($A634,ItemsImport!$A$2:$AD970,MATCH("Description",ItemsImport!$A$1:$AE$1,0),FALSE),"")</f>
        <v/>
      </c>
      <c r="C634" s="1" t="str">
        <f>IFERROR(VLOOKUP($A634,ItemsImport!$A$2:$AD970,MATCH("Type",ItemsImport!$A$1:$AE$1,0),FALSE),"")</f>
        <v/>
      </c>
      <c r="H634" s="4" t="b">
        <v>0</v>
      </c>
      <c r="I634" s="1" t="str">
        <f>IFERROR(VLOOKUP($A634,ItemsImport!$A$2:$AD970,MATCH("ItemLoc",ItemsImport!$A$1:$AE$1,0),FALSE),"")</f>
        <v/>
      </c>
      <c r="W634" s="1"/>
      <c r="X634" s="1" t="str">
        <f t="shared" si="1"/>
        <v/>
      </c>
    </row>
    <row r="635">
      <c r="A635" s="1"/>
      <c r="B635" s="1" t="str">
        <f>IFERROR(VLOOKUP($A635,ItemsImport!$A$2:$AD970,MATCH("Description",ItemsImport!$A$1:$AE$1,0),FALSE),"")</f>
        <v/>
      </c>
      <c r="C635" s="1" t="str">
        <f>IFERROR(VLOOKUP($A635,ItemsImport!$A$2:$AD970,MATCH("Type",ItemsImport!$A$1:$AE$1,0),FALSE),"")</f>
        <v/>
      </c>
      <c r="H635" s="4" t="b">
        <v>0</v>
      </c>
      <c r="I635" s="1" t="str">
        <f>IFERROR(VLOOKUP($A635,ItemsImport!$A$2:$AD970,MATCH("ItemLoc",ItemsImport!$A$1:$AE$1,0),FALSE),"")</f>
        <v/>
      </c>
      <c r="W635" s="1"/>
      <c r="X635" s="1" t="str">
        <f t="shared" si="1"/>
        <v/>
      </c>
    </row>
    <row r="636">
      <c r="A636" s="1"/>
      <c r="B636" s="1" t="str">
        <f>IFERROR(VLOOKUP($A636,ItemsImport!$A$2:$AD970,MATCH("Description",ItemsImport!$A$1:$AE$1,0),FALSE),"")</f>
        <v/>
      </c>
      <c r="C636" s="1" t="str">
        <f>IFERROR(VLOOKUP($A636,ItemsImport!$A$2:$AD970,MATCH("Type",ItemsImport!$A$1:$AE$1,0),FALSE),"")</f>
        <v/>
      </c>
      <c r="H636" s="4" t="b">
        <v>0</v>
      </c>
      <c r="I636" s="1" t="str">
        <f>IFERROR(VLOOKUP($A636,ItemsImport!$A$2:$AD970,MATCH("ItemLoc",ItemsImport!$A$1:$AE$1,0),FALSE),"")</f>
        <v/>
      </c>
      <c r="W636" s="1"/>
      <c r="X636" s="1" t="str">
        <f t="shared" si="1"/>
        <v/>
      </c>
    </row>
    <row r="637">
      <c r="A637" s="1"/>
      <c r="B637" s="1" t="str">
        <f>IFERROR(VLOOKUP($A637,ItemsImport!$A$2:$AD970,MATCH("Description",ItemsImport!$A$1:$AE$1,0),FALSE),"")</f>
        <v/>
      </c>
      <c r="C637" s="1" t="str">
        <f>IFERROR(VLOOKUP($A637,ItemsImport!$A$2:$AD970,MATCH("Type",ItemsImport!$A$1:$AE$1,0),FALSE),"")</f>
        <v/>
      </c>
      <c r="H637" s="4" t="b">
        <v>0</v>
      </c>
      <c r="I637" s="1" t="str">
        <f>IFERROR(VLOOKUP($A637,ItemsImport!$A$2:$AD970,MATCH("ItemLoc",ItemsImport!$A$1:$AE$1,0),FALSE),"")</f>
        <v/>
      </c>
      <c r="W637" s="1"/>
      <c r="X637" s="1" t="str">
        <f t="shared" si="1"/>
        <v/>
      </c>
    </row>
    <row r="638">
      <c r="A638" s="1"/>
      <c r="B638" s="1" t="str">
        <f>IFERROR(VLOOKUP($A638,ItemsImport!$A$2:$AD970,MATCH("Description",ItemsImport!$A$1:$AE$1,0),FALSE),"")</f>
        <v/>
      </c>
      <c r="C638" s="1" t="str">
        <f>IFERROR(VLOOKUP($A638,ItemsImport!$A$2:$AD970,MATCH("Type",ItemsImport!$A$1:$AE$1,0),FALSE),"")</f>
        <v/>
      </c>
      <c r="H638" s="4" t="b">
        <v>0</v>
      </c>
      <c r="I638" s="1" t="str">
        <f>IFERROR(VLOOKUP($A638,ItemsImport!$A$2:$AD970,MATCH("ItemLoc",ItemsImport!$A$1:$AE$1,0),FALSE),"")</f>
        <v/>
      </c>
      <c r="W638" s="1"/>
      <c r="X638" s="1" t="str">
        <f t="shared" si="1"/>
        <v/>
      </c>
    </row>
    <row r="639">
      <c r="A639" s="1"/>
      <c r="B639" s="1" t="str">
        <f>IFERROR(VLOOKUP($A639,ItemsImport!$A$2:$AD970,MATCH("Description",ItemsImport!$A$1:$AE$1,0),FALSE),"")</f>
        <v/>
      </c>
      <c r="C639" s="1" t="str">
        <f>IFERROR(VLOOKUP($A639,ItemsImport!$A$2:$AD970,MATCH("Type",ItemsImport!$A$1:$AE$1,0),FALSE),"")</f>
        <v/>
      </c>
      <c r="H639" s="4" t="b">
        <v>0</v>
      </c>
      <c r="I639" s="1" t="str">
        <f>IFERROR(VLOOKUP($A639,ItemsImport!$A$2:$AD970,MATCH("ItemLoc",ItemsImport!$A$1:$AE$1,0),FALSE),"")</f>
        <v/>
      </c>
      <c r="W639" s="1"/>
      <c r="X639" s="1" t="str">
        <f t="shared" si="1"/>
        <v/>
      </c>
    </row>
    <row r="640">
      <c r="A640" s="1"/>
      <c r="B640" s="1" t="str">
        <f>IFERROR(VLOOKUP($A640,ItemsImport!$A$2:$AD970,MATCH("Description",ItemsImport!$A$1:$AE$1,0),FALSE),"")</f>
        <v/>
      </c>
      <c r="C640" s="1" t="str">
        <f>IFERROR(VLOOKUP($A640,ItemsImport!$A$2:$AD970,MATCH("Type",ItemsImport!$A$1:$AE$1,0),FALSE),"")</f>
        <v/>
      </c>
      <c r="H640" s="4" t="b">
        <v>0</v>
      </c>
      <c r="I640" s="1" t="str">
        <f>IFERROR(VLOOKUP($A640,ItemsImport!$A$2:$AD970,MATCH("ItemLoc",ItemsImport!$A$1:$AE$1,0),FALSE),"")</f>
        <v/>
      </c>
      <c r="W640" s="1"/>
      <c r="X640" s="1" t="str">
        <f t="shared" si="1"/>
        <v/>
      </c>
    </row>
    <row r="641">
      <c r="A641" s="1"/>
      <c r="B641" s="1" t="str">
        <f>IFERROR(VLOOKUP($A641,ItemsImport!$A$2:$AD970,MATCH("Description",ItemsImport!$A$1:$AE$1,0),FALSE),"")</f>
        <v/>
      </c>
      <c r="C641" s="1" t="str">
        <f>IFERROR(VLOOKUP($A641,ItemsImport!$A$2:$AD970,MATCH("Type",ItemsImport!$A$1:$AE$1,0),FALSE),"")</f>
        <v/>
      </c>
      <c r="H641" s="4" t="b">
        <v>0</v>
      </c>
      <c r="I641" s="1" t="str">
        <f>IFERROR(VLOOKUP($A641,ItemsImport!$A$2:$AD970,MATCH("ItemLoc",ItemsImport!$A$1:$AE$1,0),FALSE),"")</f>
        <v/>
      </c>
      <c r="W641" s="1"/>
      <c r="X641" s="1" t="str">
        <f t="shared" si="1"/>
        <v/>
      </c>
    </row>
    <row r="642">
      <c r="A642" s="1"/>
      <c r="B642" s="1" t="str">
        <f>IFERROR(VLOOKUP($A642,ItemsImport!$A$2:$AD970,MATCH("Description",ItemsImport!$A$1:$AE$1,0),FALSE),"")</f>
        <v/>
      </c>
      <c r="C642" s="1" t="str">
        <f>IFERROR(VLOOKUP($A642,ItemsImport!$A$2:$AD970,MATCH("Type",ItemsImport!$A$1:$AE$1,0),FALSE),"")</f>
        <v/>
      </c>
      <c r="H642" s="4" t="b">
        <v>0</v>
      </c>
      <c r="I642" s="1" t="str">
        <f>IFERROR(VLOOKUP($A642,ItemsImport!$A$2:$AD970,MATCH("ItemLoc",ItemsImport!$A$1:$AE$1,0),FALSE),"")</f>
        <v/>
      </c>
      <c r="W642" s="1"/>
      <c r="X642" s="1" t="str">
        <f t="shared" si="1"/>
        <v/>
      </c>
    </row>
    <row r="643">
      <c r="A643" s="1"/>
      <c r="B643" s="1" t="str">
        <f>IFERROR(VLOOKUP($A643,ItemsImport!$A$2:$AD970,MATCH("Description",ItemsImport!$A$1:$AE$1,0),FALSE),"")</f>
        <v/>
      </c>
      <c r="C643" s="1" t="str">
        <f>IFERROR(VLOOKUP($A643,ItemsImport!$A$2:$AD970,MATCH("Type",ItemsImport!$A$1:$AE$1,0),FALSE),"")</f>
        <v/>
      </c>
      <c r="H643" s="4" t="b">
        <v>0</v>
      </c>
      <c r="I643" s="1" t="str">
        <f>IFERROR(VLOOKUP($A643,ItemsImport!$A$2:$AD970,MATCH("ItemLoc",ItemsImport!$A$1:$AE$1,0),FALSE),"")</f>
        <v/>
      </c>
      <c r="W643" s="1"/>
      <c r="X643" s="1" t="str">
        <f t="shared" si="1"/>
        <v/>
      </c>
    </row>
    <row r="644">
      <c r="A644" s="1"/>
      <c r="B644" s="1" t="str">
        <f>IFERROR(VLOOKUP($A644,ItemsImport!$A$2:$AD970,MATCH("Description",ItemsImport!$A$1:$AE$1,0),FALSE),"")</f>
        <v/>
      </c>
      <c r="C644" s="1" t="str">
        <f>IFERROR(VLOOKUP($A644,ItemsImport!$A$2:$AD970,MATCH("Type",ItemsImport!$A$1:$AE$1,0),FALSE),"")</f>
        <v/>
      </c>
      <c r="H644" s="4" t="b">
        <v>0</v>
      </c>
      <c r="I644" s="1" t="str">
        <f>IFERROR(VLOOKUP($A644,ItemsImport!$A$2:$AD970,MATCH("ItemLoc",ItemsImport!$A$1:$AE$1,0),FALSE),"")</f>
        <v/>
      </c>
      <c r="W644" s="1"/>
      <c r="X644" s="1" t="str">
        <f t="shared" si="1"/>
        <v/>
      </c>
    </row>
    <row r="645">
      <c r="A645" s="1"/>
      <c r="B645" s="1" t="str">
        <f>IFERROR(VLOOKUP($A645,ItemsImport!$A$2:$AD970,MATCH("Description",ItemsImport!$A$1:$AE$1,0),FALSE),"")</f>
        <v/>
      </c>
      <c r="C645" s="1" t="str">
        <f>IFERROR(VLOOKUP($A645,ItemsImport!$A$2:$AD970,MATCH("Type",ItemsImport!$A$1:$AE$1,0),FALSE),"")</f>
        <v/>
      </c>
      <c r="H645" s="4" t="b">
        <v>0</v>
      </c>
      <c r="I645" s="1" t="str">
        <f>IFERROR(VLOOKUP($A645,ItemsImport!$A$2:$AD970,MATCH("ItemLoc",ItemsImport!$A$1:$AE$1,0),FALSE),"")</f>
        <v/>
      </c>
      <c r="W645" s="1"/>
      <c r="X645" s="1" t="str">
        <f t="shared" si="1"/>
        <v/>
      </c>
    </row>
    <row r="646">
      <c r="A646" s="1"/>
      <c r="B646" s="1" t="str">
        <f>IFERROR(VLOOKUP($A646,ItemsImport!$A$2:$AD970,MATCH("Description",ItemsImport!$A$1:$AE$1,0),FALSE),"")</f>
        <v/>
      </c>
      <c r="C646" s="1" t="str">
        <f>IFERROR(VLOOKUP($A646,ItemsImport!$A$2:$AD970,MATCH("Type",ItemsImport!$A$1:$AE$1,0),FALSE),"")</f>
        <v/>
      </c>
      <c r="H646" s="4" t="b">
        <v>0</v>
      </c>
      <c r="I646" s="1" t="str">
        <f>IFERROR(VLOOKUP($A646,ItemsImport!$A$2:$AD970,MATCH("ItemLoc",ItemsImport!$A$1:$AE$1,0),FALSE),"")</f>
        <v/>
      </c>
      <c r="W646" s="1"/>
      <c r="X646" s="1" t="str">
        <f t="shared" si="1"/>
        <v/>
      </c>
    </row>
    <row r="647">
      <c r="A647" s="1"/>
      <c r="B647" s="1" t="str">
        <f>IFERROR(VLOOKUP($A647,ItemsImport!$A$2:$AD970,MATCH("Description",ItemsImport!$A$1:$AE$1,0),FALSE),"")</f>
        <v/>
      </c>
      <c r="C647" s="1" t="str">
        <f>IFERROR(VLOOKUP($A647,ItemsImport!$A$2:$AD970,MATCH("Type",ItemsImport!$A$1:$AE$1,0),FALSE),"")</f>
        <v/>
      </c>
      <c r="H647" s="4" t="b">
        <v>0</v>
      </c>
      <c r="I647" s="1" t="str">
        <f>IFERROR(VLOOKUP($A647,ItemsImport!$A$2:$AD970,MATCH("ItemLoc",ItemsImport!$A$1:$AE$1,0),FALSE),"")</f>
        <v/>
      </c>
      <c r="W647" s="1"/>
      <c r="X647" s="1" t="str">
        <f t="shared" si="1"/>
        <v/>
      </c>
    </row>
    <row r="648">
      <c r="A648" s="1"/>
      <c r="B648" s="1" t="str">
        <f>IFERROR(VLOOKUP($A648,ItemsImport!$A$2:$AD970,MATCH("Description",ItemsImport!$A$1:$AE$1,0),FALSE),"")</f>
        <v/>
      </c>
      <c r="C648" s="1" t="str">
        <f>IFERROR(VLOOKUP($A648,ItemsImport!$A$2:$AD970,MATCH("Type",ItemsImport!$A$1:$AE$1,0),FALSE),"")</f>
        <v/>
      </c>
      <c r="H648" s="4" t="b">
        <v>0</v>
      </c>
      <c r="I648" s="1" t="str">
        <f>IFERROR(VLOOKUP($A648,ItemsImport!$A$2:$AD970,MATCH("ItemLoc",ItemsImport!$A$1:$AE$1,0),FALSE),"")</f>
        <v/>
      </c>
      <c r="W648" s="1"/>
      <c r="X648" s="1" t="str">
        <f t="shared" si="1"/>
        <v/>
      </c>
    </row>
    <row r="649">
      <c r="A649" s="1"/>
      <c r="B649" s="1" t="str">
        <f>IFERROR(VLOOKUP($A649,ItemsImport!$A$2:$AD970,MATCH("Description",ItemsImport!$A$1:$AE$1,0),FALSE),"")</f>
        <v/>
      </c>
      <c r="C649" s="1" t="str">
        <f>IFERROR(VLOOKUP($A649,ItemsImport!$A$2:$AD970,MATCH("Type",ItemsImport!$A$1:$AE$1,0),FALSE),"")</f>
        <v/>
      </c>
      <c r="H649" s="4" t="b">
        <v>0</v>
      </c>
      <c r="I649" s="1" t="str">
        <f>IFERROR(VLOOKUP($A649,ItemsImport!$A$2:$AD970,MATCH("ItemLoc",ItemsImport!$A$1:$AE$1,0),FALSE),"")</f>
        <v/>
      </c>
      <c r="W649" s="1"/>
      <c r="X649" s="1" t="str">
        <f t="shared" si="1"/>
        <v/>
      </c>
    </row>
    <row r="650">
      <c r="A650" s="1"/>
      <c r="B650" s="1" t="str">
        <f>IFERROR(VLOOKUP($A650,ItemsImport!$A$2:$AD970,MATCH("Description",ItemsImport!$A$1:$AE$1,0),FALSE),"")</f>
        <v/>
      </c>
      <c r="C650" s="1" t="str">
        <f>IFERROR(VLOOKUP($A650,ItemsImport!$A$2:$AD970,MATCH("Type",ItemsImport!$A$1:$AE$1,0),FALSE),"")</f>
        <v/>
      </c>
      <c r="H650" s="4" t="b">
        <v>0</v>
      </c>
      <c r="I650" s="1" t="str">
        <f>IFERROR(VLOOKUP($A650,ItemsImport!$A$2:$AD970,MATCH("ItemLoc",ItemsImport!$A$1:$AE$1,0),FALSE),"")</f>
        <v/>
      </c>
      <c r="W650" s="1"/>
      <c r="X650" s="1" t="str">
        <f t="shared" si="1"/>
        <v/>
      </c>
    </row>
    <row r="651">
      <c r="A651" s="1"/>
      <c r="B651" s="1" t="str">
        <f>IFERROR(VLOOKUP($A651,ItemsImport!$A$2:$AD970,MATCH("Description",ItemsImport!$A$1:$AE$1,0),FALSE),"")</f>
        <v/>
      </c>
      <c r="C651" s="1" t="str">
        <f>IFERROR(VLOOKUP($A651,ItemsImport!$A$2:$AD970,MATCH("Type",ItemsImport!$A$1:$AE$1,0),FALSE),"")</f>
        <v/>
      </c>
      <c r="H651" s="4" t="b">
        <v>0</v>
      </c>
      <c r="I651" s="1" t="str">
        <f>IFERROR(VLOOKUP($A651,ItemsImport!$A$2:$AD970,MATCH("ItemLoc",ItemsImport!$A$1:$AE$1,0),FALSE),"")</f>
        <v/>
      </c>
      <c r="W651" s="1"/>
      <c r="X651" s="1" t="str">
        <f t="shared" si="1"/>
        <v/>
      </c>
    </row>
    <row r="652">
      <c r="A652" s="1"/>
      <c r="B652" s="1" t="str">
        <f>IFERROR(VLOOKUP($A652,ItemsImport!$A$2:$AD970,MATCH("Description",ItemsImport!$A$1:$AE$1,0),FALSE),"")</f>
        <v/>
      </c>
      <c r="C652" s="1" t="str">
        <f>IFERROR(VLOOKUP($A652,ItemsImport!$A$2:$AD970,MATCH("Type",ItemsImport!$A$1:$AE$1,0),FALSE),"")</f>
        <v/>
      </c>
      <c r="H652" s="4" t="b">
        <v>0</v>
      </c>
      <c r="I652" s="1" t="str">
        <f>IFERROR(VLOOKUP($A652,ItemsImport!$A$2:$AD970,MATCH("ItemLoc",ItemsImport!$A$1:$AE$1,0),FALSE),"")</f>
        <v/>
      </c>
      <c r="W652" s="1"/>
      <c r="X652" s="1" t="str">
        <f t="shared" si="1"/>
        <v/>
      </c>
    </row>
    <row r="653">
      <c r="A653" s="1"/>
      <c r="B653" s="1" t="str">
        <f>IFERROR(VLOOKUP($A653,ItemsImport!$A$2:$AD970,MATCH("Description",ItemsImport!$A$1:$AE$1,0),FALSE),"")</f>
        <v/>
      </c>
      <c r="C653" s="1" t="str">
        <f>IFERROR(VLOOKUP($A653,ItemsImport!$A$2:$AD970,MATCH("Type",ItemsImport!$A$1:$AE$1,0),FALSE),"")</f>
        <v/>
      </c>
      <c r="H653" s="4" t="b">
        <v>0</v>
      </c>
      <c r="I653" s="1" t="str">
        <f>IFERROR(VLOOKUP($A653,ItemsImport!$A$2:$AD970,MATCH("ItemLoc",ItemsImport!$A$1:$AE$1,0),FALSE),"")</f>
        <v/>
      </c>
      <c r="W653" s="1"/>
      <c r="X653" s="1" t="str">
        <f t="shared" si="1"/>
        <v/>
      </c>
    </row>
    <row r="654">
      <c r="A654" s="1"/>
      <c r="B654" s="1" t="str">
        <f>IFERROR(VLOOKUP($A654,ItemsImport!$A$2:$AD970,MATCH("Description",ItemsImport!$A$1:$AE$1,0),FALSE),"")</f>
        <v/>
      </c>
      <c r="C654" s="1" t="str">
        <f>IFERROR(VLOOKUP($A654,ItemsImport!$A$2:$AD970,MATCH("Type",ItemsImport!$A$1:$AE$1,0),FALSE),"")</f>
        <v/>
      </c>
      <c r="H654" s="4" t="b">
        <v>0</v>
      </c>
      <c r="I654" s="1" t="str">
        <f>IFERROR(VLOOKUP($A654,ItemsImport!$A$2:$AD970,MATCH("ItemLoc",ItemsImport!$A$1:$AE$1,0),FALSE),"")</f>
        <v/>
      </c>
      <c r="W654" s="1"/>
      <c r="X654" s="1" t="str">
        <f t="shared" si="1"/>
        <v/>
      </c>
    </row>
    <row r="655">
      <c r="A655" s="1"/>
      <c r="B655" s="1" t="str">
        <f>IFERROR(VLOOKUP($A655,ItemsImport!$A$2:$AD970,MATCH("Description",ItemsImport!$A$1:$AE$1,0),FALSE),"")</f>
        <v/>
      </c>
      <c r="C655" s="1" t="str">
        <f>IFERROR(VLOOKUP($A655,ItemsImport!$A$2:$AD970,MATCH("Type",ItemsImport!$A$1:$AE$1,0),FALSE),"")</f>
        <v/>
      </c>
      <c r="H655" s="4" t="b">
        <v>0</v>
      </c>
      <c r="I655" s="1" t="str">
        <f>IFERROR(VLOOKUP($A655,ItemsImport!$A$2:$AD970,MATCH("ItemLoc",ItemsImport!$A$1:$AE$1,0),FALSE),"")</f>
        <v/>
      </c>
      <c r="W655" s="1"/>
      <c r="X655" s="1" t="str">
        <f t="shared" si="1"/>
        <v/>
      </c>
    </row>
    <row r="656">
      <c r="A656" s="1"/>
      <c r="B656" s="1" t="str">
        <f>IFERROR(VLOOKUP($A656,ItemsImport!$A$2:$AD970,MATCH("Description",ItemsImport!$A$1:$AE$1,0),FALSE),"")</f>
        <v/>
      </c>
      <c r="C656" s="1" t="str">
        <f>IFERROR(VLOOKUP($A656,ItemsImport!$A$2:$AD970,MATCH("Type",ItemsImport!$A$1:$AE$1,0),FALSE),"")</f>
        <v/>
      </c>
      <c r="H656" s="4" t="b">
        <v>0</v>
      </c>
      <c r="I656" s="1" t="str">
        <f>IFERROR(VLOOKUP($A656,ItemsImport!$A$2:$AD970,MATCH("ItemLoc",ItemsImport!$A$1:$AE$1,0),FALSE),"")</f>
        <v/>
      </c>
      <c r="W656" s="1"/>
      <c r="X656" s="1" t="str">
        <f t="shared" si="1"/>
        <v/>
      </c>
    </row>
    <row r="657">
      <c r="A657" s="1"/>
      <c r="B657" s="1" t="str">
        <f>IFERROR(VLOOKUP($A657,ItemsImport!$A$2:$AD970,MATCH("Description",ItemsImport!$A$1:$AE$1,0),FALSE),"")</f>
        <v/>
      </c>
      <c r="C657" s="1" t="str">
        <f>IFERROR(VLOOKUP($A657,ItemsImport!$A$2:$AD970,MATCH("Type",ItemsImport!$A$1:$AE$1,0),FALSE),"")</f>
        <v/>
      </c>
      <c r="H657" s="4" t="b">
        <v>0</v>
      </c>
      <c r="I657" s="1" t="str">
        <f>IFERROR(VLOOKUP($A657,ItemsImport!$A$2:$AD970,MATCH("ItemLoc",ItemsImport!$A$1:$AE$1,0),FALSE),"")</f>
        <v/>
      </c>
      <c r="W657" s="1"/>
      <c r="X657" s="1" t="str">
        <f t="shared" si="1"/>
        <v/>
      </c>
    </row>
    <row r="658">
      <c r="A658" s="1"/>
      <c r="B658" s="1" t="str">
        <f>IFERROR(VLOOKUP($A658,ItemsImport!$A$2:$AD970,MATCH("Description",ItemsImport!$A$1:$AE$1,0),FALSE),"")</f>
        <v/>
      </c>
      <c r="C658" s="1" t="str">
        <f>IFERROR(VLOOKUP($A658,ItemsImport!$A$2:$AD970,MATCH("Type",ItemsImport!$A$1:$AE$1,0),FALSE),"")</f>
        <v/>
      </c>
      <c r="H658" s="4" t="b">
        <v>0</v>
      </c>
      <c r="I658" s="1" t="str">
        <f>IFERROR(VLOOKUP($A658,ItemsImport!$A$2:$AD970,MATCH("ItemLoc",ItemsImport!$A$1:$AE$1,0),FALSE),"")</f>
        <v/>
      </c>
      <c r="W658" s="1"/>
      <c r="X658" s="1" t="str">
        <f t="shared" si="1"/>
        <v/>
      </c>
    </row>
    <row r="659">
      <c r="A659" s="1"/>
      <c r="B659" s="1" t="str">
        <f>IFERROR(VLOOKUP($A659,ItemsImport!$A$2:$AD970,MATCH("Description",ItemsImport!$A$1:$AE$1,0),FALSE),"")</f>
        <v/>
      </c>
      <c r="C659" s="1" t="str">
        <f>IFERROR(VLOOKUP($A659,ItemsImport!$A$2:$AD970,MATCH("Type",ItemsImport!$A$1:$AE$1,0),FALSE),"")</f>
        <v/>
      </c>
      <c r="H659" s="4" t="b">
        <v>0</v>
      </c>
      <c r="I659" s="1" t="str">
        <f>IFERROR(VLOOKUP($A659,ItemsImport!$A$2:$AD970,MATCH("ItemLoc",ItemsImport!$A$1:$AE$1,0),FALSE),"")</f>
        <v/>
      </c>
      <c r="W659" s="1"/>
      <c r="X659" s="1" t="str">
        <f t="shared" si="1"/>
        <v/>
      </c>
    </row>
    <row r="660">
      <c r="A660" s="1"/>
      <c r="B660" s="1" t="str">
        <f>IFERROR(VLOOKUP($A660,ItemsImport!$A$2:$AD970,MATCH("Description",ItemsImport!$A$1:$AE$1,0),FALSE),"")</f>
        <v/>
      </c>
      <c r="C660" s="1" t="str">
        <f>IFERROR(VLOOKUP($A660,ItemsImport!$A$2:$AD970,MATCH("Type",ItemsImport!$A$1:$AE$1,0),FALSE),"")</f>
        <v/>
      </c>
      <c r="H660" s="4" t="b">
        <v>0</v>
      </c>
      <c r="I660" s="1" t="str">
        <f>IFERROR(VLOOKUP($A660,ItemsImport!$A$2:$AD970,MATCH("ItemLoc",ItemsImport!$A$1:$AE$1,0),FALSE),"")</f>
        <v/>
      </c>
      <c r="W660" s="1"/>
      <c r="X660" s="1" t="str">
        <f t="shared" si="1"/>
        <v/>
      </c>
    </row>
    <row r="661">
      <c r="A661" s="1"/>
      <c r="B661" s="1" t="str">
        <f>IFERROR(VLOOKUP($A661,ItemsImport!$A$2:$AD970,MATCH("Description",ItemsImport!$A$1:$AE$1,0),FALSE),"")</f>
        <v/>
      </c>
      <c r="C661" s="1" t="str">
        <f>IFERROR(VLOOKUP($A661,ItemsImport!$A$2:$AD970,MATCH("Type",ItemsImport!$A$1:$AE$1,0),FALSE),"")</f>
        <v/>
      </c>
      <c r="H661" s="4" t="b">
        <v>0</v>
      </c>
      <c r="I661" s="1" t="str">
        <f>IFERROR(VLOOKUP($A661,ItemsImport!$A$2:$AD970,MATCH("ItemLoc",ItemsImport!$A$1:$AE$1,0),FALSE),"")</f>
        <v/>
      </c>
      <c r="W661" s="1"/>
      <c r="X661" s="1" t="str">
        <f t="shared" si="1"/>
        <v/>
      </c>
    </row>
    <row r="662">
      <c r="A662" s="1"/>
      <c r="B662" s="1" t="str">
        <f>IFERROR(VLOOKUP($A662,ItemsImport!$A$2:$AD970,MATCH("Description",ItemsImport!$A$1:$AE$1,0),FALSE),"")</f>
        <v/>
      </c>
      <c r="C662" s="1" t="str">
        <f>IFERROR(VLOOKUP($A662,ItemsImport!$A$2:$AD970,MATCH("Type",ItemsImport!$A$1:$AE$1,0),FALSE),"")</f>
        <v/>
      </c>
      <c r="H662" s="4" t="b">
        <v>0</v>
      </c>
      <c r="I662" s="1" t="str">
        <f>IFERROR(VLOOKUP($A662,ItemsImport!$A$2:$AD970,MATCH("ItemLoc",ItemsImport!$A$1:$AE$1,0),FALSE),"")</f>
        <v/>
      </c>
      <c r="W662" s="1"/>
      <c r="X662" s="1" t="str">
        <f t="shared" si="1"/>
        <v/>
      </c>
    </row>
    <row r="663">
      <c r="A663" s="1"/>
      <c r="B663" s="1" t="str">
        <f>IFERROR(VLOOKUP($A663,ItemsImport!$A$2:$AD970,MATCH("Description",ItemsImport!$A$1:$AE$1,0),FALSE),"")</f>
        <v/>
      </c>
      <c r="C663" s="1" t="str">
        <f>IFERROR(VLOOKUP($A663,ItemsImport!$A$2:$AD970,MATCH("Type",ItemsImport!$A$1:$AE$1,0),FALSE),"")</f>
        <v/>
      </c>
      <c r="H663" s="4" t="b">
        <v>0</v>
      </c>
      <c r="I663" s="1" t="str">
        <f>IFERROR(VLOOKUP($A663,ItemsImport!$A$2:$AD970,MATCH("ItemLoc",ItemsImport!$A$1:$AE$1,0),FALSE),"")</f>
        <v/>
      </c>
      <c r="W663" s="1"/>
      <c r="X663" s="1" t="str">
        <f t="shared" si="1"/>
        <v/>
      </c>
    </row>
    <row r="664">
      <c r="A664" s="1"/>
      <c r="B664" s="1" t="str">
        <f>IFERROR(VLOOKUP($A664,ItemsImport!$A$2:$AD970,MATCH("Description",ItemsImport!$A$1:$AE$1,0),FALSE),"")</f>
        <v/>
      </c>
      <c r="C664" s="1" t="str">
        <f>IFERROR(VLOOKUP($A664,ItemsImport!$A$2:$AD970,MATCH("Type",ItemsImport!$A$1:$AE$1,0),FALSE),"")</f>
        <v/>
      </c>
      <c r="H664" s="4" t="b">
        <v>0</v>
      </c>
      <c r="I664" s="1" t="str">
        <f>IFERROR(VLOOKUP($A664,ItemsImport!$A$2:$AD970,MATCH("ItemLoc",ItemsImport!$A$1:$AE$1,0),FALSE),"")</f>
        <v/>
      </c>
      <c r="W664" s="1"/>
      <c r="X664" s="1" t="str">
        <f t="shared" si="1"/>
        <v/>
      </c>
    </row>
    <row r="665">
      <c r="A665" s="1"/>
      <c r="B665" s="1" t="str">
        <f>IFERROR(VLOOKUP($A665,ItemsImport!$A$2:$AD970,MATCH("Description",ItemsImport!$A$1:$AE$1,0),FALSE),"")</f>
        <v/>
      </c>
      <c r="C665" s="1" t="str">
        <f>IFERROR(VLOOKUP($A665,ItemsImport!$A$2:$AD970,MATCH("Type",ItemsImport!$A$1:$AE$1,0),FALSE),"")</f>
        <v/>
      </c>
      <c r="H665" s="4" t="b">
        <v>0</v>
      </c>
      <c r="I665" s="1" t="str">
        <f>IFERROR(VLOOKUP($A665,ItemsImport!$A$2:$AD970,MATCH("ItemLoc",ItemsImport!$A$1:$AE$1,0),FALSE),"")</f>
        <v/>
      </c>
      <c r="W665" s="1"/>
      <c r="X665" s="1" t="str">
        <f t="shared" si="1"/>
        <v/>
      </c>
    </row>
    <row r="666">
      <c r="A666" s="1"/>
      <c r="B666" s="1" t="str">
        <f>IFERROR(VLOOKUP($A666,ItemsImport!$A$2:$AD970,MATCH("Description",ItemsImport!$A$1:$AE$1,0),FALSE),"")</f>
        <v/>
      </c>
      <c r="C666" s="1" t="str">
        <f>IFERROR(VLOOKUP($A666,ItemsImport!$A$2:$AD970,MATCH("Type",ItemsImport!$A$1:$AE$1,0),FALSE),"")</f>
        <v/>
      </c>
      <c r="H666" s="4" t="b">
        <v>0</v>
      </c>
      <c r="I666" s="1" t="str">
        <f>IFERROR(VLOOKUP($A666,ItemsImport!$A$2:$AD970,MATCH("ItemLoc",ItemsImport!$A$1:$AE$1,0),FALSE),"")</f>
        <v/>
      </c>
      <c r="W666" s="1"/>
      <c r="X666" s="1" t="str">
        <f t="shared" si="1"/>
        <v/>
      </c>
    </row>
    <row r="667">
      <c r="A667" s="1"/>
      <c r="B667" s="1" t="str">
        <f>IFERROR(VLOOKUP($A667,ItemsImport!$A$2:$AD970,MATCH("Description",ItemsImport!$A$1:$AE$1,0),FALSE),"")</f>
        <v/>
      </c>
      <c r="C667" s="1" t="str">
        <f>IFERROR(VLOOKUP($A667,ItemsImport!$A$2:$AD970,MATCH("Type",ItemsImport!$A$1:$AE$1,0),FALSE),"")</f>
        <v/>
      </c>
      <c r="H667" s="4" t="b">
        <v>0</v>
      </c>
      <c r="I667" s="1" t="str">
        <f>IFERROR(VLOOKUP($A667,ItemsImport!$A$2:$AD970,MATCH("ItemLoc",ItemsImport!$A$1:$AE$1,0),FALSE),"")</f>
        <v/>
      </c>
      <c r="W667" s="1"/>
      <c r="X667" s="1" t="str">
        <f t="shared" si="1"/>
        <v/>
      </c>
    </row>
    <row r="668">
      <c r="A668" s="1"/>
      <c r="B668" s="1" t="str">
        <f>IFERROR(VLOOKUP($A668,ItemsImport!$A$2:$AD970,MATCH("Description",ItemsImport!$A$1:$AE$1,0),FALSE),"")</f>
        <v/>
      </c>
      <c r="C668" s="1" t="str">
        <f>IFERROR(VLOOKUP($A668,ItemsImport!$A$2:$AD970,MATCH("Type",ItemsImport!$A$1:$AE$1,0),FALSE),"")</f>
        <v/>
      </c>
      <c r="H668" s="4" t="b">
        <v>0</v>
      </c>
      <c r="I668" s="1" t="str">
        <f>IFERROR(VLOOKUP($A668,ItemsImport!$A$2:$AD970,MATCH("ItemLoc",ItemsImport!$A$1:$AE$1,0),FALSE),"")</f>
        <v/>
      </c>
      <c r="W668" s="1"/>
      <c r="X668" s="1" t="str">
        <f t="shared" si="1"/>
        <v/>
      </c>
    </row>
    <row r="669">
      <c r="A669" s="1"/>
      <c r="B669" s="1" t="str">
        <f>IFERROR(VLOOKUP($A669,ItemsImport!$A$2:$AD970,MATCH("Description",ItemsImport!$A$1:$AE$1,0),FALSE),"")</f>
        <v/>
      </c>
      <c r="C669" s="1" t="str">
        <f>IFERROR(VLOOKUP($A669,ItemsImport!$A$2:$AD970,MATCH("Type",ItemsImport!$A$1:$AE$1,0),FALSE),"")</f>
        <v/>
      </c>
      <c r="H669" s="4" t="b">
        <v>0</v>
      </c>
      <c r="I669" s="1" t="str">
        <f>IFERROR(VLOOKUP($A669,ItemsImport!$A$2:$AD970,MATCH("ItemLoc",ItemsImport!$A$1:$AE$1,0),FALSE),"")</f>
        <v/>
      </c>
      <c r="W669" s="1"/>
      <c r="X669" s="1" t="str">
        <f t="shared" si="1"/>
        <v/>
      </c>
    </row>
    <row r="670">
      <c r="A670" s="1"/>
      <c r="B670" s="1" t="str">
        <f>IFERROR(VLOOKUP($A670,ItemsImport!$A$2:$AD970,MATCH("Description",ItemsImport!$A$1:$AE$1,0),FALSE),"")</f>
        <v/>
      </c>
      <c r="C670" s="1" t="str">
        <f>IFERROR(VLOOKUP($A670,ItemsImport!$A$2:$AD970,MATCH("Type",ItemsImport!$A$1:$AE$1,0),FALSE),"")</f>
        <v/>
      </c>
      <c r="H670" s="4" t="b">
        <v>0</v>
      </c>
      <c r="I670" s="1" t="str">
        <f>IFERROR(VLOOKUP($A670,ItemsImport!$A$2:$AD970,MATCH("ItemLoc",ItemsImport!$A$1:$AE$1,0),FALSE),"")</f>
        <v/>
      </c>
      <c r="W670" s="1"/>
      <c r="X670" s="1" t="str">
        <f t="shared" si="1"/>
        <v/>
      </c>
    </row>
    <row r="671">
      <c r="A671" s="1"/>
      <c r="B671" s="1" t="str">
        <f>IFERROR(VLOOKUP($A671,ItemsImport!$A$2:$AD970,MATCH("Description",ItemsImport!$A$1:$AE$1,0),FALSE),"")</f>
        <v/>
      </c>
      <c r="C671" s="1" t="str">
        <f>IFERROR(VLOOKUP($A671,ItemsImport!$A$2:$AD970,MATCH("Type",ItemsImport!$A$1:$AE$1,0),FALSE),"")</f>
        <v/>
      </c>
      <c r="H671" s="4" t="b">
        <v>0</v>
      </c>
      <c r="I671" s="1" t="str">
        <f>IFERROR(VLOOKUP($A671,ItemsImport!$A$2:$AD970,MATCH("ItemLoc",ItemsImport!$A$1:$AE$1,0),FALSE),"")</f>
        <v/>
      </c>
      <c r="W671" s="1"/>
      <c r="X671" s="1" t="str">
        <f t="shared" si="1"/>
        <v/>
      </c>
    </row>
    <row r="672">
      <c r="A672" s="1"/>
      <c r="B672" s="1" t="str">
        <f>IFERROR(VLOOKUP($A672,ItemsImport!$A$2:$AD970,MATCH("Description",ItemsImport!$A$1:$AE$1,0),FALSE),"")</f>
        <v/>
      </c>
      <c r="C672" s="1" t="str">
        <f>IFERROR(VLOOKUP($A672,ItemsImport!$A$2:$AD970,MATCH("Type",ItemsImport!$A$1:$AE$1,0),FALSE),"")</f>
        <v/>
      </c>
      <c r="H672" s="4" t="b">
        <v>0</v>
      </c>
      <c r="I672" s="1" t="str">
        <f>IFERROR(VLOOKUP($A672,ItemsImport!$A$2:$AD970,MATCH("ItemLoc",ItemsImport!$A$1:$AE$1,0),FALSE),"")</f>
        <v/>
      </c>
      <c r="W672" s="1"/>
      <c r="X672" s="1" t="str">
        <f t="shared" si="1"/>
        <v/>
      </c>
    </row>
    <row r="673">
      <c r="A673" s="1"/>
      <c r="B673" s="1" t="str">
        <f>IFERROR(VLOOKUP($A673,ItemsImport!$A$2:$AD970,MATCH("Description",ItemsImport!$A$1:$AE$1,0),FALSE),"")</f>
        <v/>
      </c>
      <c r="C673" s="1" t="str">
        <f>IFERROR(VLOOKUP($A673,ItemsImport!$A$2:$AD970,MATCH("Type",ItemsImport!$A$1:$AE$1,0),FALSE),"")</f>
        <v/>
      </c>
      <c r="H673" s="4" t="b">
        <v>0</v>
      </c>
      <c r="I673" s="1" t="str">
        <f>IFERROR(VLOOKUP($A673,ItemsImport!$A$2:$AD970,MATCH("ItemLoc",ItemsImport!$A$1:$AE$1,0),FALSE),"")</f>
        <v/>
      </c>
      <c r="W673" s="1"/>
      <c r="X673" s="1" t="str">
        <f t="shared" si="1"/>
        <v/>
      </c>
    </row>
    <row r="674">
      <c r="A674" s="1"/>
      <c r="B674" s="1" t="str">
        <f>IFERROR(VLOOKUP($A674,ItemsImport!$A$2:$AD970,MATCH("Description",ItemsImport!$A$1:$AE$1,0),FALSE),"")</f>
        <v/>
      </c>
      <c r="C674" s="1" t="str">
        <f>IFERROR(VLOOKUP($A674,ItemsImport!$A$2:$AD970,MATCH("Type",ItemsImport!$A$1:$AE$1,0),FALSE),"")</f>
        <v/>
      </c>
      <c r="H674" s="4" t="b">
        <v>0</v>
      </c>
      <c r="I674" s="1" t="str">
        <f>IFERROR(VLOOKUP($A674,ItemsImport!$A$2:$AD970,MATCH("ItemLoc",ItemsImport!$A$1:$AE$1,0),FALSE),"")</f>
        <v/>
      </c>
      <c r="W674" s="1"/>
      <c r="X674" s="1" t="str">
        <f t="shared" si="1"/>
        <v/>
      </c>
    </row>
    <row r="675">
      <c r="A675" s="1"/>
      <c r="B675" s="1" t="str">
        <f>IFERROR(VLOOKUP($A675,ItemsImport!$A$2:$AD970,MATCH("Description",ItemsImport!$A$1:$AE$1,0),FALSE),"")</f>
        <v/>
      </c>
      <c r="C675" s="1" t="str">
        <f>IFERROR(VLOOKUP($A675,ItemsImport!$A$2:$AD970,MATCH("Type",ItemsImport!$A$1:$AE$1,0),FALSE),"")</f>
        <v/>
      </c>
      <c r="H675" s="4" t="b">
        <v>0</v>
      </c>
      <c r="I675" s="1" t="str">
        <f>IFERROR(VLOOKUP($A675,ItemsImport!$A$2:$AD970,MATCH("ItemLoc",ItemsImport!$A$1:$AE$1,0),FALSE),"")</f>
        <v/>
      </c>
      <c r="W675" s="1"/>
      <c r="X675" s="1" t="str">
        <f t="shared" si="1"/>
        <v/>
      </c>
    </row>
    <row r="676">
      <c r="A676" s="1"/>
      <c r="B676" s="1" t="str">
        <f>IFERROR(VLOOKUP($A676,ItemsImport!$A$2:$AD970,MATCH("Description",ItemsImport!$A$1:$AE$1,0),FALSE),"")</f>
        <v/>
      </c>
      <c r="C676" s="1" t="str">
        <f>IFERROR(VLOOKUP($A676,ItemsImport!$A$2:$AD970,MATCH("Type",ItemsImport!$A$1:$AE$1,0),FALSE),"")</f>
        <v/>
      </c>
      <c r="H676" s="4" t="b">
        <v>0</v>
      </c>
      <c r="I676" s="1" t="str">
        <f>IFERROR(VLOOKUP($A676,ItemsImport!$A$2:$AD970,MATCH("ItemLoc",ItemsImport!$A$1:$AE$1,0),FALSE),"")</f>
        <v/>
      </c>
      <c r="W676" s="1"/>
      <c r="X676" s="1" t="str">
        <f t="shared" si="1"/>
        <v/>
      </c>
    </row>
    <row r="677">
      <c r="A677" s="1"/>
      <c r="B677" s="1" t="str">
        <f>IFERROR(VLOOKUP($A677,ItemsImport!$A$2:$AD970,MATCH("Description",ItemsImport!$A$1:$AE$1,0),FALSE),"")</f>
        <v/>
      </c>
      <c r="C677" s="1" t="str">
        <f>IFERROR(VLOOKUP($A677,ItemsImport!$A$2:$AD970,MATCH("Type",ItemsImport!$A$1:$AE$1,0),FALSE),"")</f>
        <v/>
      </c>
      <c r="H677" s="4" t="b">
        <v>0</v>
      </c>
      <c r="I677" s="1" t="str">
        <f>IFERROR(VLOOKUP($A677,ItemsImport!$A$2:$AD970,MATCH("ItemLoc",ItemsImport!$A$1:$AE$1,0),FALSE),"")</f>
        <v/>
      </c>
      <c r="W677" s="1"/>
      <c r="X677" s="1" t="str">
        <f t="shared" si="1"/>
        <v/>
      </c>
    </row>
    <row r="678">
      <c r="A678" s="1"/>
      <c r="B678" s="1" t="str">
        <f>IFERROR(VLOOKUP($A678,ItemsImport!$A$2:$AD970,MATCH("Description",ItemsImport!$A$1:$AE$1,0),FALSE),"")</f>
        <v/>
      </c>
      <c r="C678" s="1" t="str">
        <f>IFERROR(VLOOKUP($A678,ItemsImport!$A$2:$AD970,MATCH("Type",ItemsImport!$A$1:$AE$1,0),FALSE),"")</f>
        <v/>
      </c>
      <c r="H678" s="4" t="b">
        <v>0</v>
      </c>
      <c r="I678" s="1" t="str">
        <f>IFERROR(VLOOKUP($A678,ItemsImport!$A$2:$AD970,MATCH("ItemLoc",ItemsImport!$A$1:$AE$1,0),FALSE),"")</f>
        <v/>
      </c>
      <c r="W678" s="1"/>
      <c r="X678" s="1" t="str">
        <f t="shared" si="1"/>
        <v/>
      </c>
    </row>
    <row r="679">
      <c r="A679" s="1"/>
      <c r="B679" s="1" t="str">
        <f>IFERROR(VLOOKUP($A679,ItemsImport!$A$2:$AD970,MATCH("Description",ItemsImport!$A$1:$AE$1,0),FALSE),"")</f>
        <v/>
      </c>
      <c r="C679" s="1" t="str">
        <f>IFERROR(VLOOKUP($A679,ItemsImport!$A$2:$AD970,MATCH("Type",ItemsImport!$A$1:$AE$1,0),FALSE),"")</f>
        <v/>
      </c>
      <c r="H679" s="4" t="b">
        <v>0</v>
      </c>
      <c r="I679" s="1" t="str">
        <f>IFERROR(VLOOKUP($A679,ItemsImport!$A$2:$AD970,MATCH("ItemLoc",ItemsImport!$A$1:$AE$1,0),FALSE),"")</f>
        <v/>
      </c>
      <c r="W679" s="1"/>
      <c r="X679" s="1" t="str">
        <f t="shared" si="1"/>
        <v/>
      </c>
    </row>
    <row r="680">
      <c r="A680" s="1"/>
      <c r="B680" s="1" t="str">
        <f>IFERROR(VLOOKUP($A680,ItemsImport!$A$2:$AD970,MATCH("Description",ItemsImport!$A$1:$AE$1,0),FALSE),"")</f>
        <v/>
      </c>
      <c r="C680" s="1" t="str">
        <f>IFERROR(VLOOKUP($A680,ItemsImport!$A$2:$AD970,MATCH("Type",ItemsImport!$A$1:$AE$1,0),FALSE),"")</f>
        <v/>
      </c>
      <c r="H680" s="4" t="b">
        <v>0</v>
      </c>
      <c r="I680" s="1" t="str">
        <f>IFERROR(VLOOKUP($A680,ItemsImport!$A$2:$AD970,MATCH("ItemLoc",ItemsImport!$A$1:$AE$1,0),FALSE),"")</f>
        <v/>
      </c>
      <c r="W680" s="1"/>
      <c r="X680" s="1" t="str">
        <f t="shared" si="1"/>
        <v/>
      </c>
    </row>
    <row r="681">
      <c r="A681" s="1"/>
      <c r="B681" s="1" t="str">
        <f>IFERROR(VLOOKUP($A681,ItemsImport!$A$2:$AD970,MATCH("Description",ItemsImport!$A$1:$AE$1,0),FALSE),"")</f>
        <v/>
      </c>
      <c r="C681" s="1" t="str">
        <f>IFERROR(VLOOKUP($A681,ItemsImport!$A$2:$AD970,MATCH("Type",ItemsImport!$A$1:$AE$1,0),FALSE),"")</f>
        <v/>
      </c>
      <c r="H681" s="4" t="b">
        <v>0</v>
      </c>
      <c r="I681" s="1" t="str">
        <f>IFERROR(VLOOKUP($A681,ItemsImport!$A$2:$AD970,MATCH("ItemLoc",ItemsImport!$A$1:$AE$1,0),FALSE),"")</f>
        <v/>
      </c>
      <c r="W681" s="1"/>
      <c r="X681" s="1" t="str">
        <f t="shared" si="1"/>
        <v/>
      </c>
    </row>
    <row r="682">
      <c r="A682" s="1"/>
      <c r="B682" s="1" t="str">
        <f>IFERROR(VLOOKUP($A682,ItemsImport!$A$2:$AD970,MATCH("Description",ItemsImport!$A$1:$AE$1,0),FALSE),"")</f>
        <v/>
      </c>
      <c r="C682" s="1" t="str">
        <f>IFERROR(VLOOKUP($A682,ItemsImport!$A$2:$AD970,MATCH("Type",ItemsImport!$A$1:$AE$1,0),FALSE),"")</f>
        <v/>
      </c>
      <c r="H682" s="4" t="b">
        <v>0</v>
      </c>
      <c r="I682" s="1" t="str">
        <f>IFERROR(VLOOKUP($A682,ItemsImport!$A$2:$AD970,MATCH("ItemLoc",ItemsImport!$A$1:$AE$1,0),FALSE),"")</f>
        <v/>
      </c>
      <c r="W682" s="1"/>
      <c r="X682" s="1" t="str">
        <f t="shared" si="1"/>
        <v/>
      </c>
    </row>
    <row r="683">
      <c r="A683" s="1"/>
      <c r="B683" s="1" t="str">
        <f>IFERROR(VLOOKUP($A683,ItemsImport!$A$2:$AD970,MATCH("Description",ItemsImport!$A$1:$AE$1,0),FALSE),"")</f>
        <v/>
      </c>
      <c r="C683" s="1" t="str">
        <f>IFERROR(VLOOKUP($A683,ItemsImport!$A$2:$AD970,MATCH("Type",ItemsImport!$A$1:$AE$1,0),FALSE),"")</f>
        <v/>
      </c>
      <c r="H683" s="4" t="b">
        <v>0</v>
      </c>
      <c r="I683" s="1" t="str">
        <f>IFERROR(VLOOKUP($A683,ItemsImport!$A$2:$AD970,MATCH("ItemLoc",ItemsImport!$A$1:$AE$1,0),FALSE),"")</f>
        <v/>
      </c>
      <c r="W683" s="1"/>
      <c r="X683" s="1" t="str">
        <f t="shared" si="1"/>
        <v/>
      </c>
    </row>
    <row r="684">
      <c r="A684" s="1"/>
      <c r="B684" s="1" t="str">
        <f>IFERROR(VLOOKUP($A684,ItemsImport!$A$2:$AD970,MATCH("Description",ItemsImport!$A$1:$AE$1,0),FALSE),"")</f>
        <v/>
      </c>
      <c r="C684" s="1" t="str">
        <f>IFERROR(VLOOKUP($A684,ItemsImport!$A$2:$AD970,MATCH("Type",ItemsImport!$A$1:$AE$1,0),FALSE),"")</f>
        <v/>
      </c>
      <c r="H684" s="4" t="b">
        <v>0</v>
      </c>
      <c r="I684" s="1" t="str">
        <f>IFERROR(VLOOKUP($A684,ItemsImport!$A$2:$AD970,MATCH("ItemLoc",ItemsImport!$A$1:$AE$1,0),FALSE),"")</f>
        <v/>
      </c>
      <c r="W684" s="1"/>
      <c r="X684" s="1" t="str">
        <f t="shared" si="1"/>
        <v/>
      </c>
    </row>
    <row r="685">
      <c r="A685" s="1"/>
      <c r="B685" s="1" t="str">
        <f>IFERROR(VLOOKUP($A685,ItemsImport!$A$2:$AD970,MATCH("Description",ItemsImport!$A$1:$AE$1,0),FALSE),"")</f>
        <v/>
      </c>
      <c r="C685" s="1" t="str">
        <f>IFERROR(VLOOKUP($A685,ItemsImport!$A$2:$AD970,MATCH("Type",ItemsImport!$A$1:$AE$1,0),FALSE),"")</f>
        <v/>
      </c>
      <c r="H685" s="4" t="b">
        <v>0</v>
      </c>
      <c r="I685" s="1" t="str">
        <f>IFERROR(VLOOKUP($A685,ItemsImport!$A$2:$AD970,MATCH("ItemLoc",ItemsImport!$A$1:$AE$1,0),FALSE),"")</f>
        <v/>
      </c>
      <c r="W685" s="1"/>
      <c r="X685" s="1" t="str">
        <f t="shared" si="1"/>
        <v/>
      </c>
    </row>
    <row r="686">
      <c r="A686" s="1"/>
      <c r="B686" s="1" t="str">
        <f>IFERROR(VLOOKUP($A686,ItemsImport!$A$2:$AD970,MATCH("Description",ItemsImport!$A$1:$AE$1,0),FALSE),"")</f>
        <v/>
      </c>
      <c r="C686" s="1" t="str">
        <f>IFERROR(VLOOKUP($A686,ItemsImport!$A$2:$AD970,MATCH("Type",ItemsImport!$A$1:$AE$1,0),FALSE),"")</f>
        <v/>
      </c>
      <c r="H686" s="4" t="b">
        <v>0</v>
      </c>
      <c r="I686" s="1" t="str">
        <f>IFERROR(VLOOKUP($A686,ItemsImport!$A$2:$AD970,MATCH("ItemLoc",ItemsImport!$A$1:$AE$1,0),FALSE),"")</f>
        <v/>
      </c>
      <c r="W686" s="1"/>
      <c r="X686" s="1" t="str">
        <f t="shared" si="1"/>
        <v/>
      </c>
    </row>
    <row r="687">
      <c r="A687" s="1"/>
      <c r="B687" s="1" t="str">
        <f>IFERROR(VLOOKUP($A687,ItemsImport!$A$2:$AD970,MATCH("Description",ItemsImport!$A$1:$AE$1,0),FALSE),"")</f>
        <v/>
      </c>
      <c r="C687" s="1" t="str">
        <f>IFERROR(VLOOKUP($A687,ItemsImport!$A$2:$AD970,MATCH("Type",ItemsImport!$A$1:$AE$1,0),FALSE),"")</f>
        <v/>
      </c>
      <c r="H687" s="4" t="b">
        <v>0</v>
      </c>
      <c r="I687" s="1" t="str">
        <f>IFERROR(VLOOKUP($A687,ItemsImport!$A$2:$AD970,MATCH("ItemLoc",ItemsImport!$A$1:$AE$1,0),FALSE),"")</f>
        <v/>
      </c>
      <c r="W687" s="1"/>
      <c r="X687" s="1" t="str">
        <f t="shared" si="1"/>
        <v/>
      </c>
    </row>
    <row r="688">
      <c r="A688" s="1"/>
      <c r="B688" s="1" t="str">
        <f>IFERROR(VLOOKUP($A688,ItemsImport!$A$2:$AD970,MATCH("Description",ItemsImport!$A$1:$AE$1,0),FALSE),"")</f>
        <v/>
      </c>
      <c r="C688" s="1" t="str">
        <f>IFERROR(VLOOKUP($A688,ItemsImport!$A$2:$AD970,MATCH("Type",ItemsImport!$A$1:$AE$1,0),FALSE),"")</f>
        <v/>
      </c>
      <c r="H688" s="4" t="b">
        <v>0</v>
      </c>
      <c r="I688" s="1" t="str">
        <f>IFERROR(VLOOKUP($A688,ItemsImport!$A$2:$AD970,MATCH("ItemLoc",ItemsImport!$A$1:$AE$1,0),FALSE),"")</f>
        <v/>
      </c>
      <c r="W688" s="1"/>
      <c r="X688" s="1" t="str">
        <f t="shared" si="1"/>
        <v/>
      </c>
    </row>
    <row r="689">
      <c r="A689" s="1"/>
      <c r="B689" s="1" t="str">
        <f>IFERROR(VLOOKUP($A689,ItemsImport!$A$2:$AD970,MATCH("Description",ItemsImport!$A$1:$AE$1,0),FALSE),"")</f>
        <v/>
      </c>
      <c r="C689" s="1" t="str">
        <f>IFERROR(VLOOKUP($A689,ItemsImport!$A$2:$AD970,MATCH("Type",ItemsImport!$A$1:$AE$1,0),FALSE),"")</f>
        <v/>
      </c>
      <c r="H689" s="4" t="b">
        <v>0</v>
      </c>
      <c r="I689" s="1" t="str">
        <f>IFERROR(VLOOKUP($A689,ItemsImport!$A$2:$AD970,MATCH("ItemLoc",ItemsImport!$A$1:$AE$1,0),FALSE),"")</f>
        <v/>
      </c>
      <c r="W689" s="1"/>
      <c r="X689" s="1" t="str">
        <f t="shared" si="1"/>
        <v/>
      </c>
    </row>
    <row r="690">
      <c r="A690" s="1"/>
      <c r="B690" s="1" t="str">
        <f>IFERROR(VLOOKUP($A690,ItemsImport!$A$2:$AD970,MATCH("Description",ItemsImport!$A$1:$AE$1,0),FALSE),"")</f>
        <v/>
      </c>
      <c r="C690" s="1" t="str">
        <f>IFERROR(VLOOKUP($A690,ItemsImport!$A$2:$AD970,MATCH("Type",ItemsImport!$A$1:$AE$1,0),FALSE),"")</f>
        <v/>
      </c>
      <c r="H690" s="4" t="b">
        <v>0</v>
      </c>
      <c r="I690" s="1" t="str">
        <f>IFERROR(VLOOKUP($A690,ItemsImport!$A$2:$AD970,MATCH("ItemLoc",ItemsImport!$A$1:$AE$1,0),FALSE),"")</f>
        <v/>
      </c>
      <c r="W690" s="1"/>
      <c r="X690" s="1" t="str">
        <f t="shared" si="1"/>
        <v/>
      </c>
    </row>
    <row r="691">
      <c r="A691" s="1"/>
      <c r="B691" s="1" t="str">
        <f>IFERROR(VLOOKUP($A691,ItemsImport!$A$2:$AD970,MATCH("Description",ItemsImport!$A$1:$AE$1,0),FALSE),"")</f>
        <v/>
      </c>
      <c r="C691" s="1" t="str">
        <f>IFERROR(VLOOKUP($A691,ItemsImport!$A$2:$AD970,MATCH("Type",ItemsImport!$A$1:$AE$1,0),FALSE),"")</f>
        <v/>
      </c>
      <c r="H691" s="4" t="b">
        <v>0</v>
      </c>
      <c r="I691" s="1" t="str">
        <f>IFERROR(VLOOKUP($A691,ItemsImport!$A$2:$AD970,MATCH("ItemLoc",ItemsImport!$A$1:$AE$1,0),FALSE),"")</f>
        <v/>
      </c>
      <c r="W691" s="1"/>
      <c r="X691" s="1" t="str">
        <f t="shared" si="1"/>
        <v/>
      </c>
    </row>
    <row r="692">
      <c r="A692" s="1"/>
      <c r="B692" s="1" t="str">
        <f>IFERROR(VLOOKUP($A692,ItemsImport!$A$2:$AD970,MATCH("Description",ItemsImport!$A$1:$AE$1,0),FALSE),"")</f>
        <v/>
      </c>
      <c r="C692" s="1" t="str">
        <f>IFERROR(VLOOKUP($A692,ItemsImport!$A$2:$AD970,MATCH("Type",ItemsImport!$A$1:$AE$1,0),FALSE),"")</f>
        <v/>
      </c>
      <c r="H692" s="4" t="b">
        <v>0</v>
      </c>
      <c r="I692" s="1" t="str">
        <f>IFERROR(VLOOKUP($A692,ItemsImport!$A$2:$AD970,MATCH("ItemLoc",ItemsImport!$A$1:$AE$1,0),FALSE),"")</f>
        <v/>
      </c>
      <c r="W692" s="1"/>
      <c r="X692" s="1" t="str">
        <f t="shared" si="1"/>
        <v/>
      </c>
    </row>
    <row r="693">
      <c r="A693" s="1"/>
      <c r="B693" s="1" t="str">
        <f>IFERROR(VLOOKUP($A693,ItemsImport!$A$2:$AD970,MATCH("Description",ItemsImport!$A$1:$AE$1,0),FALSE),"")</f>
        <v/>
      </c>
      <c r="C693" s="1" t="str">
        <f>IFERROR(VLOOKUP($A693,ItemsImport!$A$2:$AD970,MATCH("Type",ItemsImport!$A$1:$AE$1,0),FALSE),"")</f>
        <v/>
      </c>
      <c r="H693" s="4" t="b">
        <v>0</v>
      </c>
      <c r="I693" s="1" t="str">
        <f>IFERROR(VLOOKUP($A693,ItemsImport!$A$2:$AD970,MATCH("ItemLoc",ItemsImport!$A$1:$AE$1,0),FALSE),"")</f>
        <v/>
      </c>
      <c r="W693" s="1"/>
      <c r="X693" s="1" t="str">
        <f t="shared" si="1"/>
        <v/>
      </c>
    </row>
    <row r="694">
      <c r="A694" s="1"/>
      <c r="B694" s="1" t="str">
        <f>IFERROR(VLOOKUP($A694,ItemsImport!$A$2:$AD970,MATCH("Description",ItemsImport!$A$1:$AE$1,0),FALSE),"")</f>
        <v/>
      </c>
      <c r="C694" s="1" t="str">
        <f>IFERROR(VLOOKUP($A694,ItemsImport!$A$2:$AD970,MATCH("Type",ItemsImport!$A$1:$AE$1,0),FALSE),"")</f>
        <v/>
      </c>
      <c r="H694" s="4" t="b">
        <v>0</v>
      </c>
      <c r="I694" s="1" t="str">
        <f>IFERROR(VLOOKUP($A694,ItemsImport!$A$2:$AD970,MATCH("ItemLoc",ItemsImport!$A$1:$AE$1,0),FALSE),"")</f>
        <v/>
      </c>
      <c r="W694" s="1"/>
      <c r="X694" s="1" t="str">
        <f t="shared" si="1"/>
        <v/>
      </c>
    </row>
    <row r="695">
      <c r="A695" s="1"/>
      <c r="B695" s="1" t="str">
        <f>IFERROR(VLOOKUP($A695,ItemsImport!$A$2:$AD970,MATCH("Description",ItemsImport!$A$1:$AE$1,0),FALSE),"")</f>
        <v/>
      </c>
      <c r="C695" s="1" t="str">
        <f>IFERROR(VLOOKUP($A695,ItemsImport!$A$2:$AD970,MATCH("Type",ItemsImport!$A$1:$AE$1,0),FALSE),"")</f>
        <v/>
      </c>
      <c r="H695" s="4" t="b">
        <v>0</v>
      </c>
      <c r="I695" s="1" t="str">
        <f>IFERROR(VLOOKUP($A695,ItemsImport!$A$2:$AD970,MATCH("ItemLoc",ItemsImport!$A$1:$AE$1,0),FALSE),"")</f>
        <v/>
      </c>
      <c r="W695" s="1"/>
      <c r="X695" s="1" t="str">
        <f t="shared" si="1"/>
        <v/>
      </c>
    </row>
    <row r="696">
      <c r="A696" s="1"/>
      <c r="B696" s="1" t="str">
        <f>IFERROR(VLOOKUP($A696,ItemsImport!$A$2:$AD970,MATCH("Description",ItemsImport!$A$1:$AE$1,0),FALSE),"")</f>
        <v/>
      </c>
      <c r="C696" s="1" t="str">
        <f>IFERROR(VLOOKUP($A696,ItemsImport!$A$2:$AD970,MATCH("Type",ItemsImport!$A$1:$AE$1,0),FALSE),"")</f>
        <v/>
      </c>
      <c r="H696" s="4" t="b">
        <v>0</v>
      </c>
      <c r="I696" s="1" t="str">
        <f>IFERROR(VLOOKUP($A696,ItemsImport!$A$2:$AD970,MATCH("ItemLoc",ItemsImport!$A$1:$AE$1,0),FALSE),"")</f>
        <v/>
      </c>
      <c r="W696" s="1"/>
      <c r="X696" s="1" t="str">
        <f t="shared" si="1"/>
        <v/>
      </c>
    </row>
    <row r="697">
      <c r="A697" s="1"/>
      <c r="B697" s="1" t="str">
        <f>IFERROR(VLOOKUP($A697,ItemsImport!$A$2:$AD970,MATCH("Description",ItemsImport!$A$1:$AE$1,0),FALSE),"")</f>
        <v/>
      </c>
      <c r="C697" s="1" t="str">
        <f>IFERROR(VLOOKUP($A697,ItemsImport!$A$2:$AD970,MATCH("Type",ItemsImport!$A$1:$AE$1,0),FALSE),"")</f>
        <v/>
      </c>
      <c r="H697" s="4" t="b">
        <v>0</v>
      </c>
      <c r="I697" s="1" t="str">
        <f>IFERROR(VLOOKUP($A697,ItemsImport!$A$2:$AD970,MATCH("ItemLoc",ItemsImport!$A$1:$AE$1,0),FALSE),"")</f>
        <v/>
      </c>
      <c r="W697" s="1"/>
      <c r="X697" s="1" t="str">
        <f t="shared" si="1"/>
        <v/>
      </c>
    </row>
    <row r="698">
      <c r="A698" s="1"/>
      <c r="B698" s="1" t="str">
        <f>IFERROR(VLOOKUP($A698,ItemsImport!$A$2:$AD970,MATCH("Description",ItemsImport!$A$1:$AE$1,0),FALSE),"")</f>
        <v/>
      </c>
      <c r="C698" s="1" t="str">
        <f>IFERROR(VLOOKUP($A698,ItemsImport!$A$2:$AD970,MATCH("Type",ItemsImport!$A$1:$AE$1,0),FALSE),"")</f>
        <v/>
      </c>
      <c r="H698" s="4" t="b">
        <v>0</v>
      </c>
      <c r="I698" s="1" t="str">
        <f>IFERROR(VLOOKUP($A698,ItemsImport!$A$2:$AD970,MATCH("ItemLoc",ItemsImport!$A$1:$AE$1,0),FALSE),"")</f>
        <v/>
      </c>
      <c r="W698" s="1"/>
      <c r="X698" s="1" t="str">
        <f t="shared" si="1"/>
        <v/>
      </c>
    </row>
    <row r="699">
      <c r="A699" s="1"/>
      <c r="B699" s="1" t="str">
        <f>IFERROR(VLOOKUP($A699,ItemsImport!$A$2:$AD970,MATCH("Description",ItemsImport!$A$1:$AE$1,0),FALSE),"")</f>
        <v/>
      </c>
      <c r="C699" s="1" t="str">
        <f>IFERROR(VLOOKUP($A699,ItemsImport!$A$2:$AD970,MATCH("Type",ItemsImport!$A$1:$AE$1,0),FALSE),"")</f>
        <v/>
      </c>
      <c r="H699" s="4" t="b">
        <v>0</v>
      </c>
      <c r="I699" s="1" t="str">
        <f>IFERROR(VLOOKUP($A699,ItemsImport!$A$2:$AD970,MATCH("ItemLoc",ItemsImport!$A$1:$AE$1,0),FALSE),"")</f>
        <v/>
      </c>
      <c r="W699" s="1"/>
      <c r="X699" s="1" t="str">
        <f t="shared" si="1"/>
        <v/>
      </c>
    </row>
    <row r="700">
      <c r="A700" s="1"/>
      <c r="B700" s="1" t="str">
        <f>IFERROR(VLOOKUP($A700,ItemsImport!$A$2:$AD970,MATCH("Description",ItemsImport!$A$1:$AE$1,0),FALSE),"")</f>
        <v/>
      </c>
      <c r="C700" s="1" t="str">
        <f>IFERROR(VLOOKUP($A700,ItemsImport!$A$2:$AD970,MATCH("Type",ItemsImport!$A$1:$AE$1,0),FALSE),"")</f>
        <v/>
      </c>
      <c r="H700" s="4" t="b">
        <v>0</v>
      </c>
      <c r="I700" s="1" t="str">
        <f>IFERROR(VLOOKUP($A700,ItemsImport!$A$2:$AD970,MATCH("ItemLoc",ItemsImport!$A$1:$AE$1,0),FALSE),"")</f>
        <v/>
      </c>
      <c r="W700" s="1"/>
      <c r="X700" s="1" t="str">
        <f t="shared" si="1"/>
        <v/>
      </c>
    </row>
    <row r="701">
      <c r="A701" s="1"/>
      <c r="B701" s="1" t="str">
        <f>IFERROR(VLOOKUP($A701,ItemsImport!$A$2:$AD970,MATCH("Description",ItemsImport!$A$1:$AE$1,0),FALSE),"")</f>
        <v/>
      </c>
      <c r="C701" s="1" t="str">
        <f>IFERROR(VLOOKUP($A701,ItemsImport!$A$2:$AD970,MATCH("Type",ItemsImport!$A$1:$AE$1,0),FALSE),"")</f>
        <v/>
      </c>
      <c r="H701" s="4" t="b">
        <v>0</v>
      </c>
      <c r="I701" s="1" t="str">
        <f>IFERROR(VLOOKUP($A701,ItemsImport!$A$2:$AD970,MATCH("ItemLoc",ItemsImport!$A$1:$AE$1,0),FALSE),"")</f>
        <v/>
      </c>
      <c r="W701" s="1"/>
      <c r="X701" s="1" t="str">
        <f t="shared" si="1"/>
        <v/>
      </c>
    </row>
    <row r="702">
      <c r="A702" s="1"/>
      <c r="B702" s="1" t="str">
        <f>IFERROR(VLOOKUP($A702,ItemsImport!$A$2:$AD970,MATCH("Description",ItemsImport!$A$1:$AE$1,0),FALSE),"")</f>
        <v/>
      </c>
      <c r="C702" s="1" t="str">
        <f>IFERROR(VLOOKUP($A702,ItemsImport!$A$2:$AD970,MATCH("Type",ItemsImport!$A$1:$AE$1,0),FALSE),"")</f>
        <v/>
      </c>
      <c r="H702" s="4" t="b">
        <v>0</v>
      </c>
      <c r="I702" s="1" t="str">
        <f>IFERROR(VLOOKUP($A702,ItemsImport!$A$2:$AD970,MATCH("ItemLoc",ItemsImport!$A$1:$AE$1,0),FALSE),"")</f>
        <v/>
      </c>
      <c r="W702" s="1"/>
      <c r="X702" s="1" t="str">
        <f t="shared" si="1"/>
        <v/>
      </c>
    </row>
    <row r="703">
      <c r="A703" s="1"/>
      <c r="B703" s="1" t="str">
        <f>IFERROR(VLOOKUP($A703,ItemsImport!$A$2:$AD970,MATCH("Description",ItemsImport!$A$1:$AE$1,0),FALSE),"")</f>
        <v/>
      </c>
      <c r="C703" s="1" t="str">
        <f>IFERROR(VLOOKUP($A703,ItemsImport!$A$2:$AD970,MATCH("Type",ItemsImport!$A$1:$AE$1,0),FALSE),"")</f>
        <v/>
      </c>
      <c r="H703" s="4" t="b">
        <v>0</v>
      </c>
      <c r="I703" s="1" t="str">
        <f>IFERROR(VLOOKUP($A703,ItemsImport!$A$2:$AD970,MATCH("ItemLoc",ItemsImport!$A$1:$AE$1,0),FALSE),"")</f>
        <v/>
      </c>
      <c r="W703" s="1"/>
      <c r="X703" s="1" t="str">
        <f t="shared" si="1"/>
        <v/>
      </c>
    </row>
    <row r="704">
      <c r="A704" s="1"/>
      <c r="B704" s="1" t="str">
        <f>IFERROR(VLOOKUP($A704,ItemsImport!$A$2:$AD970,MATCH("Description",ItemsImport!$A$1:$AE$1,0),FALSE),"")</f>
        <v/>
      </c>
      <c r="C704" s="1" t="str">
        <f>IFERROR(VLOOKUP($A704,ItemsImport!$A$2:$AD970,MATCH("Type",ItemsImport!$A$1:$AE$1,0),FALSE),"")</f>
        <v/>
      </c>
      <c r="H704" s="4" t="b">
        <v>0</v>
      </c>
      <c r="I704" s="1" t="str">
        <f>IFERROR(VLOOKUP($A704,ItemsImport!$A$2:$AD970,MATCH("ItemLoc",ItemsImport!$A$1:$AE$1,0),FALSE),"")</f>
        <v/>
      </c>
      <c r="W704" s="1"/>
      <c r="X704" s="1" t="str">
        <f t="shared" si="1"/>
        <v/>
      </c>
    </row>
    <row r="705">
      <c r="A705" s="1"/>
      <c r="B705" s="1" t="str">
        <f>IFERROR(VLOOKUP($A705,ItemsImport!$A$2:$AD970,MATCH("Description",ItemsImport!$A$1:$AE$1,0),FALSE),"")</f>
        <v/>
      </c>
      <c r="C705" s="1" t="str">
        <f>IFERROR(VLOOKUP($A705,ItemsImport!$A$2:$AD970,MATCH("Type",ItemsImport!$A$1:$AE$1,0),FALSE),"")</f>
        <v/>
      </c>
      <c r="H705" s="4" t="b">
        <v>0</v>
      </c>
      <c r="I705" s="1" t="str">
        <f>IFERROR(VLOOKUP($A705,ItemsImport!$A$2:$AD970,MATCH("ItemLoc",ItemsImport!$A$1:$AE$1,0),FALSE),"")</f>
        <v/>
      </c>
      <c r="W705" s="1"/>
      <c r="X705" s="1" t="str">
        <f t="shared" si="1"/>
        <v/>
      </c>
    </row>
    <row r="706">
      <c r="A706" s="1"/>
      <c r="B706" s="1" t="str">
        <f>IFERROR(VLOOKUP($A706,ItemsImport!$A$2:$AD970,MATCH("Description",ItemsImport!$A$1:$AE$1,0),FALSE),"")</f>
        <v/>
      </c>
      <c r="C706" s="1" t="str">
        <f>IFERROR(VLOOKUP($A706,ItemsImport!$A$2:$AD970,MATCH("Type",ItemsImport!$A$1:$AE$1,0),FALSE),"")</f>
        <v/>
      </c>
      <c r="H706" s="4" t="b">
        <v>0</v>
      </c>
      <c r="I706" s="1" t="str">
        <f>IFERROR(VLOOKUP($A706,ItemsImport!$A$2:$AD970,MATCH("ItemLoc",ItemsImport!$A$1:$AE$1,0),FALSE),"")</f>
        <v/>
      </c>
      <c r="W706" s="1"/>
      <c r="X706" s="1" t="str">
        <f t="shared" si="1"/>
        <v/>
      </c>
    </row>
    <row r="707">
      <c r="A707" s="1"/>
      <c r="B707" s="1" t="str">
        <f>IFERROR(VLOOKUP($A707,ItemsImport!$A$2:$AD970,MATCH("Description",ItemsImport!$A$1:$AE$1,0),FALSE),"")</f>
        <v/>
      </c>
      <c r="C707" s="1" t="str">
        <f>IFERROR(VLOOKUP($A707,ItemsImport!$A$2:$AD970,MATCH("Type",ItemsImport!$A$1:$AE$1,0),FALSE),"")</f>
        <v/>
      </c>
      <c r="H707" s="4" t="b">
        <v>0</v>
      </c>
      <c r="I707" s="1" t="str">
        <f>IFERROR(VLOOKUP($A707,ItemsImport!$A$2:$AD970,MATCH("ItemLoc",ItemsImport!$A$1:$AE$1,0),FALSE),"")</f>
        <v/>
      </c>
      <c r="W707" s="1"/>
      <c r="X707" s="1" t="str">
        <f t="shared" si="1"/>
        <v/>
      </c>
    </row>
    <row r="708">
      <c r="A708" s="1"/>
      <c r="B708" s="1" t="str">
        <f>IFERROR(VLOOKUP($A708,ItemsImport!$A$2:$AD970,MATCH("Description",ItemsImport!$A$1:$AE$1,0),FALSE),"")</f>
        <v/>
      </c>
      <c r="C708" s="1" t="str">
        <f>IFERROR(VLOOKUP($A708,ItemsImport!$A$2:$AD970,MATCH("Type",ItemsImport!$A$1:$AE$1,0),FALSE),"")</f>
        <v/>
      </c>
      <c r="H708" s="4" t="b">
        <v>0</v>
      </c>
      <c r="I708" s="1" t="str">
        <f>IFERROR(VLOOKUP($A708,ItemsImport!$A$2:$AD970,MATCH("ItemLoc",ItemsImport!$A$1:$AE$1,0),FALSE),"")</f>
        <v/>
      </c>
      <c r="W708" s="1"/>
      <c r="X708" s="1" t="str">
        <f t="shared" si="1"/>
        <v/>
      </c>
    </row>
    <row r="709">
      <c r="A709" s="1"/>
      <c r="B709" s="1" t="str">
        <f>IFERROR(VLOOKUP($A709,ItemsImport!$A$2:$AD970,MATCH("Description",ItemsImport!$A$1:$AE$1,0),FALSE),"")</f>
        <v/>
      </c>
      <c r="C709" s="1" t="str">
        <f>IFERROR(VLOOKUP($A709,ItemsImport!$A$2:$AD970,MATCH("Type",ItemsImport!$A$1:$AE$1,0),FALSE),"")</f>
        <v/>
      </c>
      <c r="H709" s="4" t="b">
        <v>0</v>
      </c>
      <c r="I709" s="1" t="str">
        <f>IFERROR(VLOOKUP($A709,ItemsImport!$A$2:$AD970,MATCH("ItemLoc",ItemsImport!$A$1:$AE$1,0),FALSE),"")</f>
        <v/>
      </c>
      <c r="W709" s="1"/>
      <c r="X709" s="1" t="str">
        <f t="shared" si="1"/>
        <v/>
      </c>
    </row>
    <row r="710">
      <c r="A710" s="1"/>
      <c r="B710" s="1" t="str">
        <f>IFERROR(VLOOKUP($A710,ItemsImport!$A$2:$AD970,MATCH("Description",ItemsImport!$A$1:$AE$1,0),FALSE),"")</f>
        <v/>
      </c>
      <c r="C710" s="1" t="str">
        <f>IFERROR(VLOOKUP($A710,ItemsImport!$A$2:$AD970,MATCH("Type",ItemsImport!$A$1:$AE$1,0),FALSE),"")</f>
        <v/>
      </c>
      <c r="H710" s="4" t="b">
        <v>0</v>
      </c>
      <c r="I710" s="1" t="str">
        <f>IFERROR(VLOOKUP($A710,ItemsImport!$A$2:$AD970,MATCH("ItemLoc",ItemsImport!$A$1:$AE$1,0),FALSE),"")</f>
        <v/>
      </c>
      <c r="W710" s="1"/>
      <c r="X710" s="1" t="str">
        <f t="shared" si="1"/>
        <v/>
      </c>
    </row>
    <row r="711">
      <c r="A711" s="1"/>
      <c r="B711" s="1" t="str">
        <f>IFERROR(VLOOKUP($A711,ItemsImport!$A$2:$AD970,MATCH("Description",ItemsImport!$A$1:$AE$1,0),FALSE),"")</f>
        <v/>
      </c>
      <c r="C711" s="1" t="str">
        <f>IFERROR(VLOOKUP($A711,ItemsImport!$A$2:$AD970,MATCH("Type",ItemsImport!$A$1:$AE$1,0),FALSE),"")</f>
        <v/>
      </c>
      <c r="H711" s="4" t="b">
        <v>0</v>
      </c>
      <c r="I711" s="1" t="str">
        <f>IFERROR(VLOOKUP($A711,ItemsImport!$A$2:$AD970,MATCH("ItemLoc",ItemsImport!$A$1:$AE$1,0),FALSE),"")</f>
        <v/>
      </c>
      <c r="W711" s="1"/>
      <c r="X711" s="1" t="str">
        <f t="shared" si="1"/>
        <v/>
      </c>
    </row>
    <row r="712">
      <c r="A712" s="1"/>
      <c r="B712" s="1" t="str">
        <f>IFERROR(VLOOKUP($A712,ItemsImport!$A$2:$AD970,MATCH("Description",ItemsImport!$A$1:$AE$1,0),FALSE),"")</f>
        <v/>
      </c>
      <c r="C712" s="1" t="str">
        <f>IFERROR(VLOOKUP($A712,ItemsImport!$A$2:$AD970,MATCH("Type",ItemsImport!$A$1:$AE$1,0),FALSE),"")</f>
        <v/>
      </c>
      <c r="H712" s="4" t="b">
        <v>0</v>
      </c>
      <c r="I712" s="1" t="str">
        <f>IFERROR(VLOOKUP($A712,ItemsImport!$A$2:$AD970,MATCH("ItemLoc",ItemsImport!$A$1:$AE$1,0),FALSE),"")</f>
        <v/>
      </c>
      <c r="W712" s="1"/>
      <c r="X712" s="1" t="str">
        <f t="shared" si="1"/>
        <v/>
      </c>
    </row>
    <row r="713">
      <c r="A713" s="1"/>
      <c r="B713" s="1" t="str">
        <f>IFERROR(VLOOKUP($A713,ItemsImport!$A$2:$AD970,MATCH("Description",ItemsImport!$A$1:$AE$1,0),FALSE),"")</f>
        <v/>
      </c>
      <c r="C713" s="1" t="str">
        <f>IFERROR(VLOOKUP($A713,ItemsImport!$A$2:$AD970,MATCH("Type",ItemsImport!$A$1:$AE$1,0),FALSE),"")</f>
        <v/>
      </c>
      <c r="H713" s="4" t="b">
        <v>0</v>
      </c>
      <c r="I713" s="1" t="str">
        <f>IFERROR(VLOOKUP($A713,ItemsImport!$A$2:$AD970,MATCH("ItemLoc",ItemsImport!$A$1:$AE$1,0),FALSE),"")</f>
        <v/>
      </c>
      <c r="W713" s="1"/>
      <c r="X713" s="1" t="str">
        <f t="shared" si="1"/>
        <v/>
      </c>
    </row>
    <row r="714">
      <c r="A714" s="1"/>
      <c r="B714" s="1" t="str">
        <f>IFERROR(VLOOKUP($A714,ItemsImport!$A$2:$AD970,MATCH("Description",ItemsImport!$A$1:$AE$1,0),FALSE),"")</f>
        <v/>
      </c>
      <c r="C714" s="1" t="str">
        <f>IFERROR(VLOOKUP($A714,ItemsImport!$A$2:$AD970,MATCH("Type",ItemsImport!$A$1:$AE$1,0),FALSE),"")</f>
        <v/>
      </c>
      <c r="H714" s="4" t="b">
        <v>0</v>
      </c>
      <c r="I714" s="1" t="str">
        <f>IFERROR(VLOOKUP($A714,ItemsImport!$A$2:$AD970,MATCH("ItemLoc",ItemsImport!$A$1:$AE$1,0),FALSE),"")</f>
        <v/>
      </c>
      <c r="W714" s="1"/>
      <c r="X714" s="1" t="str">
        <f t="shared" si="1"/>
        <v/>
      </c>
    </row>
    <row r="715">
      <c r="A715" s="1"/>
      <c r="B715" s="1" t="str">
        <f>IFERROR(VLOOKUP($A715,ItemsImport!$A$2:$AD970,MATCH("Description",ItemsImport!$A$1:$AE$1,0),FALSE),"")</f>
        <v/>
      </c>
      <c r="C715" s="1" t="str">
        <f>IFERROR(VLOOKUP($A715,ItemsImport!$A$2:$AD970,MATCH("Type",ItemsImport!$A$1:$AE$1,0),FALSE),"")</f>
        <v/>
      </c>
      <c r="H715" s="4" t="b">
        <v>0</v>
      </c>
      <c r="I715" s="1" t="str">
        <f>IFERROR(VLOOKUP($A715,ItemsImport!$A$2:$AD970,MATCH("ItemLoc",ItemsImport!$A$1:$AE$1,0),FALSE),"")</f>
        <v/>
      </c>
      <c r="W715" s="1"/>
      <c r="X715" s="1" t="str">
        <f t="shared" si="1"/>
        <v/>
      </c>
    </row>
    <row r="716">
      <c r="A716" s="1"/>
      <c r="B716" s="1" t="str">
        <f>IFERROR(VLOOKUP($A716,ItemsImport!$A$2:$AD970,MATCH("Description",ItemsImport!$A$1:$AE$1,0),FALSE),"")</f>
        <v/>
      </c>
      <c r="C716" s="1" t="str">
        <f>IFERROR(VLOOKUP($A716,ItemsImport!$A$2:$AD970,MATCH("Type",ItemsImport!$A$1:$AE$1,0),FALSE),"")</f>
        <v/>
      </c>
      <c r="H716" s="4" t="b">
        <v>0</v>
      </c>
      <c r="I716" s="1" t="str">
        <f>IFERROR(VLOOKUP($A716,ItemsImport!$A$2:$AD970,MATCH("ItemLoc",ItemsImport!$A$1:$AE$1,0),FALSE),"")</f>
        <v/>
      </c>
      <c r="W716" s="1"/>
      <c r="X716" s="1" t="str">
        <f t="shared" si="1"/>
        <v/>
      </c>
    </row>
    <row r="717">
      <c r="A717" s="1"/>
      <c r="B717" s="1" t="str">
        <f>IFERROR(VLOOKUP($A717,ItemsImport!$A$2:$AD970,MATCH("Description",ItemsImport!$A$1:$AE$1,0),FALSE),"")</f>
        <v/>
      </c>
      <c r="C717" s="1" t="str">
        <f>IFERROR(VLOOKUP($A717,ItemsImport!$A$2:$AD970,MATCH("Type",ItemsImport!$A$1:$AE$1,0),FALSE),"")</f>
        <v/>
      </c>
      <c r="H717" s="4" t="b">
        <v>0</v>
      </c>
      <c r="I717" s="1" t="str">
        <f>IFERROR(VLOOKUP($A717,ItemsImport!$A$2:$AD970,MATCH("ItemLoc",ItemsImport!$A$1:$AE$1,0),FALSE),"")</f>
        <v/>
      </c>
      <c r="W717" s="1"/>
      <c r="X717" s="1" t="str">
        <f t="shared" si="1"/>
        <v/>
      </c>
    </row>
    <row r="718">
      <c r="A718" s="1"/>
      <c r="B718" s="1" t="str">
        <f>IFERROR(VLOOKUP($A718,ItemsImport!$A$2:$AD970,MATCH("Description",ItemsImport!$A$1:$AE$1,0),FALSE),"")</f>
        <v/>
      </c>
      <c r="C718" s="1" t="str">
        <f>IFERROR(VLOOKUP($A718,ItemsImport!$A$2:$AD970,MATCH("Type",ItemsImport!$A$1:$AE$1,0),FALSE),"")</f>
        <v/>
      </c>
      <c r="H718" s="4" t="b">
        <v>0</v>
      </c>
      <c r="I718" s="1" t="str">
        <f>IFERROR(VLOOKUP($A718,ItemsImport!$A$2:$AD970,MATCH("ItemLoc",ItemsImport!$A$1:$AE$1,0),FALSE),"")</f>
        <v/>
      </c>
      <c r="W718" s="1"/>
      <c r="X718" s="1" t="str">
        <f t="shared" si="1"/>
        <v/>
      </c>
    </row>
    <row r="719">
      <c r="A719" s="1"/>
      <c r="B719" s="1" t="str">
        <f>IFERROR(VLOOKUP($A719,ItemsImport!$A$2:$AD970,MATCH("Description",ItemsImport!$A$1:$AE$1,0),FALSE),"")</f>
        <v/>
      </c>
      <c r="C719" s="1" t="str">
        <f>IFERROR(VLOOKUP($A719,ItemsImport!$A$2:$AD970,MATCH("Type",ItemsImport!$A$1:$AE$1,0),FALSE),"")</f>
        <v/>
      </c>
      <c r="H719" s="4" t="b">
        <v>0</v>
      </c>
      <c r="I719" s="1" t="str">
        <f>IFERROR(VLOOKUP($A719,ItemsImport!$A$2:$AD970,MATCH("ItemLoc",ItemsImport!$A$1:$AE$1,0),FALSE),"")</f>
        <v/>
      </c>
      <c r="W719" s="1"/>
      <c r="X719" s="1" t="str">
        <f t="shared" si="1"/>
        <v/>
      </c>
    </row>
    <row r="720">
      <c r="A720" s="1"/>
      <c r="B720" s="1" t="str">
        <f>IFERROR(VLOOKUP($A720,ItemsImport!$A$2:$AD970,MATCH("Description",ItemsImport!$A$1:$AE$1,0),FALSE),"")</f>
        <v/>
      </c>
      <c r="C720" s="1" t="str">
        <f>IFERROR(VLOOKUP($A720,ItemsImport!$A$2:$AD970,MATCH("Type",ItemsImport!$A$1:$AE$1,0),FALSE),"")</f>
        <v/>
      </c>
      <c r="H720" s="4" t="b">
        <v>0</v>
      </c>
      <c r="I720" s="1" t="str">
        <f>IFERROR(VLOOKUP($A720,ItemsImport!$A$2:$AD970,MATCH("ItemLoc",ItemsImport!$A$1:$AE$1,0),FALSE),"")</f>
        <v/>
      </c>
      <c r="W720" s="1"/>
      <c r="X720" s="1" t="str">
        <f t="shared" si="1"/>
        <v/>
      </c>
    </row>
    <row r="721">
      <c r="A721" s="1"/>
      <c r="B721" s="1" t="str">
        <f>IFERROR(VLOOKUP($A721,ItemsImport!$A$2:$AD970,MATCH("Description",ItemsImport!$A$1:$AE$1,0),FALSE),"")</f>
        <v/>
      </c>
      <c r="C721" s="1" t="str">
        <f>IFERROR(VLOOKUP($A721,ItemsImport!$A$2:$AD970,MATCH("Type",ItemsImport!$A$1:$AE$1,0),FALSE),"")</f>
        <v/>
      </c>
      <c r="H721" s="4" t="b">
        <v>0</v>
      </c>
      <c r="I721" s="1" t="str">
        <f>IFERROR(VLOOKUP($A721,ItemsImport!$A$2:$AD970,MATCH("ItemLoc",ItemsImport!$A$1:$AE$1,0),FALSE),"")</f>
        <v/>
      </c>
      <c r="W721" s="1"/>
      <c r="X721" s="1" t="str">
        <f t="shared" si="1"/>
        <v/>
      </c>
    </row>
    <row r="722">
      <c r="A722" s="1"/>
      <c r="B722" s="1" t="str">
        <f>IFERROR(VLOOKUP($A722,ItemsImport!$A$2:$AD970,MATCH("Description",ItemsImport!$A$1:$AE$1,0),FALSE),"")</f>
        <v/>
      </c>
      <c r="C722" s="1" t="str">
        <f>IFERROR(VLOOKUP($A722,ItemsImport!$A$2:$AD970,MATCH("Type",ItemsImport!$A$1:$AE$1,0),FALSE),"")</f>
        <v/>
      </c>
      <c r="H722" s="4" t="b">
        <v>0</v>
      </c>
      <c r="I722" s="1" t="str">
        <f>IFERROR(VLOOKUP($A722,ItemsImport!$A$2:$AD970,MATCH("ItemLoc",ItemsImport!$A$1:$AE$1,0),FALSE),"")</f>
        <v/>
      </c>
      <c r="W722" s="1"/>
      <c r="X722" s="1" t="str">
        <f t="shared" si="1"/>
        <v/>
      </c>
    </row>
    <row r="723">
      <c r="A723" s="1"/>
      <c r="B723" s="1" t="str">
        <f>IFERROR(VLOOKUP($A723,ItemsImport!$A$2:$AD970,MATCH("Description",ItemsImport!$A$1:$AE$1,0),FALSE),"")</f>
        <v/>
      </c>
      <c r="C723" s="1" t="str">
        <f>IFERROR(VLOOKUP($A723,ItemsImport!$A$2:$AD970,MATCH("Type",ItemsImport!$A$1:$AE$1,0),FALSE),"")</f>
        <v/>
      </c>
      <c r="H723" s="4" t="b">
        <v>0</v>
      </c>
      <c r="I723" s="1" t="str">
        <f>IFERROR(VLOOKUP($A723,ItemsImport!$A$2:$AD970,MATCH("ItemLoc",ItemsImport!$A$1:$AE$1,0),FALSE),"")</f>
        <v/>
      </c>
      <c r="W723" s="1"/>
      <c r="X723" s="1" t="str">
        <f t="shared" si="1"/>
        <v/>
      </c>
    </row>
    <row r="724">
      <c r="A724" s="1"/>
      <c r="B724" s="1" t="str">
        <f>IFERROR(VLOOKUP($A724,ItemsImport!$A$2:$AD970,MATCH("Description",ItemsImport!$A$1:$AE$1,0),FALSE),"")</f>
        <v/>
      </c>
      <c r="C724" s="1" t="str">
        <f>IFERROR(VLOOKUP($A724,ItemsImport!$A$2:$AD970,MATCH("Type",ItemsImport!$A$1:$AE$1,0),FALSE),"")</f>
        <v/>
      </c>
      <c r="H724" s="4" t="b">
        <v>0</v>
      </c>
      <c r="I724" s="1" t="str">
        <f>IFERROR(VLOOKUP($A724,ItemsImport!$A$2:$AD970,MATCH("ItemLoc",ItemsImport!$A$1:$AE$1,0),FALSE),"")</f>
        <v/>
      </c>
      <c r="W724" s="1"/>
      <c r="X724" s="1" t="str">
        <f t="shared" si="1"/>
        <v/>
      </c>
    </row>
    <row r="725">
      <c r="A725" s="1"/>
      <c r="B725" s="1" t="str">
        <f>IFERROR(VLOOKUP($A725,ItemsImport!$A$2:$AD970,MATCH("Description",ItemsImport!$A$1:$AE$1,0),FALSE),"")</f>
        <v/>
      </c>
      <c r="C725" s="1" t="str">
        <f>IFERROR(VLOOKUP($A725,ItemsImport!$A$2:$AD970,MATCH("Type",ItemsImport!$A$1:$AE$1,0),FALSE),"")</f>
        <v/>
      </c>
      <c r="H725" s="4" t="b">
        <v>0</v>
      </c>
      <c r="I725" s="1" t="str">
        <f>IFERROR(VLOOKUP($A725,ItemsImport!$A$2:$AD970,MATCH("ItemLoc",ItemsImport!$A$1:$AE$1,0),FALSE),"")</f>
        <v/>
      </c>
      <c r="W725" s="1"/>
      <c r="X725" s="1" t="str">
        <f t="shared" si="1"/>
        <v/>
      </c>
    </row>
    <row r="726">
      <c r="A726" s="1"/>
      <c r="B726" s="1" t="str">
        <f>IFERROR(VLOOKUP($A726,ItemsImport!$A$2:$AD970,MATCH("Description",ItemsImport!$A$1:$AE$1,0),FALSE),"")</f>
        <v/>
      </c>
      <c r="C726" s="1" t="str">
        <f>IFERROR(VLOOKUP($A726,ItemsImport!$A$2:$AD970,MATCH("Type",ItemsImport!$A$1:$AE$1,0),FALSE),"")</f>
        <v/>
      </c>
      <c r="H726" s="4" t="b">
        <v>0</v>
      </c>
      <c r="I726" s="1" t="str">
        <f>IFERROR(VLOOKUP($A726,ItemsImport!$A$2:$AD970,MATCH("ItemLoc",ItemsImport!$A$1:$AE$1,0),FALSE),"")</f>
        <v/>
      </c>
      <c r="W726" s="1"/>
      <c r="X726" s="1" t="str">
        <f t="shared" si="1"/>
        <v/>
      </c>
    </row>
    <row r="727">
      <c r="A727" s="1"/>
      <c r="B727" s="1" t="str">
        <f>IFERROR(VLOOKUP($A727,ItemsImport!$A$2:$AD970,MATCH("Description",ItemsImport!$A$1:$AE$1,0),FALSE),"")</f>
        <v/>
      </c>
      <c r="C727" s="1" t="str">
        <f>IFERROR(VLOOKUP($A727,ItemsImport!$A$2:$AD970,MATCH("Type",ItemsImport!$A$1:$AE$1,0),FALSE),"")</f>
        <v/>
      </c>
      <c r="H727" s="4" t="b">
        <v>0</v>
      </c>
      <c r="I727" s="1" t="str">
        <f>IFERROR(VLOOKUP($A727,ItemsImport!$A$2:$AD970,MATCH("ItemLoc",ItemsImport!$A$1:$AE$1,0),FALSE),"")</f>
        <v/>
      </c>
      <c r="W727" s="1"/>
      <c r="X727" s="1" t="str">
        <f t="shared" si="1"/>
        <v/>
      </c>
    </row>
    <row r="728">
      <c r="A728" s="1"/>
      <c r="B728" s="1" t="str">
        <f>IFERROR(VLOOKUP($A728,ItemsImport!$A$2:$AD970,MATCH("Description",ItemsImport!$A$1:$AE$1,0),FALSE),"")</f>
        <v/>
      </c>
      <c r="C728" s="1" t="str">
        <f>IFERROR(VLOOKUP($A728,ItemsImport!$A$2:$AD970,MATCH("Type",ItemsImport!$A$1:$AE$1,0),FALSE),"")</f>
        <v/>
      </c>
      <c r="H728" s="4" t="b">
        <v>0</v>
      </c>
      <c r="I728" s="1" t="str">
        <f>IFERROR(VLOOKUP($A728,ItemsImport!$A$2:$AD970,MATCH("ItemLoc",ItemsImport!$A$1:$AE$1,0),FALSE),"")</f>
        <v/>
      </c>
      <c r="W728" s="1"/>
      <c r="X728" s="1" t="str">
        <f t="shared" si="1"/>
        <v/>
      </c>
    </row>
    <row r="729">
      <c r="A729" s="1"/>
      <c r="B729" s="1" t="str">
        <f>IFERROR(VLOOKUP($A729,ItemsImport!$A$2:$AD970,MATCH("Description",ItemsImport!$A$1:$AE$1,0),FALSE),"")</f>
        <v/>
      </c>
      <c r="C729" s="1" t="str">
        <f>IFERROR(VLOOKUP($A729,ItemsImport!$A$2:$AD970,MATCH("Type",ItemsImport!$A$1:$AE$1,0),FALSE),"")</f>
        <v/>
      </c>
      <c r="H729" s="4" t="b">
        <v>0</v>
      </c>
      <c r="I729" s="1" t="str">
        <f>IFERROR(VLOOKUP($A729,ItemsImport!$A$2:$AD970,MATCH("ItemLoc",ItemsImport!$A$1:$AE$1,0),FALSE),"")</f>
        <v/>
      </c>
      <c r="W729" s="1"/>
      <c r="X729" s="1" t="str">
        <f t="shared" si="1"/>
        <v/>
      </c>
    </row>
    <row r="730">
      <c r="A730" s="1"/>
      <c r="B730" s="1" t="str">
        <f>IFERROR(VLOOKUP($A730,ItemsImport!$A$2:$AD970,MATCH("Description",ItemsImport!$A$1:$AE$1,0),FALSE),"")</f>
        <v/>
      </c>
      <c r="C730" s="1" t="str">
        <f>IFERROR(VLOOKUP($A730,ItemsImport!$A$2:$AD970,MATCH("Type",ItemsImport!$A$1:$AE$1,0),FALSE),"")</f>
        <v/>
      </c>
      <c r="H730" s="4" t="b">
        <v>0</v>
      </c>
      <c r="I730" s="1" t="str">
        <f>IFERROR(VLOOKUP($A730,ItemsImport!$A$2:$AD970,MATCH("ItemLoc",ItemsImport!$A$1:$AE$1,0),FALSE),"")</f>
        <v/>
      </c>
      <c r="W730" s="1"/>
      <c r="X730" s="1" t="str">
        <f t="shared" si="1"/>
        <v/>
      </c>
    </row>
    <row r="731">
      <c r="A731" s="1"/>
      <c r="B731" s="1" t="str">
        <f>IFERROR(VLOOKUP($A731,ItemsImport!$A$2:$AD970,MATCH("Description",ItemsImport!$A$1:$AE$1,0),FALSE),"")</f>
        <v/>
      </c>
      <c r="C731" s="1" t="str">
        <f>IFERROR(VLOOKUP($A731,ItemsImport!$A$2:$AD970,MATCH("Type",ItemsImport!$A$1:$AE$1,0),FALSE),"")</f>
        <v/>
      </c>
      <c r="H731" s="4" t="b">
        <v>0</v>
      </c>
      <c r="I731" s="1" t="str">
        <f>IFERROR(VLOOKUP($A731,ItemsImport!$A$2:$AD970,MATCH("ItemLoc",ItemsImport!$A$1:$AE$1,0),FALSE),"")</f>
        <v/>
      </c>
      <c r="W731" s="1"/>
      <c r="X731" s="1" t="str">
        <f t="shared" si="1"/>
        <v/>
      </c>
    </row>
    <row r="732">
      <c r="A732" s="1"/>
      <c r="B732" s="1" t="str">
        <f>IFERROR(VLOOKUP($A732,ItemsImport!$A$2:$AD970,MATCH("Description",ItemsImport!$A$1:$AE$1,0),FALSE),"")</f>
        <v/>
      </c>
      <c r="C732" s="1" t="str">
        <f>IFERROR(VLOOKUP($A732,ItemsImport!$A$2:$AD970,MATCH("Type",ItemsImport!$A$1:$AE$1,0),FALSE),"")</f>
        <v/>
      </c>
      <c r="H732" s="4" t="b">
        <v>0</v>
      </c>
      <c r="I732" s="1" t="str">
        <f>IFERROR(VLOOKUP($A732,ItemsImport!$A$2:$AD970,MATCH("ItemLoc",ItemsImport!$A$1:$AE$1,0),FALSE),"")</f>
        <v/>
      </c>
      <c r="W732" s="1"/>
      <c r="X732" s="1" t="str">
        <f t="shared" si="1"/>
        <v/>
      </c>
    </row>
    <row r="733">
      <c r="A733" s="1"/>
      <c r="B733" s="1" t="str">
        <f>IFERROR(VLOOKUP($A733,ItemsImport!$A$2:$AD970,MATCH("Description",ItemsImport!$A$1:$AE$1,0),FALSE),"")</f>
        <v/>
      </c>
      <c r="C733" s="1" t="str">
        <f>IFERROR(VLOOKUP($A733,ItemsImport!$A$2:$AD970,MATCH("Type",ItemsImport!$A$1:$AE$1,0),FALSE),"")</f>
        <v/>
      </c>
      <c r="H733" s="4" t="b">
        <v>0</v>
      </c>
      <c r="I733" s="1" t="str">
        <f>IFERROR(VLOOKUP($A733,ItemsImport!$A$2:$AD970,MATCH("ItemLoc",ItemsImport!$A$1:$AE$1,0),FALSE),"")</f>
        <v/>
      </c>
      <c r="W733" s="1"/>
      <c r="X733" s="1" t="str">
        <f t="shared" si="1"/>
        <v/>
      </c>
    </row>
    <row r="734">
      <c r="A734" s="1"/>
      <c r="B734" s="1" t="str">
        <f>IFERROR(VLOOKUP($A734,ItemsImport!$A$2:$AD970,MATCH("Description",ItemsImport!$A$1:$AE$1,0),FALSE),"")</f>
        <v/>
      </c>
      <c r="C734" s="1" t="str">
        <f>IFERROR(VLOOKUP($A734,ItemsImport!$A$2:$AD970,MATCH("Type",ItemsImport!$A$1:$AE$1,0),FALSE),"")</f>
        <v/>
      </c>
      <c r="H734" s="4" t="b">
        <v>0</v>
      </c>
      <c r="I734" s="1" t="str">
        <f>IFERROR(VLOOKUP($A734,ItemsImport!$A$2:$AD970,MATCH("ItemLoc",ItemsImport!$A$1:$AE$1,0),FALSE),"")</f>
        <v/>
      </c>
      <c r="W734" s="1"/>
      <c r="X734" s="1" t="str">
        <f t="shared" si="1"/>
        <v/>
      </c>
    </row>
    <row r="735">
      <c r="A735" s="1"/>
      <c r="B735" s="1" t="str">
        <f>IFERROR(VLOOKUP($A735,ItemsImport!$A$2:$AD970,MATCH("Description",ItemsImport!$A$1:$AE$1,0),FALSE),"")</f>
        <v/>
      </c>
      <c r="C735" s="1" t="str">
        <f>IFERROR(VLOOKUP($A735,ItemsImport!$A$2:$AD970,MATCH("Type",ItemsImport!$A$1:$AE$1,0),FALSE),"")</f>
        <v/>
      </c>
      <c r="H735" s="4" t="b">
        <v>0</v>
      </c>
      <c r="I735" s="1" t="str">
        <f>IFERROR(VLOOKUP($A735,ItemsImport!$A$2:$AD970,MATCH("ItemLoc",ItemsImport!$A$1:$AE$1,0),FALSE),"")</f>
        <v/>
      </c>
      <c r="W735" s="1"/>
      <c r="X735" s="1" t="str">
        <f t="shared" si="1"/>
        <v/>
      </c>
    </row>
    <row r="736">
      <c r="A736" s="1"/>
      <c r="B736" s="1" t="str">
        <f>IFERROR(VLOOKUP($A736,ItemsImport!$A$2:$AD970,MATCH("Description",ItemsImport!$A$1:$AE$1,0),FALSE),"")</f>
        <v/>
      </c>
      <c r="C736" s="1" t="str">
        <f>IFERROR(VLOOKUP($A736,ItemsImport!$A$2:$AD970,MATCH("Type",ItemsImport!$A$1:$AE$1,0),FALSE),"")</f>
        <v/>
      </c>
      <c r="H736" s="4" t="b">
        <v>0</v>
      </c>
      <c r="I736" s="1" t="str">
        <f>IFERROR(VLOOKUP($A736,ItemsImport!$A$2:$AD970,MATCH("ItemLoc",ItemsImport!$A$1:$AE$1,0),FALSE),"")</f>
        <v/>
      </c>
      <c r="W736" s="1"/>
      <c r="X736" s="1" t="str">
        <f t="shared" si="1"/>
        <v/>
      </c>
    </row>
    <row r="737">
      <c r="A737" s="1"/>
      <c r="B737" s="1" t="str">
        <f>IFERROR(VLOOKUP($A737,ItemsImport!$A$2:$AD970,MATCH("Description",ItemsImport!$A$1:$AE$1,0),FALSE),"")</f>
        <v/>
      </c>
      <c r="C737" s="1" t="str">
        <f>IFERROR(VLOOKUP($A737,ItemsImport!$A$2:$AD970,MATCH("Type",ItemsImport!$A$1:$AE$1,0),FALSE),"")</f>
        <v/>
      </c>
      <c r="H737" s="4" t="b">
        <v>0</v>
      </c>
      <c r="I737" s="1" t="str">
        <f>IFERROR(VLOOKUP($A737,ItemsImport!$A$2:$AD970,MATCH("ItemLoc",ItemsImport!$A$1:$AE$1,0),FALSE),"")</f>
        <v/>
      </c>
      <c r="W737" s="1"/>
      <c r="X737" s="1" t="str">
        <f t="shared" si="1"/>
        <v/>
      </c>
    </row>
    <row r="738">
      <c r="A738" s="1"/>
      <c r="B738" s="1" t="str">
        <f>IFERROR(VLOOKUP($A738,ItemsImport!$A$2:$AD970,MATCH("Description",ItemsImport!$A$1:$AE$1,0),FALSE),"")</f>
        <v/>
      </c>
      <c r="C738" s="1" t="str">
        <f>IFERROR(VLOOKUP($A738,ItemsImport!$A$2:$AD970,MATCH("Type",ItemsImport!$A$1:$AE$1,0),FALSE),"")</f>
        <v/>
      </c>
      <c r="H738" s="4" t="b">
        <v>0</v>
      </c>
      <c r="I738" s="1" t="str">
        <f>IFERROR(VLOOKUP($A738,ItemsImport!$A$2:$AD970,MATCH("ItemLoc",ItemsImport!$A$1:$AE$1,0),FALSE),"")</f>
        <v/>
      </c>
      <c r="W738" s="1"/>
      <c r="X738" s="1" t="str">
        <f t="shared" si="1"/>
        <v/>
      </c>
    </row>
    <row r="739">
      <c r="A739" s="1"/>
      <c r="B739" s="1" t="str">
        <f>IFERROR(VLOOKUP($A739,ItemsImport!$A$2:$AD970,MATCH("Description",ItemsImport!$A$1:$AE$1,0),FALSE),"")</f>
        <v/>
      </c>
      <c r="C739" s="1" t="str">
        <f>IFERROR(VLOOKUP($A739,ItemsImport!$A$2:$AD970,MATCH("Type",ItemsImport!$A$1:$AE$1,0),FALSE),"")</f>
        <v/>
      </c>
      <c r="H739" s="4" t="b">
        <v>0</v>
      </c>
      <c r="I739" s="1" t="str">
        <f>IFERROR(VLOOKUP($A739,ItemsImport!$A$2:$AD970,MATCH("ItemLoc",ItemsImport!$A$1:$AE$1,0),FALSE),"")</f>
        <v/>
      </c>
      <c r="W739" s="1"/>
      <c r="X739" s="1" t="str">
        <f t="shared" si="1"/>
        <v/>
      </c>
    </row>
    <row r="740">
      <c r="A740" s="1"/>
      <c r="B740" s="1" t="str">
        <f>IFERROR(VLOOKUP($A740,ItemsImport!$A$2:$AD970,MATCH("Description",ItemsImport!$A$1:$AE$1,0),FALSE),"")</f>
        <v/>
      </c>
      <c r="C740" s="1" t="str">
        <f>IFERROR(VLOOKUP($A740,ItemsImport!$A$2:$AD970,MATCH("Type",ItemsImport!$A$1:$AE$1,0),FALSE),"")</f>
        <v/>
      </c>
      <c r="H740" s="4" t="b">
        <v>0</v>
      </c>
      <c r="I740" s="1" t="str">
        <f>IFERROR(VLOOKUP($A740,ItemsImport!$A$2:$AD970,MATCH("ItemLoc",ItemsImport!$A$1:$AE$1,0),FALSE),"")</f>
        <v/>
      </c>
      <c r="W740" s="1"/>
      <c r="X740" s="1" t="str">
        <f t="shared" si="1"/>
        <v/>
      </c>
    </row>
    <row r="741">
      <c r="A741" s="1"/>
      <c r="B741" s="1" t="str">
        <f>IFERROR(VLOOKUP($A741,ItemsImport!$A$2:$AD970,MATCH("Description",ItemsImport!$A$1:$AE$1,0),FALSE),"")</f>
        <v/>
      </c>
      <c r="C741" s="1" t="str">
        <f>IFERROR(VLOOKUP($A741,ItemsImport!$A$2:$AD970,MATCH("Type",ItemsImport!$A$1:$AE$1,0),FALSE),"")</f>
        <v/>
      </c>
      <c r="H741" s="4" t="b">
        <v>0</v>
      </c>
      <c r="I741" s="1" t="str">
        <f>IFERROR(VLOOKUP($A741,ItemsImport!$A$2:$AD970,MATCH("ItemLoc",ItemsImport!$A$1:$AE$1,0),FALSE),"")</f>
        <v/>
      </c>
      <c r="W741" s="1"/>
      <c r="X741" s="1" t="str">
        <f t="shared" si="1"/>
        <v/>
      </c>
    </row>
    <row r="742">
      <c r="A742" s="1"/>
      <c r="B742" s="1" t="str">
        <f>IFERROR(VLOOKUP($A742,ItemsImport!$A$2:$AD970,MATCH("Description",ItemsImport!$A$1:$AE$1,0),FALSE),"")</f>
        <v/>
      </c>
      <c r="C742" s="1" t="str">
        <f>IFERROR(VLOOKUP($A742,ItemsImport!$A$2:$AD970,MATCH("Type",ItemsImport!$A$1:$AE$1,0),FALSE),"")</f>
        <v/>
      </c>
      <c r="H742" s="4" t="b">
        <v>0</v>
      </c>
      <c r="I742" s="1" t="str">
        <f>IFERROR(VLOOKUP($A742,ItemsImport!$A$2:$AD970,MATCH("ItemLoc",ItemsImport!$A$1:$AE$1,0),FALSE),"")</f>
        <v/>
      </c>
      <c r="W742" s="1"/>
      <c r="X742" s="1" t="str">
        <f t="shared" si="1"/>
        <v/>
      </c>
    </row>
    <row r="743">
      <c r="A743" s="1"/>
      <c r="B743" s="1" t="str">
        <f>IFERROR(VLOOKUP($A743,ItemsImport!$A$2:$AD970,MATCH("Description",ItemsImport!$A$1:$AE$1,0),FALSE),"")</f>
        <v/>
      </c>
      <c r="C743" s="1" t="str">
        <f>IFERROR(VLOOKUP($A743,ItemsImport!$A$2:$AD970,MATCH("Type",ItemsImport!$A$1:$AE$1,0),FALSE),"")</f>
        <v/>
      </c>
      <c r="H743" s="4" t="b">
        <v>0</v>
      </c>
      <c r="I743" s="1" t="str">
        <f>IFERROR(VLOOKUP($A743,ItemsImport!$A$2:$AD970,MATCH("ItemLoc",ItemsImport!$A$1:$AE$1,0),FALSE),"")</f>
        <v/>
      </c>
      <c r="W743" s="1"/>
      <c r="X743" s="1" t="str">
        <f t="shared" si="1"/>
        <v/>
      </c>
    </row>
    <row r="744">
      <c r="A744" s="1"/>
      <c r="B744" s="1" t="str">
        <f>IFERROR(VLOOKUP($A744,ItemsImport!$A$2:$AD970,MATCH("Description",ItemsImport!$A$1:$AE$1,0),FALSE),"")</f>
        <v/>
      </c>
      <c r="C744" s="1" t="str">
        <f>IFERROR(VLOOKUP($A744,ItemsImport!$A$2:$AD970,MATCH("Type",ItemsImport!$A$1:$AE$1,0),FALSE),"")</f>
        <v/>
      </c>
      <c r="H744" s="4" t="b">
        <v>0</v>
      </c>
      <c r="I744" s="1" t="str">
        <f>IFERROR(VLOOKUP($A744,ItemsImport!$A$2:$AD970,MATCH("ItemLoc",ItemsImport!$A$1:$AE$1,0),FALSE),"")</f>
        <v/>
      </c>
      <c r="W744" s="1"/>
      <c r="X744" s="1" t="str">
        <f t="shared" si="1"/>
        <v/>
      </c>
    </row>
    <row r="745">
      <c r="A745" s="1"/>
      <c r="B745" s="1" t="str">
        <f>IFERROR(VLOOKUP($A745,ItemsImport!$A$2:$AD970,MATCH("Description",ItemsImport!$A$1:$AE$1,0),FALSE),"")</f>
        <v/>
      </c>
      <c r="C745" s="1" t="str">
        <f>IFERROR(VLOOKUP($A745,ItemsImport!$A$2:$AD970,MATCH("Type",ItemsImport!$A$1:$AE$1,0),FALSE),"")</f>
        <v/>
      </c>
      <c r="H745" s="4" t="b">
        <v>0</v>
      </c>
      <c r="I745" s="1" t="str">
        <f>IFERROR(VLOOKUP($A745,ItemsImport!$A$2:$AD970,MATCH("ItemLoc",ItemsImport!$A$1:$AE$1,0),FALSE),"")</f>
        <v/>
      </c>
      <c r="W745" s="1"/>
      <c r="X745" s="1" t="str">
        <f t="shared" si="1"/>
        <v/>
      </c>
    </row>
    <row r="746">
      <c r="A746" s="1"/>
      <c r="B746" s="1" t="str">
        <f>IFERROR(VLOOKUP($A746,ItemsImport!$A$2:$AD970,MATCH("Description",ItemsImport!$A$1:$AE$1,0),FALSE),"")</f>
        <v/>
      </c>
      <c r="C746" s="1" t="str">
        <f>IFERROR(VLOOKUP($A746,ItemsImport!$A$2:$AD970,MATCH("Type",ItemsImport!$A$1:$AE$1,0),FALSE),"")</f>
        <v/>
      </c>
      <c r="H746" s="4" t="b">
        <v>0</v>
      </c>
      <c r="I746" s="1" t="str">
        <f>IFERROR(VLOOKUP($A746,ItemsImport!$A$2:$AD970,MATCH("ItemLoc",ItemsImport!$A$1:$AE$1,0),FALSE),"")</f>
        <v/>
      </c>
      <c r="W746" s="1"/>
      <c r="X746" s="1" t="str">
        <f t="shared" si="1"/>
        <v/>
      </c>
    </row>
    <row r="747">
      <c r="A747" s="1"/>
      <c r="B747" s="1" t="str">
        <f>IFERROR(VLOOKUP($A747,ItemsImport!$A$2:$AD970,MATCH("Description",ItemsImport!$A$1:$AE$1,0),FALSE),"")</f>
        <v/>
      </c>
      <c r="C747" s="1" t="str">
        <f>IFERROR(VLOOKUP($A747,ItemsImport!$A$2:$AD970,MATCH("Type",ItemsImport!$A$1:$AE$1,0),FALSE),"")</f>
        <v/>
      </c>
      <c r="H747" s="4" t="b">
        <v>0</v>
      </c>
      <c r="I747" s="1" t="str">
        <f>IFERROR(VLOOKUP($A747,ItemsImport!$A$2:$AD970,MATCH("ItemLoc",ItemsImport!$A$1:$AE$1,0),FALSE),"")</f>
        <v/>
      </c>
      <c r="W747" s="1"/>
      <c r="X747" s="1" t="str">
        <f t="shared" si="1"/>
        <v/>
      </c>
    </row>
    <row r="748">
      <c r="A748" s="1"/>
      <c r="B748" s="1" t="str">
        <f>IFERROR(VLOOKUP($A748,ItemsImport!$A$2:$AD970,MATCH("Description",ItemsImport!$A$1:$AE$1,0),FALSE),"")</f>
        <v/>
      </c>
      <c r="C748" s="1" t="str">
        <f>IFERROR(VLOOKUP($A748,ItemsImport!$A$2:$AD970,MATCH("Type",ItemsImport!$A$1:$AE$1,0),FALSE),"")</f>
        <v/>
      </c>
      <c r="H748" s="4" t="b">
        <v>0</v>
      </c>
      <c r="I748" s="1" t="str">
        <f>IFERROR(VLOOKUP($A748,ItemsImport!$A$2:$AD970,MATCH("ItemLoc",ItemsImport!$A$1:$AE$1,0),FALSE),"")</f>
        <v/>
      </c>
      <c r="W748" s="1"/>
      <c r="X748" s="1" t="str">
        <f t="shared" si="1"/>
        <v/>
      </c>
    </row>
    <row r="749">
      <c r="A749" s="1"/>
      <c r="B749" s="1" t="str">
        <f>IFERROR(VLOOKUP($A749,ItemsImport!$A$2:$AD970,MATCH("Description",ItemsImport!$A$1:$AE$1,0),FALSE),"")</f>
        <v/>
      </c>
      <c r="C749" s="1" t="str">
        <f>IFERROR(VLOOKUP($A749,ItemsImport!$A$2:$AD970,MATCH("Type",ItemsImport!$A$1:$AE$1,0),FALSE),"")</f>
        <v/>
      </c>
      <c r="H749" s="4" t="b">
        <v>0</v>
      </c>
      <c r="I749" s="1" t="str">
        <f>IFERROR(VLOOKUP($A749,ItemsImport!$A$2:$AD970,MATCH("ItemLoc",ItemsImport!$A$1:$AE$1,0),FALSE),"")</f>
        <v/>
      </c>
      <c r="W749" s="1"/>
      <c r="X749" s="1" t="str">
        <f t="shared" si="1"/>
        <v/>
      </c>
    </row>
    <row r="750">
      <c r="A750" s="1"/>
      <c r="B750" s="1" t="str">
        <f>IFERROR(VLOOKUP($A750,ItemsImport!$A$2:$AD970,MATCH("Description",ItemsImport!$A$1:$AE$1,0),FALSE),"")</f>
        <v/>
      </c>
      <c r="C750" s="1" t="str">
        <f>IFERROR(VLOOKUP($A750,ItemsImport!$A$2:$AD970,MATCH("Type",ItemsImport!$A$1:$AE$1,0),FALSE),"")</f>
        <v/>
      </c>
      <c r="H750" s="4" t="b">
        <v>0</v>
      </c>
      <c r="I750" s="1" t="str">
        <f>IFERROR(VLOOKUP($A750,ItemsImport!$A$2:$AD970,MATCH("ItemLoc",ItemsImport!$A$1:$AE$1,0),FALSE),"")</f>
        <v/>
      </c>
      <c r="W750" s="1"/>
      <c r="X750" s="1" t="str">
        <f t="shared" si="1"/>
        <v/>
      </c>
    </row>
    <row r="751">
      <c r="A751" s="1"/>
      <c r="B751" s="1" t="str">
        <f>IFERROR(VLOOKUP($A751,ItemsImport!$A$2:$AD970,MATCH("Description",ItemsImport!$A$1:$AE$1,0),FALSE),"")</f>
        <v/>
      </c>
      <c r="C751" s="1" t="str">
        <f>IFERROR(VLOOKUP($A751,ItemsImport!$A$2:$AD970,MATCH("Type",ItemsImport!$A$1:$AE$1,0),FALSE),"")</f>
        <v/>
      </c>
      <c r="H751" s="4" t="b">
        <v>0</v>
      </c>
      <c r="I751" s="1" t="str">
        <f>IFERROR(VLOOKUP($A751,ItemsImport!$A$2:$AD970,MATCH("ItemLoc",ItemsImport!$A$1:$AE$1,0),FALSE),"")</f>
        <v/>
      </c>
      <c r="W751" s="1"/>
      <c r="X751" s="1" t="str">
        <f t="shared" si="1"/>
        <v/>
      </c>
    </row>
    <row r="752">
      <c r="A752" s="1"/>
      <c r="B752" s="1" t="str">
        <f>IFERROR(VLOOKUP($A752,ItemsImport!$A$2:$AD970,MATCH("Description",ItemsImport!$A$1:$AE$1,0),FALSE),"")</f>
        <v/>
      </c>
      <c r="C752" s="1" t="str">
        <f>IFERROR(VLOOKUP($A752,ItemsImport!$A$2:$AD970,MATCH("Type",ItemsImport!$A$1:$AE$1,0),FALSE),"")</f>
        <v/>
      </c>
      <c r="H752" s="4" t="b">
        <v>0</v>
      </c>
      <c r="I752" s="1" t="str">
        <f>IFERROR(VLOOKUP($A752,ItemsImport!$A$2:$AD970,MATCH("ItemLoc",ItemsImport!$A$1:$AE$1,0),FALSE),"")</f>
        <v/>
      </c>
      <c r="W752" s="1"/>
      <c r="X752" s="1" t="str">
        <f t="shared" si="1"/>
        <v/>
      </c>
    </row>
    <row r="753">
      <c r="A753" s="1"/>
      <c r="B753" s="1" t="str">
        <f>IFERROR(VLOOKUP($A753,ItemsImport!$A$2:$AD970,MATCH("Description",ItemsImport!$A$1:$AE$1,0),FALSE),"")</f>
        <v/>
      </c>
      <c r="C753" s="1" t="str">
        <f>IFERROR(VLOOKUP($A753,ItemsImport!$A$2:$AD970,MATCH("Type",ItemsImport!$A$1:$AE$1,0),FALSE),"")</f>
        <v/>
      </c>
      <c r="H753" s="4" t="b">
        <v>0</v>
      </c>
      <c r="I753" s="1" t="str">
        <f>IFERROR(VLOOKUP($A753,ItemsImport!$A$2:$AD970,MATCH("ItemLoc",ItemsImport!$A$1:$AE$1,0),FALSE),"")</f>
        <v/>
      </c>
      <c r="W753" s="1"/>
      <c r="X753" s="1" t="str">
        <f t="shared" si="1"/>
        <v/>
      </c>
    </row>
    <row r="754">
      <c r="A754" s="1"/>
      <c r="B754" s="1" t="str">
        <f>IFERROR(VLOOKUP($A754,ItemsImport!$A$2:$AD970,MATCH("Description",ItemsImport!$A$1:$AE$1,0),FALSE),"")</f>
        <v/>
      </c>
      <c r="C754" s="1" t="str">
        <f>IFERROR(VLOOKUP($A754,ItemsImport!$A$2:$AD970,MATCH("Type",ItemsImport!$A$1:$AE$1,0),FALSE),"")</f>
        <v/>
      </c>
      <c r="H754" s="4" t="b">
        <v>0</v>
      </c>
      <c r="I754" s="1" t="str">
        <f>IFERROR(VLOOKUP($A754,ItemsImport!$A$2:$AD970,MATCH("ItemLoc",ItemsImport!$A$1:$AE$1,0),FALSE),"")</f>
        <v/>
      </c>
      <c r="W754" s="1"/>
      <c r="X754" s="1" t="str">
        <f t="shared" si="1"/>
        <v/>
      </c>
    </row>
    <row r="755">
      <c r="A755" s="1"/>
      <c r="B755" s="1" t="str">
        <f>IFERROR(VLOOKUP($A755,ItemsImport!$A$2:$AD970,MATCH("Description",ItemsImport!$A$1:$AE$1,0),FALSE),"")</f>
        <v/>
      </c>
      <c r="C755" s="1" t="str">
        <f>IFERROR(VLOOKUP($A755,ItemsImport!$A$2:$AD970,MATCH("Type",ItemsImport!$A$1:$AE$1,0),FALSE),"")</f>
        <v/>
      </c>
      <c r="H755" s="4" t="b">
        <v>0</v>
      </c>
      <c r="I755" s="1" t="str">
        <f>IFERROR(VLOOKUP($A755,ItemsImport!$A$2:$AD970,MATCH("ItemLoc",ItemsImport!$A$1:$AE$1,0),FALSE),"")</f>
        <v/>
      </c>
      <c r="W755" s="1"/>
      <c r="X755" s="1" t="str">
        <f t="shared" si="1"/>
        <v/>
      </c>
    </row>
    <row r="756">
      <c r="A756" s="1"/>
      <c r="B756" s="1" t="str">
        <f>IFERROR(VLOOKUP($A756,ItemsImport!$A$2:$AD970,MATCH("Description",ItemsImport!$A$1:$AE$1,0),FALSE),"")</f>
        <v/>
      </c>
      <c r="C756" s="1" t="str">
        <f>IFERROR(VLOOKUP($A756,ItemsImport!$A$2:$AD970,MATCH("Type",ItemsImport!$A$1:$AE$1,0),FALSE),"")</f>
        <v/>
      </c>
      <c r="H756" s="4" t="b">
        <v>0</v>
      </c>
      <c r="I756" s="1" t="str">
        <f>IFERROR(VLOOKUP($A756,ItemsImport!$A$2:$AD970,MATCH("ItemLoc",ItemsImport!$A$1:$AE$1,0),FALSE),"")</f>
        <v/>
      </c>
      <c r="W756" s="1"/>
      <c r="X756" s="1" t="str">
        <f t="shared" si="1"/>
        <v/>
      </c>
    </row>
    <row r="757">
      <c r="A757" s="1"/>
      <c r="B757" s="1" t="str">
        <f>IFERROR(VLOOKUP($A757,ItemsImport!$A$2:$AD970,MATCH("Description",ItemsImport!$A$1:$AE$1,0),FALSE),"")</f>
        <v/>
      </c>
      <c r="C757" s="1" t="str">
        <f>IFERROR(VLOOKUP($A757,ItemsImport!$A$2:$AD970,MATCH("Type",ItemsImport!$A$1:$AE$1,0),FALSE),"")</f>
        <v/>
      </c>
      <c r="H757" s="4" t="b">
        <v>0</v>
      </c>
      <c r="I757" s="1" t="str">
        <f>IFERROR(VLOOKUP($A757,ItemsImport!$A$2:$AD970,MATCH("ItemLoc",ItemsImport!$A$1:$AE$1,0),FALSE),"")</f>
        <v/>
      </c>
      <c r="W757" s="1"/>
      <c r="X757" s="1" t="str">
        <f t="shared" si="1"/>
        <v/>
      </c>
    </row>
    <row r="758">
      <c r="A758" s="1"/>
      <c r="B758" s="1" t="str">
        <f>IFERROR(VLOOKUP($A758,ItemsImport!$A$2:$AD970,MATCH("Description",ItemsImport!$A$1:$AE$1,0),FALSE),"")</f>
        <v/>
      </c>
      <c r="C758" s="1" t="str">
        <f>IFERROR(VLOOKUP($A758,ItemsImport!$A$2:$AD970,MATCH("Type",ItemsImport!$A$1:$AE$1,0),FALSE),"")</f>
        <v/>
      </c>
      <c r="H758" s="4" t="b">
        <v>0</v>
      </c>
      <c r="I758" s="1" t="str">
        <f>IFERROR(VLOOKUP($A758,ItemsImport!$A$2:$AD970,MATCH("ItemLoc",ItemsImport!$A$1:$AE$1,0),FALSE),"")</f>
        <v/>
      </c>
      <c r="W758" s="1"/>
      <c r="X758" s="1" t="str">
        <f t="shared" si="1"/>
        <v/>
      </c>
    </row>
    <row r="759">
      <c r="A759" s="1"/>
      <c r="B759" s="1" t="str">
        <f>IFERROR(VLOOKUP($A759,ItemsImport!$A$2:$AD970,MATCH("Description",ItemsImport!$A$1:$AE$1,0),FALSE),"")</f>
        <v/>
      </c>
      <c r="C759" s="1" t="str">
        <f>IFERROR(VLOOKUP($A759,ItemsImport!$A$2:$AD970,MATCH("Type",ItemsImport!$A$1:$AE$1,0),FALSE),"")</f>
        <v/>
      </c>
      <c r="H759" s="4" t="b">
        <v>0</v>
      </c>
      <c r="I759" s="1" t="str">
        <f>IFERROR(VLOOKUP($A759,ItemsImport!$A$2:$AD970,MATCH("ItemLoc",ItemsImport!$A$1:$AE$1,0),FALSE),"")</f>
        <v/>
      </c>
      <c r="W759" s="1"/>
      <c r="X759" s="1" t="str">
        <f t="shared" si="1"/>
        <v/>
      </c>
    </row>
    <row r="760">
      <c r="A760" s="1"/>
      <c r="B760" s="1" t="str">
        <f>IFERROR(VLOOKUP($A760,ItemsImport!$A$2:$AD970,MATCH("Description",ItemsImport!$A$1:$AE$1,0),FALSE),"")</f>
        <v/>
      </c>
      <c r="C760" s="1" t="str">
        <f>IFERROR(VLOOKUP($A760,ItemsImport!$A$2:$AD970,MATCH("Type",ItemsImport!$A$1:$AE$1,0),FALSE),"")</f>
        <v/>
      </c>
      <c r="H760" s="4" t="b">
        <v>0</v>
      </c>
      <c r="I760" s="1" t="str">
        <f>IFERROR(VLOOKUP($A760,ItemsImport!$A$2:$AD970,MATCH("ItemLoc",ItemsImport!$A$1:$AE$1,0),FALSE),"")</f>
        <v/>
      </c>
      <c r="W760" s="1"/>
      <c r="X760" s="1" t="str">
        <f t="shared" si="1"/>
        <v/>
      </c>
    </row>
    <row r="761">
      <c r="A761" s="1"/>
      <c r="B761" s="1" t="str">
        <f>IFERROR(VLOOKUP($A761,ItemsImport!$A$2:$AD970,MATCH("Description",ItemsImport!$A$1:$AE$1,0),FALSE),"")</f>
        <v/>
      </c>
      <c r="C761" s="1" t="str">
        <f>IFERROR(VLOOKUP($A761,ItemsImport!$A$2:$AD970,MATCH("Type",ItemsImport!$A$1:$AE$1,0),FALSE),"")</f>
        <v/>
      </c>
      <c r="H761" s="4" t="b">
        <v>0</v>
      </c>
      <c r="I761" s="1" t="str">
        <f>IFERROR(VLOOKUP($A761,ItemsImport!$A$2:$AD970,MATCH("ItemLoc",ItemsImport!$A$1:$AE$1,0),FALSE),"")</f>
        <v/>
      </c>
      <c r="W761" s="1"/>
      <c r="X761" s="1" t="str">
        <f t="shared" si="1"/>
        <v/>
      </c>
    </row>
    <row r="762">
      <c r="A762" s="1"/>
      <c r="B762" s="1" t="str">
        <f>IFERROR(VLOOKUP($A762,ItemsImport!$A$2:$AD970,MATCH("Description",ItemsImport!$A$1:$AE$1,0),FALSE),"")</f>
        <v/>
      </c>
      <c r="C762" s="1" t="str">
        <f>IFERROR(VLOOKUP($A762,ItemsImport!$A$2:$AD970,MATCH("Type",ItemsImport!$A$1:$AE$1,0),FALSE),"")</f>
        <v/>
      </c>
      <c r="H762" s="4" t="b">
        <v>0</v>
      </c>
      <c r="I762" s="1" t="str">
        <f>IFERROR(VLOOKUP($A762,ItemsImport!$A$2:$AD970,MATCH("ItemLoc",ItemsImport!$A$1:$AE$1,0),FALSE),"")</f>
        <v/>
      </c>
      <c r="W762" s="1"/>
      <c r="X762" s="1" t="str">
        <f t="shared" si="1"/>
        <v/>
      </c>
    </row>
    <row r="763">
      <c r="A763" s="1"/>
      <c r="B763" s="1" t="str">
        <f>IFERROR(VLOOKUP($A763,ItemsImport!$A$2:$AD970,MATCH("Description",ItemsImport!$A$1:$AE$1,0),FALSE),"")</f>
        <v/>
      </c>
      <c r="C763" s="1" t="str">
        <f>IFERROR(VLOOKUP($A763,ItemsImport!$A$2:$AD970,MATCH("Type",ItemsImport!$A$1:$AE$1,0),FALSE),"")</f>
        <v/>
      </c>
      <c r="H763" s="4" t="b">
        <v>0</v>
      </c>
      <c r="I763" s="1" t="str">
        <f>IFERROR(VLOOKUP($A763,ItemsImport!$A$2:$AD970,MATCH("ItemLoc",ItemsImport!$A$1:$AE$1,0),FALSE),"")</f>
        <v/>
      </c>
      <c r="W763" s="1"/>
      <c r="X763" s="1" t="str">
        <f t="shared" si="1"/>
        <v/>
      </c>
    </row>
    <row r="764">
      <c r="A764" s="1"/>
      <c r="B764" s="1" t="str">
        <f>IFERROR(VLOOKUP($A764,ItemsImport!$A$2:$AD970,MATCH("Description",ItemsImport!$A$1:$AE$1,0),FALSE),"")</f>
        <v/>
      </c>
      <c r="C764" s="1" t="str">
        <f>IFERROR(VLOOKUP($A764,ItemsImport!$A$2:$AD970,MATCH("Type",ItemsImport!$A$1:$AE$1,0),FALSE),"")</f>
        <v/>
      </c>
      <c r="H764" s="4" t="b">
        <v>0</v>
      </c>
      <c r="I764" s="1" t="str">
        <f>IFERROR(VLOOKUP($A764,ItemsImport!$A$2:$AD970,MATCH("ItemLoc",ItemsImport!$A$1:$AE$1,0),FALSE),"")</f>
        <v/>
      </c>
      <c r="W764" s="1"/>
      <c r="X764" s="1" t="str">
        <f t="shared" si="1"/>
        <v/>
      </c>
    </row>
    <row r="765">
      <c r="A765" s="1"/>
      <c r="B765" s="1" t="str">
        <f>IFERROR(VLOOKUP($A765,ItemsImport!$A$2:$AD970,MATCH("Description",ItemsImport!$A$1:$AE$1,0),FALSE),"")</f>
        <v/>
      </c>
      <c r="C765" s="1" t="str">
        <f>IFERROR(VLOOKUP($A765,ItemsImport!$A$2:$AD970,MATCH("Type",ItemsImport!$A$1:$AE$1,0),FALSE),"")</f>
        <v/>
      </c>
      <c r="H765" s="4" t="b">
        <v>0</v>
      </c>
      <c r="I765" s="1" t="str">
        <f>IFERROR(VLOOKUP($A765,ItemsImport!$A$2:$AD970,MATCH("ItemLoc",ItemsImport!$A$1:$AE$1,0),FALSE),"")</f>
        <v/>
      </c>
      <c r="W765" s="1"/>
      <c r="X765" s="1" t="str">
        <f t="shared" si="1"/>
        <v/>
      </c>
    </row>
    <row r="766">
      <c r="A766" s="1"/>
      <c r="B766" s="1" t="str">
        <f>IFERROR(VLOOKUP($A766,ItemsImport!$A$2:$AD970,MATCH("Description",ItemsImport!$A$1:$AE$1,0),FALSE),"")</f>
        <v/>
      </c>
      <c r="C766" s="1" t="str">
        <f>IFERROR(VLOOKUP($A766,ItemsImport!$A$2:$AD970,MATCH("Type",ItemsImport!$A$1:$AE$1,0),FALSE),"")</f>
        <v/>
      </c>
      <c r="H766" s="4" t="b">
        <v>0</v>
      </c>
      <c r="I766" s="1" t="str">
        <f>IFERROR(VLOOKUP($A766,ItemsImport!$A$2:$AD970,MATCH("ItemLoc",ItemsImport!$A$1:$AE$1,0),FALSE),"")</f>
        <v/>
      </c>
      <c r="W766" s="1"/>
      <c r="X766" s="1" t="str">
        <f t="shared" si="1"/>
        <v/>
      </c>
    </row>
    <row r="767">
      <c r="A767" s="1"/>
      <c r="B767" s="1" t="str">
        <f>IFERROR(VLOOKUP($A767,ItemsImport!$A$2:$AD970,MATCH("Description",ItemsImport!$A$1:$AE$1,0),FALSE),"")</f>
        <v/>
      </c>
      <c r="C767" s="1" t="str">
        <f>IFERROR(VLOOKUP($A767,ItemsImport!$A$2:$AD970,MATCH("Type",ItemsImport!$A$1:$AE$1,0),FALSE),"")</f>
        <v/>
      </c>
      <c r="H767" s="4" t="b">
        <v>0</v>
      </c>
      <c r="I767" s="1" t="str">
        <f>IFERROR(VLOOKUP($A767,ItemsImport!$A$2:$AD970,MATCH("ItemLoc",ItemsImport!$A$1:$AE$1,0),FALSE),"")</f>
        <v/>
      </c>
      <c r="W767" s="1"/>
      <c r="X767" s="1" t="str">
        <f t="shared" si="1"/>
        <v/>
      </c>
    </row>
    <row r="768">
      <c r="A768" s="1"/>
      <c r="B768" s="1" t="str">
        <f>IFERROR(VLOOKUP($A768,ItemsImport!$A$2:$AD970,MATCH("Description",ItemsImport!$A$1:$AE$1,0),FALSE),"")</f>
        <v/>
      </c>
      <c r="C768" s="1" t="str">
        <f>IFERROR(VLOOKUP($A768,ItemsImport!$A$2:$AD970,MATCH("Type",ItemsImport!$A$1:$AE$1,0),FALSE),"")</f>
        <v/>
      </c>
      <c r="H768" s="4" t="b">
        <v>0</v>
      </c>
      <c r="I768" s="1" t="str">
        <f>IFERROR(VLOOKUP($A768,ItemsImport!$A$2:$AD970,MATCH("ItemLoc",ItemsImport!$A$1:$AE$1,0),FALSE),"")</f>
        <v/>
      </c>
      <c r="W768" s="1"/>
      <c r="X768" s="1" t="str">
        <f t="shared" si="1"/>
        <v/>
      </c>
    </row>
    <row r="769">
      <c r="A769" s="1"/>
      <c r="B769" s="1" t="str">
        <f>IFERROR(VLOOKUP($A769,ItemsImport!$A$2:$AD970,MATCH("Description",ItemsImport!$A$1:$AE$1,0),FALSE),"")</f>
        <v/>
      </c>
      <c r="C769" s="1" t="str">
        <f>IFERROR(VLOOKUP($A769,ItemsImport!$A$2:$AD970,MATCH("Type",ItemsImport!$A$1:$AE$1,0),FALSE),"")</f>
        <v/>
      </c>
      <c r="H769" s="4" t="b">
        <v>0</v>
      </c>
      <c r="I769" s="1" t="str">
        <f>IFERROR(VLOOKUP($A769,ItemsImport!$A$2:$AD970,MATCH("ItemLoc",ItemsImport!$A$1:$AE$1,0),FALSE),"")</f>
        <v/>
      </c>
      <c r="W769" s="1"/>
      <c r="X769" s="1" t="str">
        <f t="shared" si="1"/>
        <v/>
      </c>
    </row>
    <row r="770">
      <c r="A770" s="1"/>
      <c r="B770" s="1" t="str">
        <f>IFERROR(VLOOKUP($A770,ItemsImport!$A$2:$AD970,MATCH("Description",ItemsImport!$A$1:$AE$1,0),FALSE),"")</f>
        <v/>
      </c>
      <c r="C770" s="1" t="str">
        <f>IFERROR(VLOOKUP($A770,ItemsImport!$A$2:$AD970,MATCH("Type",ItemsImport!$A$1:$AE$1,0),FALSE),"")</f>
        <v/>
      </c>
      <c r="H770" s="4" t="b">
        <v>0</v>
      </c>
      <c r="I770" s="1" t="str">
        <f>IFERROR(VLOOKUP($A770,ItemsImport!$A$2:$AD970,MATCH("ItemLoc",ItemsImport!$A$1:$AE$1,0),FALSE),"")</f>
        <v/>
      </c>
      <c r="W770" s="1"/>
      <c r="X770" s="1" t="str">
        <f t="shared" si="1"/>
        <v/>
      </c>
    </row>
    <row r="771">
      <c r="A771" s="1"/>
      <c r="B771" s="1" t="str">
        <f>IFERROR(VLOOKUP($A771,ItemsImport!$A$2:$AD970,MATCH("Description",ItemsImport!$A$1:$AE$1,0),FALSE),"")</f>
        <v/>
      </c>
      <c r="C771" s="1" t="str">
        <f>IFERROR(VLOOKUP($A771,ItemsImport!$A$2:$AD970,MATCH("Type",ItemsImport!$A$1:$AE$1,0),FALSE),"")</f>
        <v/>
      </c>
      <c r="H771" s="4" t="b">
        <v>0</v>
      </c>
      <c r="I771" s="1" t="str">
        <f>IFERROR(VLOOKUP($A771,ItemsImport!$A$2:$AD970,MATCH("ItemLoc",ItemsImport!$A$1:$AE$1,0),FALSE),"")</f>
        <v/>
      </c>
      <c r="W771" s="1"/>
      <c r="X771" s="1" t="str">
        <f t="shared" si="1"/>
        <v/>
      </c>
    </row>
    <row r="772">
      <c r="A772" s="1"/>
      <c r="B772" s="1" t="str">
        <f>IFERROR(VLOOKUP($A772,ItemsImport!$A$2:$AD970,MATCH("Description",ItemsImport!$A$1:$AE$1,0),FALSE),"")</f>
        <v/>
      </c>
      <c r="C772" s="1" t="str">
        <f>IFERROR(VLOOKUP($A772,ItemsImport!$A$2:$AD970,MATCH("Type",ItemsImport!$A$1:$AE$1,0),FALSE),"")</f>
        <v/>
      </c>
      <c r="H772" s="4" t="b">
        <v>0</v>
      </c>
      <c r="I772" s="1" t="str">
        <f>IFERROR(VLOOKUP($A772,ItemsImport!$A$2:$AD970,MATCH("ItemLoc",ItemsImport!$A$1:$AE$1,0),FALSE),"")</f>
        <v/>
      </c>
      <c r="W772" s="1"/>
      <c r="X772" s="1" t="str">
        <f t="shared" si="1"/>
        <v/>
      </c>
    </row>
    <row r="773">
      <c r="A773" s="1"/>
      <c r="B773" s="1" t="str">
        <f>IFERROR(VLOOKUP($A773,ItemsImport!$A$2:$AD970,MATCH("Description",ItemsImport!$A$1:$AE$1,0),FALSE),"")</f>
        <v/>
      </c>
      <c r="C773" s="1" t="str">
        <f>IFERROR(VLOOKUP($A773,ItemsImport!$A$2:$AD970,MATCH("Type",ItemsImport!$A$1:$AE$1,0),FALSE),"")</f>
        <v/>
      </c>
      <c r="H773" s="4" t="b">
        <v>0</v>
      </c>
      <c r="I773" s="1" t="str">
        <f>IFERROR(VLOOKUP($A773,ItemsImport!$A$2:$AD970,MATCH("ItemLoc",ItemsImport!$A$1:$AE$1,0),FALSE),"")</f>
        <v/>
      </c>
      <c r="W773" s="1"/>
      <c r="X773" s="1" t="str">
        <f t="shared" si="1"/>
        <v/>
      </c>
    </row>
    <row r="774">
      <c r="A774" s="1"/>
      <c r="B774" s="1" t="str">
        <f>IFERROR(VLOOKUP($A774,ItemsImport!$A$2:$AD970,MATCH("Description",ItemsImport!$A$1:$AE$1,0),FALSE),"")</f>
        <v/>
      </c>
      <c r="C774" s="1" t="str">
        <f>IFERROR(VLOOKUP($A774,ItemsImport!$A$2:$AD970,MATCH("Type",ItemsImport!$A$1:$AE$1,0),FALSE),"")</f>
        <v/>
      </c>
      <c r="H774" s="4" t="b">
        <v>0</v>
      </c>
      <c r="I774" s="1" t="str">
        <f>IFERROR(VLOOKUP($A774,ItemsImport!$A$2:$AD970,MATCH("ItemLoc",ItemsImport!$A$1:$AE$1,0),FALSE),"")</f>
        <v/>
      </c>
      <c r="W774" s="1"/>
      <c r="X774" s="1" t="str">
        <f t="shared" si="1"/>
        <v/>
      </c>
    </row>
    <row r="775">
      <c r="A775" s="1"/>
      <c r="B775" s="1" t="str">
        <f>IFERROR(VLOOKUP($A775,ItemsImport!$A$2:$AD970,MATCH("Description",ItemsImport!$A$1:$AE$1,0),FALSE),"")</f>
        <v/>
      </c>
      <c r="C775" s="1" t="str">
        <f>IFERROR(VLOOKUP($A775,ItemsImport!$A$2:$AD970,MATCH("Type",ItemsImport!$A$1:$AE$1,0),FALSE),"")</f>
        <v/>
      </c>
      <c r="H775" s="4" t="b">
        <v>0</v>
      </c>
      <c r="I775" s="1" t="str">
        <f>IFERROR(VLOOKUP($A775,ItemsImport!$A$2:$AD970,MATCH("ItemLoc",ItemsImport!$A$1:$AE$1,0),FALSE),"")</f>
        <v/>
      </c>
      <c r="W775" s="1"/>
      <c r="X775" s="1" t="str">
        <f t="shared" si="1"/>
        <v/>
      </c>
    </row>
    <row r="776">
      <c r="A776" s="1"/>
      <c r="B776" s="1" t="str">
        <f>IFERROR(VLOOKUP($A776,ItemsImport!$A$2:$AD970,MATCH("Description",ItemsImport!$A$1:$AE$1,0),FALSE),"")</f>
        <v/>
      </c>
      <c r="C776" s="1" t="str">
        <f>IFERROR(VLOOKUP($A776,ItemsImport!$A$2:$AD970,MATCH("Type",ItemsImport!$A$1:$AE$1,0),FALSE),"")</f>
        <v/>
      </c>
      <c r="H776" s="4" t="b">
        <v>0</v>
      </c>
      <c r="I776" s="1" t="str">
        <f>IFERROR(VLOOKUP($A776,ItemsImport!$A$2:$AD970,MATCH("ItemLoc",ItemsImport!$A$1:$AE$1,0),FALSE),"")</f>
        <v/>
      </c>
      <c r="W776" s="1"/>
      <c r="X776" s="1" t="str">
        <f t="shared" si="1"/>
        <v/>
      </c>
    </row>
    <row r="777">
      <c r="A777" s="1"/>
      <c r="B777" s="1" t="str">
        <f>IFERROR(VLOOKUP($A777,ItemsImport!$A$2:$AD970,MATCH("Description",ItemsImport!$A$1:$AE$1,0),FALSE),"")</f>
        <v/>
      </c>
      <c r="C777" s="1" t="str">
        <f>IFERROR(VLOOKUP($A777,ItemsImport!$A$2:$AD970,MATCH("Type",ItemsImport!$A$1:$AE$1,0),FALSE),"")</f>
        <v/>
      </c>
      <c r="H777" s="4" t="b">
        <v>0</v>
      </c>
      <c r="I777" s="1" t="str">
        <f>IFERROR(VLOOKUP($A777,ItemsImport!$A$2:$AD970,MATCH("ItemLoc",ItemsImport!$A$1:$AE$1,0),FALSE),"")</f>
        <v/>
      </c>
      <c r="W777" s="1"/>
      <c r="X777" s="1" t="str">
        <f t="shared" si="1"/>
        <v/>
      </c>
    </row>
    <row r="778">
      <c r="A778" s="1"/>
      <c r="B778" s="1" t="str">
        <f>IFERROR(VLOOKUP($A778,ItemsImport!$A$2:$AD970,MATCH("Description",ItemsImport!$A$1:$AE$1,0),FALSE),"")</f>
        <v/>
      </c>
      <c r="C778" s="1" t="str">
        <f>IFERROR(VLOOKUP($A778,ItemsImport!$A$2:$AD970,MATCH("Type",ItemsImport!$A$1:$AE$1,0),FALSE),"")</f>
        <v/>
      </c>
      <c r="H778" s="4" t="b">
        <v>0</v>
      </c>
      <c r="I778" s="1" t="str">
        <f>IFERROR(VLOOKUP($A778,ItemsImport!$A$2:$AD970,MATCH("ItemLoc",ItemsImport!$A$1:$AE$1,0),FALSE),"")</f>
        <v/>
      </c>
      <c r="W778" s="1"/>
      <c r="X778" s="1" t="str">
        <f t="shared" si="1"/>
        <v/>
      </c>
    </row>
    <row r="779">
      <c r="A779" s="1"/>
      <c r="B779" s="1" t="str">
        <f>IFERROR(VLOOKUP($A779,ItemsImport!$A$2:$AD970,MATCH("Description",ItemsImport!$A$1:$AE$1,0),FALSE),"")</f>
        <v/>
      </c>
      <c r="C779" s="1" t="str">
        <f>IFERROR(VLOOKUP($A779,ItemsImport!$A$2:$AD970,MATCH("Type",ItemsImport!$A$1:$AE$1,0),FALSE),"")</f>
        <v/>
      </c>
      <c r="H779" s="4" t="b">
        <v>0</v>
      </c>
      <c r="I779" s="1" t="str">
        <f>IFERROR(VLOOKUP($A779,ItemsImport!$A$2:$AD970,MATCH("ItemLoc",ItemsImport!$A$1:$AE$1,0),FALSE),"")</f>
        <v/>
      </c>
      <c r="W779" s="1"/>
      <c r="X779" s="1" t="str">
        <f t="shared" si="1"/>
        <v/>
      </c>
    </row>
    <row r="780">
      <c r="A780" s="1"/>
      <c r="B780" s="1" t="str">
        <f>IFERROR(VLOOKUP($A780,ItemsImport!$A$2:$AD970,MATCH("Description",ItemsImport!$A$1:$AE$1,0),FALSE),"")</f>
        <v/>
      </c>
      <c r="C780" s="1" t="str">
        <f>IFERROR(VLOOKUP($A780,ItemsImport!$A$2:$AD970,MATCH("Type",ItemsImport!$A$1:$AE$1,0),FALSE),"")</f>
        <v/>
      </c>
      <c r="H780" s="4" t="b">
        <v>0</v>
      </c>
      <c r="I780" s="1" t="str">
        <f>IFERROR(VLOOKUP($A780,ItemsImport!$A$2:$AD970,MATCH("ItemLoc",ItemsImport!$A$1:$AE$1,0),FALSE),"")</f>
        <v/>
      </c>
      <c r="W780" s="1"/>
      <c r="X780" s="1" t="str">
        <f t="shared" si="1"/>
        <v/>
      </c>
    </row>
    <row r="781">
      <c r="A781" s="1"/>
      <c r="B781" s="1" t="str">
        <f>IFERROR(VLOOKUP($A781,ItemsImport!$A$2:$AD970,MATCH("Description",ItemsImport!$A$1:$AE$1,0),FALSE),"")</f>
        <v/>
      </c>
      <c r="C781" s="1" t="str">
        <f>IFERROR(VLOOKUP($A781,ItemsImport!$A$2:$AD970,MATCH("Type",ItemsImport!$A$1:$AE$1,0),FALSE),"")</f>
        <v/>
      </c>
      <c r="H781" s="4" t="b">
        <v>0</v>
      </c>
      <c r="I781" s="1" t="str">
        <f>IFERROR(VLOOKUP($A781,ItemsImport!$A$2:$AD970,MATCH("ItemLoc",ItemsImport!$A$1:$AE$1,0),FALSE),"")</f>
        <v/>
      </c>
      <c r="W781" s="1"/>
      <c r="X781" s="1" t="str">
        <f t="shared" si="1"/>
        <v/>
      </c>
    </row>
    <row r="782">
      <c r="A782" s="1"/>
      <c r="B782" s="1" t="str">
        <f>IFERROR(VLOOKUP($A782,ItemsImport!$A$2:$AD970,MATCH("Description",ItemsImport!$A$1:$AE$1,0),FALSE),"")</f>
        <v/>
      </c>
      <c r="C782" s="1" t="str">
        <f>IFERROR(VLOOKUP($A782,ItemsImport!$A$2:$AD970,MATCH("Type",ItemsImport!$A$1:$AE$1,0),FALSE),"")</f>
        <v/>
      </c>
      <c r="H782" s="4" t="b">
        <v>0</v>
      </c>
      <c r="I782" s="1" t="str">
        <f>IFERROR(VLOOKUP($A782,ItemsImport!$A$2:$AD970,MATCH("ItemLoc",ItemsImport!$A$1:$AE$1,0),FALSE),"")</f>
        <v/>
      </c>
      <c r="W782" s="1"/>
      <c r="X782" s="1" t="str">
        <f t="shared" si="1"/>
        <v/>
      </c>
    </row>
    <row r="783">
      <c r="A783" s="1"/>
      <c r="B783" s="1" t="str">
        <f>IFERROR(VLOOKUP($A783,ItemsImport!$A$2:$AD970,MATCH("Description",ItemsImport!$A$1:$AE$1,0),FALSE),"")</f>
        <v/>
      </c>
      <c r="C783" s="1" t="str">
        <f>IFERROR(VLOOKUP($A783,ItemsImport!$A$2:$AD970,MATCH("Type",ItemsImport!$A$1:$AE$1,0),FALSE),"")</f>
        <v/>
      </c>
      <c r="H783" s="4" t="b">
        <v>0</v>
      </c>
      <c r="I783" s="1" t="str">
        <f>IFERROR(VLOOKUP($A783,ItemsImport!$A$2:$AD970,MATCH("ItemLoc",ItemsImport!$A$1:$AE$1,0),FALSE),"")</f>
        <v/>
      </c>
      <c r="W783" s="1"/>
      <c r="X783" s="1" t="str">
        <f t="shared" si="1"/>
        <v/>
      </c>
    </row>
    <row r="784">
      <c r="A784" s="1"/>
      <c r="B784" s="1" t="str">
        <f>IFERROR(VLOOKUP($A784,ItemsImport!$A$2:$AD970,MATCH("Description",ItemsImport!$A$1:$AE$1,0),FALSE),"")</f>
        <v/>
      </c>
      <c r="C784" s="1" t="str">
        <f>IFERROR(VLOOKUP($A784,ItemsImport!$A$2:$AD970,MATCH("Type",ItemsImport!$A$1:$AE$1,0),FALSE),"")</f>
        <v/>
      </c>
      <c r="H784" s="4" t="b">
        <v>0</v>
      </c>
      <c r="I784" s="1" t="str">
        <f>IFERROR(VLOOKUP($A784,ItemsImport!$A$2:$AD970,MATCH("ItemLoc",ItemsImport!$A$1:$AE$1,0),FALSE),"")</f>
        <v/>
      </c>
      <c r="W784" s="1"/>
      <c r="X784" s="1" t="str">
        <f t="shared" si="1"/>
        <v/>
      </c>
    </row>
    <row r="785">
      <c r="A785" s="1"/>
      <c r="B785" s="1" t="str">
        <f>IFERROR(VLOOKUP($A785,ItemsImport!$A$2:$AD970,MATCH("Description",ItemsImport!$A$1:$AE$1,0),FALSE),"")</f>
        <v/>
      </c>
      <c r="C785" s="1" t="str">
        <f>IFERROR(VLOOKUP($A785,ItemsImport!$A$2:$AD970,MATCH("Type",ItemsImport!$A$1:$AE$1,0),FALSE),"")</f>
        <v/>
      </c>
      <c r="H785" s="4" t="b">
        <v>0</v>
      </c>
      <c r="I785" s="1" t="str">
        <f>IFERROR(VLOOKUP($A785,ItemsImport!$A$2:$AD970,MATCH("ItemLoc",ItemsImport!$A$1:$AE$1,0),FALSE),"")</f>
        <v/>
      </c>
      <c r="W785" s="1"/>
      <c r="X785" s="1" t="str">
        <f t="shared" si="1"/>
        <v/>
      </c>
    </row>
    <row r="786">
      <c r="A786" s="1"/>
      <c r="B786" s="1" t="str">
        <f>IFERROR(VLOOKUP($A786,ItemsImport!$A$2:$AD970,MATCH("Description",ItemsImport!$A$1:$AE$1,0),FALSE),"")</f>
        <v/>
      </c>
      <c r="C786" s="1" t="str">
        <f>IFERROR(VLOOKUP($A786,ItemsImport!$A$2:$AD970,MATCH("Type",ItemsImport!$A$1:$AE$1,0),FALSE),"")</f>
        <v/>
      </c>
      <c r="H786" s="4" t="b">
        <v>0</v>
      </c>
      <c r="I786" s="1" t="str">
        <f>IFERROR(VLOOKUP($A786,ItemsImport!$A$2:$AD970,MATCH("ItemLoc",ItemsImport!$A$1:$AE$1,0),FALSE),"")</f>
        <v/>
      </c>
      <c r="W786" s="1"/>
      <c r="X786" s="1" t="str">
        <f t="shared" si="1"/>
        <v/>
      </c>
    </row>
    <row r="787">
      <c r="A787" s="1"/>
      <c r="B787" s="1" t="str">
        <f>IFERROR(VLOOKUP($A787,ItemsImport!$A$2:$AD970,MATCH("Description",ItemsImport!$A$1:$AE$1,0),FALSE),"")</f>
        <v/>
      </c>
      <c r="C787" s="1" t="str">
        <f>IFERROR(VLOOKUP($A787,ItemsImport!$A$2:$AD970,MATCH("Type",ItemsImport!$A$1:$AE$1,0),FALSE),"")</f>
        <v/>
      </c>
      <c r="H787" s="4" t="b">
        <v>0</v>
      </c>
      <c r="I787" s="1" t="str">
        <f>IFERROR(VLOOKUP($A787,ItemsImport!$A$2:$AD970,MATCH("ItemLoc",ItemsImport!$A$1:$AE$1,0),FALSE),"")</f>
        <v/>
      </c>
      <c r="W787" s="1"/>
      <c r="X787" s="1" t="str">
        <f t="shared" si="1"/>
        <v/>
      </c>
    </row>
    <row r="788">
      <c r="A788" s="1"/>
      <c r="B788" s="1" t="str">
        <f>IFERROR(VLOOKUP($A788,ItemsImport!$A$2:$AD970,MATCH("Description",ItemsImport!$A$1:$AE$1,0),FALSE),"")</f>
        <v/>
      </c>
      <c r="C788" s="1" t="str">
        <f>IFERROR(VLOOKUP($A788,ItemsImport!$A$2:$AD970,MATCH("Type",ItemsImport!$A$1:$AE$1,0),FALSE),"")</f>
        <v/>
      </c>
      <c r="H788" s="4" t="b">
        <v>0</v>
      </c>
      <c r="I788" s="1" t="str">
        <f>IFERROR(VLOOKUP($A788,ItemsImport!$A$2:$AD970,MATCH("ItemLoc",ItemsImport!$A$1:$AE$1,0),FALSE),"")</f>
        <v/>
      </c>
      <c r="W788" s="1"/>
      <c r="X788" s="1" t="str">
        <f t="shared" si="1"/>
        <v/>
      </c>
    </row>
    <row r="789">
      <c r="A789" s="1"/>
      <c r="B789" s="1" t="str">
        <f>IFERROR(VLOOKUP($A789,ItemsImport!$A$2:$AD970,MATCH("Description",ItemsImport!$A$1:$AE$1,0),FALSE),"")</f>
        <v/>
      </c>
      <c r="C789" s="1" t="str">
        <f>IFERROR(VLOOKUP($A789,ItemsImport!$A$2:$AD970,MATCH("Type",ItemsImport!$A$1:$AE$1,0),FALSE),"")</f>
        <v/>
      </c>
      <c r="H789" s="4" t="b">
        <v>0</v>
      </c>
      <c r="I789" s="1" t="str">
        <f>IFERROR(VLOOKUP($A789,ItemsImport!$A$2:$AD970,MATCH("ItemLoc",ItemsImport!$A$1:$AE$1,0),FALSE),"")</f>
        <v/>
      </c>
      <c r="W789" s="1"/>
      <c r="X789" s="1" t="str">
        <f t="shared" si="1"/>
        <v/>
      </c>
    </row>
    <row r="790">
      <c r="A790" s="1"/>
      <c r="B790" s="1" t="str">
        <f>IFERROR(VLOOKUP($A790,ItemsImport!$A$2:$AD970,MATCH("Description",ItemsImport!$A$1:$AE$1,0),FALSE),"")</f>
        <v/>
      </c>
      <c r="C790" s="1" t="str">
        <f>IFERROR(VLOOKUP($A790,ItemsImport!$A$2:$AD970,MATCH("Type",ItemsImport!$A$1:$AE$1,0),FALSE),"")</f>
        <v/>
      </c>
      <c r="H790" s="4" t="b">
        <v>0</v>
      </c>
      <c r="I790" s="1" t="str">
        <f>IFERROR(VLOOKUP($A790,ItemsImport!$A$2:$AD970,MATCH("ItemLoc",ItemsImport!$A$1:$AE$1,0),FALSE),"")</f>
        <v/>
      </c>
      <c r="W790" s="1"/>
      <c r="X790" s="1" t="str">
        <f t="shared" si="1"/>
        <v/>
      </c>
    </row>
    <row r="791">
      <c r="A791" s="1"/>
      <c r="B791" s="1" t="str">
        <f>IFERROR(VLOOKUP($A791,ItemsImport!$A$2:$AD970,MATCH("Description",ItemsImport!$A$1:$AE$1,0),FALSE),"")</f>
        <v/>
      </c>
      <c r="C791" s="1" t="str">
        <f>IFERROR(VLOOKUP($A791,ItemsImport!$A$2:$AD970,MATCH("Type",ItemsImport!$A$1:$AE$1,0),FALSE),"")</f>
        <v/>
      </c>
      <c r="H791" s="4" t="b">
        <v>0</v>
      </c>
      <c r="I791" s="1" t="str">
        <f>IFERROR(VLOOKUP($A791,ItemsImport!$A$2:$AD970,MATCH("ItemLoc",ItemsImport!$A$1:$AE$1,0),FALSE),"")</f>
        <v/>
      </c>
      <c r="W791" s="1"/>
      <c r="X791" s="1" t="str">
        <f t="shared" si="1"/>
        <v/>
      </c>
    </row>
    <row r="792">
      <c r="A792" s="1"/>
      <c r="B792" s="1" t="str">
        <f>IFERROR(VLOOKUP($A792,ItemsImport!$A$2:$AD970,MATCH("Description",ItemsImport!$A$1:$AE$1,0),FALSE),"")</f>
        <v/>
      </c>
      <c r="C792" s="1" t="str">
        <f>IFERROR(VLOOKUP($A792,ItemsImport!$A$2:$AD970,MATCH("Type",ItemsImport!$A$1:$AE$1,0),FALSE),"")</f>
        <v/>
      </c>
      <c r="H792" s="4" t="b">
        <v>0</v>
      </c>
      <c r="I792" s="1" t="str">
        <f>IFERROR(VLOOKUP($A792,ItemsImport!$A$2:$AD970,MATCH("ItemLoc",ItemsImport!$A$1:$AE$1,0),FALSE),"")</f>
        <v/>
      </c>
      <c r="W792" s="1"/>
      <c r="X792" s="1" t="str">
        <f t="shared" si="1"/>
        <v/>
      </c>
    </row>
    <row r="793">
      <c r="A793" s="1"/>
      <c r="B793" s="1" t="str">
        <f>IFERROR(VLOOKUP($A793,ItemsImport!$A$2:$AD970,MATCH("Description",ItemsImport!$A$1:$AE$1,0),FALSE),"")</f>
        <v/>
      </c>
      <c r="C793" s="1" t="str">
        <f>IFERROR(VLOOKUP($A793,ItemsImport!$A$2:$AD970,MATCH("Type",ItemsImport!$A$1:$AE$1,0),FALSE),"")</f>
        <v/>
      </c>
      <c r="H793" s="4" t="b">
        <v>0</v>
      </c>
      <c r="I793" s="1" t="str">
        <f>IFERROR(VLOOKUP($A793,ItemsImport!$A$2:$AD970,MATCH("ItemLoc",ItemsImport!$A$1:$AE$1,0),FALSE),"")</f>
        <v/>
      </c>
      <c r="W793" s="1"/>
      <c r="X793" s="1" t="str">
        <f t="shared" si="1"/>
        <v/>
      </c>
    </row>
    <row r="794">
      <c r="A794" s="1"/>
      <c r="B794" s="1" t="str">
        <f>IFERROR(VLOOKUP($A794,ItemsImport!$A$2:$AD970,MATCH("Description",ItemsImport!$A$1:$AE$1,0),FALSE),"")</f>
        <v/>
      </c>
      <c r="C794" s="1" t="str">
        <f>IFERROR(VLOOKUP($A794,ItemsImport!$A$2:$AD970,MATCH("Type",ItemsImport!$A$1:$AE$1,0),FALSE),"")</f>
        <v/>
      </c>
      <c r="H794" s="4" t="b">
        <v>0</v>
      </c>
      <c r="I794" s="1" t="str">
        <f>IFERROR(VLOOKUP($A794,ItemsImport!$A$2:$AD970,MATCH("ItemLoc",ItemsImport!$A$1:$AE$1,0),FALSE),"")</f>
        <v/>
      </c>
      <c r="W794" s="1"/>
      <c r="X794" s="1" t="str">
        <f t="shared" si="1"/>
        <v/>
      </c>
    </row>
    <row r="795">
      <c r="A795" s="1"/>
      <c r="B795" s="1" t="str">
        <f>IFERROR(VLOOKUP($A795,ItemsImport!$A$2:$AD970,MATCH("Description",ItemsImport!$A$1:$AE$1,0),FALSE),"")</f>
        <v/>
      </c>
      <c r="C795" s="1" t="str">
        <f>IFERROR(VLOOKUP($A795,ItemsImport!$A$2:$AD970,MATCH("Type",ItemsImport!$A$1:$AE$1,0),FALSE),"")</f>
        <v/>
      </c>
      <c r="H795" s="4" t="b">
        <v>0</v>
      </c>
      <c r="I795" s="1" t="str">
        <f>IFERROR(VLOOKUP($A795,ItemsImport!$A$2:$AD970,MATCH("ItemLoc",ItemsImport!$A$1:$AE$1,0),FALSE),"")</f>
        <v/>
      </c>
      <c r="W795" s="1"/>
      <c r="X795" s="1" t="str">
        <f t="shared" si="1"/>
        <v/>
      </c>
    </row>
    <row r="796">
      <c r="A796" s="1"/>
      <c r="B796" s="1" t="str">
        <f>IFERROR(VLOOKUP($A796,ItemsImport!$A$2:$AD970,MATCH("Description",ItemsImport!$A$1:$AE$1,0),FALSE),"")</f>
        <v/>
      </c>
      <c r="C796" s="1" t="str">
        <f>IFERROR(VLOOKUP($A796,ItemsImport!$A$2:$AD970,MATCH("Type",ItemsImport!$A$1:$AE$1,0),FALSE),"")</f>
        <v/>
      </c>
      <c r="H796" s="4" t="b">
        <v>0</v>
      </c>
      <c r="I796" s="1" t="str">
        <f>IFERROR(VLOOKUP($A796,ItemsImport!$A$2:$AD970,MATCH("ItemLoc",ItemsImport!$A$1:$AE$1,0),FALSE),"")</f>
        <v/>
      </c>
      <c r="W796" s="1"/>
      <c r="X796" s="1" t="str">
        <f t="shared" si="1"/>
        <v/>
      </c>
    </row>
    <row r="797">
      <c r="A797" s="1"/>
      <c r="B797" s="1" t="str">
        <f>IFERROR(VLOOKUP($A797,ItemsImport!$A$2:$AD970,MATCH("Description",ItemsImport!$A$1:$AE$1,0),FALSE),"")</f>
        <v/>
      </c>
      <c r="C797" s="1" t="str">
        <f>IFERROR(VLOOKUP($A797,ItemsImport!$A$2:$AD970,MATCH("Type",ItemsImport!$A$1:$AE$1,0),FALSE),"")</f>
        <v/>
      </c>
      <c r="H797" s="4" t="b">
        <v>0</v>
      </c>
      <c r="I797" s="1" t="str">
        <f>IFERROR(VLOOKUP($A797,ItemsImport!$A$2:$AD970,MATCH("ItemLoc",ItemsImport!$A$1:$AE$1,0),FALSE),"")</f>
        <v/>
      </c>
      <c r="W797" s="1"/>
      <c r="X797" s="1" t="str">
        <f t="shared" si="1"/>
        <v/>
      </c>
    </row>
    <row r="798">
      <c r="A798" s="1"/>
      <c r="B798" s="1" t="str">
        <f>IFERROR(VLOOKUP($A798,ItemsImport!$A$2:$AD970,MATCH("Description",ItemsImport!$A$1:$AE$1,0),FALSE),"")</f>
        <v/>
      </c>
      <c r="C798" s="1" t="str">
        <f>IFERROR(VLOOKUP($A798,ItemsImport!$A$2:$AD970,MATCH("Type",ItemsImport!$A$1:$AE$1,0),FALSE),"")</f>
        <v/>
      </c>
      <c r="H798" s="4" t="b">
        <v>0</v>
      </c>
      <c r="I798" s="1" t="str">
        <f>IFERROR(VLOOKUP($A798,ItemsImport!$A$2:$AD970,MATCH("ItemLoc",ItemsImport!$A$1:$AE$1,0),FALSE),"")</f>
        <v/>
      </c>
      <c r="W798" s="1"/>
      <c r="X798" s="1" t="str">
        <f t="shared" si="1"/>
        <v/>
      </c>
    </row>
    <row r="799">
      <c r="A799" s="1"/>
      <c r="B799" s="1" t="str">
        <f>IFERROR(VLOOKUP($A799,ItemsImport!$A$2:$AD970,MATCH("Description",ItemsImport!$A$1:$AE$1,0),FALSE),"")</f>
        <v/>
      </c>
      <c r="C799" s="1" t="str">
        <f>IFERROR(VLOOKUP($A799,ItemsImport!$A$2:$AD970,MATCH("Type",ItemsImport!$A$1:$AE$1,0),FALSE),"")</f>
        <v/>
      </c>
      <c r="H799" s="4" t="b">
        <v>0</v>
      </c>
      <c r="I799" s="1" t="str">
        <f>IFERROR(VLOOKUP($A799,ItemsImport!$A$2:$AD970,MATCH("ItemLoc",ItemsImport!$A$1:$AE$1,0),FALSE),"")</f>
        <v/>
      </c>
      <c r="W799" s="1"/>
      <c r="X799" s="1" t="str">
        <f t="shared" si="1"/>
        <v/>
      </c>
    </row>
    <row r="800">
      <c r="A800" s="1"/>
      <c r="B800" s="1" t="str">
        <f>IFERROR(VLOOKUP($A800,ItemsImport!$A$2:$AD970,MATCH("Description",ItemsImport!$A$1:$AE$1,0),FALSE),"")</f>
        <v/>
      </c>
      <c r="C800" s="1" t="str">
        <f>IFERROR(VLOOKUP($A800,ItemsImport!$A$2:$AD970,MATCH("Type",ItemsImport!$A$1:$AE$1,0),FALSE),"")</f>
        <v/>
      </c>
      <c r="H800" s="4" t="b">
        <v>0</v>
      </c>
      <c r="I800" s="1" t="str">
        <f>IFERROR(VLOOKUP($A800,ItemsImport!$A$2:$AD970,MATCH("ItemLoc",ItemsImport!$A$1:$AE$1,0),FALSE),"")</f>
        <v/>
      </c>
      <c r="W800" s="1"/>
      <c r="X800" s="1" t="str">
        <f t="shared" si="1"/>
        <v/>
      </c>
    </row>
    <row r="801">
      <c r="A801" s="1"/>
      <c r="B801" s="1" t="str">
        <f>IFERROR(VLOOKUP($A801,ItemsImport!$A$2:$AD970,MATCH("Description",ItemsImport!$A$1:$AE$1,0),FALSE),"")</f>
        <v/>
      </c>
      <c r="C801" s="1" t="str">
        <f>IFERROR(VLOOKUP($A801,ItemsImport!$A$2:$AD970,MATCH("Type",ItemsImport!$A$1:$AE$1,0),FALSE),"")</f>
        <v/>
      </c>
      <c r="H801" s="4" t="b">
        <v>0</v>
      </c>
      <c r="I801" s="1" t="str">
        <f>IFERROR(VLOOKUP($A801,ItemsImport!$A$2:$AD970,MATCH("ItemLoc",ItemsImport!$A$1:$AE$1,0),FALSE),"")</f>
        <v/>
      </c>
      <c r="W801" s="1"/>
      <c r="X801" s="1" t="str">
        <f t="shared" si="1"/>
        <v/>
      </c>
    </row>
    <row r="802">
      <c r="A802" s="1"/>
      <c r="B802" s="1" t="str">
        <f>IFERROR(VLOOKUP($A802,ItemsImport!$A$2:$AD970,MATCH("Description",ItemsImport!$A$1:$AE$1,0),FALSE),"")</f>
        <v/>
      </c>
      <c r="C802" s="1" t="str">
        <f>IFERROR(VLOOKUP($A802,ItemsImport!$A$2:$AD970,MATCH("Type",ItemsImport!$A$1:$AE$1,0),FALSE),"")</f>
        <v/>
      </c>
      <c r="H802" s="4" t="b">
        <v>0</v>
      </c>
      <c r="I802" s="1" t="str">
        <f>IFERROR(VLOOKUP($A802,ItemsImport!$A$2:$AD970,MATCH("ItemLoc",ItemsImport!$A$1:$AE$1,0),FALSE),"")</f>
        <v/>
      </c>
      <c r="W802" s="1"/>
      <c r="X802" s="1" t="str">
        <f t="shared" si="1"/>
        <v/>
      </c>
    </row>
    <row r="803">
      <c r="A803" s="1"/>
      <c r="B803" s="1" t="str">
        <f>IFERROR(VLOOKUP($A803,ItemsImport!$A$2:$AD970,MATCH("Description",ItemsImport!$A$1:$AE$1,0),FALSE),"")</f>
        <v/>
      </c>
      <c r="C803" s="1" t="str">
        <f>IFERROR(VLOOKUP($A803,ItemsImport!$A$2:$AD970,MATCH("Type",ItemsImport!$A$1:$AE$1,0),FALSE),"")</f>
        <v/>
      </c>
      <c r="H803" s="4" t="b">
        <v>0</v>
      </c>
      <c r="I803" s="1" t="str">
        <f>IFERROR(VLOOKUP($A803,ItemsImport!$A$2:$AD970,MATCH("ItemLoc",ItemsImport!$A$1:$AE$1,0),FALSE),"")</f>
        <v/>
      </c>
      <c r="W803" s="1"/>
      <c r="X803" s="1" t="str">
        <f t="shared" si="1"/>
        <v/>
      </c>
    </row>
    <row r="804">
      <c r="A804" s="1"/>
      <c r="B804" s="1" t="str">
        <f>IFERROR(VLOOKUP($A804,ItemsImport!$A$2:$AD970,MATCH("Description",ItemsImport!$A$1:$AE$1,0),FALSE),"")</f>
        <v/>
      </c>
      <c r="C804" s="1" t="str">
        <f>IFERROR(VLOOKUP($A804,ItemsImport!$A$2:$AD970,MATCH("Type",ItemsImport!$A$1:$AE$1,0),FALSE),"")</f>
        <v/>
      </c>
      <c r="H804" s="4" t="b">
        <v>0</v>
      </c>
      <c r="I804" s="1" t="str">
        <f>IFERROR(VLOOKUP($A804,ItemsImport!$A$2:$AD970,MATCH("ItemLoc",ItemsImport!$A$1:$AE$1,0),FALSE),"")</f>
        <v/>
      </c>
      <c r="W804" s="1"/>
      <c r="X804" s="1" t="str">
        <f t="shared" si="1"/>
        <v/>
      </c>
    </row>
    <row r="805">
      <c r="A805" s="1"/>
      <c r="B805" s="1" t="str">
        <f>IFERROR(VLOOKUP($A805,ItemsImport!$A$2:$AD970,MATCH("Description",ItemsImport!$A$1:$AE$1,0),FALSE),"")</f>
        <v/>
      </c>
      <c r="C805" s="1" t="str">
        <f>IFERROR(VLOOKUP($A805,ItemsImport!$A$2:$AD970,MATCH("Type",ItemsImport!$A$1:$AE$1,0),FALSE),"")</f>
        <v/>
      </c>
      <c r="H805" s="4" t="b">
        <v>0</v>
      </c>
      <c r="I805" s="1" t="str">
        <f>IFERROR(VLOOKUP($A805,ItemsImport!$A$2:$AD970,MATCH("ItemLoc",ItemsImport!$A$1:$AE$1,0),FALSE),"")</f>
        <v/>
      </c>
      <c r="W805" s="1"/>
      <c r="X805" s="1" t="str">
        <f t="shared" si="1"/>
        <v/>
      </c>
    </row>
    <row r="806">
      <c r="A806" s="1"/>
      <c r="B806" s="1" t="str">
        <f>IFERROR(VLOOKUP($A806,ItemsImport!$A$2:$AD970,MATCH("Description",ItemsImport!$A$1:$AE$1,0),FALSE),"")</f>
        <v/>
      </c>
      <c r="C806" s="1" t="str">
        <f>IFERROR(VLOOKUP($A806,ItemsImport!$A$2:$AD970,MATCH("Type",ItemsImport!$A$1:$AE$1,0),FALSE),"")</f>
        <v/>
      </c>
      <c r="H806" s="4" t="b">
        <v>0</v>
      </c>
      <c r="I806" s="1" t="str">
        <f>IFERROR(VLOOKUP($A806,ItemsImport!$A$2:$AD970,MATCH("ItemLoc",ItemsImport!$A$1:$AE$1,0),FALSE),"")</f>
        <v/>
      </c>
      <c r="W806" s="1"/>
      <c r="X806" s="1" t="str">
        <f t="shared" si="1"/>
        <v/>
      </c>
    </row>
    <row r="807">
      <c r="A807" s="1"/>
      <c r="B807" s="1" t="str">
        <f>IFERROR(VLOOKUP($A807,ItemsImport!$A$2:$AD970,MATCH("Description",ItemsImport!$A$1:$AE$1,0),FALSE),"")</f>
        <v/>
      </c>
      <c r="C807" s="1" t="str">
        <f>IFERROR(VLOOKUP($A807,ItemsImport!$A$2:$AD970,MATCH("Type",ItemsImport!$A$1:$AE$1,0),FALSE),"")</f>
        <v/>
      </c>
      <c r="H807" s="4" t="b">
        <v>0</v>
      </c>
      <c r="I807" s="1" t="str">
        <f>IFERROR(VLOOKUP($A807,ItemsImport!$A$2:$AD970,MATCH("ItemLoc",ItemsImport!$A$1:$AE$1,0),FALSE),"")</f>
        <v/>
      </c>
      <c r="W807" s="1"/>
      <c r="X807" s="1" t="str">
        <f t="shared" si="1"/>
        <v/>
      </c>
    </row>
    <row r="808">
      <c r="A808" s="1"/>
      <c r="B808" s="1" t="str">
        <f>IFERROR(VLOOKUP($A808,ItemsImport!$A$2:$AD970,MATCH("Description",ItemsImport!$A$1:$AE$1,0),FALSE),"")</f>
        <v/>
      </c>
      <c r="C808" s="1" t="str">
        <f>IFERROR(VLOOKUP($A808,ItemsImport!$A$2:$AD970,MATCH("Type",ItemsImport!$A$1:$AE$1,0),FALSE),"")</f>
        <v/>
      </c>
      <c r="H808" s="4" t="b">
        <v>0</v>
      </c>
      <c r="I808" s="1" t="str">
        <f>IFERROR(VLOOKUP($A808,ItemsImport!$A$2:$AD970,MATCH("ItemLoc",ItemsImport!$A$1:$AE$1,0),FALSE),"")</f>
        <v/>
      </c>
      <c r="W808" s="1"/>
      <c r="X808" s="1" t="str">
        <f t="shared" si="1"/>
        <v/>
      </c>
    </row>
    <row r="809">
      <c r="A809" s="1"/>
      <c r="B809" s="1" t="str">
        <f>IFERROR(VLOOKUP($A809,ItemsImport!$A$2:$AD970,MATCH("Description",ItemsImport!$A$1:$AE$1,0),FALSE),"")</f>
        <v/>
      </c>
      <c r="C809" s="1" t="str">
        <f>IFERROR(VLOOKUP($A809,ItemsImport!$A$2:$AD970,MATCH("Type",ItemsImport!$A$1:$AE$1,0),FALSE),"")</f>
        <v/>
      </c>
      <c r="H809" s="4" t="b">
        <v>0</v>
      </c>
      <c r="I809" s="1" t="str">
        <f>IFERROR(VLOOKUP($A809,ItemsImport!$A$2:$AD970,MATCH("ItemLoc",ItemsImport!$A$1:$AE$1,0),FALSE),"")</f>
        <v/>
      </c>
      <c r="W809" s="1"/>
      <c r="X809" s="1" t="str">
        <f t="shared" si="1"/>
        <v/>
      </c>
    </row>
    <row r="810">
      <c r="A810" s="1"/>
      <c r="B810" s="1" t="str">
        <f>IFERROR(VLOOKUP($A810,ItemsImport!$A$2:$AD970,MATCH("Description",ItemsImport!$A$1:$AE$1,0),FALSE),"")</f>
        <v/>
      </c>
      <c r="C810" s="1" t="str">
        <f>IFERROR(VLOOKUP($A810,ItemsImport!$A$2:$AD970,MATCH("Type",ItemsImport!$A$1:$AE$1,0),FALSE),"")</f>
        <v/>
      </c>
      <c r="H810" s="4" t="b">
        <v>0</v>
      </c>
      <c r="I810" s="1" t="str">
        <f>IFERROR(VLOOKUP($A810,ItemsImport!$A$2:$AD970,MATCH("ItemLoc",ItemsImport!$A$1:$AE$1,0),FALSE),"")</f>
        <v/>
      </c>
      <c r="W810" s="1"/>
      <c r="X810" s="1" t="str">
        <f t="shared" si="1"/>
        <v/>
      </c>
    </row>
    <row r="811">
      <c r="A811" s="1"/>
      <c r="B811" s="1" t="str">
        <f>IFERROR(VLOOKUP($A811,ItemsImport!$A$2:$AD970,MATCH("Description",ItemsImport!$A$1:$AE$1,0),FALSE),"")</f>
        <v/>
      </c>
      <c r="C811" s="1" t="str">
        <f>IFERROR(VLOOKUP($A811,ItemsImport!$A$2:$AD970,MATCH("Type",ItemsImport!$A$1:$AE$1,0),FALSE),"")</f>
        <v/>
      </c>
      <c r="H811" s="4" t="b">
        <v>0</v>
      </c>
      <c r="I811" s="1" t="str">
        <f>IFERROR(VLOOKUP($A811,ItemsImport!$A$2:$AD970,MATCH("ItemLoc",ItemsImport!$A$1:$AE$1,0),FALSE),"")</f>
        <v/>
      </c>
      <c r="W811" s="1"/>
      <c r="X811" s="1" t="str">
        <f t="shared" si="1"/>
        <v/>
      </c>
    </row>
    <row r="812">
      <c r="A812" s="1"/>
      <c r="B812" s="1" t="str">
        <f>IFERROR(VLOOKUP($A812,ItemsImport!$A$2:$AD970,MATCH("Description",ItemsImport!$A$1:$AE$1,0),FALSE),"")</f>
        <v/>
      </c>
      <c r="C812" s="1" t="str">
        <f>IFERROR(VLOOKUP($A812,ItemsImport!$A$2:$AD970,MATCH("Type",ItemsImport!$A$1:$AE$1,0),FALSE),"")</f>
        <v/>
      </c>
      <c r="H812" s="4" t="b">
        <v>0</v>
      </c>
      <c r="I812" s="1" t="str">
        <f>IFERROR(VLOOKUP($A812,ItemsImport!$A$2:$AD970,MATCH("ItemLoc",ItemsImport!$A$1:$AE$1,0),FALSE),"")</f>
        <v/>
      </c>
      <c r="W812" s="1"/>
      <c r="X812" s="1" t="str">
        <f t="shared" si="1"/>
        <v/>
      </c>
    </row>
    <row r="813">
      <c r="A813" s="1"/>
      <c r="B813" s="1" t="str">
        <f>IFERROR(VLOOKUP($A813,ItemsImport!$A$2:$AD970,MATCH("Description",ItemsImport!$A$1:$AE$1,0),FALSE),"")</f>
        <v/>
      </c>
      <c r="C813" s="1" t="str">
        <f>IFERROR(VLOOKUP($A813,ItemsImport!$A$2:$AD970,MATCH("Type",ItemsImport!$A$1:$AE$1,0),FALSE),"")</f>
        <v/>
      </c>
      <c r="H813" s="4" t="b">
        <v>0</v>
      </c>
      <c r="I813" s="1" t="str">
        <f>IFERROR(VLOOKUP($A813,ItemsImport!$A$2:$AD970,MATCH("ItemLoc",ItemsImport!$A$1:$AE$1,0),FALSE),"")</f>
        <v/>
      </c>
      <c r="W813" s="1"/>
      <c r="X813" s="1" t="str">
        <f t="shared" si="1"/>
        <v/>
      </c>
    </row>
    <row r="814">
      <c r="A814" s="1"/>
      <c r="B814" s="1" t="str">
        <f>IFERROR(VLOOKUP($A814,ItemsImport!$A$2:$AD970,MATCH("Description",ItemsImport!$A$1:$AE$1,0),FALSE),"")</f>
        <v/>
      </c>
      <c r="C814" s="1" t="str">
        <f>IFERROR(VLOOKUP($A814,ItemsImport!$A$2:$AD970,MATCH("Type",ItemsImport!$A$1:$AE$1,0),FALSE),"")</f>
        <v/>
      </c>
      <c r="H814" s="4" t="b">
        <v>0</v>
      </c>
      <c r="I814" s="1" t="str">
        <f>IFERROR(VLOOKUP($A814,ItemsImport!$A$2:$AD970,MATCH("ItemLoc",ItemsImport!$A$1:$AE$1,0),FALSE),"")</f>
        <v/>
      </c>
      <c r="W814" s="1"/>
      <c r="X814" s="1" t="str">
        <f t="shared" si="1"/>
        <v/>
      </c>
    </row>
    <row r="815">
      <c r="A815" s="1"/>
      <c r="B815" s="1" t="str">
        <f>IFERROR(VLOOKUP($A815,ItemsImport!$A$2:$AD970,MATCH("Description",ItemsImport!$A$1:$AE$1,0),FALSE),"")</f>
        <v/>
      </c>
      <c r="C815" s="1" t="str">
        <f>IFERROR(VLOOKUP($A815,ItemsImport!$A$2:$AD970,MATCH("Type",ItemsImport!$A$1:$AE$1,0),FALSE),"")</f>
        <v/>
      </c>
      <c r="H815" s="4" t="b">
        <v>0</v>
      </c>
      <c r="I815" s="1" t="str">
        <f>IFERROR(VLOOKUP($A815,ItemsImport!$A$2:$AD970,MATCH("ItemLoc",ItemsImport!$A$1:$AE$1,0),FALSE),"")</f>
        <v/>
      </c>
      <c r="W815" s="1"/>
      <c r="X815" s="1" t="str">
        <f t="shared" si="1"/>
        <v/>
      </c>
    </row>
    <row r="816">
      <c r="A816" s="1"/>
      <c r="B816" s="1" t="str">
        <f>IFERROR(VLOOKUP($A816,ItemsImport!$A$2:$AD970,MATCH("Description",ItemsImport!$A$1:$AE$1,0),FALSE),"")</f>
        <v/>
      </c>
      <c r="C816" s="1" t="str">
        <f>IFERROR(VLOOKUP($A816,ItemsImport!$A$2:$AD970,MATCH("Type",ItemsImport!$A$1:$AE$1,0),FALSE),"")</f>
        <v/>
      </c>
      <c r="H816" s="4" t="b">
        <v>0</v>
      </c>
      <c r="I816" s="1" t="str">
        <f>IFERROR(VLOOKUP($A816,ItemsImport!$A$2:$AD970,MATCH("ItemLoc",ItemsImport!$A$1:$AE$1,0),FALSE),"")</f>
        <v/>
      </c>
      <c r="W816" s="1"/>
      <c r="X816" s="1" t="str">
        <f t="shared" si="1"/>
        <v/>
      </c>
    </row>
    <row r="817">
      <c r="A817" s="1"/>
      <c r="B817" s="1" t="str">
        <f>IFERROR(VLOOKUP($A817,ItemsImport!$A$2:$AD970,MATCH("Description",ItemsImport!$A$1:$AE$1,0),FALSE),"")</f>
        <v/>
      </c>
      <c r="C817" s="1" t="str">
        <f>IFERROR(VLOOKUP($A817,ItemsImport!$A$2:$AD970,MATCH("Type",ItemsImport!$A$1:$AE$1,0),FALSE),"")</f>
        <v/>
      </c>
      <c r="H817" s="4" t="b">
        <v>0</v>
      </c>
      <c r="I817" s="1" t="str">
        <f>IFERROR(VLOOKUP($A817,ItemsImport!$A$2:$AD970,MATCH("ItemLoc",ItemsImport!$A$1:$AE$1,0),FALSE),"")</f>
        <v/>
      </c>
      <c r="W817" s="1"/>
      <c r="X817" s="1" t="str">
        <f t="shared" si="1"/>
        <v/>
      </c>
    </row>
    <row r="818">
      <c r="A818" s="1"/>
      <c r="B818" s="1" t="str">
        <f>IFERROR(VLOOKUP($A818,ItemsImport!$A$2:$AD970,MATCH("Description",ItemsImport!$A$1:$AE$1,0),FALSE),"")</f>
        <v/>
      </c>
      <c r="C818" s="1" t="str">
        <f>IFERROR(VLOOKUP($A818,ItemsImport!$A$2:$AD970,MATCH("Type",ItemsImport!$A$1:$AE$1,0),FALSE),"")</f>
        <v/>
      </c>
      <c r="H818" s="4" t="b">
        <v>0</v>
      </c>
      <c r="I818" s="1" t="str">
        <f>IFERROR(VLOOKUP($A818,ItemsImport!$A$2:$AD970,MATCH("ItemLoc",ItemsImport!$A$1:$AE$1,0),FALSE),"")</f>
        <v/>
      </c>
      <c r="W818" s="1"/>
      <c r="X818" s="1" t="str">
        <f t="shared" si="1"/>
        <v/>
      </c>
    </row>
    <row r="819">
      <c r="A819" s="1"/>
      <c r="B819" s="1" t="str">
        <f>IFERROR(VLOOKUP($A819,ItemsImport!$A$2:$AD970,MATCH("Description",ItemsImport!$A$1:$AE$1,0),FALSE),"")</f>
        <v/>
      </c>
      <c r="C819" s="1" t="str">
        <f>IFERROR(VLOOKUP($A819,ItemsImport!$A$2:$AD970,MATCH("Type",ItemsImport!$A$1:$AE$1,0),FALSE),"")</f>
        <v/>
      </c>
      <c r="H819" s="4" t="b">
        <v>0</v>
      </c>
      <c r="I819" s="1" t="str">
        <f>IFERROR(VLOOKUP($A819,ItemsImport!$A$2:$AD970,MATCH("ItemLoc",ItemsImport!$A$1:$AE$1,0),FALSE),"")</f>
        <v/>
      </c>
      <c r="W819" s="1"/>
      <c r="X819" s="1" t="str">
        <f t="shared" si="1"/>
        <v/>
      </c>
    </row>
    <row r="820">
      <c r="A820" s="1"/>
      <c r="B820" s="1" t="str">
        <f>IFERROR(VLOOKUP($A820,ItemsImport!$A$2:$AD970,MATCH("Description",ItemsImport!$A$1:$AE$1,0),FALSE),"")</f>
        <v/>
      </c>
      <c r="C820" s="1" t="str">
        <f>IFERROR(VLOOKUP($A820,ItemsImport!$A$2:$AD970,MATCH("Type",ItemsImport!$A$1:$AE$1,0),FALSE),"")</f>
        <v/>
      </c>
      <c r="H820" s="4" t="b">
        <v>0</v>
      </c>
      <c r="I820" s="1" t="str">
        <f>IFERROR(VLOOKUP($A820,ItemsImport!$A$2:$AD970,MATCH("ItemLoc",ItemsImport!$A$1:$AE$1,0),FALSE),"")</f>
        <v/>
      </c>
      <c r="W820" s="1"/>
      <c r="X820" s="1" t="str">
        <f t="shared" si="1"/>
        <v/>
      </c>
    </row>
    <row r="821">
      <c r="A821" s="1"/>
      <c r="B821" s="1" t="str">
        <f>IFERROR(VLOOKUP($A821,ItemsImport!$A$2:$AD970,MATCH("Description",ItemsImport!$A$1:$AE$1,0),FALSE),"")</f>
        <v/>
      </c>
      <c r="C821" s="1" t="str">
        <f>IFERROR(VLOOKUP($A821,ItemsImport!$A$2:$AD970,MATCH("Type",ItemsImport!$A$1:$AE$1,0),FALSE),"")</f>
        <v/>
      </c>
      <c r="H821" s="4" t="b">
        <v>0</v>
      </c>
      <c r="I821" s="1" t="str">
        <f>IFERROR(VLOOKUP($A821,ItemsImport!$A$2:$AD970,MATCH("ItemLoc",ItemsImport!$A$1:$AE$1,0),FALSE),"")</f>
        <v/>
      </c>
      <c r="W821" s="1"/>
      <c r="X821" s="1" t="str">
        <f t="shared" si="1"/>
        <v/>
      </c>
    </row>
    <row r="822">
      <c r="A822" s="1"/>
      <c r="B822" s="1" t="str">
        <f>IFERROR(VLOOKUP($A822,ItemsImport!$A$2:$AD970,MATCH("Description",ItemsImport!$A$1:$AE$1,0),FALSE),"")</f>
        <v/>
      </c>
      <c r="C822" s="1" t="str">
        <f>IFERROR(VLOOKUP($A822,ItemsImport!$A$2:$AD970,MATCH("Type",ItemsImport!$A$1:$AE$1,0),FALSE),"")</f>
        <v/>
      </c>
      <c r="H822" s="4" t="b">
        <v>0</v>
      </c>
      <c r="I822" s="1" t="str">
        <f>IFERROR(VLOOKUP($A822,ItemsImport!$A$2:$AD970,MATCH("ItemLoc",ItemsImport!$A$1:$AE$1,0),FALSE),"")</f>
        <v/>
      </c>
      <c r="W822" s="1"/>
      <c r="X822" s="1" t="str">
        <f t="shared" si="1"/>
        <v/>
      </c>
    </row>
    <row r="823">
      <c r="A823" s="1"/>
      <c r="B823" s="1" t="str">
        <f>IFERROR(VLOOKUP($A823,ItemsImport!$A$2:$AD970,MATCH("Description",ItemsImport!$A$1:$AE$1,0),FALSE),"")</f>
        <v/>
      </c>
      <c r="C823" s="1" t="str">
        <f>IFERROR(VLOOKUP($A823,ItemsImport!$A$2:$AD970,MATCH("Type",ItemsImport!$A$1:$AE$1,0),FALSE),"")</f>
        <v/>
      </c>
      <c r="H823" s="4" t="b">
        <v>0</v>
      </c>
      <c r="I823" s="1" t="str">
        <f>IFERROR(VLOOKUP($A823,ItemsImport!$A$2:$AD970,MATCH("ItemLoc",ItemsImport!$A$1:$AE$1,0),FALSE),"")</f>
        <v/>
      </c>
      <c r="W823" s="1"/>
      <c r="X823" s="1" t="str">
        <f t="shared" si="1"/>
        <v/>
      </c>
    </row>
    <row r="824">
      <c r="A824" s="1"/>
      <c r="B824" s="1" t="str">
        <f>IFERROR(VLOOKUP($A824,ItemsImport!$A$2:$AD970,MATCH("Description",ItemsImport!$A$1:$AE$1,0),FALSE),"")</f>
        <v/>
      </c>
      <c r="C824" s="1" t="str">
        <f>IFERROR(VLOOKUP($A824,ItemsImport!$A$2:$AD970,MATCH("Type",ItemsImport!$A$1:$AE$1,0),FALSE),"")</f>
        <v/>
      </c>
      <c r="H824" s="4" t="b">
        <v>0</v>
      </c>
      <c r="I824" s="1" t="str">
        <f>IFERROR(VLOOKUP($A824,ItemsImport!$A$2:$AD970,MATCH("ItemLoc",ItemsImport!$A$1:$AE$1,0),FALSE),"")</f>
        <v/>
      </c>
      <c r="W824" s="1"/>
      <c r="X824" s="1" t="str">
        <f t="shared" si="1"/>
        <v/>
      </c>
    </row>
    <row r="825">
      <c r="A825" s="1"/>
      <c r="B825" s="1" t="str">
        <f>IFERROR(VLOOKUP($A825,ItemsImport!$A$2:$AD970,MATCH("Description",ItemsImport!$A$1:$AE$1,0),FALSE),"")</f>
        <v/>
      </c>
      <c r="C825" s="1" t="str">
        <f>IFERROR(VLOOKUP($A825,ItemsImport!$A$2:$AD970,MATCH("Type",ItemsImport!$A$1:$AE$1,0),FALSE),"")</f>
        <v/>
      </c>
      <c r="H825" s="4" t="b">
        <v>0</v>
      </c>
      <c r="I825" s="1" t="str">
        <f>IFERROR(VLOOKUP($A825,ItemsImport!$A$2:$AD970,MATCH("ItemLoc",ItemsImport!$A$1:$AE$1,0),FALSE),"")</f>
        <v/>
      </c>
      <c r="W825" s="1"/>
      <c r="X825" s="1" t="str">
        <f t="shared" si="1"/>
        <v/>
      </c>
    </row>
    <row r="826">
      <c r="A826" s="1"/>
      <c r="B826" s="1" t="str">
        <f>IFERROR(VLOOKUP($A826,ItemsImport!$A$2:$AD970,MATCH("Description",ItemsImport!$A$1:$AE$1,0),FALSE),"")</f>
        <v/>
      </c>
      <c r="C826" s="1" t="str">
        <f>IFERROR(VLOOKUP($A826,ItemsImport!$A$2:$AD970,MATCH("Type",ItemsImport!$A$1:$AE$1,0),FALSE),"")</f>
        <v/>
      </c>
      <c r="H826" s="4" t="b">
        <v>0</v>
      </c>
      <c r="I826" s="1" t="str">
        <f>IFERROR(VLOOKUP($A826,ItemsImport!$A$2:$AD970,MATCH("ItemLoc",ItemsImport!$A$1:$AE$1,0),FALSE),"")</f>
        <v/>
      </c>
      <c r="W826" s="1"/>
      <c r="X826" s="1" t="str">
        <f t="shared" si="1"/>
        <v/>
      </c>
    </row>
    <row r="827">
      <c r="A827" s="1"/>
      <c r="B827" s="1" t="str">
        <f>IFERROR(VLOOKUP($A827,ItemsImport!$A$2:$AD970,MATCH("Description",ItemsImport!$A$1:$AE$1,0),FALSE),"")</f>
        <v/>
      </c>
      <c r="C827" s="1" t="str">
        <f>IFERROR(VLOOKUP($A827,ItemsImport!$A$2:$AD970,MATCH("Type",ItemsImport!$A$1:$AE$1,0),FALSE),"")</f>
        <v/>
      </c>
      <c r="H827" s="4" t="b">
        <v>0</v>
      </c>
      <c r="I827" s="1" t="str">
        <f>IFERROR(VLOOKUP($A827,ItemsImport!$A$2:$AD970,MATCH("ItemLoc",ItemsImport!$A$1:$AE$1,0),FALSE),"")</f>
        <v/>
      </c>
      <c r="W827" s="1"/>
      <c r="X827" s="1" t="str">
        <f t="shared" si="1"/>
        <v/>
      </c>
    </row>
    <row r="828">
      <c r="A828" s="1"/>
      <c r="B828" s="1" t="str">
        <f>IFERROR(VLOOKUP($A828,ItemsImport!$A$2:$AD970,MATCH("Description",ItemsImport!$A$1:$AE$1,0),FALSE),"")</f>
        <v/>
      </c>
      <c r="C828" s="1" t="str">
        <f>IFERROR(VLOOKUP($A828,ItemsImport!$A$2:$AD970,MATCH("Type",ItemsImport!$A$1:$AE$1,0),FALSE),"")</f>
        <v/>
      </c>
      <c r="H828" s="4" t="b">
        <v>0</v>
      </c>
      <c r="I828" s="1" t="str">
        <f>IFERROR(VLOOKUP($A828,ItemsImport!$A$2:$AD970,MATCH("ItemLoc",ItemsImport!$A$1:$AE$1,0),FALSE),"")</f>
        <v/>
      </c>
      <c r="W828" s="1"/>
      <c r="X828" s="1" t="str">
        <f t="shared" si="1"/>
        <v/>
      </c>
    </row>
    <row r="829">
      <c r="A829" s="1"/>
      <c r="B829" s="1" t="str">
        <f>IFERROR(VLOOKUP($A829,ItemsImport!$A$2:$AD970,MATCH("Description",ItemsImport!$A$1:$AE$1,0),FALSE),"")</f>
        <v/>
      </c>
      <c r="C829" s="1" t="str">
        <f>IFERROR(VLOOKUP($A829,ItemsImport!$A$2:$AD970,MATCH("Type",ItemsImport!$A$1:$AE$1,0),FALSE),"")</f>
        <v/>
      </c>
      <c r="H829" s="4" t="b">
        <v>0</v>
      </c>
      <c r="I829" s="1" t="str">
        <f>IFERROR(VLOOKUP($A829,ItemsImport!$A$2:$AD970,MATCH("ItemLoc",ItemsImport!$A$1:$AE$1,0),FALSE),"")</f>
        <v/>
      </c>
      <c r="W829" s="1"/>
      <c r="X829" s="1" t="str">
        <f t="shared" si="1"/>
        <v/>
      </c>
    </row>
    <row r="830">
      <c r="A830" s="1"/>
      <c r="B830" s="1" t="str">
        <f>IFERROR(VLOOKUP($A830,ItemsImport!$A$2:$AD970,MATCH("Description",ItemsImport!$A$1:$AE$1,0),FALSE),"")</f>
        <v/>
      </c>
      <c r="C830" s="1" t="str">
        <f>IFERROR(VLOOKUP($A830,ItemsImport!$A$2:$AD970,MATCH("Type",ItemsImport!$A$1:$AE$1,0),FALSE),"")</f>
        <v/>
      </c>
      <c r="H830" s="4" t="b">
        <v>0</v>
      </c>
      <c r="I830" s="1" t="str">
        <f>IFERROR(VLOOKUP($A830,ItemsImport!$A$2:$AD970,MATCH("ItemLoc",ItemsImport!$A$1:$AE$1,0),FALSE),"")</f>
        <v/>
      </c>
      <c r="W830" s="1"/>
      <c r="X830" s="1" t="str">
        <f t="shared" si="1"/>
        <v/>
      </c>
    </row>
    <row r="831">
      <c r="A831" s="1"/>
      <c r="B831" s="1" t="str">
        <f>IFERROR(VLOOKUP($A831,ItemsImport!$A$2:$AD970,MATCH("Description",ItemsImport!$A$1:$AE$1,0),FALSE),"")</f>
        <v/>
      </c>
      <c r="C831" s="1" t="str">
        <f>IFERROR(VLOOKUP($A831,ItemsImport!$A$2:$AD970,MATCH("Type",ItemsImport!$A$1:$AE$1,0),FALSE),"")</f>
        <v/>
      </c>
      <c r="H831" s="4" t="b">
        <v>0</v>
      </c>
      <c r="I831" s="1" t="str">
        <f>IFERROR(VLOOKUP($A831,ItemsImport!$A$2:$AD970,MATCH("ItemLoc",ItemsImport!$A$1:$AE$1,0),FALSE),"")</f>
        <v/>
      </c>
      <c r="W831" s="1"/>
      <c r="X831" s="1" t="str">
        <f t="shared" si="1"/>
        <v/>
      </c>
    </row>
    <row r="832">
      <c r="A832" s="1"/>
      <c r="B832" s="1" t="str">
        <f>IFERROR(VLOOKUP($A832,ItemsImport!$A$2:$AD970,MATCH("Description",ItemsImport!$A$1:$AE$1,0),FALSE),"")</f>
        <v/>
      </c>
      <c r="C832" s="1" t="str">
        <f>IFERROR(VLOOKUP($A832,ItemsImport!$A$2:$AD970,MATCH("Type",ItemsImport!$A$1:$AE$1,0),FALSE),"")</f>
        <v/>
      </c>
      <c r="H832" s="4" t="b">
        <v>0</v>
      </c>
      <c r="I832" s="1" t="str">
        <f>IFERROR(VLOOKUP($A832,ItemsImport!$A$2:$AD970,MATCH("ItemLoc",ItemsImport!$A$1:$AE$1,0),FALSE),"")</f>
        <v/>
      </c>
      <c r="W832" s="1"/>
      <c r="X832" s="1" t="str">
        <f t="shared" si="1"/>
        <v/>
      </c>
    </row>
    <row r="833">
      <c r="A833" s="1"/>
      <c r="B833" s="1" t="str">
        <f>IFERROR(VLOOKUP($A833,ItemsImport!$A$2:$AD970,MATCH("Description",ItemsImport!$A$1:$AE$1,0),FALSE),"")</f>
        <v/>
      </c>
      <c r="C833" s="1" t="str">
        <f>IFERROR(VLOOKUP($A833,ItemsImport!$A$2:$AD970,MATCH("Type",ItemsImport!$A$1:$AE$1,0),FALSE),"")</f>
        <v/>
      </c>
      <c r="H833" s="4" t="b">
        <v>0</v>
      </c>
      <c r="I833" s="1" t="str">
        <f>IFERROR(VLOOKUP($A833,ItemsImport!$A$2:$AD970,MATCH("ItemLoc",ItemsImport!$A$1:$AE$1,0),FALSE),"")</f>
        <v/>
      </c>
      <c r="W833" s="1"/>
      <c r="X833" s="1" t="str">
        <f t="shared" si="1"/>
        <v/>
      </c>
    </row>
    <row r="834">
      <c r="A834" s="1"/>
      <c r="B834" s="1" t="str">
        <f>IFERROR(VLOOKUP($A834,ItemsImport!$A$2:$AD970,MATCH("Description",ItemsImport!$A$1:$AE$1,0),FALSE),"")</f>
        <v/>
      </c>
      <c r="C834" s="1" t="str">
        <f>IFERROR(VLOOKUP($A834,ItemsImport!$A$2:$AD970,MATCH("Type",ItemsImport!$A$1:$AE$1,0),FALSE),"")</f>
        <v/>
      </c>
      <c r="H834" s="4" t="b">
        <v>0</v>
      </c>
      <c r="I834" s="1" t="str">
        <f>IFERROR(VLOOKUP($A834,ItemsImport!$A$2:$AD970,MATCH("ItemLoc",ItemsImport!$A$1:$AE$1,0),FALSE),"")</f>
        <v/>
      </c>
      <c r="W834" s="1"/>
      <c r="X834" s="1" t="str">
        <f t="shared" si="1"/>
        <v/>
      </c>
    </row>
    <row r="835">
      <c r="A835" s="1"/>
      <c r="B835" s="1" t="str">
        <f>IFERROR(VLOOKUP($A835,ItemsImport!$A$2:$AD970,MATCH("Description",ItemsImport!$A$1:$AE$1,0),FALSE),"")</f>
        <v/>
      </c>
      <c r="C835" s="1" t="str">
        <f>IFERROR(VLOOKUP($A835,ItemsImport!$A$2:$AD970,MATCH("Type",ItemsImport!$A$1:$AE$1,0),FALSE),"")</f>
        <v/>
      </c>
      <c r="H835" s="4" t="b">
        <v>0</v>
      </c>
      <c r="I835" s="1" t="str">
        <f>IFERROR(VLOOKUP($A835,ItemsImport!$A$2:$AD970,MATCH("ItemLoc",ItemsImport!$A$1:$AE$1,0),FALSE),"")</f>
        <v/>
      </c>
      <c r="W835" s="1"/>
      <c r="X835" s="1" t="str">
        <f t="shared" si="1"/>
        <v/>
      </c>
    </row>
    <row r="836">
      <c r="A836" s="1"/>
      <c r="B836" s="1" t="str">
        <f>IFERROR(VLOOKUP($A836,ItemsImport!$A$2:$AD970,MATCH("Description",ItemsImport!$A$1:$AE$1,0),FALSE),"")</f>
        <v/>
      </c>
      <c r="C836" s="1" t="str">
        <f>IFERROR(VLOOKUP($A836,ItemsImport!$A$2:$AD970,MATCH("Type",ItemsImport!$A$1:$AE$1,0),FALSE),"")</f>
        <v/>
      </c>
      <c r="H836" s="4" t="b">
        <v>0</v>
      </c>
      <c r="I836" s="1" t="str">
        <f>IFERROR(VLOOKUP($A836,ItemsImport!$A$2:$AD970,MATCH("ItemLoc",ItemsImport!$A$1:$AE$1,0),FALSE),"")</f>
        <v/>
      </c>
      <c r="W836" s="1"/>
      <c r="X836" s="1" t="str">
        <f t="shared" si="1"/>
        <v/>
      </c>
    </row>
    <row r="837">
      <c r="A837" s="1"/>
      <c r="B837" s="1" t="str">
        <f>IFERROR(VLOOKUP($A837,ItemsImport!$A$2:$AD970,MATCH("Description",ItemsImport!$A$1:$AE$1,0),FALSE),"")</f>
        <v/>
      </c>
      <c r="C837" s="1" t="str">
        <f>IFERROR(VLOOKUP($A837,ItemsImport!$A$2:$AD970,MATCH("Type",ItemsImport!$A$1:$AE$1,0),FALSE),"")</f>
        <v/>
      </c>
      <c r="H837" s="4" t="b">
        <v>0</v>
      </c>
      <c r="I837" s="1" t="str">
        <f>IFERROR(VLOOKUP($A837,ItemsImport!$A$2:$AD970,MATCH("ItemLoc",ItemsImport!$A$1:$AE$1,0),FALSE),"")</f>
        <v/>
      </c>
      <c r="W837" s="1"/>
      <c r="X837" s="1" t="str">
        <f t="shared" si="1"/>
        <v/>
      </c>
    </row>
    <row r="838">
      <c r="A838" s="1"/>
      <c r="B838" s="1" t="str">
        <f>IFERROR(VLOOKUP($A838,ItemsImport!$A$2:$AD970,MATCH("Description",ItemsImport!$A$1:$AE$1,0),FALSE),"")</f>
        <v/>
      </c>
      <c r="C838" s="1" t="str">
        <f>IFERROR(VLOOKUP($A838,ItemsImport!$A$2:$AD970,MATCH("Type",ItemsImport!$A$1:$AE$1,0),FALSE),"")</f>
        <v/>
      </c>
      <c r="H838" s="4" t="b">
        <v>0</v>
      </c>
      <c r="I838" s="1" t="str">
        <f>IFERROR(VLOOKUP($A838,ItemsImport!$A$2:$AD970,MATCH("ItemLoc",ItemsImport!$A$1:$AE$1,0),FALSE),"")</f>
        <v/>
      </c>
      <c r="W838" s="1"/>
      <c r="X838" s="1" t="str">
        <f t="shared" si="1"/>
        <v/>
      </c>
    </row>
    <row r="839">
      <c r="A839" s="1"/>
      <c r="B839" s="1" t="str">
        <f>IFERROR(VLOOKUP($A839,ItemsImport!$A$2:$AD970,MATCH("Description",ItemsImport!$A$1:$AE$1,0),FALSE),"")</f>
        <v/>
      </c>
      <c r="C839" s="1" t="str">
        <f>IFERROR(VLOOKUP($A839,ItemsImport!$A$2:$AD970,MATCH("Type",ItemsImport!$A$1:$AE$1,0),FALSE),"")</f>
        <v/>
      </c>
      <c r="H839" s="4" t="b">
        <v>0</v>
      </c>
      <c r="I839" s="1" t="str">
        <f>IFERROR(VLOOKUP($A839,ItemsImport!$A$2:$AD970,MATCH("ItemLoc",ItemsImport!$A$1:$AE$1,0),FALSE),"")</f>
        <v/>
      </c>
      <c r="W839" s="1"/>
      <c r="X839" s="1" t="str">
        <f t="shared" si="1"/>
        <v/>
      </c>
    </row>
    <row r="840">
      <c r="A840" s="1"/>
      <c r="B840" s="1" t="str">
        <f>IFERROR(VLOOKUP($A840,ItemsImport!$A$2:$AD970,MATCH("Description",ItemsImport!$A$1:$AE$1,0),FALSE),"")</f>
        <v/>
      </c>
      <c r="C840" s="1" t="str">
        <f>IFERROR(VLOOKUP($A840,ItemsImport!$A$2:$AD970,MATCH("Type",ItemsImport!$A$1:$AE$1,0),FALSE),"")</f>
        <v/>
      </c>
      <c r="H840" s="4" t="b">
        <v>0</v>
      </c>
      <c r="I840" s="1" t="str">
        <f>IFERROR(VLOOKUP($A840,ItemsImport!$A$2:$AD970,MATCH("ItemLoc",ItemsImport!$A$1:$AE$1,0),FALSE),"")</f>
        <v/>
      </c>
      <c r="W840" s="1"/>
      <c r="X840" s="1" t="str">
        <f t="shared" si="1"/>
        <v/>
      </c>
    </row>
    <row r="841">
      <c r="A841" s="1"/>
      <c r="B841" s="1" t="str">
        <f>IFERROR(VLOOKUP($A841,ItemsImport!$A$2:$AD970,MATCH("Description",ItemsImport!$A$1:$AE$1,0),FALSE),"")</f>
        <v/>
      </c>
      <c r="C841" s="1" t="str">
        <f>IFERROR(VLOOKUP($A841,ItemsImport!$A$2:$AD970,MATCH("Type",ItemsImport!$A$1:$AE$1,0),FALSE),"")</f>
        <v/>
      </c>
      <c r="H841" s="4" t="b">
        <v>0</v>
      </c>
      <c r="I841" s="1" t="str">
        <f>IFERROR(VLOOKUP($A841,ItemsImport!$A$2:$AD970,MATCH("ItemLoc",ItemsImport!$A$1:$AE$1,0),FALSE),"")</f>
        <v/>
      </c>
      <c r="W841" s="1"/>
      <c r="X841" s="1" t="str">
        <f t="shared" si="1"/>
        <v/>
      </c>
    </row>
    <row r="842">
      <c r="A842" s="1"/>
      <c r="B842" s="1" t="str">
        <f>IFERROR(VLOOKUP($A842,ItemsImport!$A$2:$AD970,MATCH("Description",ItemsImport!$A$1:$AE$1,0),FALSE),"")</f>
        <v/>
      </c>
      <c r="C842" s="1" t="str">
        <f>IFERROR(VLOOKUP($A842,ItemsImport!$A$2:$AD970,MATCH("Type",ItemsImport!$A$1:$AE$1,0),FALSE),"")</f>
        <v/>
      </c>
      <c r="H842" s="4" t="b">
        <v>0</v>
      </c>
      <c r="I842" s="1" t="str">
        <f>IFERROR(VLOOKUP($A842,ItemsImport!$A$2:$AD970,MATCH("ItemLoc",ItemsImport!$A$1:$AE$1,0),FALSE),"")</f>
        <v/>
      </c>
      <c r="W842" s="1"/>
      <c r="X842" s="1" t="str">
        <f t="shared" si="1"/>
        <v/>
      </c>
    </row>
    <row r="843">
      <c r="A843" s="1"/>
      <c r="B843" s="1" t="str">
        <f>IFERROR(VLOOKUP($A843,ItemsImport!$A$2:$AD970,MATCH("Description",ItemsImport!$A$1:$AE$1,0),FALSE),"")</f>
        <v/>
      </c>
      <c r="C843" s="1" t="str">
        <f>IFERROR(VLOOKUP($A843,ItemsImport!$A$2:$AD970,MATCH("Type",ItemsImport!$A$1:$AE$1,0),FALSE),"")</f>
        <v/>
      </c>
      <c r="H843" s="4" t="b">
        <v>0</v>
      </c>
      <c r="I843" s="1" t="str">
        <f>IFERROR(VLOOKUP($A843,ItemsImport!$A$2:$AD970,MATCH("ItemLoc",ItemsImport!$A$1:$AE$1,0),FALSE),"")</f>
        <v/>
      </c>
      <c r="W843" s="1"/>
      <c r="X843" s="1" t="str">
        <f t="shared" si="1"/>
        <v/>
      </c>
    </row>
    <row r="844">
      <c r="A844" s="1"/>
      <c r="B844" s="1" t="str">
        <f>IFERROR(VLOOKUP($A844,ItemsImport!$A$2:$AD970,MATCH("Description",ItemsImport!$A$1:$AE$1,0),FALSE),"")</f>
        <v/>
      </c>
      <c r="C844" s="1" t="str">
        <f>IFERROR(VLOOKUP($A844,ItemsImport!$A$2:$AD970,MATCH("Type",ItemsImport!$A$1:$AE$1,0),FALSE),"")</f>
        <v/>
      </c>
      <c r="H844" s="4" t="b">
        <v>0</v>
      </c>
      <c r="I844" s="1" t="str">
        <f>IFERROR(VLOOKUP($A844,ItemsImport!$A$2:$AD970,MATCH("ItemLoc",ItemsImport!$A$1:$AE$1,0),FALSE),"")</f>
        <v/>
      </c>
      <c r="W844" s="1"/>
      <c r="X844" s="1" t="str">
        <f t="shared" si="1"/>
        <v/>
      </c>
    </row>
    <row r="845">
      <c r="A845" s="1"/>
      <c r="B845" s="1" t="str">
        <f>IFERROR(VLOOKUP($A845,ItemsImport!$A$2:$AD970,MATCH("Description",ItemsImport!$A$1:$AE$1,0),FALSE),"")</f>
        <v/>
      </c>
      <c r="C845" s="1" t="str">
        <f>IFERROR(VLOOKUP($A845,ItemsImport!$A$2:$AD970,MATCH("Type",ItemsImport!$A$1:$AE$1,0),FALSE),"")</f>
        <v/>
      </c>
      <c r="H845" s="4" t="b">
        <v>0</v>
      </c>
      <c r="I845" s="1" t="str">
        <f>IFERROR(VLOOKUP($A845,ItemsImport!$A$2:$AD970,MATCH("ItemLoc",ItemsImport!$A$1:$AE$1,0),FALSE),"")</f>
        <v/>
      </c>
      <c r="W845" s="1"/>
      <c r="X845" s="1" t="str">
        <f t="shared" si="1"/>
        <v/>
      </c>
    </row>
    <row r="846">
      <c r="A846" s="1"/>
      <c r="B846" s="1" t="str">
        <f>IFERROR(VLOOKUP($A846,ItemsImport!$A$2:$AD970,MATCH("Description",ItemsImport!$A$1:$AE$1,0),FALSE),"")</f>
        <v/>
      </c>
      <c r="C846" s="1" t="str">
        <f>IFERROR(VLOOKUP($A846,ItemsImport!$A$2:$AD970,MATCH("Type",ItemsImport!$A$1:$AE$1,0),FALSE),"")</f>
        <v/>
      </c>
      <c r="H846" s="4" t="b">
        <v>0</v>
      </c>
      <c r="I846" s="1" t="str">
        <f>IFERROR(VLOOKUP($A846,ItemsImport!$A$2:$AD970,MATCH("ItemLoc",ItemsImport!$A$1:$AE$1,0),FALSE),"")</f>
        <v/>
      </c>
      <c r="W846" s="1"/>
      <c r="X846" s="1" t="str">
        <f t="shared" si="1"/>
        <v/>
      </c>
    </row>
    <row r="847">
      <c r="A847" s="1"/>
      <c r="B847" s="1" t="str">
        <f>IFERROR(VLOOKUP($A847,ItemsImport!$A$2:$AD970,MATCH("Description",ItemsImport!$A$1:$AE$1,0),FALSE),"")</f>
        <v/>
      </c>
      <c r="C847" s="1" t="str">
        <f>IFERROR(VLOOKUP($A847,ItemsImport!$A$2:$AD970,MATCH("Type",ItemsImport!$A$1:$AE$1,0),FALSE),"")</f>
        <v/>
      </c>
      <c r="H847" s="4" t="b">
        <v>0</v>
      </c>
      <c r="I847" s="1" t="str">
        <f>IFERROR(VLOOKUP($A847,ItemsImport!$A$2:$AD970,MATCH("ItemLoc",ItemsImport!$A$1:$AE$1,0),FALSE),"")</f>
        <v/>
      </c>
      <c r="W847" s="1"/>
      <c r="X847" s="1" t="str">
        <f t="shared" si="1"/>
        <v/>
      </c>
    </row>
    <row r="848">
      <c r="A848" s="1"/>
      <c r="B848" s="1" t="str">
        <f>IFERROR(VLOOKUP($A848,ItemsImport!$A$2:$AD970,MATCH("Description",ItemsImport!$A$1:$AE$1,0),FALSE),"")</f>
        <v/>
      </c>
      <c r="C848" s="1" t="str">
        <f>IFERROR(VLOOKUP($A848,ItemsImport!$A$2:$AD970,MATCH("Type",ItemsImport!$A$1:$AE$1,0),FALSE),"")</f>
        <v/>
      </c>
      <c r="H848" s="4" t="b">
        <v>0</v>
      </c>
      <c r="I848" s="1" t="str">
        <f>IFERROR(VLOOKUP($A848,ItemsImport!$A$2:$AD970,MATCH("ItemLoc",ItemsImport!$A$1:$AE$1,0),FALSE),"")</f>
        <v/>
      </c>
      <c r="W848" s="1"/>
      <c r="X848" s="1" t="str">
        <f t="shared" si="1"/>
        <v/>
      </c>
    </row>
    <row r="849">
      <c r="A849" s="1"/>
      <c r="B849" s="1" t="str">
        <f>IFERROR(VLOOKUP($A849,ItemsImport!$A$2:$AD970,MATCH("Description",ItemsImport!$A$1:$AE$1,0),FALSE),"")</f>
        <v/>
      </c>
      <c r="C849" s="1" t="str">
        <f>IFERROR(VLOOKUP($A849,ItemsImport!$A$2:$AD970,MATCH("Type",ItemsImport!$A$1:$AE$1,0),FALSE),"")</f>
        <v/>
      </c>
      <c r="H849" s="4" t="b">
        <v>0</v>
      </c>
      <c r="I849" s="1" t="str">
        <f>IFERROR(VLOOKUP($A849,ItemsImport!$A$2:$AD970,MATCH("ItemLoc",ItemsImport!$A$1:$AE$1,0),FALSE),"")</f>
        <v/>
      </c>
      <c r="W849" s="1"/>
      <c r="X849" s="1" t="str">
        <f t="shared" si="1"/>
        <v/>
      </c>
    </row>
    <row r="850">
      <c r="A850" s="1"/>
      <c r="B850" s="1" t="str">
        <f>IFERROR(VLOOKUP($A850,ItemsImport!$A$2:$AD970,MATCH("Description",ItemsImport!$A$1:$AE$1,0),FALSE),"")</f>
        <v/>
      </c>
      <c r="C850" s="1" t="str">
        <f>IFERROR(VLOOKUP($A850,ItemsImport!$A$2:$AD970,MATCH("Type",ItemsImport!$A$1:$AE$1,0),FALSE),"")</f>
        <v/>
      </c>
      <c r="H850" s="4" t="b">
        <v>0</v>
      </c>
      <c r="I850" s="1" t="str">
        <f>IFERROR(VLOOKUP($A850,ItemsImport!$A$2:$AD970,MATCH("ItemLoc",ItemsImport!$A$1:$AE$1,0),FALSE),"")</f>
        <v/>
      </c>
      <c r="W850" s="1"/>
      <c r="X850" s="1" t="str">
        <f t="shared" si="1"/>
        <v/>
      </c>
    </row>
    <row r="851">
      <c r="A851" s="1"/>
      <c r="B851" s="1" t="str">
        <f>IFERROR(VLOOKUP($A851,ItemsImport!$A$2:$AD970,MATCH("Description",ItemsImport!$A$1:$AE$1,0),FALSE),"")</f>
        <v/>
      </c>
      <c r="C851" s="1" t="str">
        <f>IFERROR(VLOOKUP($A851,ItemsImport!$A$2:$AD970,MATCH("Type",ItemsImport!$A$1:$AE$1,0),FALSE),"")</f>
        <v/>
      </c>
      <c r="H851" s="4" t="b">
        <v>0</v>
      </c>
      <c r="I851" s="1" t="str">
        <f>IFERROR(VLOOKUP($A851,ItemsImport!$A$2:$AD970,MATCH("ItemLoc",ItemsImport!$A$1:$AE$1,0),FALSE),"")</f>
        <v/>
      </c>
      <c r="W851" s="1"/>
      <c r="X851" s="1" t="str">
        <f t="shared" si="1"/>
        <v/>
      </c>
    </row>
    <row r="852">
      <c r="A852" s="1"/>
      <c r="B852" s="1" t="str">
        <f>IFERROR(VLOOKUP($A852,ItemsImport!$A$2:$AD970,MATCH("Description",ItemsImport!$A$1:$AE$1,0),FALSE),"")</f>
        <v/>
      </c>
      <c r="C852" s="1" t="str">
        <f>IFERROR(VLOOKUP($A852,ItemsImport!$A$2:$AD970,MATCH("Type",ItemsImport!$A$1:$AE$1,0),FALSE),"")</f>
        <v/>
      </c>
      <c r="H852" s="4" t="b">
        <v>0</v>
      </c>
      <c r="I852" s="1" t="str">
        <f>IFERROR(VLOOKUP($A852,ItemsImport!$A$2:$AD970,MATCH("ItemLoc",ItemsImport!$A$1:$AE$1,0),FALSE),"")</f>
        <v/>
      </c>
      <c r="W852" s="1"/>
      <c r="X852" s="1" t="str">
        <f t="shared" si="1"/>
        <v/>
      </c>
    </row>
    <row r="853">
      <c r="A853" s="1"/>
      <c r="B853" s="1" t="str">
        <f>IFERROR(VLOOKUP($A853,ItemsImport!$A$2:$AD970,MATCH("Description",ItemsImport!$A$1:$AE$1,0),FALSE),"")</f>
        <v/>
      </c>
      <c r="C853" s="1" t="str">
        <f>IFERROR(VLOOKUP($A853,ItemsImport!$A$2:$AD970,MATCH("Type",ItemsImport!$A$1:$AE$1,0),FALSE),"")</f>
        <v/>
      </c>
      <c r="H853" s="4" t="b">
        <v>0</v>
      </c>
      <c r="I853" s="1" t="str">
        <f>IFERROR(VLOOKUP($A853,ItemsImport!$A$2:$AD970,MATCH("ItemLoc",ItemsImport!$A$1:$AE$1,0),FALSE),"")</f>
        <v/>
      </c>
      <c r="W853" s="1"/>
      <c r="X853" s="1" t="str">
        <f t="shared" si="1"/>
        <v/>
      </c>
    </row>
    <row r="854">
      <c r="A854" s="1"/>
      <c r="B854" s="1" t="str">
        <f>IFERROR(VLOOKUP($A854,ItemsImport!$A$2:$AD970,MATCH("Description",ItemsImport!$A$1:$AE$1,0),FALSE),"")</f>
        <v/>
      </c>
      <c r="C854" s="1" t="str">
        <f>IFERROR(VLOOKUP($A854,ItemsImport!$A$2:$AD970,MATCH("Type",ItemsImport!$A$1:$AE$1,0),FALSE),"")</f>
        <v/>
      </c>
      <c r="H854" s="4" t="b">
        <v>0</v>
      </c>
      <c r="I854" s="1" t="str">
        <f>IFERROR(VLOOKUP($A854,ItemsImport!$A$2:$AD970,MATCH("ItemLoc",ItemsImport!$A$1:$AE$1,0),FALSE),"")</f>
        <v/>
      </c>
      <c r="W854" s="1"/>
      <c r="X854" s="1" t="str">
        <f t="shared" si="1"/>
        <v/>
      </c>
    </row>
    <row r="855">
      <c r="A855" s="1"/>
      <c r="B855" s="1" t="str">
        <f>IFERROR(VLOOKUP($A855,ItemsImport!$A$2:$AD970,MATCH("Description",ItemsImport!$A$1:$AE$1,0),FALSE),"")</f>
        <v/>
      </c>
      <c r="C855" s="1" t="str">
        <f>IFERROR(VLOOKUP($A855,ItemsImport!$A$2:$AD970,MATCH("Type",ItemsImport!$A$1:$AE$1,0),FALSE),"")</f>
        <v/>
      </c>
      <c r="H855" s="4" t="b">
        <v>0</v>
      </c>
      <c r="I855" s="1" t="str">
        <f>IFERROR(VLOOKUP($A855,ItemsImport!$A$2:$AD970,MATCH("ItemLoc",ItemsImport!$A$1:$AE$1,0),FALSE),"")</f>
        <v/>
      </c>
      <c r="W855" s="1"/>
      <c r="X855" s="1" t="str">
        <f t="shared" si="1"/>
        <v/>
      </c>
    </row>
    <row r="856">
      <c r="A856" s="1"/>
      <c r="B856" s="1" t="str">
        <f>IFERROR(VLOOKUP($A856,ItemsImport!$A$2:$AD970,MATCH("Description",ItemsImport!$A$1:$AE$1,0),FALSE),"")</f>
        <v/>
      </c>
      <c r="C856" s="1" t="str">
        <f>IFERROR(VLOOKUP($A856,ItemsImport!$A$2:$AD970,MATCH("Type",ItemsImport!$A$1:$AE$1,0),FALSE),"")</f>
        <v/>
      </c>
      <c r="H856" s="4" t="b">
        <v>0</v>
      </c>
      <c r="I856" s="1" t="str">
        <f>IFERROR(VLOOKUP($A856,ItemsImport!$A$2:$AD970,MATCH("ItemLoc",ItemsImport!$A$1:$AE$1,0),FALSE),"")</f>
        <v/>
      </c>
      <c r="W856" s="1"/>
      <c r="X856" s="1" t="str">
        <f t="shared" si="1"/>
        <v/>
      </c>
    </row>
    <row r="857">
      <c r="A857" s="1"/>
      <c r="B857" s="1" t="str">
        <f>IFERROR(VLOOKUP($A857,ItemsImport!$A$2:$AD970,MATCH("Description",ItemsImport!$A$1:$AE$1,0),FALSE),"")</f>
        <v/>
      </c>
      <c r="C857" s="1" t="str">
        <f>IFERROR(VLOOKUP($A857,ItemsImport!$A$2:$AD970,MATCH("Type",ItemsImport!$A$1:$AE$1,0),FALSE),"")</f>
        <v/>
      </c>
      <c r="H857" s="4" t="b">
        <v>0</v>
      </c>
      <c r="I857" s="1" t="str">
        <f>IFERROR(VLOOKUP($A857,ItemsImport!$A$2:$AD970,MATCH("ItemLoc",ItemsImport!$A$1:$AE$1,0),FALSE),"")</f>
        <v/>
      </c>
      <c r="W857" s="1"/>
      <c r="X857" s="1" t="str">
        <f t="shared" si="1"/>
        <v/>
      </c>
    </row>
    <row r="858">
      <c r="A858" s="1"/>
      <c r="B858" s="1" t="str">
        <f>IFERROR(VLOOKUP($A858,ItemsImport!$A$2:$AD970,MATCH("Description",ItemsImport!$A$1:$AE$1,0),FALSE),"")</f>
        <v/>
      </c>
      <c r="C858" s="1" t="str">
        <f>IFERROR(VLOOKUP($A858,ItemsImport!$A$2:$AD970,MATCH("Type",ItemsImport!$A$1:$AE$1,0),FALSE),"")</f>
        <v/>
      </c>
      <c r="H858" s="4" t="b">
        <v>0</v>
      </c>
      <c r="I858" s="1" t="str">
        <f>IFERROR(VLOOKUP($A858,ItemsImport!$A$2:$AD970,MATCH("ItemLoc",ItemsImport!$A$1:$AE$1,0),FALSE),"")</f>
        <v/>
      </c>
      <c r="W858" s="1"/>
      <c r="X858" s="1" t="str">
        <f t="shared" si="1"/>
        <v/>
      </c>
    </row>
    <row r="859">
      <c r="A859" s="1"/>
      <c r="B859" s="1" t="str">
        <f>IFERROR(VLOOKUP($A859,ItemsImport!$A$2:$AD970,MATCH("Description",ItemsImport!$A$1:$AE$1,0),FALSE),"")</f>
        <v/>
      </c>
      <c r="C859" s="1" t="str">
        <f>IFERROR(VLOOKUP($A859,ItemsImport!$A$2:$AD970,MATCH("Type",ItemsImport!$A$1:$AE$1,0),FALSE),"")</f>
        <v/>
      </c>
      <c r="H859" s="4" t="b">
        <v>0</v>
      </c>
      <c r="I859" s="1" t="str">
        <f>IFERROR(VLOOKUP($A859,ItemsImport!$A$2:$AD970,MATCH("ItemLoc",ItemsImport!$A$1:$AE$1,0),FALSE),"")</f>
        <v/>
      </c>
      <c r="X859" s="1" t="str">
        <f t="shared" si="1"/>
        <v/>
      </c>
    </row>
    <row r="860">
      <c r="A860" s="1"/>
      <c r="B860" s="1" t="str">
        <f>IFERROR(VLOOKUP($A860,ItemsImport!$A$2:$AD970,MATCH("Description",ItemsImport!$A$1:$AE$1,0),FALSE),"")</f>
        <v/>
      </c>
      <c r="C860" s="1" t="str">
        <f>IFERROR(VLOOKUP($A860,ItemsImport!$A$2:$AD970,MATCH("Type",ItemsImport!$A$1:$AE$1,0),FALSE),"")</f>
        <v/>
      </c>
      <c r="H860" s="4" t="b">
        <v>0</v>
      </c>
      <c r="I860" s="1" t="str">
        <f>IFERROR(VLOOKUP($A860,ItemsImport!$A$2:$AD970,MATCH("ItemLoc",ItemsImport!$A$1:$AE$1,0),FALSE),"")</f>
        <v/>
      </c>
      <c r="X860" s="1" t="str">
        <f t="shared" si="1"/>
        <v/>
      </c>
    </row>
    <row r="861">
      <c r="A861" s="1"/>
      <c r="B861" s="1" t="str">
        <f>IFERROR(VLOOKUP($A861,ItemsImport!$A$2:$AD970,MATCH("Description",ItemsImport!$A$1:$AE$1,0),FALSE),"")</f>
        <v/>
      </c>
      <c r="C861" s="1" t="str">
        <f>IFERROR(VLOOKUP($A861,ItemsImport!$A$2:$AD970,MATCH("Type",ItemsImport!$A$1:$AE$1,0),FALSE),"")</f>
        <v/>
      </c>
      <c r="H861" s="4" t="b">
        <v>0</v>
      </c>
      <c r="I861" s="1" t="str">
        <f>IFERROR(VLOOKUP($A861,ItemsImport!$A$2:$AD970,MATCH("ItemLoc",ItemsImport!$A$1:$AE$1,0),FALSE),"")</f>
        <v/>
      </c>
      <c r="X861" s="1" t="str">
        <f t="shared" si="1"/>
        <v/>
      </c>
    </row>
    <row r="862">
      <c r="A862" s="1"/>
      <c r="B862" s="1" t="str">
        <f>IFERROR(VLOOKUP($A862,ItemsImport!$A$2:$AD970,MATCH("Description",ItemsImport!$A$1:$AE$1,0),FALSE),"")</f>
        <v/>
      </c>
      <c r="C862" s="1" t="str">
        <f>IFERROR(VLOOKUP($A862,ItemsImport!$A$2:$AD970,MATCH("Type",ItemsImport!$A$1:$AE$1,0),FALSE),"")</f>
        <v/>
      </c>
      <c r="H862" s="4" t="b">
        <v>0</v>
      </c>
      <c r="I862" s="1" t="str">
        <f>IFERROR(VLOOKUP($A862,ItemsImport!$A$2:$AD970,MATCH("ItemLoc",ItemsImport!$A$1:$AE$1,0),FALSE),"")</f>
        <v/>
      </c>
      <c r="X862" s="1" t="str">
        <f t="shared" si="1"/>
        <v/>
      </c>
    </row>
    <row r="863">
      <c r="A863" s="1"/>
      <c r="B863" s="1" t="str">
        <f>IFERROR(VLOOKUP($A863,ItemsImport!$A$2:$AD970,MATCH("Description",ItemsImport!$A$1:$AE$1,0),FALSE),"")</f>
        <v/>
      </c>
      <c r="C863" s="1" t="str">
        <f>IFERROR(VLOOKUP($A863,ItemsImport!$A$2:$AD970,MATCH("Type",ItemsImport!$A$1:$AE$1,0),FALSE),"")</f>
        <v/>
      </c>
      <c r="H863" s="4" t="b">
        <v>0</v>
      </c>
      <c r="I863" s="1" t="str">
        <f>IFERROR(VLOOKUP($A863,ItemsImport!$A$2:$AD970,MATCH("ItemLoc",ItemsImport!$A$1:$AE$1,0),FALSE),"")</f>
        <v/>
      </c>
      <c r="X863" s="1" t="str">
        <f t="shared" si="1"/>
        <v/>
      </c>
    </row>
    <row r="864">
      <c r="A864" s="1"/>
      <c r="B864" s="1" t="str">
        <f>IFERROR(VLOOKUP($A864,ItemsImport!$A$2:$AD970,MATCH("Description",ItemsImport!$A$1:$AE$1,0),FALSE),"")</f>
        <v/>
      </c>
      <c r="C864" s="1" t="str">
        <f>IFERROR(VLOOKUP($A864,ItemsImport!$A$2:$AD970,MATCH("Type",ItemsImport!$A$1:$AE$1,0),FALSE),"")</f>
        <v/>
      </c>
      <c r="H864" s="4" t="b">
        <v>0</v>
      </c>
      <c r="I864" s="1" t="str">
        <f>IFERROR(VLOOKUP($A864,ItemsImport!$A$2:$AD970,MATCH("ItemLoc",ItemsImport!$A$1:$AE$1,0),FALSE),"")</f>
        <v/>
      </c>
      <c r="X864" s="1" t="str">
        <f t="shared" si="1"/>
        <v/>
      </c>
    </row>
    <row r="865">
      <c r="A865" s="1"/>
      <c r="B865" s="1" t="str">
        <f>IFERROR(VLOOKUP($A865,ItemsImport!$A$2:$AD970,MATCH("Description",ItemsImport!$A$1:$AE$1,0),FALSE),"")</f>
        <v/>
      </c>
      <c r="C865" s="1" t="str">
        <f>IFERROR(VLOOKUP($A865,ItemsImport!$A$2:$AD970,MATCH("Type",ItemsImport!$A$1:$AE$1,0),FALSE),"")</f>
        <v/>
      </c>
      <c r="H865" s="4" t="b">
        <v>0</v>
      </c>
      <c r="I865" s="1" t="str">
        <f>IFERROR(VLOOKUP($A865,ItemsImport!$A$2:$AD970,MATCH("ItemLoc",ItemsImport!$A$1:$AE$1,0),FALSE),"")</f>
        <v/>
      </c>
      <c r="X865" s="1" t="str">
        <f t="shared" si="1"/>
        <v/>
      </c>
    </row>
    <row r="866">
      <c r="A866" s="1"/>
      <c r="B866" s="1" t="str">
        <f>IFERROR(VLOOKUP($A866,ItemsImport!$A$2:$AD970,MATCH("Description",ItemsImport!$A$1:$AE$1,0),FALSE),"")</f>
        <v/>
      </c>
      <c r="C866" s="1" t="str">
        <f>IFERROR(VLOOKUP($A866,ItemsImport!$A$2:$AD970,MATCH("Type",ItemsImport!$A$1:$AE$1,0),FALSE),"")</f>
        <v/>
      </c>
      <c r="H866" s="4" t="b">
        <v>0</v>
      </c>
      <c r="I866" s="1" t="str">
        <f>IFERROR(VLOOKUP($A866,ItemsImport!$A$2:$AD970,MATCH("ItemLoc",ItemsImport!$A$1:$AE$1,0),FALSE),"")</f>
        <v/>
      </c>
      <c r="X866" s="1" t="str">
        <f t="shared" si="1"/>
        <v/>
      </c>
    </row>
    <row r="867">
      <c r="A867" s="1"/>
      <c r="B867" s="1" t="str">
        <f>IFERROR(VLOOKUP($A867,ItemsImport!$A$2:$AD970,MATCH("Description",ItemsImport!$A$1:$AE$1,0),FALSE),"")</f>
        <v/>
      </c>
      <c r="C867" s="1" t="str">
        <f>IFERROR(VLOOKUP($A867,ItemsImport!$A$2:$AD970,MATCH("Type",ItemsImport!$A$1:$AE$1,0),FALSE),"")</f>
        <v/>
      </c>
      <c r="H867" s="4" t="b">
        <v>0</v>
      </c>
      <c r="I867" s="1" t="str">
        <f>IFERROR(VLOOKUP($A867,ItemsImport!$A$2:$AD970,MATCH("ItemLoc",ItemsImport!$A$1:$AE$1,0),FALSE),"")</f>
        <v/>
      </c>
      <c r="X867" s="1" t="str">
        <f t="shared" si="1"/>
        <v/>
      </c>
    </row>
    <row r="868">
      <c r="A868" s="1"/>
      <c r="B868" s="1" t="str">
        <f>IFERROR(VLOOKUP($A868,ItemsImport!$A$2:$AD970,MATCH("Description",ItemsImport!$A$1:$AE$1,0),FALSE),"")</f>
        <v/>
      </c>
      <c r="C868" s="1" t="str">
        <f>IFERROR(VLOOKUP($A868,ItemsImport!$A$2:$AD970,MATCH("Type",ItemsImport!$A$1:$AE$1,0),FALSE),"")</f>
        <v/>
      </c>
      <c r="H868" s="4" t="b">
        <v>0</v>
      </c>
      <c r="I868" s="1" t="str">
        <f>IFERROR(VLOOKUP($A868,ItemsImport!$A$2:$AD970,MATCH("ItemLoc",ItemsImport!$A$1:$AE$1,0),FALSE),"")</f>
        <v/>
      </c>
      <c r="X868" s="1" t="str">
        <f t="shared" si="1"/>
        <v/>
      </c>
    </row>
    <row r="869">
      <c r="A869" s="1"/>
      <c r="B869" s="1" t="str">
        <f>IFERROR(VLOOKUP($A869,ItemsImport!$A$2:$AD970,MATCH("Description",ItemsImport!$A$1:$AE$1,0),FALSE),"")</f>
        <v/>
      </c>
      <c r="C869" s="1" t="str">
        <f>IFERROR(VLOOKUP($A869,ItemsImport!$A$2:$AD970,MATCH("Type",ItemsImport!$A$1:$AE$1,0),FALSE),"")</f>
        <v/>
      </c>
      <c r="H869" s="4" t="b">
        <v>0</v>
      </c>
      <c r="I869" s="1" t="str">
        <f>IFERROR(VLOOKUP($A869,ItemsImport!$A$2:$AD970,MATCH("ItemLoc",ItemsImport!$A$1:$AE$1,0),FALSE),"")</f>
        <v/>
      </c>
      <c r="X869" s="1" t="str">
        <f t="shared" si="1"/>
        <v/>
      </c>
    </row>
    <row r="870">
      <c r="A870" s="1"/>
      <c r="B870" s="1" t="str">
        <f>IFERROR(VLOOKUP($A870,ItemsImport!$A$2:$AD970,MATCH("Description",ItemsImport!$A$1:$AE$1,0),FALSE),"")</f>
        <v/>
      </c>
      <c r="C870" s="1" t="str">
        <f>IFERROR(VLOOKUP($A870,ItemsImport!$A$2:$AD970,MATCH("Type",ItemsImport!$A$1:$AE$1,0),FALSE),"")</f>
        <v/>
      </c>
      <c r="H870" s="4" t="b">
        <v>0</v>
      </c>
      <c r="I870" s="1" t="str">
        <f>IFERROR(VLOOKUP($A870,ItemsImport!$A$2:$AD970,MATCH("ItemLoc",ItemsImport!$A$1:$AE$1,0),FALSE),"")</f>
        <v/>
      </c>
      <c r="X870" s="1" t="str">
        <f t="shared" si="1"/>
        <v/>
      </c>
    </row>
    <row r="871">
      <c r="A871" s="1"/>
      <c r="B871" s="1" t="str">
        <f>IFERROR(VLOOKUP($A871,ItemsImport!$A$2:$AD970,MATCH("Description",ItemsImport!$A$1:$AE$1,0),FALSE),"")</f>
        <v/>
      </c>
      <c r="C871" s="1" t="str">
        <f>IFERROR(VLOOKUP($A871,ItemsImport!$A$2:$AD970,MATCH("Type",ItemsImport!$A$1:$AE$1,0),FALSE),"")</f>
        <v/>
      </c>
      <c r="H871" s="4" t="b">
        <v>0</v>
      </c>
      <c r="I871" s="1" t="str">
        <f>IFERROR(VLOOKUP($A871,ItemsImport!$A$2:$AD970,MATCH("ItemLoc",ItemsImport!$A$1:$AE$1,0),FALSE),"")</f>
        <v/>
      </c>
      <c r="X871" s="1" t="str">
        <f t="shared" si="1"/>
        <v/>
      </c>
    </row>
    <row r="872">
      <c r="A872" s="1"/>
      <c r="B872" s="1" t="str">
        <f>IFERROR(VLOOKUP($A872,ItemsImport!$A$2:$AD970,MATCH("Description",ItemsImport!$A$1:$AE$1,0),FALSE),"")</f>
        <v/>
      </c>
      <c r="C872" s="1" t="str">
        <f>IFERROR(VLOOKUP($A872,ItemsImport!$A$2:$AD970,MATCH("Type",ItemsImport!$A$1:$AE$1,0),FALSE),"")</f>
        <v/>
      </c>
      <c r="H872" s="4" t="b">
        <v>0</v>
      </c>
      <c r="I872" s="1" t="str">
        <f>IFERROR(VLOOKUP($A872,ItemsImport!$A$2:$AD970,MATCH("ItemLoc",ItemsImport!$A$1:$AE$1,0),FALSE),"")</f>
        <v/>
      </c>
      <c r="X872" s="1" t="str">
        <f t="shared" si="1"/>
        <v/>
      </c>
    </row>
    <row r="873">
      <c r="A873" s="1"/>
      <c r="B873" s="1" t="str">
        <f>IFERROR(VLOOKUP($A873,ItemsImport!$A$2:$AD970,MATCH("Description",ItemsImport!$A$1:$AE$1,0),FALSE),"")</f>
        <v/>
      </c>
      <c r="C873" s="1" t="str">
        <f>IFERROR(VLOOKUP($A873,ItemsImport!$A$2:$AD970,MATCH("Type",ItemsImport!$A$1:$AE$1,0),FALSE),"")</f>
        <v/>
      </c>
      <c r="H873" s="4" t="b">
        <v>0</v>
      </c>
      <c r="I873" s="1" t="str">
        <f>IFERROR(VLOOKUP($A873,ItemsImport!$A$2:$AD970,MATCH("ItemLoc",ItemsImport!$A$1:$AE$1,0),FALSE),"")</f>
        <v/>
      </c>
      <c r="X873" s="1" t="str">
        <f t="shared" si="1"/>
        <v/>
      </c>
    </row>
    <row r="874">
      <c r="A874" s="1"/>
      <c r="B874" s="1" t="str">
        <f>IFERROR(VLOOKUP($A874,ItemsImport!$A$2:$AD970,MATCH("Description",ItemsImport!$A$1:$AE$1,0),FALSE),"")</f>
        <v/>
      </c>
      <c r="C874" s="1" t="str">
        <f>IFERROR(VLOOKUP($A874,ItemsImport!$A$2:$AD970,MATCH("Type",ItemsImport!$A$1:$AE$1,0),FALSE),"")</f>
        <v/>
      </c>
      <c r="H874" s="4" t="b">
        <v>0</v>
      </c>
      <c r="I874" s="1" t="str">
        <f>IFERROR(VLOOKUP($A874,ItemsImport!$A$2:$AD970,MATCH("ItemLoc",ItemsImport!$A$1:$AE$1,0),FALSE),"")</f>
        <v/>
      </c>
      <c r="X874" s="1" t="str">
        <f t="shared" si="1"/>
        <v/>
      </c>
    </row>
    <row r="875">
      <c r="A875" s="1"/>
      <c r="B875" s="1" t="str">
        <f>IFERROR(VLOOKUP($A875,ItemsImport!$A$2:$AD970,MATCH("Description",ItemsImport!$A$1:$AE$1,0),FALSE),"")</f>
        <v/>
      </c>
      <c r="C875" s="1" t="str">
        <f>IFERROR(VLOOKUP($A875,ItemsImport!$A$2:$AD970,MATCH("Type",ItemsImport!$A$1:$AE$1,0),FALSE),"")</f>
        <v/>
      </c>
      <c r="H875" s="4" t="b">
        <v>0</v>
      </c>
      <c r="I875" s="1" t="str">
        <f>IFERROR(VLOOKUP($A875,ItemsImport!$A$2:$AD970,MATCH("ItemLoc",ItemsImport!$A$1:$AE$1,0),FALSE),"")</f>
        <v/>
      </c>
      <c r="X875" s="1" t="str">
        <f t="shared" si="1"/>
        <v/>
      </c>
    </row>
    <row r="876">
      <c r="A876" s="1"/>
      <c r="B876" s="1" t="str">
        <f>IFERROR(VLOOKUP($A876,ItemsImport!$A$2:$AD970,MATCH("Description",ItemsImport!$A$1:$AE$1,0),FALSE),"")</f>
        <v/>
      </c>
      <c r="C876" s="1" t="str">
        <f>IFERROR(VLOOKUP($A876,ItemsImport!$A$2:$AD970,MATCH("Type",ItemsImport!$A$1:$AE$1,0),FALSE),"")</f>
        <v/>
      </c>
      <c r="H876" s="4" t="b">
        <v>0</v>
      </c>
      <c r="I876" s="1" t="str">
        <f>IFERROR(VLOOKUP($A876,ItemsImport!$A$2:$AD970,MATCH("ItemLoc",ItemsImport!$A$1:$AE$1,0),FALSE),"")</f>
        <v/>
      </c>
      <c r="X876" s="1" t="str">
        <f t="shared" si="1"/>
        <v/>
      </c>
    </row>
    <row r="877">
      <c r="A877" s="1"/>
      <c r="B877" s="1" t="str">
        <f>IFERROR(VLOOKUP($A877,ItemsImport!$A$2:$AD970,MATCH("Description",ItemsImport!$A$1:$AE$1,0),FALSE),"")</f>
        <v/>
      </c>
      <c r="C877" s="1" t="str">
        <f>IFERROR(VLOOKUP($A877,ItemsImport!$A$2:$AD970,MATCH("Type",ItemsImport!$A$1:$AE$1,0),FALSE),"")</f>
        <v/>
      </c>
      <c r="H877" s="4" t="b">
        <v>0</v>
      </c>
      <c r="I877" s="1" t="str">
        <f>IFERROR(VLOOKUP($A877,ItemsImport!$A$2:$AD970,MATCH("ItemLoc",ItemsImport!$A$1:$AE$1,0),FALSE),"")</f>
        <v/>
      </c>
      <c r="X877" s="1" t="str">
        <f t="shared" si="1"/>
        <v/>
      </c>
    </row>
    <row r="878">
      <c r="A878" s="1"/>
      <c r="B878" s="1" t="str">
        <f>IFERROR(VLOOKUP($A878,ItemsImport!$A$2:$AD970,MATCH("Description",ItemsImport!$A$1:$AE$1,0),FALSE),"")</f>
        <v/>
      </c>
      <c r="C878" s="1" t="str">
        <f>IFERROR(VLOOKUP($A878,ItemsImport!$A$2:$AD970,MATCH("Type",ItemsImport!$A$1:$AE$1,0),FALSE),"")</f>
        <v/>
      </c>
      <c r="H878" s="4" t="b">
        <v>0</v>
      </c>
      <c r="I878" s="1" t="str">
        <f>IFERROR(VLOOKUP($A878,ItemsImport!$A$2:$AD970,MATCH("ItemLoc",ItemsImport!$A$1:$AE$1,0),FALSE),"")</f>
        <v/>
      </c>
      <c r="X878" s="1" t="str">
        <f t="shared" si="1"/>
        <v/>
      </c>
    </row>
    <row r="879">
      <c r="A879" s="1"/>
      <c r="B879" s="1" t="str">
        <f>IFERROR(VLOOKUP($A879,ItemsImport!$A$2:$AD970,MATCH("Description",ItemsImport!$A$1:$AE$1,0),FALSE),"")</f>
        <v/>
      </c>
      <c r="C879" s="1" t="str">
        <f>IFERROR(VLOOKUP($A879,ItemsImport!$A$2:$AD970,MATCH("Type",ItemsImport!$A$1:$AE$1,0),FALSE),"")</f>
        <v/>
      </c>
      <c r="H879" s="4" t="b">
        <v>0</v>
      </c>
      <c r="I879" s="1" t="str">
        <f>IFERROR(VLOOKUP($A879,ItemsImport!$A$2:$AD970,MATCH("ItemLoc",ItemsImport!$A$1:$AE$1,0),FALSE),"")</f>
        <v/>
      </c>
      <c r="X879" s="1" t="str">
        <f t="shared" si="1"/>
        <v/>
      </c>
    </row>
    <row r="880">
      <c r="A880" s="1"/>
      <c r="B880" s="1" t="str">
        <f>IFERROR(VLOOKUP($A880,ItemsImport!$A$2:$AD970,MATCH("Description",ItemsImport!$A$1:$AE$1,0),FALSE),"")</f>
        <v/>
      </c>
      <c r="C880" s="1" t="str">
        <f>IFERROR(VLOOKUP($A880,ItemsImport!$A$2:$AD970,MATCH("Type",ItemsImport!$A$1:$AE$1,0),FALSE),"")</f>
        <v/>
      </c>
      <c r="H880" s="4" t="b">
        <v>0</v>
      </c>
      <c r="I880" s="1" t="str">
        <f>IFERROR(VLOOKUP($A880,ItemsImport!$A$2:$AD970,MATCH("ItemLoc",ItemsImport!$A$1:$AE$1,0),FALSE),"")</f>
        <v/>
      </c>
      <c r="X880" s="1" t="str">
        <f t="shared" si="1"/>
        <v/>
      </c>
    </row>
    <row r="881">
      <c r="A881" s="1"/>
      <c r="B881" s="1" t="str">
        <f>IFERROR(VLOOKUP($A881,ItemsImport!$A$2:$AD970,MATCH("Description",ItemsImport!$A$1:$AE$1,0),FALSE),"")</f>
        <v/>
      </c>
      <c r="C881" s="1" t="str">
        <f>IFERROR(VLOOKUP($A881,ItemsImport!$A$2:$AD970,MATCH("Type",ItemsImport!$A$1:$AE$1,0),FALSE),"")</f>
        <v/>
      </c>
      <c r="H881" s="4" t="b">
        <v>0</v>
      </c>
      <c r="I881" s="1" t="str">
        <f>IFERROR(VLOOKUP($A881,ItemsImport!$A$2:$AD970,MATCH("ItemLoc",ItemsImport!$A$1:$AE$1,0),FALSE),"")</f>
        <v/>
      </c>
      <c r="X881" s="1" t="str">
        <f t="shared" si="1"/>
        <v/>
      </c>
    </row>
    <row r="882">
      <c r="A882" s="1"/>
      <c r="B882" s="1" t="str">
        <f>IFERROR(VLOOKUP($A882,ItemsImport!$A$2:$AD970,MATCH("Description",ItemsImport!$A$1:$AE$1,0),FALSE),"")</f>
        <v/>
      </c>
      <c r="C882" s="1" t="str">
        <f>IFERROR(VLOOKUP($A882,ItemsImport!$A$2:$AD970,MATCH("Type",ItemsImport!$A$1:$AE$1,0),FALSE),"")</f>
        <v/>
      </c>
      <c r="H882" s="4" t="b">
        <v>0</v>
      </c>
      <c r="I882" s="1" t="str">
        <f>IFERROR(VLOOKUP($A882,ItemsImport!$A$2:$AD970,MATCH("ItemLoc",ItemsImport!$A$1:$AE$1,0),FALSE),"")</f>
        <v/>
      </c>
      <c r="X882" s="1" t="str">
        <f t="shared" si="1"/>
        <v/>
      </c>
    </row>
    <row r="883">
      <c r="A883" s="1"/>
      <c r="B883" s="1" t="str">
        <f>IFERROR(VLOOKUP($A883,ItemsImport!$A$2:$AD970,MATCH("Description",ItemsImport!$A$1:$AE$1,0),FALSE),"")</f>
        <v/>
      </c>
      <c r="C883" s="1" t="str">
        <f>IFERROR(VLOOKUP($A883,ItemsImport!$A$2:$AD970,MATCH("Type",ItemsImport!$A$1:$AE$1,0),FALSE),"")</f>
        <v/>
      </c>
      <c r="H883" s="4" t="b">
        <v>0</v>
      </c>
      <c r="I883" s="1" t="str">
        <f>IFERROR(VLOOKUP($A883,ItemsImport!$A$2:$AD970,MATCH("ItemLoc",ItemsImport!$A$1:$AE$1,0),FALSE),"")</f>
        <v/>
      </c>
      <c r="X883" s="1" t="str">
        <f t="shared" si="1"/>
        <v/>
      </c>
    </row>
    <row r="884">
      <c r="A884" s="1"/>
      <c r="B884" s="1" t="str">
        <f>IFERROR(VLOOKUP($A884,ItemsImport!$A$2:$AD970,MATCH("Description",ItemsImport!$A$1:$AE$1,0),FALSE),"")</f>
        <v/>
      </c>
      <c r="C884" s="1" t="str">
        <f>IFERROR(VLOOKUP($A884,ItemsImport!$A$2:$AD970,MATCH("Type",ItemsImport!$A$1:$AE$1,0),FALSE),"")</f>
        <v/>
      </c>
      <c r="H884" s="4" t="b">
        <v>0</v>
      </c>
      <c r="I884" s="1" t="str">
        <f>IFERROR(VLOOKUP($A884,ItemsImport!$A$2:$AD970,MATCH("ItemLoc",ItemsImport!$A$1:$AE$1,0),FALSE),"")</f>
        <v/>
      </c>
      <c r="X884" s="1" t="str">
        <f t="shared" si="1"/>
        <v/>
      </c>
    </row>
    <row r="885">
      <c r="A885" s="1"/>
      <c r="B885" s="1" t="str">
        <f>IFERROR(VLOOKUP($A885,ItemsImport!$A$2:$AD970,MATCH("Description",ItemsImport!$A$1:$AE$1,0),FALSE),"")</f>
        <v/>
      </c>
      <c r="C885" s="1" t="str">
        <f>IFERROR(VLOOKUP($A885,ItemsImport!$A$2:$AD970,MATCH("Type",ItemsImport!$A$1:$AE$1,0),FALSE),"")</f>
        <v/>
      </c>
      <c r="H885" s="4" t="b">
        <v>0</v>
      </c>
      <c r="I885" s="1" t="str">
        <f>IFERROR(VLOOKUP($A885,ItemsImport!$A$2:$AD970,MATCH("ItemLoc",ItemsImport!$A$1:$AE$1,0),FALSE),"")</f>
        <v/>
      </c>
      <c r="X885" s="1" t="str">
        <f t="shared" si="1"/>
        <v/>
      </c>
    </row>
    <row r="886">
      <c r="A886" s="1"/>
      <c r="B886" s="1" t="str">
        <f>IFERROR(VLOOKUP($A886,ItemsImport!$A$2:$AD970,MATCH("Description",ItemsImport!$A$1:$AE$1,0),FALSE),"")</f>
        <v/>
      </c>
      <c r="C886" s="1" t="str">
        <f>IFERROR(VLOOKUP($A886,ItemsImport!$A$2:$AD970,MATCH("Type",ItemsImport!$A$1:$AE$1,0),FALSE),"")</f>
        <v/>
      </c>
      <c r="H886" s="4" t="b">
        <v>0</v>
      </c>
      <c r="I886" s="1" t="str">
        <f>IFERROR(VLOOKUP($A886,ItemsImport!$A$2:$AD970,MATCH("ItemLoc",ItemsImport!$A$1:$AE$1,0),FALSE),"")</f>
        <v/>
      </c>
      <c r="X886" s="1" t="str">
        <f t="shared" si="1"/>
        <v/>
      </c>
    </row>
    <row r="887">
      <c r="A887" s="1"/>
      <c r="B887" s="1" t="str">
        <f>IFERROR(VLOOKUP($A887,ItemsImport!$A$2:$AD970,MATCH("Description",ItemsImport!$A$1:$AE$1,0),FALSE),"")</f>
        <v/>
      </c>
      <c r="C887" s="1" t="str">
        <f>IFERROR(VLOOKUP($A887,ItemsImport!$A$2:$AD970,MATCH("Type",ItemsImport!$A$1:$AE$1,0),FALSE),"")</f>
        <v/>
      </c>
      <c r="H887" s="4" t="b">
        <v>0</v>
      </c>
      <c r="I887" s="1" t="str">
        <f>IFERROR(VLOOKUP($A887,ItemsImport!$A$2:$AD970,MATCH("ItemLoc",ItemsImport!$A$1:$AE$1,0),FALSE),"")</f>
        <v/>
      </c>
      <c r="X887" s="1" t="str">
        <f t="shared" si="1"/>
        <v/>
      </c>
    </row>
    <row r="888">
      <c r="A888" s="1"/>
      <c r="B888" s="1" t="str">
        <f>IFERROR(VLOOKUP($A888,ItemsImport!$A$2:$AD970,MATCH("Description",ItemsImport!$A$1:$AE$1,0),FALSE),"")</f>
        <v/>
      </c>
      <c r="C888" s="1" t="str">
        <f>IFERROR(VLOOKUP($A888,ItemsImport!$A$2:$AD970,MATCH("Type",ItemsImport!$A$1:$AE$1,0),FALSE),"")</f>
        <v/>
      </c>
      <c r="H888" s="4" t="b">
        <v>0</v>
      </c>
      <c r="I888" s="1" t="str">
        <f>IFERROR(VLOOKUP($A888,ItemsImport!$A$2:$AD970,MATCH("ItemLoc",ItemsImport!$A$1:$AE$1,0),FALSE),"")</f>
        <v/>
      </c>
      <c r="X888" s="1" t="str">
        <f t="shared" si="1"/>
        <v/>
      </c>
    </row>
    <row r="889">
      <c r="A889" s="1"/>
      <c r="B889" s="1" t="str">
        <f>IFERROR(VLOOKUP($A889,ItemsImport!$A$2:$AD970,MATCH("Description",ItemsImport!$A$1:$AE$1,0),FALSE),"")</f>
        <v/>
      </c>
      <c r="C889" s="1" t="str">
        <f>IFERROR(VLOOKUP($A889,ItemsImport!$A$2:$AD970,MATCH("Type",ItemsImport!$A$1:$AE$1,0),FALSE),"")</f>
        <v/>
      </c>
      <c r="H889" s="4" t="b">
        <v>0</v>
      </c>
      <c r="I889" s="1" t="str">
        <f>IFERROR(VLOOKUP($A889,ItemsImport!$A$2:$AD970,MATCH("ItemLoc",ItemsImport!$A$1:$AE$1,0),FALSE),"")</f>
        <v/>
      </c>
      <c r="X889" s="1" t="str">
        <f t="shared" si="1"/>
        <v/>
      </c>
    </row>
    <row r="890">
      <c r="A890" s="1"/>
      <c r="B890" s="1" t="str">
        <f>IFERROR(VLOOKUP($A890,ItemsImport!$A$2:$AD970,MATCH("Description",ItemsImport!$A$1:$AE$1,0),FALSE),"")</f>
        <v/>
      </c>
      <c r="C890" s="1" t="str">
        <f>IFERROR(VLOOKUP($A890,ItemsImport!$A$2:$AD970,MATCH("Type",ItemsImport!$A$1:$AE$1,0),FALSE),"")</f>
        <v/>
      </c>
      <c r="H890" s="4" t="b">
        <v>0</v>
      </c>
      <c r="I890" s="1" t="str">
        <f>IFERROR(VLOOKUP($A890,ItemsImport!$A$2:$AD970,MATCH("ItemLoc",ItemsImport!$A$1:$AE$1,0),FALSE),"")</f>
        <v/>
      </c>
      <c r="X890" s="1" t="str">
        <f t="shared" si="1"/>
        <v/>
      </c>
    </row>
    <row r="891">
      <c r="A891" s="1"/>
      <c r="B891" s="1" t="str">
        <f>IFERROR(VLOOKUP($A891,ItemsImport!$A$2:$AD970,MATCH("Description",ItemsImport!$A$1:$AE$1,0),FALSE),"")</f>
        <v/>
      </c>
      <c r="C891" s="1" t="str">
        <f>IFERROR(VLOOKUP($A891,ItemsImport!$A$2:$AD970,MATCH("Type",ItemsImport!$A$1:$AE$1,0),FALSE),"")</f>
        <v/>
      </c>
      <c r="H891" s="4" t="b">
        <v>0</v>
      </c>
      <c r="I891" s="1" t="str">
        <f>IFERROR(VLOOKUP($A891,ItemsImport!$A$2:$AD970,MATCH("ItemLoc",ItemsImport!$A$1:$AE$1,0),FALSE),"")</f>
        <v/>
      </c>
      <c r="X891" s="1" t="str">
        <f t="shared" si="1"/>
        <v/>
      </c>
    </row>
    <row r="892">
      <c r="A892" s="1"/>
      <c r="B892" s="1" t="str">
        <f>IFERROR(VLOOKUP($A892,ItemsImport!$A$2:$AD970,MATCH("Description",ItemsImport!$A$1:$AE$1,0),FALSE),"")</f>
        <v/>
      </c>
      <c r="C892" s="1" t="str">
        <f>IFERROR(VLOOKUP($A892,ItemsImport!$A$2:$AD970,MATCH("Type",ItemsImport!$A$1:$AE$1,0),FALSE),"")</f>
        <v/>
      </c>
      <c r="H892" s="4" t="b">
        <v>0</v>
      </c>
      <c r="I892" s="1" t="str">
        <f>IFERROR(VLOOKUP($A892,ItemsImport!$A$2:$AD970,MATCH("ItemLoc",ItemsImport!$A$1:$AE$1,0),FALSE),"")</f>
        <v/>
      </c>
      <c r="X892" s="1" t="str">
        <f t="shared" si="1"/>
        <v/>
      </c>
    </row>
    <row r="893">
      <c r="A893" s="1"/>
      <c r="B893" s="1" t="str">
        <f>IFERROR(VLOOKUP($A893,ItemsImport!$A$2:$AD970,MATCH("Description",ItemsImport!$A$1:$AE$1,0),FALSE),"")</f>
        <v/>
      </c>
      <c r="C893" s="1" t="str">
        <f>IFERROR(VLOOKUP($A893,ItemsImport!$A$2:$AD970,MATCH("Type",ItemsImport!$A$1:$AE$1,0),FALSE),"")</f>
        <v/>
      </c>
      <c r="H893" s="4" t="b">
        <v>0</v>
      </c>
      <c r="I893" s="1" t="str">
        <f>IFERROR(VLOOKUP($A893,ItemsImport!$A$2:$AD970,MATCH("ItemLoc",ItemsImport!$A$1:$AE$1,0),FALSE),"")</f>
        <v/>
      </c>
      <c r="X893" s="1" t="str">
        <f t="shared" si="1"/>
        <v/>
      </c>
    </row>
    <row r="894">
      <c r="A894" s="1"/>
      <c r="B894" s="1" t="str">
        <f>IFERROR(VLOOKUP($A894,ItemsImport!$A$2:$AD970,MATCH("Description",ItemsImport!$A$1:$AE$1,0),FALSE),"")</f>
        <v/>
      </c>
      <c r="C894" s="1" t="str">
        <f>IFERROR(VLOOKUP($A894,ItemsImport!$A$2:$AD970,MATCH("Type",ItemsImport!$A$1:$AE$1,0),FALSE),"")</f>
        <v/>
      </c>
      <c r="H894" s="4" t="b">
        <v>0</v>
      </c>
      <c r="I894" s="1" t="str">
        <f>IFERROR(VLOOKUP($A894,ItemsImport!$A$2:$AD970,MATCH("ItemLoc",ItemsImport!$A$1:$AE$1,0),FALSE),"")</f>
        <v/>
      </c>
      <c r="X894" s="1" t="str">
        <f t="shared" si="1"/>
        <v/>
      </c>
    </row>
    <row r="895">
      <c r="A895" s="1"/>
      <c r="B895" s="1" t="str">
        <f>IFERROR(VLOOKUP($A895,ItemsImport!$A$2:$AD970,MATCH("Description",ItemsImport!$A$1:$AE$1,0),FALSE),"")</f>
        <v/>
      </c>
      <c r="C895" s="1" t="str">
        <f>IFERROR(VLOOKUP($A895,ItemsImport!$A$2:$AD970,MATCH("Type",ItemsImport!$A$1:$AE$1,0),FALSE),"")</f>
        <v/>
      </c>
      <c r="H895" s="4" t="b">
        <v>0</v>
      </c>
      <c r="I895" s="1" t="str">
        <f>IFERROR(VLOOKUP($A895,ItemsImport!$A$2:$AD970,MATCH("ItemLoc",ItemsImport!$A$1:$AE$1,0),FALSE),"")</f>
        <v/>
      </c>
      <c r="X895" s="1" t="str">
        <f t="shared" si="1"/>
        <v/>
      </c>
    </row>
    <row r="896">
      <c r="A896" s="1"/>
      <c r="B896" s="1" t="str">
        <f>IFERROR(VLOOKUP($A896,ItemsImport!$A$2:$AD970,MATCH("Description",ItemsImport!$A$1:$AE$1,0),FALSE),"")</f>
        <v/>
      </c>
      <c r="C896" s="1" t="str">
        <f>IFERROR(VLOOKUP($A896,ItemsImport!$A$2:$AD970,MATCH("Type",ItemsImport!$A$1:$AE$1,0),FALSE),"")</f>
        <v/>
      </c>
      <c r="H896" s="4" t="b">
        <v>0</v>
      </c>
      <c r="I896" s="1" t="str">
        <f>IFERROR(VLOOKUP($A896,ItemsImport!$A$2:$AD970,MATCH("ItemLoc",ItemsImport!$A$1:$AE$1,0),FALSE),"")</f>
        <v/>
      </c>
      <c r="X896" s="1" t="str">
        <f t="shared" si="1"/>
        <v/>
      </c>
    </row>
    <row r="897">
      <c r="A897" s="1"/>
      <c r="B897" s="1" t="str">
        <f>IFERROR(VLOOKUP($A897,ItemsImport!$A$2:$AD970,MATCH("Description",ItemsImport!$A$1:$AE$1,0),FALSE),"")</f>
        <v/>
      </c>
      <c r="C897" s="1" t="str">
        <f>IFERROR(VLOOKUP($A897,ItemsImport!$A$2:$AD970,MATCH("Type",ItemsImport!$A$1:$AE$1,0),FALSE),"")</f>
        <v/>
      </c>
      <c r="H897" s="4" t="b">
        <v>0</v>
      </c>
      <c r="I897" s="1" t="str">
        <f>IFERROR(VLOOKUP($A897,ItemsImport!$A$2:$AD970,MATCH("ItemLoc",ItemsImport!$A$1:$AE$1,0),FALSE),"")</f>
        <v/>
      </c>
      <c r="X897" s="1" t="str">
        <f t="shared" si="1"/>
        <v/>
      </c>
    </row>
    <row r="898">
      <c r="A898" s="1"/>
      <c r="B898" s="1" t="str">
        <f>IFERROR(VLOOKUP($A898,ItemsImport!$A$2:$AD970,MATCH("Description",ItemsImport!$A$1:$AE$1,0),FALSE),"")</f>
        <v/>
      </c>
      <c r="C898" s="1" t="str">
        <f>IFERROR(VLOOKUP($A898,ItemsImport!$A$2:$AD970,MATCH("Type",ItemsImport!$A$1:$AE$1,0),FALSE),"")</f>
        <v/>
      </c>
      <c r="H898" s="4" t="b">
        <v>0</v>
      </c>
      <c r="I898" s="1" t="str">
        <f>IFERROR(VLOOKUP($A898,ItemsImport!$A$2:$AD970,MATCH("ItemLoc",ItemsImport!$A$1:$AE$1,0),FALSE),"")</f>
        <v/>
      </c>
      <c r="X898" s="1" t="str">
        <f t="shared" si="1"/>
        <v/>
      </c>
    </row>
    <row r="899">
      <c r="A899" s="1"/>
      <c r="B899" s="1" t="str">
        <f>IFERROR(VLOOKUP($A899,ItemsImport!$A$2:$AD970,MATCH("Description",ItemsImport!$A$1:$AE$1,0),FALSE),"")</f>
        <v/>
      </c>
      <c r="C899" s="1" t="str">
        <f>IFERROR(VLOOKUP($A899,ItemsImport!$A$2:$AD970,MATCH("Type",ItemsImport!$A$1:$AE$1,0),FALSE),"")</f>
        <v/>
      </c>
      <c r="H899" s="4" t="b">
        <v>0</v>
      </c>
      <c r="I899" s="1" t="str">
        <f>IFERROR(VLOOKUP($A899,ItemsImport!$A$2:$AD970,MATCH("ItemLoc",ItemsImport!$A$1:$AE$1,0),FALSE),"")</f>
        <v/>
      </c>
      <c r="X899" s="1" t="str">
        <f t="shared" si="1"/>
        <v/>
      </c>
    </row>
    <row r="900">
      <c r="A900" s="1"/>
      <c r="B900" s="1" t="str">
        <f>IFERROR(VLOOKUP($A900,ItemsImport!$A$2:$AD970,MATCH("Description",ItemsImport!$A$1:$AE$1,0),FALSE),"")</f>
        <v/>
      </c>
      <c r="C900" s="1" t="str">
        <f>IFERROR(VLOOKUP($A900,ItemsImport!$A$2:$AD970,MATCH("Type",ItemsImport!$A$1:$AE$1,0),FALSE),"")</f>
        <v/>
      </c>
      <c r="H900" s="4" t="b">
        <v>0</v>
      </c>
      <c r="I900" s="1" t="str">
        <f>IFERROR(VLOOKUP($A900,ItemsImport!$A$2:$AD970,MATCH("ItemLoc",ItemsImport!$A$1:$AE$1,0),FALSE),"")</f>
        <v/>
      </c>
      <c r="X900" s="1" t="str">
        <f t="shared" si="1"/>
        <v/>
      </c>
    </row>
    <row r="901">
      <c r="A901" s="1"/>
      <c r="B901" s="1" t="str">
        <f>IFERROR(VLOOKUP($A901,ItemsImport!$A$2:$AD970,MATCH("Description",ItemsImport!$A$1:$AE$1,0),FALSE),"")</f>
        <v/>
      </c>
      <c r="C901" s="1" t="str">
        <f>IFERROR(VLOOKUP($A901,ItemsImport!$A$2:$AD970,MATCH("Type",ItemsImport!$A$1:$AE$1,0),FALSE),"")</f>
        <v/>
      </c>
      <c r="H901" s="4" t="b">
        <v>0</v>
      </c>
      <c r="I901" s="1" t="str">
        <f>IFERROR(VLOOKUP($A901,ItemsImport!$A$2:$AD970,MATCH("ItemLoc",ItemsImport!$A$1:$AE$1,0),FALSE),"")</f>
        <v/>
      </c>
      <c r="X901" s="1" t="str">
        <f t="shared" si="1"/>
        <v/>
      </c>
    </row>
    <row r="902">
      <c r="A902" s="1"/>
      <c r="B902" s="1" t="str">
        <f>IFERROR(VLOOKUP($A902,ItemsImport!$A$2:$AD970,MATCH("Description",ItemsImport!$A$1:$AE$1,0),FALSE),"")</f>
        <v/>
      </c>
      <c r="C902" s="1" t="str">
        <f>IFERROR(VLOOKUP($A902,ItemsImport!$A$2:$AD970,MATCH("Type",ItemsImport!$A$1:$AE$1,0),FALSE),"")</f>
        <v/>
      </c>
      <c r="H902" s="4" t="b">
        <v>0</v>
      </c>
      <c r="I902" s="1" t="str">
        <f>IFERROR(VLOOKUP($A902,ItemsImport!$A$2:$AD970,MATCH("ItemLoc",ItemsImport!$A$1:$AE$1,0),FALSE),"")</f>
        <v/>
      </c>
      <c r="X902" s="1" t="str">
        <f t="shared" si="1"/>
        <v/>
      </c>
    </row>
    <row r="903">
      <c r="A903" s="1"/>
      <c r="B903" s="1" t="str">
        <f>IFERROR(VLOOKUP($A903,ItemsImport!$A$2:$AD970,MATCH("Description",ItemsImport!$A$1:$AE$1,0),FALSE),"")</f>
        <v/>
      </c>
      <c r="C903" s="1" t="str">
        <f>IFERROR(VLOOKUP($A903,ItemsImport!$A$2:$AD970,MATCH("Type",ItemsImport!$A$1:$AE$1,0),FALSE),"")</f>
        <v/>
      </c>
      <c r="H903" s="4" t="b">
        <v>0</v>
      </c>
      <c r="I903" s="1" t="str">
        <f>IFERROR(VLOOKUP($A903,ItemsImport!$A$2:$AD970,MATCH("ItemLoc",ItemsImport!$A$1:$AE$1,0),FALSE),"")</f>
        <v/>
      </c>
      <c r="X903" s="1" t="str">
        <f t="shared" si="1"/>
        <v/>
      </c>
    </row>
    <row r="904">
      <c r="A904" s="1"/>
      <c r="B904" s="1" t="str">
        <f>IFERROR(VLOOKUP($A904,ItemsImport!$A$2:$AD970,MATCH("Description",ItemsImport!$A$1:$AE$1,0),FALSE),"")</f>
        <v/>
      </c>
      <c r="C904" s="1" t="str">
        <f>IFERROR(VLOOKUP($A904,ItemsImport!$A$2:$AD970,MATCH("Type",ItemsImport!$A$1:$AE$1,0),FALSE),"")</f>
        <v/>
      </c>
      <c r="H904" s="4" t="b">
        <v>0</v>
      </c>
      <c r="I904" s="1" t="str">
        <f>IFERROR(VLOOKUP($A904,ItemsImport!$A$2:$AD970,MATCH("ItemLoc",ItemsImport!$A$1:$AE$1,0),FALSE),"")</f>
        <v/>
      </c>
      <c r="X904" s="1" t="str">
        <f t="shared" si="1"/>
        <v/>
      </c>
    </row>
    <row r="905">
      <c r="A905" s="1"/>
      <c r="B905" s="1" t="str">
        <f>IFERROR(VLOOKUP($A905,ItemsImport!$A$2:$AD970,MATCH("Description",ItemsImport!$A$1:$AE$1,0),FALSE),"")</f>
        <v/>
      </c>
      <c r="C905" s="1" t="str">
        <f>IFERROR(VLOOKUP($A905,ItemsImport!$A$2:$AD970,MATCH("Type",ItemsImport!$A$1:$AE$1,0),FALSE),"")</f>
        <v/>
      </c>
      <c r="H905" s="4" t="b">
        <v>0</v>
      </c>
      <c r="I905" s="1" t="str">
        <f>IFERROR(VLOOKUP($A905,ItemsImport!$A$2:$AD970,MATCH("ItemLoc",ItemsImport!$A$1:$AE$1,0),FALSE),"")</f>
        <v/>
      </c>
      <c r="X905" s="1" t="str">
        <f t="shared" si="1"/>
        <v/>
      </c>
    </row>
    <row r="906">
      <c r="A906" s="1"/>
      <c r="B906" s="1" t="str">
        <f>IFERROR(VLOOKUP($A906,ItemsImport!$A$2:$AD970,MATCH("Description",ItemsImport!$A$1:$AE$1,0),FALSE),"")</f>
        <v/>
      </c>
      <c r="C906" s="1" t="str">
        <f>IFERROR(VLOOKUP($A906,ItemsImport!$A$2:$AD970,MATCH("Type",ItemsImport!$A$1:$AE$1,0),FALSE),"")</f>
        <v/>
      </c>
      <c r="H906" s="4" t="b">
        <v>0</v>
      </c>
      <c r="I906" s="1" t="str">
        <f>IFERROR(VLOOKUP($A906,ItemsImport!$A$2:$AD970,MATCH("ItemLoc",ItemsImport!$A$1:$AE$1,0),FALSE),"")</f>
        <v/>
      </c>
      <c r="X906" s="1" t="str">
        <f t="shared" si="1"/>
        <v/>
      </c>
    </row>
    <row r="907">
      <c r="A907" s="1"/>
      <c r="B907" s="1" t="str">
        <f>IFERROR(VLOOKUP($A907,ItemsImport!$A$2:$AD970,MATCH("Description",ItemsImport!$A$1:$AE$1,0),FALSE),"")</f>
        <v/>
      </c>
      <c r="C907" s="1" t="str">
        <f>IFERROR(VLOOKUP($A907,ItemsImport!$A$2:$AD970,MATCH("Type",ItemsImport!$A$1:$AE$1,0),FALSE),"")</f>
        <v/>
      </c>
      <c r="H907" s="4" t="b">
        <v>0</v>
      </c>
      <c r="I907" s="1" t="str">
        <f>IFERROR(VLOOKUP($A907,ItemsImport!$A$2:$AD970,MATCH("ItemLoc",ItemsImport!$A$1:$AE$1,0),FALSE),"")</f>
        <v/>
      </c>
      <c r="X907" s="1" t="str">
        <f t="shared" si="1"/>
        <v/>
      </c>
    </row>
    <row r="908">
      <c r="A908" s="1"/>
      <c r="B908" s="1" t="str">
        <f>IFERROR(VLOOKUP($A908,ItemsImport!$A$2:$AD970,MATCH("Description",ItemsImport!$A$1:$AE$1,0),FALSE),"")</f>
        <v/>
      </c>
      <c r="C908" s="1" t="str">
        <f>IFERROR(VLOOKUP($A908,ItemsImport!$A$2:$AD970,MATCH("Type",ItemsImport!$A$1:$AE$1,0),FALSE),"")</f>
        <v/>
      </c>
      <c r="H908" s="4" t="b">
        <v>0</v>
      </c>
      <c r="I908" s="1" t="str">
        <f>IFERROR(VLOOKUP($A908,ItemsImport!$A$2:$AD970,MATCH("ItemLoc",ItemsImport!$A$1:$AE$1,0),FALSE),"")</f>
        <v/>
      </c>
      <c r="X908" s="1" t="str">
        <f t="shared" si="1"/>
        <v/>
      </c>
    </row>
    <row r="909">
      <c r="A909" s="1"/>
      <c r="B909" s="1" t="str">
        <f>IFERROR(VLOOKUP($A909,ItemsImport!$A$2:$AD970,MATCH("Description",ItemsImport!$A$1:$AE$1,0),FALSE),"")</f>
        <v/>
      </c>
      <c r="C909" s="1" t="str">
        <f>IFERROR(VLOOKUP($A909,ItemsImport!$A$2:$AD970,MATCH("Type",ItemsImport!$A$1:$AE$1,0),FALSE),"")</f>
        <v/>
      </c>
      <c r="H909" s="4" t="b">
        <v>0</v>
      </c>
      <c r="I909" s="1" t="str">
        <f>IFERROR(VLOOKUP($A909,ItemsImport!$A$2:$AD970,MATCH("ItemLoc",ItemsImport!$A$1:$AE$1,0),FALSE),"")</f>
        <v/>
      </c>
      <c r="X909" s="1" t="str">
        <f t="shared" si="1"/>
        <v/>
      </c>
    </row>
    <row r="910">
      <c r="A910" s="1"/>
      <c r="B910" s="1" t="str">
        <f>IFERROR(VLOOKUP($A910,ItemsImport!$A$2:$AD970,MATCH("Description",ItemsImport!$A$1:$AE$1,0),FALSE),"")</f>
        <v/>
      </c>
      <c r="C910" s="1" t="str">
        <f>IFERROR(VLOOKUP($A910,ItemsImport!$A$2:$AD970,MATCH("Type",ItemsImport!$A$1:$AE$1,0),FALSE),"")</f>
        <v/>
      </c>
      <c r="H910" s="4" t="b">
        <v>0</v>
      </c>
      <c r="I910" s="1" t="str">
        <f>IFERROR(VLOOKUP($A910,ItemsImport!$A$2:$AD970,MATCH("ItemLoc",ItemsImport!$A$1:$AE$1,0),FALSE),"")</f>
        <v/>
      </c>
      <c r="X910" s="1" t="str">
        <f t="shared" si="1"/>
        <v/>
      </c>
    </row>
    <row r="911">
      <c r="A911" s="1"/>
      <c r="B911" s="1" t="str">
        <f>IFERROR(VLOOKUP($A911,ItemsImport!$A$2:$AD970,MATCH("Description",ItemsImport!$A$1:$AE$1,0),FALSE),"")</f>
        <v/>
      </c>
      <c r="C911" s="1" t="str">
        <f>IFERROR(VLOOKUP($A911,ItemsImport!$A$2:$AD970,MATCH("Type",ItemsImport!$A$1:$AE$1,0),FALSE),"")</f>
        <v/>
      </c>
      <c r="H911" s="4" t="b">
        <v>0</v>
      </c>
      <c r="I911" s="1" t="str">
        <f>IFERROR(VLOOKUP($A911,ItemsImport!$A$2:$AD970,MATCH("ItemLoc",ItemsImport!$A$1:$AE$1,0),FALSE),"")</f>
        <v/>
      </c>
      <c r="X911" s="1" t="str">
        <f t="shared" si="1"/>
        <v/>
      </c>
    </row>
    <row r="912">
      <c r="A912" s="1"/>
      <c r="B912" s="1" t="str">
        <f>IFERROR(VLOOKUP($A912,ItemsImport!$A$2:$AD970,MATCH("Description",ItemsImport!$A$1:$AE$1,0),FALSE),"")</f>
        <v/>
      </c>
      <c r="C912" s="1" t="str">
        <f>IFERROR(VLOOKUP($A912,ItemsImport!$A$2:$AD970,MATCH("Type",ItemsImport!$A$1:$AE$1,0),FALSE),"")</f>
        <v/>
      </c>
      <c r="H912" s="4" t="b">
        <v>0</v>
      </c>
      <c r="I912" s="1" t="str">
        <f>IFERROR(VLOOKUP($A912,ItemsImport!$A$2:$AD970,MATCH("ItemLoc",ItemsImport!$A$1:$AE$1,0),FALSE),"")</f>
        <v/>
      </c>
      <c r="X912" s="1" t="str">
        <f t="shared" si="1"/>
        <v/>
      </c>
    </row>
    <row r="913">
      <c r="A913" s="1"/>
      <c r="B913" s="1" t="str">
        <f>IFERROR(VLOOKUP($A913,ItemsImport!$A$2:$AD970,MATCH("Description",ItemsImport!$A$1:$AE$1,0),FALSE),"")</f>
        <v/>
      </c>
      <c r="C913" s="1" t="str">
        <f>IFERROR(VLOOKUP($A913,ItemsImport!$A$2:$AD970,MATCH("Type",ItemsImport!$A$1:$AE$1,0),FALSE),"")</f>
        <v/>
      </c>
      <c r="H913" s="4" t="b">
        <v>0</v>
      </c>
      <c r="I913" s="1" t="str">
        <f>IFERROR(VLOOKUP($A913,ItemsImport!$A$2:$AD970,MATCH("ItemLoc",ItemsImport!$A$1:$AE$1,0),FALSE),"")</f>
        <v/>
      </c>
      <c r="X913" s="1" t="str">
        <f t="shared" si="1"/>
        <v/>
      </c>
    </row>
    <row r="914">
      <c r="A914" s="1"/>
      <c r="B914" s="1" t="str">
        <f>IFERROR(VLOOKUP($A914,ItemsImport!$A$2:$AD970,MATCH("Description",ItemsImport!$A$1:$AE$1,0),FALSE),"")</f>
        <v/>
      </c>
      <c r="C914" s="1" t="str">
        <f>IFERROR(VLOOKUP($A914,ItemsImport!$A$2:$AD970,MATCH("Type",ItemsImport!$A$1:$AE$1,0),FALSE),"")</f>
        <v/>
      </c>
      <c r="H914" s="4" t="b">
        <v>0</v>
      </c>
      <c r="I914" s="1" t="str">
        <f>IFERROR(VLOOKUP($A914,ItemsImport!$A$2:$AD970,MATCH("ItemLoc",ItemsImport!$A$1:$AE$1,0),FALSE),"")</f>
        <v/>
      </c>
      <c r="X914" s="1" t="str">
        <f t="shared" si="1"/>
        <v/>
      </c>
    </row>
    <row r="915">
      <c r="A915" s="1"/>
      <c r="B915" s="1" t="str">
        <f>IFERROR(VLOOKUP($A915,ItemsImport!$A$2:$AD970,MATCH("Description",ItemsImport!$A$1:$AE$1,0),FALSE),"")</f>
        <v/>
      </c>
      <c r="C915" s="1" t="str">
        <f>IFERROR(VLOOKUP($A915,ItemsImport!$A$2:$AD970,MATCH("Type",ItemsImport!$A$1:$AE$1,0),FALSE),"")</f>
        <v/>
      </c>
      <c r="H915" s="4" t="b">
        <v>0</v>
      </c>
      <c r="I915" s="1" t="str">
        <f>IFERROR(VLOOKUP($A915,ItemsImport!$A$2:$AD970,MATCH("ItemLoc",ItemsImport!$A$1:$AE$1,0),FALSE),"")</f>
        <v/>
      </c>
      <c r="X915" s="1" t="str">
        <f t="shared" si="1"/>
        <v/>
      </c>
    </row>
    <row r="916">
      <c r="A916" s="1"/>
      <c r="B916" s="1" t="str">
        <f>IFERROR(VLOOKUP($A916,ItemsImport!$A$2:$AD970,MATCH("Description",ItemsImport!$A$1:$AE$1,0),FALSE),"")</f>
        <v/>
      </c>
      <c r="C916" s="1" t="str">
        <f>IFERROR(VLOOKUP($A916,ItemsImport!$A$2:$AD970,MATCH("Type",ItemsImport!$A$1:$AE$1,0),FALSE),"")</f>
        <v/>
      </c>
      <c r="H916" s="4" t="b">
        <v>0</v>
      </c>
      <c r="I916" s="1" t="str">
        <f>IFERROR(VLOOKUP($A916,ItemsImport!$A$2:$AD970,MATCH("ItemLoc",ItemsImport!$A$1:$AE$1,0),FALSE),"")</f>
        <v/>
      </c>
      <c r="X916" s="1" t="str">
        <f t="shared" si="1"/>
        <v/>
      </c>
    </row>
    <row r="917">
      <c r="A917" s="1"/>
      <c r="B917" s="1" t="str">
        <f>IFERROR(VLOOKUP($A917,ItemsImport!$A$2:$AD970,MATCH("Description",ItemsImport!$A$1:$AE$1,0),FALSE),"")</f>
        <v/>
      </c>
      <c r="C917" s="1" t="str">
        <f>IFERROR(VLOOKUP($A917,ItemsImport!$A$2:$AD970,MATCH("Type",ItemsImport!$A$1:$AE$1,0),FALSE),"")</f>
        <v/>
      </c>
      <c r="H917" s="4" t="b">
        <v>0</v>
      </c>
      <c r="I917" s="1" t="str">
        <f>IFERROR(VLOOKUP($A917,ItemsImport!$A$2:$AD970,MATCH("ItemLoc",ItemsImport!$A$1:$AE$1,0),FALSE),"")</f>
        <v/>
      </c>
      <c r="X917" s="1" t="str">
        <f t="shared" si="1"/>
        <v/>
      </c>
    </row>
    <row r="918">
      <c r="A918" s="1"/>
      <c r="B918" s="1" t="str">
        <f>IFERROR(VLOOKUP($A918,ItemsImport!$A$2:$AD970,MATCH("Description",ItemsImport!$A$1:$AE$1,0),FALSE),"")</f>
        <v/>
      </c>
      <c r="C918" s="1" t="str">
        <f>IFERROR(VLOOKUP($A918,ItemsImport!$A$2:$AD970,MATCH("Type",ItemsImport!$A$1:$AE$1,0),FALSE),"")</f>
        <v/>
      </c>
      <c r="H918" s="4" t="b">
        <v>0</v>
      </c>
      <c r="I918" s="1" t="str">
        <f>IFERROR(VLOOKUP($A918,ItemsImport!$A$2:$AD970,MATCH("ItemLoc",ItemsImport!$A$1:$AE$1,0),FALSE),"")</f>
        <v/>
      </c>
      <c r="X918" s="1" t="str">
        <f t="shared" si="1"/>
        <v/>
      </c>
    </row>
    <row r="919">
      <c r="A919" s="1"/>
      <c r="B919" s="1" t="str">
        <f>IFERROR(VLOOKUP($A919,ItemsImport!$A$2:$AD970,MATCH("Description",ItemsImport!$A$1:$AE$1,0),FALSE),"")</f>
        <v/>
      </c>
      <c r="C919" s="1" t="str">
        <f>IFERROR(VLOOKUP($A919,ItemsImport!$A$2:$AD970,MATCH("Type",ItemsImport!$A$1:$AE$1,0),FALSE),"")</f>
        <v/>
      </c>
      <c r="H919" s="4" t="b">
        <v>0</v>
      </c>
      <c r="I919" s="1" t="str">
        <f>IFERROR(VLOOKUP($A919,ItemsImport!$A$2:$AD970,MATCH("ItemLoc",ItemsImport!$A$1:$AE$1,0),FALSE),"")</f>
        <v/>
      </c>
      <c r="X919" s="1" t="str">
        <f t="shared" si="1"/>
        <v/>
      </c>
    </row>
    <row r="920">
      <c r="A920" s="1"/>
      <c r="B920" s="1" t="str">
        <f>IFERROR(VLOOKUP($A920,ItemsImport!$A$2:$AD970,MATCH("Description",ItemsImport!$A$1:$AE$1,0),FALSE),"")</f>
        <v/>
      </c>
      <c r="C920" s="1" t="str">
        <f>IFERROR(VLOOKUP($A920,ItemsImport!$A$2:$AD970,MATCH("Type",ItemsImport!$A$1:$AE$1,0),FALSE),"")</f>
        <v/>
      </c>
      <c r="H920" s="4" t="b">
        <v>0</v>
      </c>
      <c r="I920" s="1" t="str">
        <f>IFERROR(VLOOKUP($A920,ItemsImport!$A$2:$AD970,MATCH("ItemLoc",ItemsImport!$A$1:$AE$1,0),FALSE),"")</f>
        <v/>
      </c>
      <c r="X920" s="1" t="str">
        <f t="shared" si="1"/>
        <v/>
      </c>
    </row>
    <row r="921">
      <c r="A921" s="1"/>
      <c r="B921" s="1" t="str">
        <f>IFERROR(VLOOKUP($A921,ItemsImport!$A$2:$AD970,MATCH("Description",ItemsImport!$A$1:$AE$1,0),FALSE),"")</f>
        <v/>
      </c>
      <c r="C921" s="1" t="str">
        <f>IFERROR(VLOOKUP($A921,ItemsImport!$A$2:$AD970,MATCH("Type",ItemsImport!$A$1:$AE$1,0),FALSE),"")</f>
        <v/>
      </c>
      <c r="H921" s="4" t="b">
        <v>0</v>
      </c>
      <c r="I921" s="1" t="str">
        <f>IFERROR(VLOOKUP($A921,ItemsImport!$A$2:$AD970,MATCH("ItemLoc",ItemsImport!$A$1:$AE$1,0),FALSE),"")</f>
        <v/>
      </c>
      <c r="X921" s="1" t="str">
        <f t="shared" si="1"/>
        <v/>
      </c>
    </row>
    <row r="922">
      <c r="A922" s="1"/>
      <c r="B922" s="1" t="str">
        <f>IFERROR(VLOOKUP($A922,ItemsImport!$A$2:$AD970,MATCH("Description",ItemsImport!$A$1:$AE$1,0),FALSE),"")</f>
        <v/>
      </c>
      <c r="C922" s="1" t="str">
        <f>IFERROR(VLOOKUP($A922,ItemsImport!$A$2:$AD970,MATCH("Type",ItemsImport!$A$1:$AE$1,0),FALSE),"")</f>
        <v/>
      </c>
      <c r="H922" s="4" t="b">
        <v>0</v>
      </c>
      <c r="I922" s="1" t="str">
        <f>IFERROR(VLOOKUP($A922,ItemsImport!$A$2:$AD970,MATCH("ItemLoc",ItemsImport!$A$1:$AE$1,0),FALSE),"")</f>
        <v/>
      </c>
      <c r="X922" s="1" t="str">
        <f t="shared" si="1"/>
        <v/>
      </c>
    </row>
    <row r="923">
      <c r="A923" s="1"/>
      <c r="B923" s="1" t="str">
        <f>IFERROR(VLOOKUP($A923,ItemsImport!$A$2:$AD970,MATCH("Description",ItemsImport!$A$1:$AE$1,0),FALSE),"")</f>
        <v/>
      </c>
      <c r="C923" s="1" t="str">
        <f>IFERROR(VLOOKUP($A923,ItemsImport!$A$2:$AD970,MATCH("Type",ItemsImport!$A$1:$AE$1,0),FALSE),"")</f>
        <v/>
      </c>
      <c r="H923" s="4" t="b">
        <v>0</v>
      </c>
      <c r="I923" s="1" t="str">
        <f>IFERROR(VLOOKUP($A923,ItemsImport!$A$2:$AD970,MATCH("ItemLoc",ItemsImport!$A$1:$AE$1,0),FALSE),"")</f>
        <v/>
      </c>
      <c r="X923" s="1" t="str">
        <f t="shared" si="1"/>
        <v/>
      </c>
    </row>
    <row r="924">
      <c r="A924" s="1"/>
      <c r="B924" s="1" t="str">
        <f>IFERROR(VLOOKUP($A924,ItemsImport!$A$2:$AD970,MATCH("Description",ItemsImport!$A$1:$AE$1,0),FALSE),"")</f>
        <v/>
      </c>
      <c r="C924" s="1" t="str">
        <f>IFERROR(VLOOKUP($A924,ItemsImport!$A$2:$AD970,MATCH("Type",ItemsImport!$A$1:$AE$1,0),FALSE),"")</f>
        <v/>
      </c>
      <c r="H924" s="4" t="b">
        <v>0</v>
      </c>
      <c r="I924" s="1" t="str">
        <f>IFERROR(VLOOKUP($A924,ItemsImport!$A$2:$AD970,MATCH("ItemLoc",ItemsImport!$A$1:$AE$1,0),FALSE),"")</f>
        <v/>
      </c>
      <c r="X924" s="1" t="str">
        <f t="shared" si="1"/>
        <v/>
      </c>
    </row>
    <row r="925">
      <c r="A925" s="1"/>
      <c r="B925" s="1" t="str">
        <f>IFERROR(VLOOKUP($A925,ItemsImport!$A$2:$AD970,MATCH("Description",ItemsImport!$A$1:$AE$1,0),FALSE),"")</f>
        <v/>
      </c>
      <c r="C925" s="1" t="str">
        <f>IFERROR(VLOOKUP($A925,ItemsImport!$A$2:$AD970,MATCH("Type",ItemsImport!$A$1:$AE$1,0),FALSE),"")</f>
        <v/>
      </c>
      <c r="H925" s="4" t="b">
        <v>0</v>
      </c>
      <c r="I925" s="1" t="str">
        <f>IFERROR(VLOOKUP($A925,ItemsImport!$A$2:$AD970,MATCH("ItemLoc",ItemsImport!$A$1:$AE$1,0),FALSE),"")</f>
        <v/>
      </c>
      <c r="X925" s="1" t="str">
        <f t="shared" si="1"/>
        <v/>
      </c>
    </row>
    <row r="926">
      <c r="A926" s="1"/>
      <c r="B926" s="1" t="str">
        <f>IFERROR(VLOOKUP($A926,ItemsImport!$A$2:$AD970,MATCH("Description",ItemsImport!$A$1:$AE$1,0),FALSE),"")</f>
        <v/>
      </c>
      <c r="C926" s="1" t="str">
        <f>IFERROR(VLOOKUP($A926,ItemsImport!$A$2:$AD970,MATCH("Type",ItemsImport!$A$1:$AE$1,0),FALSE),"")</f>
        <v/>
      </c>
      <c r="H926" s="4" t="b">
        <v>0</v>
      </c>
      <c r="I926" s="1" t="str">
        <f>IFERROR(VLOOKUP($A926,ItemsImport!$A$2:$AD970,MATCH("ItemLoc",ItemsImport!$A$1:$AE$1,0),FALSE),"")</f>
        <v/>
      </c>
      <c r="X926" s="1" t="str">
        <f t="shared" si="1"/>
        <v/>
      </c>
    </row>
    <row r="927">
      <c r="A927" s="1"/>
      <c r="B927" s="1" t="str">
        <f>IFERROR(VLOOKUP($A927,ItemsImport!$A$2:$AD970,MATCH("Description",ItemsImport!$A$1:$AE$1,0),FALSE),"")</f>
        <v/>
      </c>
      <c r="C927" s="1" t="str">
        <f>IFERROR(VLOOKUP($A927,ItemsImport!$A$2:$AD970,MATCH("Type",ItemsImport!$A$1:$AE$1,0),FALSE),"")</f>
        <v/>
      </c>
      <c r="H927" s="4" t="b">
        <v>0</v>
      </c>
      <c r="I927" s="1" t="str">
        <f>IFERROR(VLOOKUP($A927,ItemsImport!$A$2:$AD970,MATCH("ItemLoc",ItemsImport!$A$1:$AE$1,0),FALSE),"")</f>
        <v/>
      </c>
      <c r="X927" s="1" t="str">
        <f t="shared" si="1"/>
        <v/>
      </c>
    </row>
    <row r="928">
      <c r="A928" s="1"/>
      <c r="B928" s="1" t="str">
        <f>IFERROR(VLOOKUP($A928,ItemsImport!$A$2:$AD970,MATCH("Description",ItemsImport!$A$1:$AE$1,0),FALSE),"")</f>
        <v/>
      </c>
      <c r="C928" s="1" t="str">
        <f>IFERROR(VLOOKUP($A928,ItemsImport!$A$2:$AD970,MATCH("Type",ItemsImport!$A$1:$AE$1,0),FALSE),"")</f>
        <v/>
      </c>
      <c r="H928" s="4" t="b">
        <v>0</v>
      </c>
      <c r="I928" s="1" t="str">
        <f>IFERROR(VLOOKUP($A928,ItemsImport!$A$2:$AD970,MATCH("ItemLoc",ItemsImport!$A$1:$AE$1,0),FALSE),"")</f>
        <v/>
      </c>
      <c r="X928" s="1" t="str">
        <f t="shared" si="1"/>
        <v/>
      </c>
    </row>
    <row r="929">
      <c r="A929" s="1"/>
      <c r="B929" s="1" t="str">
        <f>IFERROR(VLOOKUP($A929,ItemsImport!$A$2:$AD970,MATCH("Description",ItemsImport!$A$1:$AE$1,0),FALSE),"")</f>
        <v/>
      </c>
      <c r="C929" s="1" t="str">
        <f>IFERROR(VLOOKUP($A929,ItemsImport!$A$2:$AD970,MATCH("Type",ItemsImport!$A$1:$AE$1,0),FALSE),"")</f>
        <v/>
      </c>
      <c r="H929" s="4" t="b">
        <v>0</v>
      </c>
      <c r="I929" s="1" t="str">
        <f>IFERROR(VLOOKUP($A929,ItemsImport!$A$2:$AD970,MATCH("ItemLoc",ItemsImport!$A$1:$AE$1,0),FALSE),"")</f>
        <v/>
      </c>
      <c r="X929" s="1" t="str">
        <f t="shared" si="1"/>
        <v/>
      </c>
    </row>
    <row r="930">
      <c r="A930" s="1"/>
      <c r="B930" s="1" t="str">
        <f>IFERROR(VLOOKUP($A930,ItemsImport!$A$2:$AD970,MATCH("Description",ItemsImport!$A$1:$AE$1,0),FALSE),"")</f>
        <v/>
      </c>
      <c r="C930" s="1" t="str">
        <f>IFERROR(VLOOKUP($A930,ItemsImport!$A$2:$AD970,MATCH("Type",ItemsImport!$A$1:$AE$1,0),FALSE),"")</f>
        <v/>
      </c>
      <c r="H930" s="4" t="b">
        <v>0</v>
      </c>
      <c r="I930" s="1" t="str">
        <f>IFERROR(VLOOKUP($A930,ItemsImport!$A$2:$AD970,MATCH("ItemLoc",ItemsImport!$A$1:$AE$1,0),FALSE),"")</f>
        <v/>
      </c>
      <c r="X930" s="1" t="str">
        <f t="shared" si="1"/>
        <v/>
      </c>
    </row>
    <row r="931">
      <c r="A931" s="1"/>
      <c r="B931" s="1" t="str">
        <f>IFERROR(VLOOKUP($A931,ItemsImport!$A$2:$AD970,MATCH("Description",ItemsImport!$A$1:$AE$1,0),FALSE),"")</f>
        <v/>
      </c>
      <c r="C931" s="1" t="str">
        <f>IFERROR(VLOOKUP($A931,ItemsImport!$A$2:$AD970,MATCH("Type",ItemsImport!$A$1:$AE$1,0),FALSE),"")</f>
        <v/>
      </c>
      <c r="H931" s="4" t="b">
        <v>0</v>
      </c>
      <c r="I931" s="1" t="str">
        <f>IFERROR(VLOOKUP($A931,ItemsImport!$A$2:$AD970,MATCH("ItemLoc",ItemsImport!$A$1:$AE$1,0),FALSE),"")</f>
        <v/>
      </c>
      <c r="X931" s="1" t="str">
        <f t="shared" si="1"/>
        <v/>
      </c>
    </row>
    <row r="932">
      <c r="A932" s="1"/>
      <c r="B932" s="1" t="str">
        <f>IFERROR(VLOOKUP($A932,ItemsImport!$A$2:$AD970,MATCH("Description",ItemsImport!$A$1:$AE$1,0),FALSE),"")</f>
        <v/>
      </c>
      <c r="C932" s="1" t="str">
        <f>IFERROR(VLOOKUP($A932,ItemsImport!$A$2:$AD970,MATCH("Type",ItemsImport!$A$1:$AE$1,0),FALSE),"")</f>
        <v/>
      </c>
      <c r="H932" s="4" t="b">
        <v>0</v>
      </c>
      <c r="I932" s="1" t="str">
        <f>IFERROR(VLOOKUP($A932,ItemsImport!$A$2:$AD970,MATCH("ItemLoc",ItemsImport!$A$1:$AE$1,0),FALSE),"")</f>
        <v/>
      </c>
      <c r="X932" s="1" t="str">
        <f t="shared" si="1"/>
        <v/>
      </c>
    </row>
    <row r="933">
      <c r="A933" s="1"/>
      <c r="B933" s="1" t="str">
        <f>IFERROR(VLOOKUP($A933,ItemsImport!$A$2:$AD970,MATCH("Description",ItemsImport!$A$1:$AE$1,0),FALSE),"")</f>
        <v/>
      </c>
      <c r="C933" s="1" t="str">
        <f>IFERROR(VLOOKUP($A933,ItemsImport!$A$2:$AD970,MATCH("Type",ItemsImport!$A$1:$AE$1,0),FALSE),"")</f>
        <v/>
      </c>
      <c r="H933" s="4" t="b">
        <v>0</v>
      </c>
      <c r="I933" s="1" t="str">
        <f>IFERROR(VLOOKUP($A933,ItemsImport!$A$2:$AD970,MATCH("ItemLoc",ItemsImport!$A$1:$AE$1,0),FALSE),"")</f>
        <v/>
      </c>
      <c r="X933" s="1" t="str">
        <f t="shared" si="1"/>
        <v/>
      </c>
    </row>
    <row r="934">
      <c r="A934" s="1"/>
      <c r="B934" s="1" t="str">
        <f>IFERROR(VLOOKUP($A934,ItemsImport!$A$2:$AD970,MATCH("Description",ItemsImport!$A$1:$AE$1,0),FALSE),"")</f>
        <v/>
      </c>
      <c r="C934" s="1" t="str">
        <f>IFERROR(VLOOKUP($A934,ItemsImport!$A$2:$AD970,MATCH("Type",ItemsImport!$A$1:$AE$1,0),FALSE),"")</f>
        <v/>
      </c>
      <c r="H934" s="4" t="b">
        <v>0</v>
      </c>
      <c r="I934" s="1" t="str">
        <f>IFERROR(VLOOKUP($A934,ItemsImport!$A$2:$AD970,MATCH("ItemLoc",ItemsImport!$A$1:$AE$1,0),FALSE),"")</f>
        <v/>
      </c>
      <c r="X934" s="1" t="str">
        <f t="shared" si="1"/>
        <v/>
      </c>
    </row>
    <row r="935">
      <c r="A935" s="1"/>
      <c r="B935" s="1" t="str">
        <f>IFERROR(VLOOKUP($A935,ItemsImport!$A$2:$AD970,MATCH("Description",ItemsImport!$A$1:$AE$1,0),FALSE),"")</f>
        <v/>
      </c>
      <c r="C935" s="1" t="str">
        <f>IFERROR(VLOOKUP($A935,ItemsImport!$A$2:$AD970,MATCH("Type",ItemsImport!$A$1:$AE$1,0),FALSE),"")</f>
        <v/>
      </c>
      <c r="H935" s="4" t="b">
        <v>0</v>
      </c>
      <c r="I935" s="1" t="str">
        <f>IFERROR(VLOOKUP($A935,ItemsImport!$A$2:$AD970,MATCH("ItemLoc",ItemsImport!$A$1:$AE$1,0),FALSE),"")</f>
        <v/>
      </c>
      <c r="X935" s="1" t="str">
        <f t="shared" si="1"/>
        <v/>
      </c>
    </row>
    <row r="936">
      <c r="A936" s="1"/>
      <c r="B936" s="1" t="str">
        <f>IFERROR(VLOOKUP($A936,ItemsImport!$A$2:$AD970,MATCH("Description",ItemsImport!$A$1:$AE$1,0),FALSE),"")</f>
        <v/>
      </c>
      <c r="C936" s="1" t="str">
        <f>IFERROR(VLOOKUP($A936,ItemsImport!$A$2:$AD970,MATCH("Type",ItemsImport!$A$1:$AE$1,0),FALSE),"")</f>
        <v/>
      </c>
      <c r="H936" s="4" t="b">
        <v>0</v>
      </c>
      <c r="I936" s="1" t="str">
        <f>IFERROR(VLOOKUP($A936,ItemsImport!$A$2:$AD970,MATCH("ItemLoc",ItemsImport!$A$1:$AE$1,0),FALSE),"")</f>
        <v/>
      </c>
      <c r="X936" s="1" t="str">
        <f t="shared" si="1"/>
        <v/>
      </c>
    </row>
    <row r="937">
      <c r="A937" s="1"/>
      <c r="B937" s="1" t="str">
        <f>IFERROR(VLOOKUP($A937,ItemsImport!$A$2:$AD970,MATCH("Description",ItemsImport!$A$1:$AE$1,0),FALSE),"")</f>
        <v/>
      </c>
      <c r="C937" s="1" t="str">
        <f>IFERROR(VLOOKUP($A937,ItemsImport!$A$2:$AD970,MATCH("Type",ItemsImport!$A$1:$AE$1,0),FALSE),"")</f>
        <v/>
      </c>
      <c r="H937" s="4" t="b">
        <v>0</v>
      </c>
      <c r="I937" s="1" t="str">
        <f>IFERROR(VLOOKUP($A937,ItemsImport!$A$2:$AD970,MATCH("ItemLoc",ItemsImport!$A$1:$AE$1,0),FALSE),"")</f>
        <v/>
      </c>
      <c r="X937" s="1" t="str">
        <f t="shared" si="1"/>
        <v/>
      </c>
    </row>
    <row r="938">
      <c r="A938" s="1"/>
      <c r="B938" s="1" t="str">
        <f>IFERROR(VLOOKUP($A938,ItemsImport!$A$2:$AD970,MATCH("Description",ItemsImport!$A$1:$AE$1,0),FALSE),"")</f>
        <v/>
      </c>
      <c r="C938" s="1" t="str">
        <f>IFERROR(VLOOKUP($A938,ItemsImport!$A$2:$AD970,MATCH("Type",ItemsImport!$A$1:$AE$1,0),FALSE),"")</f>
        <v/>
      </c>
      <c r="H938" s="4" t="b">
        <v>0</v>
      </c>
      <c r="I938" s="1" t="str">
        <f>IFERROR(VLOOKUP($A938,ItemsImport!$A$2:$AD970,MATCH("ItemLoc",ItemsImport!$A$1:$AE$1,0),FALSE),"")</f>
        <v/>
      </c>
      <c r="X938" s="1" t="str">
        <f t="shared" si="1"/>
        <v/>
      </c>
    </row>
    <row r="939">
      <c r="A939" s="1"/>
      <c r="B939" s="1" t="str">
        <f>IFERROR(VLOOKUP($A939,ItemsImport!$A$2:$AD970,MATCH("Description",ItemsImport!$A$1:$AE$1,0),FALSE),"")</f>
        <v/>
      </c>
      <c r="C939" s="1" t="str">
        <f>IFERROR(VLOOKUP($A939,ItemsImport!$A$2:$AD970,MATCH("Type",ItemsImport!$A$1:$AE$1,0),FALSE),"")</f>
        <v/>
      </c>
      <c r="H939" s="4" t="b">
        <v>0</v>
      </c>
      <c r="I939" s="1" t="str">
        <f>IFERROR(VLOOKUP($A939,ItemsImport!$A$2:$AD970,MATCH("ItemLoc",ItemsImport!$A$1:$AE$1,0),FALSE),"")</f>
        <v/>
      </c>
      <c r="X939" s="1" t="str">
        <f t="shared" si="1"/>
        <v/>
      </c>
    </row>
    <row r="940">
      <c r="A940" s="1"/>
      <c r="B940" s="1" t="str">
        <f>IFERROR(VLOOKUP($A940,ItemsImport!$A$2:$AD970,MATCH("Description",ItemsImport!$A$1:$AE$1,0),FALSE),"")</f>
        <v/>
      </c>
      <c r="C940" s="1" t="str">
        <f>IFERROR(VLOOKUP($A940,ItemsImport!$A$2:$AD970,MATCH("Type",ItemsImport!$A$1:$AE$1,0),FALSE),"")</f>
        <v/>
      </c>
      <c r="H940" s="4" t="b">
        <v>0</v>
      </c>
      <c r="I940" s="1" t="str">
        <f>IFERROR(VLOOKUP($A940,ItemsImport!$A$2:$AD970,MATCH("ItemLoc",ItemsImport!$A$1:$AE$1,0),FALSE),"")</f>
        <v/>
      </c>
      <c r="X940" s="1" t="str">
        <f t="shared" si="1"/>
        <v/>
      </c>
    </row>
    <row r="941">
      <c r="A941" s="1"/>
      <c r="B941" s="1" t="str">
        <f>IFERROR(VLOOKUP($A941,ItemsImport!$A$2:$AD970,MATCH("Description",ItemsImport!$A$1:$AE$1,0),FALSE),"")</f>
        <v/>
      </c>
      <c r="C941" s="1" t="str">
        <f>IFERROR(VLOOKUP($A941,ItemsImport!$A$2:$AD970,MATCH("Type",ItemsImport!$A$1:$AE$1,0),FALSE),"")</f>
        <v/>
      </c>
      <c r="H941" s="4" t="b">
        <v>0</v>
      </c>
      <c r="I941" s="1" t="str">
        <f>IFERROR(VLOOKUP($A941,ItemsImport!$A$2:$AD970,MATCH("ItemLoc",ItemsImport!$A$1:$AE$1,0),FALSE),"")</f>
        <v/>
      </c>
      <c r="X941" s="1" t="str">
        <f t="shared" si="1"/>
        <v/>
      </c>
    </row>
    <row r="942">
      <c r="A942" s="1"/>
      <c r="B942" s="1" t="str">
        <f>IFERROR(VLOOKUP($A942,ItemsImport!$A$2:$AD970,MATCH("Description",ItemsImport!$A$1:$AE$1,0),FALSE),"")</f>
        <v/>
      </c>
      <c r="C942" s="1" t="str">
        <f>IFERROR(VLOOKUP($A942,ItemsImport!$A$2:$AD970,MATCH("Type",ItemsImport!$A$1:$AE$1,0),FALSE),"")</f>
        <v/>
      </c>
      <c r="H942" s="4" t="b">
        <v>0</v>
      </c>
      <c r="I942" s="1" t="str">
        <f>IFERROR(VLOOKUP($A942,ItemsImport!$A$2:$AD970,MATCH("ItemLoc",ItemsImport!$A$1:$AE$1,0),FALSE),"")</f>
        <v/>
      </c>
      <c r="X942" s="1" t="str">
        <f t="shared" si="1"/>
        <v/>
      </c>
    </row>
    <row r="943">
      <c r="A943" s="1"/>
      <c r="B943" s="1" t="str">
        <f>IFERROR(VLOOKUP($A943,ItemsImport!$A$2:$AD970,MATCH("Description",ItemsImport!$A$1:$AE$1,0),FALSE),"")</f>
        <v/>
      </c>
      <c r="C943" s="1" t="str">
        <f>IFERROR(VLOOKUP($A943,ItemsImport!$A$2:$AD970,MATCH("Type",ItemsImport!$A$1:$AE$1,0),FALSE),"")</f>
        <v/>
      </c>
      <c r="H943" s="4" t="b">
        <v>0</v>
      </c>
      <c r="I943" s="1" t="str">
        <f>IFERROR(VLOOKUP($A943,ItemsImport!$A$2:$AD970,MATCH("ItemLoc",ItemsImport!$A$1:$AE$1,0),FALSE),"")</f>
        <v/>
      </c>
      <c r="X943" s="1" t="str">
        <f t="shared" si="1"/>
        <v/>
      </c>
    </row>
    <row r="944">
      <c r="A944" s="1"/>
      <c r="B944" s="1" t="str">
        <f>IFERROR(VLOOKUP($A944,ItemsImport!$A$2:$AD970,MATCH("Description",ItemsImport!$A$1:$AE$1,0),FALSE),"")</f>
        <v/>
      </c>
      <c r="C944" s="1" t="str">
        <f>IFERROR(VLOOKUP($A944,ItemsImport!$A$2:$AD970,MATCH("Type",ItemsImport!$A$1:$AE$1,0),FALSE),"")</f>
        <v/>
      </c>
      <c r="H944" s="4" t="b">
        <v>0</v>
      </c>
      <c r="I944" s="1" t="str">
        <f>IFERROR(VLOOKUP($A944,ItemsImport!$A$2:$AD970,MATCH("ItemLoc",ItemsImport!$A$1:$AE$1,0),FALSE),"")</f>
        <v/>
      </c>
      <c r="X944" s="1" t="str">
        <f t="shared" si="1"/>
        <v/>
      </c>
    </row>
    <row r="945">
      <c r="A945" s="1"/>
      <c r="B945" s="1" t="str">
        <f>IFERROR(VLOOKUP($A945,ItemsImport!$A$2:$AD970,MATCH("Description",ItemsImport!$A$1:$AE$1,0),FALSE),"")</f>
        <v/>
      </c>
      <c r="C945" s="1" t="str">
        <f>IFERROR(VLOOKUP($A945,ItemsImport!$A$2:$AD970,MATCH("Type",ItemsImport!$A$1:$AE$1,0),FALSE),"")</f>
        <v/>
      </c>
      <c r="H945" s="4" t="b">
        <v>0</v>
      </c>
      <c r="I945" s="1" t="str">
        <f>IFERROR(VLOOKUP($A945,ItemsImport!$A$2:$AD970,MATCH("ItemLoc",ItemsImport!$A$1:$AE$1,0),FALSE),"")</f>
        <v/>
      </c>
      <c r="X945" s="1" t="str">
        <f t="shared" si="1"/>
        <v/>
      </c>
    </row>
    <row r="946">
      <c r="A946" s="1"/>
      <c r="B946" s="1" t="str">
        <f>IFERROR(VLOOKUP($A946,ItemsImport!$A$2:$AD970,MATCH("Description",ItemsImport!$A$1:$AE$1,0),FALSE),"")</f>
        <v/>
      </c>
      <c r="C946" s="1" t="str">
        <f>IFERROR(VLOOKUP($A946,ItemsImport!$A$2:$AD970,MATCH("Type",ItemsImport!$A$1:$AE$1,0),FALSE),"")</f>
        <v/>
      </c>
      <c r="H946" s="4" t="b">
        <v>0</v>
      </c>
      <c r="I946" s="1" t="str">
        <f>IFERROR(VLOOKUP($A946,ItemsImport!$A$2:$AD970,MATCH("ItemLoc",ItemsImport!$A$1:$AE$1,0),FALSE),"")</f>
        <v/>
      </c>
      <c r="X946" s="1" t="str">
        <f t="shared" si="1"/>
        <v/>
      </c>
    </row>
    <row r="947">
      <c r="A947" s="1"/>
      <c r="B947" s="1" t="str">
        <f>IFERROR(VLOOKUP($A947,ItemsImport!$A$2:$AD970,MATCH("Description",ItemsImport!$A$1:$AE$1,0),FALSE),"")</f>
        <v/>
      </c>
      <c r="C947" s="1" t="str">
        <f>IFERROR(VLOOKUP($A947,ItemsImport!$A$2:$AD970,MATCH("Type",ItemsImport!$A$1:$AE$1,0),FALSE),"")</f>
        <v/>
      </c>
      <c r="H947" s="4" t="b">
        <v>0</v>
      </c>
      <c r="I947" s="1" t="str">
        <f>IFERROR(VLOOKUP($A947,ItemsImport!$A$2:$AD970,MATCH("ItemLoc",ItemsImport!$A$1:$AE$1,0),FALSE),"")</f>
        <v/>
      </c>
      <c r="X947" s="1" t="str">
        <f t="shared" si="1"/>
        <v/>
      </c>
    </row>
    <row r="948">
      <c r="A948" s="1"/>
      <c r="B948" s="1" t="str">
        <f>IFERROR(VLOOKUP($A948,ItemsImport!$A$2:$AD970,MATCH("Description",ItemsImport!$A$1:$AE$1,0),FALSE),"")</f>
        <v/>
      </c>
      <c r="C948" s="1" t="str">
        <f>IFERROR(VLOOKUP($A948,ItemsImport!$A$2:$AD970,MATCH("Type",ItemsImport!$A$1:$AE$1,0),FALSE),"")</f>
        <v/>
      </c>
      <c r="H948" s="4" t="b">
        <v>0</v>
      </c>
      <c r="I948" s="1" t="str">
        <f>IFERROR(VLOOKUP($A948,ItemsImport!$A$2:$AD970,MATCH("ItemLoc",ItemsImport!$A$1:$AE$1,0),FALSE),"")</f>
        <v/>
      </c>
      <c r="X948" s="1" t="str">
        <f t="shared" si="1"/>
        <v/>
      </c>
    </row>
    <row r="949">
      <c r="A949" s="1"/>
      <c r="B949" s="1" t="str">
        <f>IFERROR(VLOOKUP($A949,ItemsImport!$A$2:$AD970,MATCH("Description",ItemsImport!$A$1:$AE$1,0),FALSE),"")</f>
        <v/>
      </c>
      <c r="C949" s="1" t="str">
        <f>IFERROR(VLOOKUP($A949,ItemsImport!$A$2:$AD970,MATCH("Type",ItemsImport!$A$1:$AE$1,0),FALSE),"")</f>
        <v/>
      </c>
      <c r="H949" s="4" t="b">
        <v>0</v>
      </c>
      <c r="I949" s="1" t="str">
        <f>IFERROR(VLOOKUP($A949,ItemsImport!$A$2:$AD970,MATCH("ItemLoc",ItemsImport!$A$1:$AE$1,0),FALSE),"")</f>
        <v/>
      </c>
      <c r="X949" s="1" t="str">
        <f t="shared" si="1"/>
        <v/>
      </c>
    </row>
    <row r="950">
      <c r="A950" s="1"/>
      <c r="B950" s="1" t="str">
        <f>IFERROR(VLOOKUP($A950,ItemsImport!$A$2:$AD970,MATCH("Description",ItemsImport!$A$1:$AE$1,0),FALSE),"")</f>
        <v/>
      </c>
      <c r="C950" s="1" t="str">
        <f>IFERROR(VLOOKUP($A950,ItemsImport!$A$2:$AD970,MATCH("Type",ItemsImport!$A$1:$AE$1,0),FALSE),"")</f>
        <v/>
      </c>
      <c r="H950" s="4" t="b">
        <v>0</v>
      </c>
      <c r="I950" s="1" t="str">
        <f>IFERROR(VLOOKUP($A950,ItemsImport!$A$2:$AD970,MATCH("ItemLoc",ItemsImport!$A$1:$AE$1,0),FALSE),"")</f>
        <v/>
      </c>
      <c r="X950" s="1" t="str">
        <f t="shared" si="1"/>
        <v/>
      </c>
    </row>
    <row r="951">
      <c r="A951" s="1"/>
      <c r="B951" s="1" t="str">
        <f>IFERROR(VLOOKUP($A951,ItemsImport!$A$2:$AD970,MATCH("Description",ItemsImport!$A$1:$AE$1,0),FALSE),"")</f>
        <v/>
      </c>
      <c r="C951" s="1" t="str">
        <f>IFERROR(VLOOKUP($A951,ItemsImport!$A$2:$AD970,MATCH("Type",ItemsImport!$A$1:$AE$1,0),FALSE),"")</f>
        <v/>
      </c>
      <c r="H951" s="4" t="b">
        <v>0</v>
      </c>
      <c r="I951" s="1" t="str">
        <f>IFERROR(VLOOKUP($A951,ItemsImport!$A$2:$AD970,MATCH("ItemLoc",ItemsImport!$A$1:$AE$1,0),FALSE),"")</f>
        <v/>
      </c>
      <c r="X951" s="1" t="str">
        <f t="shared" si="1"/>
        <v/>
      </c>
    </row>
    <row r="952">
      <c r="A952" s="1"/>
      <c r="B952" s="1" t="str">
        <f>IFERROR(VLOOKUP($A952,ItemsImport!$A$2:$AD970,MATCH("Description",ItemsImport!$A$1:$AE$1,0),FALSE),"")</f>
        <v/>
      </c>
      <c r="C952" s="1" t="str">
        <f>IFERROR(VLOOKUP($A952,ItemsImport!$A$2:$AD970,MATCH("Type",ItemsImport!$A$1:$AE$1,0),FALSE),"")</f>
        <v/>
      </c>
      <c r="H952" s="4" t="b">
        <v>0</v>
      </c>
      <c r="I952" s="1" t="str">
        <f>IFERROR(VLOOKUP($A952,ItemsImport!$A$2:$AD970,MATCH("ItemLoc",ItemsImport!$A$1:$AE$1,0),FALSE),"")</f>
        <v/>
      </c>
      <c r="X952" s="1" t="str">
        <f t="shared" si="1"/>
        <v/>
      </c>
    </row>
    <row r="953">
      <c r="A953" s="1"/>
      <c r="B953" s="1" t="str">
        <f>IFERROR(VLOOKUP($A953,ItemsImport!$A$2:$AD970,MATCH("Description",ItemsImport!$A$1:$AE$1,0),FALSE),"")</f>
        <v/>
      </c>
      <c r="C953" s="1" t="str">
        <f>IFERROR(VLOOKUP($A953,ItemsImport!$A$2:$AD970,MATCH("Type",ItemsImport!$A$1:$AE$1,0),FALSE),"")</f>
        <v/>
      </c>
      <c r="H953" s="4" t="b">
        <v>0</v>
      </c>
      <c r="I953" s="1" t="str">
        <f>IFERROR(VLOOKUP($A953,ItemsImport!$A$2:$AD970,MATCH("ItemLoc",ItemsImport!$A$1:$AE$1,0),FALSE),"")</f>
        <v/>
      </c>
      <c r="X953" s="1" t="str">
        <f t="shared" si="1"/>
        <v/>
      </c>
    </row>
    <row r="954">
      <c r="A954" s="1"/>
      <c r="B954" s="1" t="str">
        <f>IFERROR(VLOOKUP($A954,ItemsImport!$A$2:$AD970,MATCH("Description",ItemsImport!$A$1:$AE$1,0),FALSE),"")</f>
        <v/>
      </c>
      <c r="C954" s="1" t="str">
        <f>IFERROR(VLOOKUP($A954,ItemsImport!$A$2:$AD970,MATCH("Type",ItemsImport!$A$1:$AE$1,0),FALSE),"")</f>
        <v/>
      </c>
      <c r="H954" s="4" t="b">
        <v>0</v>
      </c>
      <c r="I954" s="1" t="str">
        <f>IFERROR(VLOOKUP($A954,ItemsImport!$A$2:$AD970,MATCH("ItemLoc",ItemsImport!$A$1:$AE$1,0),FALSE),"")</f>
        <v/>
      </c>
      <c r="X954" s="1" t="str">
        <f t="shared" si="1"/>
        <v/>
      </c>
    </row>
    <row r="955">
      <c r="A955" s="1"/>
      <c r="B955" s="1" t="str">
        <f>IFERROR(VLOOKUP($A955,ItemsImport!$A$2:$AD970,MATCH("Description",ItemsImport!$A$1:$AE$1,0),FALSE),"")</f>
        <v/>
      </c>
      <c r="C955" s="1" t="str">
        <f>IFERROR(VLOOKUP($A955,ItemsImport!$A$2:$AD970,MATCH("Type",ItemsImport!$A$1:$AE$1,0),FALSE),"")</f>
        <v/>
      </c>
      <c r="H955" s="4" t="b">
        <v>0</v>
      </c>
      <c r="I955" s="1" t="str">
        <f>IFERROR(VLOOKUP($A955,ItemsImport!$A$2:$AD970,MATCH("ItemLoc",ItemsImport!$A$1:$AE$1,0),FALSE),"")</f>
        <v/>
      </c>
      <c r="X955" s="1" t="str">
        <f t="shared" si="1"/>
        <v/>
      </c>
    </row>
    <row r="956">
      <c r="A956" s="1"/>
      <c r="B956" s="1" t="str">
        <f>IFERROR(VLOOKUP($A956,ItemsImport!$A$2:$AD970,MATCH("Description",ItemsImport!$A$1:$AE$1,0),FALSE),"")</f>
        <v/>
      </c>
      <c r="C956" s="1" t="str">
        <f>IFERROR(VLOOKUP($A956,ItemsImport!$A$2:$AD970,MATCH("Type",ItemsImport!$A$1:$AE$1,0),FALSE),"")</f>
        <v/>
      </c>
      <c r="H956" s="4" t="b">
        <v>0</v>
      </c>
      <c r="I956" s="1" t="str">
        <f>IFERROR(VLOOKUP($A956,ItemsImport!$A$2:$AD970,MATCH("ItemLoc",ItemsImport!$A$1:$AE$1,0),FALSE),"")</f>
        <v/>
      </c>
      <c r="X956" s="1" t="str">
        <f t="shared" si="1"/>
        <v/>
      </c>
    </row>
    <row r="957">
      <c r="A957" s="1"/>
      <c r="B957" s="1" t="str">
        <f>IFERROR(VLOOKUP($A957,ItemsImport!$A$2:$AD970,MATCH("Description",ItemsImport!$A$1:$AE$1,0),FALSE),"")</f>
        <v/>
      </c>
      <c r="C957" s="1" t="str">
        <f>IFERROR(VLOOKUP($A957,ItemsImport!$A$2:$AD970,MATCH("Type",ItemsImport!$A$1:$AE$1,0),FALSE),"")</f>
        <v/>
      </c>
      <c r="H957" s="4" t="b">
        <v>0</v>
      </c>
      <c r="I957" s="1" t="str">
        <f>IFERROR(VLOOKUP($A957,ItemsImport!$A$2:$AD970,MATCH("ItemLoc",ItemsImport!$A$1:$AE$1,0),FALSE),"")</f>
        <v/>
      </c>
      <c r="X957" s="1" t="str">
        <f t="shared" si="1"/>
        <v/>
      </c>
    </row>
    <row r="958">
      <c r="A958" s="1"/>
      <c r="B958" s="1" t="str">
        <f>IFERROR(VLOOKUP($A958,ItemsImport!$A$2:$AD970,MATCH("Description",ItemsImport!$A$1:$AE$1,0),FALSE),"")</f>
        <v/>
      </c>
      <c r="C958" s="1" t="str">
        <f>IFERROR(VLOOKUP($A958,ItemsImport!$A$2:$AD970,MATCH("Type",ItemsImport!$A$1:$AE$1,0),FALSE),"")</f>
        <v/>
      </c>
      <c r="H958" s="4" t="b">
        <v>0</v>
      </c>
      <c r="I958" s="1" t="str">
        <f>IFERROR(VLOOKUP($A958,ItemsImport!$A$2:$AD970,MATCH("ItemLoc",ItemsImport!$A$1:$AE$1,0),FALSE),"")</f>
        <v/>
      </c>
      <c r="X958" s="1" t="str">
        <f t="shared" si="1"/>
        <v/>
      </c>
    </row>
    <row r="959">
      <c r="A959" s="1"/>
      <c r="B959" s="1" t="str">
        <f>IFERROR(VLOOKUP($A959,ItemsImport!$A$2:$AD970,MATCH("Description",ItemsImport!$A$1:$AE$1,0),FALSE),"")</f>
        <v/>
      </c>
      <c r="C959" s="1" t="str">
        <f>IFERROR(VLOOKUP($A959,ItemsImport!$A$2:$AD970,MATCH("Type",ItemsImport!$A$1:$AE$1,0),FALSE),"")</f>
        <v/>
      </c>
      <c r="H959" s="4" t="b">
        <v>0</v>
      </c>
      <c r="I959" s="1" t="str">
        <f>IFERROR(VLOOKUP($A959,ItemsImport!$A$2:$AD970,MATCH("ItemLoc",ItemsImport!$A$1:$AE$1,0),FALSE),"")</f>
        <v/>
      </c>
      <c r="X959" s="1" t="str">
        <f t="shared" si="1"/>
        <v/>
      </c>
    </row>
    <row r="960">
      <c r="A960" s="1"/>
      <c r="B960" s="1" t="str">
        <f>IFERROR(VLOOKUP($A960,ItemsImport!$A$2:$AD970,MATCH("Description",ItemsImport!$A$1:$AE$1,0),FALSE),"")</f>
        <v/>
      </c>
      <c r="C960" s="1" t="str">
        <f>IFERROR(VLOOKUP($A960,ItemsImport!$A$2:$AD970,MATCH("Type",ItemsImport!$A$1:$AE$1,0),FALSE),"")</f>
        <v/>
      </c>
      <c r="H960" s="4" t="b">
        <v>0</v>
      </c>
      <c r="I960" s="1" t="str">
        <f>IFERROR(VLOOKUP($A960,ItemsImport!$A$2:$AD970,MATCH("ItemLoc",ItemsImport!$A$1:$AE$1,0),FALSE),"")</f>
        <v/>
      </c>
      <c r="X960" s="1" t="str">
        <f t="shared" si="1"/>
        <v/>
      </c>
    </row>
    <row r="961">
      <c r="A961" s="1"/>
      <c r="B961" s="1" t="str">
        <f>IFERROR(VLOOKUP($A961,ItemsImport!$A$2:$AD970,MATCH("Description",ItemsImport!$A$1:$AE$1,0),FALSE),"")</f>
        <v/>
      </c>
      <c r="C961" s="1" t="str">
        <f>IFERROR(VLOOKUP($A961,ItemsImport!$A$2:$AD970,MATCH("Type",ItemsImport!$A$1:$AE$1,0),FALSE),"")</f>
        <v/>
      </c>
      <c r="H961" s="4" t="b">
        <v>0</v>
      </c>
      <c r="I961" s="1" t="str">
        <f>IFERROR(VLOOKUP($A961,ItemsImport!$A$2:$AD970,MATCH("ItemLoc",ItemsImport!$A$1:$AE$1,0),FALSE),"")</f>
        <v/>
      </c>
      <c r="X961" s="1" t="str">
        <f t="shared" si="1"/>
        <v/>
      </c>
    </row>
    <row r="962">
      <c r="A962" s="1"/>
      <c r="B962" s="1" t="str">
        <f>IFERROR(VLOOKUP($A962,ItemsImport!$A$2:$AD970,MATCH("Description",ItemsImport!$A$1:$AE$1,0),FALSE),"")</f>
        <v/>
      </c>
      <c r="C962" s="1" t="str">
        <f>IFERROR(VLOOKUP($A962,ItemsImport!$A$2:$AD970,MATCH("Type",ItemsImport!$A$1:$AE$1,0),FALSE),"")</f>
        <v/>
      </c>
      <c r="H962" s="4" t="b">
        <v>0</v>
      </c>
      <c r="I962" s="1" t="str">
        <f>IFERROR(VLOOKUP($A962,ItemsImport!$A$2:$AD970,MATCH("ItemLoc",ItemsImport!$A$1:$AE$1,0),FALSE),"")</f>
        <v/>
      </c>
      <c r="X962" s="1" t="str">
        <f t="shared" si="1"/>
        <v/>
      </c>
    </row>
    <row r="963">
      <c r="A963" s="1"/>
      <c r="B963" s="1" t="str">
        <f>IFERROR(VLOOKUP($A963,ItemsImport!$A$2:$AD970,MATCH("Description",ItemsImport!$A$1:$AE$1,0),FALSE),"")</f>
        <v/>
      </c>
      <c r="C963" s="1" t="str">
        <f>IFERROR(VLOOKUP($A963,ItemsImport!$A$2:$AD970,MATCH("Type",ItemsImport!$A$1:$AE$1,0),FALSE),"")</f>
        <v/>
      </c>
      <c r="H963" s="4" t="b">
        <v>0</v>
      </c>
      <c r="I963" s="1" t="str">
        <f>IFERROR(VLOOKUP($A963,ItemsImport!$A$2:$AD970,MATCH("ItemLoc",ItemsImport!$A$1:$AE$1,0),FALSE),"")</f>
        <v/>
      </c>
      <c r="X963" s="1" t="str">
        <f t="shared" si="1"/>
        <v/>
      </c>
    </row>
    <row r="964">
      <c r="A964" s="1"/>
      <c r="B964" s="1" t="str">
        <f>IFERROR(VLOOKUP($A964,ItemsImport!$A$2:$AD970,MATCH("Description",ItemsImport!$A$1:$AE$1,0),FALSE),"")</f>
        <v/>
      </c>
      <c r="C964" s="1" t="str">
        <f>IFERROR(VLOOKUP($A964,ItemsImport!$A$2:$AD970,MATCH("Type",ItemsImport!$A$1:$AE$1,0),FALSE),"")</f>
        <v/>
      </c>
      <c r="H964" s="4" t="b">
        <v>0</v>
      </c>
      <c r="I964" s="1" t="str">
        <f>IFERROR(VLOOKUP($A964,ItemsImport!$A$2:$AD970,MATCH("ItemLoc",ItemsImport!$A$1:$AE$1,0),FALSE),"")</f>
        <v/>
      </c>
      <c r="X964" s="1" t="str">
        <f t="shared" si="1"/>
        <v/>
      </c>
    </row>
    <row r="965">
      <c r="A965" s="1"/>
      <c r="B965" s="1" t="str">
        <f>IFERROR(VLOOKUP($A965,ItemsImport!$A$2:$AD970,MATCH("Description",ItemsImport!$A$1:$AE$1,0),FALSE),"")</f>
        <v/>
      </c>
      <c r="C965" s="1" t="str">
        <f>IFERROR(VLOOKUP($A965,ItemsImport!$A$2:$AD970,MATCH("Type",ItemsImport!$A$1:$AE$1,0),FALSE),"")</f>
        <v/>
      </c>
      <c r="H965" s="4" t="b">
        <v>0</v>
      </c>
      <c r="I965" s="1" t="str">
        <f>IFERROR(VLOOKUP($A965,ItemsImport!$A$2:$AD970,MATCH("ItemLoc",ItemsImport!$A$1:$AE$1,0),FALSE),"")</f>
        <v/>
      </c>
      <c r="X965" s="1" t="str">
        <f t="shared" si="1"/>
        <v/>
      </c>
    </row>
    <row r="966">
      <c r="A966" s="1"/>
      <c r="B966" s="1" t="str">
        <f>IFERROR(VLOOKUP($A966,ItemsImport!$A$2:$AD970,MATCH("Description",ItemsImport!$A$1:$AE$1,0),FALSE),"")</f>
        <v/>
      </c>
      <c r="C966" s="1" t="str">
        <f>IFERROR(VLOOKUP($A966,ItemsImport!$A$2:$AD970,MATCH("Type",ItemsImport!$A$1:$AE$1,0),FALSE),"")</f>
        <v/>
      </c>
      <c r="H966" s="4" t="b">
        <v>0</v>
      </c>
      <c r="I966" s="1" t="str">
        <f>IFERROR(VLOOKUP($A966,ItemsImport!$A$2:$AD970,MATCH("ItemLoc",ItemsImport!$A$1:$AE$1,0),FALSE),"")</f>
        <v/>
      </c>
      <c r="X966" s="1" t="str">
        <f t="shared" si="1"/>
        <v/>
      </c>
    </row>
    <row r="967">
      <c r="A967" s="1"/>
      <c r="B967" s="1" t="str">
        <f>IFERROR(VLOOKUP($A967,ItemsImport!$A$2:$AD970,MATCH("Description",ItemsImport!$A$1:$AE$1,0),FALSE),"")</f>
        <v/>
      </c>
      <c r="C967" s="1" t="str">
        <f>IFERROR(VLOOKUP($A967,ItemsImport!$A$2:$AD970,MATCH("Type",ItemsImport!$A$1:$AE$1,0),FALSE),"")</f>
        <v/>
      </c>
      <c r="H967" s="4" t="b">
        <v>0</v>
      </c>
      <c r="I967" s="1" t="str">
        <f>IFERROR(VLOOKUP($A967,ItemsImport!$A$2:$AD970,MATCH("ItemLoc",ItemsImport!$A$1:$AE$1,0),FALSE),"")</f>
        <v/>
      </c>
      <c r="X967" s="1" t="str">
        <f t="shared" si="1"/>
        <v/>
      </c>
    </row>
    <row r="968">
      <c r="A968" s="1"/>
      <c r="B968" s="1" t="str">
        <f>IFERROR(VLOOKUP($A968,ItemsImport!$A$2:$AD970,MATCH("Description",ItemsImport!$A$1:$AE$1,0),FALSE),"")</f>
        <v/>
      </c>
      <c r="C968" s="1" t="str">
        <f>IFERROR(VLOOKUP($A968,ItemsImport!$A$2:$AD970,MATCH("Type",ItemsImport!$A$1:$AE$1,0),FALSE),"")</f>
        <v/>
      </c>
      <c r="H968" s="4" t="b">
        <v>0</v>
      </c>
      <c r="I968" s="1" t="str">
        <f>IFERROR(VLOOKUP($A968,ItemsImport!$A$2:$AD970,MATCH("ItemLoc",ItemsImport!$A$1:$AE$1,0),FALSE),"")</f>
        <v/>
      </c>
      <c r="X968" s="1" t="str">
        <f t="shared" si="1"/>
        <v/>
      </c>
    </row>
    <row r="969">
      <c r="A969" s="1"/>
      <c r="B969" s="1" t="str">
        <f>IFERROR(VLOOKUP($A969,ItemsImport!$A$2:$AD970,MATCH("Description",ItemsImport!$A$1:$AE$1,0),FALSE),"")</f>
        <v/>
      </c>
      <c r="C969" s="1" t="str">
        <f>IFERROR(VLOOKUP($A969,ItemsImport!$A$2:$AD970,MATCH("Type",ItemsImport!$A$1:$AE$1,0),FALSE),"")</f>
        <v/>
      </c>
      <c r="H969" s="4" t="b">
        <v>0</v>
      </c>
      <c r="I969" s="1" t="str">
        <f>IFERROR(VLOOKUP($A969,ItemsImport!$A$2:$AD970,MATCH("ItemLoc",ItemsImport!$A$1:$AE$1,0),FALSE),"")</f>
        <v/>
      </c>
      <c r="X969" s="1" t="str">
        <f t="shared" si="1"/>
        <v/>
      </c>
    </row>
    <row r="970">
      <c r="A970" s="1"/>
      <c r="B970" s="1" t="str">
        <f>IFERROR(VLOOKUP($A970,ItemsImport!$A$2:$AD970,MATCH("Description",ItemsImport!$A$1:$AE$1,0),FALSE),"")</f>
        <v/>
      </c>
      <c r="C970" s="1" t="str">
        <f>IFERROR(VLOOKUP($A970,ItemsImport!$A$2:$AD970,MATCH("Type",ItemsImport!$A$1:$AE$1,0),FALSE),"")</f>
        <v/>
      </c>
      <c r="H970" s="4" t="b">
        <v>0</v>
      </c>
      <c r="I970" s="1" t="str">
        <f>IFERROR(VLOOKUP($A970,ItemsImport!$A$2:$AD970,MATCH("ItemLoc",ItemsImport!$A$1:$AE$1,0),FALSE),"")</f>
        <v/>
      </c>
      <c r="X970" s="1" t="str">
        <f t="shared" si="1"/>
        <v/>
      </c>
    </row>
  </sheetData>
  <dataValidations>
    <dataValidation type="list" allowBlank="1" showErrorMessage="1" sqref="A2:A970">
      <formula1>ItemsImport!$A$2:$A970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12" max="12" width="17.13"/>
    <col hidden="1" min="22" max="25" width="12.63"/>
  </cols>
  <sheetData>
    <row r="1">
      <c r="A1" s="18" t="s">
        <v>18</v>
      </c>
      <c r="B1" s="18" t="s">
        <v>19</v>
      </c>
      <c r="C1" s="19" t="s">
        <v>20</v>
      </c>
      <c r="D1" s="18" t="s">
        <v>21</v>
      </c>
      <c r="E1" s="18" t="s">
        <v>22</v>
      </c>
      <c r="F1" s="18" t="s">
        <v>23</v>
      </c>
      <c r="G1" s="18" t="s">
        <v>24</v>
      </c>
      <c r="H1" s="4" t="s">
        <v>52</v>
      </c>
      <c r="I1" s="4" t="s">
        <v>507</v>
      </c>
      <c r="L1" s="12" t="s">
        <v>54</v>
      </c>
      <c r="W1" s="1" t="str">
        <f>IFERROR(__xludf.DUMMYFUNCTION("IMPORTRANGE(""https://docs.google.com/spreadsheets/d/1HXoAI5UG3zq1UHqU5n7fPdbQk93qOha2VQb1r7iRi1o"",""Equipment!A:A"")"),"Name")</f>
        <v>Name</v>
      </c>
    </row>
    <row r="2">
      <c r="A2" s="1" t="s">
        <v>508</v>
      </c>
      <c r="B2" s="18" t="str">
        <f>IFERROR(VLOOKUP($A2,Equipment!$A$2:$AH1001,MATCH("Description",Equipment!$A$1:$AH$1,0),FALSE),"")</f>
        <v/>
      </c>
      <c r="C2" s="18" t="str">
        <f>IFERROR(VLOOKUP($A2,Equipment!$A$2:$AH1001,MATCH("Type",Equipment!$A$1:$AH$1,0),FALSE),"")</f>
        <v/>
      </c>
      <c r="D2" s="18" t="str">
        <f>IFERROR(VLOOKUP($A2,Equipment!$A$2:$AH1001,MATCH("Slot",Equipment!$A$1:$AH$1,0),FALSE),"")</f>
        <v>Torso</v>
      </c>
      <c r="E2" s="20">
        <f>IFERROR(VLOOKUP($A2,Equipment!$A$2:$AH1001,MATCH("LevelReq",Equipment!$A$1:$AH$1,0),FALSE),"")</f>
        <v>200</v>
      </c>
      <c r="F2" s="18" t="str">
        <f>IFERROR(VLOOKUP($A2,Equipconvrt!$A$2:$AH1001,MATCH("Abilities",Equipconvrt!$A$1:$AH$1,0),FALSE),"")</f>
        <v>DEF: ++10000 ++When dealing damage with an instrument you will regain sp equal to the damage you caused.</v>
      </c>
      <c r="G2" s="20">
        <f>IFERROR(VLOOKUP($A2,Equipment!$A$2:$AD1001,MATCH("Price",Equipment!$A$1:$AH$1,0),FALSE),"")</f>
        <v>1900000</v>
      </c>
      <c r="H2" s="4" t="b">
        <v>0</v>
      </c>
      <c r="I2" s="1" t="str">
        <f>IFERROR(VLOOKUP($A2,Equipment!$A$2:$AH1001,MATCH("EquipLoc",Equipment!$A$1:$AH$1,0),FALSE),"")</f>
        <v>Land of Spira</v>
      </c>
      <c r="L2" s="1" t="str">
        <f>IFERROR(__xludf.DUMMYFUNCTION("IFNA(FILTER($X$2:$X1001,$X$2:$X1001&lt;&gt;""""),""All Equipment in List"")"),"Hela's Death Scythe")</f>
        <v>Hela's Death Scythe</v>
      </c>
      <c r="W2" s="1" t="str">
        <f>IFERROR(__xludf.DUMMYFUNCTION("""COMPUTED_VALUE"""),"""Hellfire Club"" Vest of Metal Harmony's")</f>
        <v>"Hellfire Club" Vest of Metal Harmony's</v>
      </c>
      <c r="X2" s="1" t="str">
        <f t="shared" ref="X2:X1001" si="1">IF(IFNA(VLOOKUP($W2,$A$2:$A1001,1,FALSE),TRUE)=TRUE,$W2,"")</f>
        <v/>
      </c>
    </row>
    <row r="3">
      <c r="A3" s="1" t="s">
        <v>509</v>
      </c>
      <c r="B3" s="18" t="str">
        <f>IFERROR(VLOOKUP($A3,Equipment!$A$2:$AH1001,MATCH("Description",Equipment!$A$1:$AH$1,0),FALSE),"")</f>
        <v/>
      </c>
      <c r="C3" s="18" t="str">
        <f>IFERROR(VLOOKUP($A3,Equipment!$A$2:$AH1001,MATCH("Type",Equipment!$A$1:$AH$1,0),FALSE),"")</f>
        <v>Instrument</v>
      </c>
      <c r="D3" s="18" t="str">
        <f>IFERROR(VLOOKUP($A3,Equipment!$A$2:$AH1001,MATCH("Slot",Equipment!$A$1:$AH$1,0),FALSE),"")</f>
        <v>Hand</v>
      </c>
      <c r="E3" s="20">
        <f>IFERROR(VLOOKUP($A3,Equipment!$A$2:$AH1001,MATCH("LevelReq",Equipment!$A$1:$AH$1,0),FALSE),"")</f>
        <v>200</v>
      </c>
      <c r="F3" s="18" t="str">
        <f>IFERROR(VLOOKUP($A3,Equipconvrt!$A$2:$AH1001,MATCH("Abilities",Equipconvrt!$A$1:$AH$1,0),FALSE),"")</f>
        <v>DMG: +2500, Fire DMG: +2500, Dark DMG: +2500, Chaos DMG: +2500 ++This instrument will deal X2 damage while it's equipped. ++Any spells that deal damage for the user will now do an additional X2. ++25% chance to port the target you hit to a random location.</v>
      </c>
      <c r="G3" s="20">
        <f>IFERROR(VLOOKUP($A3,Equipment!$A$2:$AD1001,MATCH("Price",Equipment!$A$1:$AH$1,0),FALSE),"")</f>
        <v>1900000</v>
      </c>
      <c r="H3" s="4" t="b">
        <v>0</v>
      </c>
      <c r="I3" s="1" t="str">
        <f>IFERROR(VLOOKUP($A3,Equipment!$A$2:$AH1001,MATCH("EquipLoc",Equipment!$A$1:$AH$1,0),FALSE),"")</f>
        <v>Land of Spira</v>
      </c>
      <c r="L3" s="1" t="str">
        <f>IFERROR(__xludf.DUMMYFUNCTION("""COMPUTED_VALUE"""),"Dragon Scale Necklace")</f>
        <v>Dragon Scale Necklace</v>
      </c>
      <c r="W3" s="1" t="str">
        <f>IFERROR(__xludf.DUMMYFUNCTION("""COMPUTED_VALUE"""),"""Sweetheart"" Guitar of The Upside Down")</f>
        <v>"Sweetheart" Guitar of The Upside Down</v>
      </c>
      <c r="X3" s="1" t="str">
        <f t="shared" si="1"/>
        <v/>
      </c>
    </row>
    <row r="4">
      <c r="A4" s="1" t="s">
        <v>510</v>
      </c>
      <c r="B4" s="18" t="str">
        <f>IFERROR(VLOOKUP($A4,Equipment!$A$2:$AH1001,MATCH("Description",Equipment!$A$1:$AH$1,0),FALSE),"")</f>
        <v/>
      </c>
      <c r="C4" s="18" t="str">
        <f>IFERROR(VLOOKUP($A4,Equipment!$A$2:$AH1001,MATCH("Type",Equipment!$A$1:$AH$1,0),FALSE),"")</f>
        <v>Sword</v>
      </c>
      <c r="D4" s="18" t="str">
        <f>IFERROR(VLOOKUP($A4,Equipment!$A$2:$AH1001,MATCH("Slot",Equipment!$A$1:$AH$1,0),FALSE),"")</f>
        <v>Hand</v>
      </c>
      <c r="E4" s="20">
        <f>IFERROR(VLOOKUP($A4,Equipment!$A$2:$AH1001,MATCH("LevelReq",Equipment!$A$1:$AH$1,0),FALSE),"")</f>
        <v>4000</v>
      </c>
      <c r="F4" s="18" t="str">
        <f>IFERROR(VLOOKUP($A4,Equipconvrt!$A$2:$AH1001,MATCH("Abilities",Equipconvrt!$A$1:$AH$1,0),FALSE),"")</f>
        <v>DMG: +100000, Dark DMG: +100000 ++If you kill an enemy using this weapon you may attack another enemy once more using this weapon on the same turn but this can only be done once per turn.</v>
      </c>
      <c r="G4" s="20">
        <f>IFERROR(VLOOKUP($A4,Equipment!$A$2:$AD1001,MATCH("Price",Equipment!$A$1:$AH$1,0),FALSE),"")</f>
        <v>798000000</v>
      </c>
      <c r="H4" s="4" t="b">
        <v>0</v>
      </c>
      <c r="I4" s="1" t="str">
        <f>IFERROR(VLOOKUP($A4,Equipment!$A$2:$AH1001,MATCH("EquipLoc",Equipment!$A$1:$AH$1,0),FALSE),"")</f>
        <v>Abstara</v>
      </c>
      <c r="L4" s="1" t="str">
        <f>IFERROR(__xludf.DUMMYFUNCTION("""COMPUTED_VALUE"""),"Rusted Halberd")</f>
        <v>Rusted Halberd</v>
      </c>
      <c r="W4" s="1" t="str">
        <f>IFERROR(__xludf.DUMMYFUNCTION("""COMPUTED_VALUE"""),"Alpha Sword")</f>
        <v>Alpha Sword</v>
      </c>
      <c r="X4" s="1" t="str">
        <f t="shared" si="1"/>
        <v/>
      </c>
    </row>
    <row r="5">
      <c r="A5" s="1" t="s">
        <v>511</v>
      </c>
      <c r="B5" s="18" t="str">
        <f>IFERROR(VLOOKUP($A5,Equipment!$A$2:$AH1001,MATCH("Description",Equipment!$A$1:$AH$1,0),FALSE),"")</f>
        <v/>
      </c>
      <c r="C5" s="18" t="str">
        <f>IFERROR(VLOOKUP($A5,Equipment!$A$2:$AH1001,MATCH("Type",Equipment!$A$1:$AH$1,0),FALSE),"")</f>
        <v>Club</v>
      </c>
      <c r="D5" s="18" t="str">
        <f>IFERROR(VLOOKUP($A5,Equipment!$A$2:$AH1001,MATCH("Slot",Equipment!$A$1:$AH$1,0),FALSE),"")</f>
        <v>Hand</v>
      </c>
      <c r="E5" s="20">
        <f>IFERROR(VLOOKUP($A5,Equipment!$A$2:$AH1001,MATCH("LevelReq",Equipment!$A$1:$AH$1,0),FALSE),"")</f>
        <v>700</v>
      </c>
      <c r="F5" s="18" t="str">
        <f>IFERROR(VLOOKUP($A5,Equipconvrt!$A$2:$AH1001,MATCH("Abilities",Equipconvrt!$A$1:$AH$1,0),FALSE),"")</f>
        <v>DMG: +25000, Nature DMG: +10000 ++When in a Natural environment all attacks with this weapon will roll twice and take the higher number</v>
      </c>
      <c r="G5" s="20">
        <f>IFERROR(VLOOKUP($A5,Equipment!$A$2:$AD1001,MATCH("Price",Equipment!$A$1:$AH$1,0),FALSE),"")</f>
        <v>24150000</v>
      </c>
      <c r="H5" s="4" t="b">
        <v>0</v>
      </c>
      <c r="I5" s="1" t="str">
        <f>IFERROR(VLOOKUP($A5,Equipment!$A$2:$AH1001,MATCH("EquipLoc",Equipment!$A$1:$AH$1,0),FALSE),"")</f>
        <v>Land of Spira</v>
      </c>
      <c r="L5" s="1" t="str">
        <f>IFERROR(__xludf.DUMMYFUNCTION("""COMPUTED_VALUE"""),"Diseased Rapier")</f>
        <v>Diseased Rapier</v>
      </c>
      <c r="W5" s="1" t="str">
        <f>IFERROR(__xludf.DUMMYFUNCTION("""COMPUTED_VALUE"""),"Ancient Colossus Forest Hammer")</f>
        <v>Ancient Colossus Forest Hammer</v>
      </c>
      <c r="X5" s="1" t="str">
        <f t="shared" si="1"/>
        <v/>
      </c>
    </row>
    <row r="6">
      <c r="A6" s="1" t="s">
        <v>512</v>
      </c>
      <c r="B6" s="18" t="str">
        <f>IFERROR(VLOOKUP($A6,Equipment!$A$2:$AH1001,MATCH("Description",Equipment!$A$1:$AH$1,0),FALSE),"")</f>
        <v/>
      </c>
      <c r="C6" s="18" t="str">
        <f>IFERROR(VLOOKUP($A6,Equipment!$A$2:$AH1001,MATCH("Type",Equipment!$A$1:$AH$1,0),FALSE),"")</f>
        <v>Sword</v>
      </c>
      <c r="D6" s="18" t="str">
        <f>IFERROR(VLOOKUP($A6,Equipment!$A$2:$AH1001,MATCH("Slot",Equipment!$A$1:$AH$1,0),FALSE),"")</f>
        <v>Hand</v>
      </c>
      <c r="E6" s="20">
        <f>IFERROR(VLOOKUP($A6,Equipment!$A$2:$AH1001,MATCH("LevelReq",Equipment!$A$1:$AH$1,0),FALSE),"")</f>
        <v>800</v>
      </c>
      <c r="F6" s="18" t="str">
        <f>IFERROR(VLOOKUP($A6,Equipconvrt!$A$2:$AH1001,MATCH("Abilities",Equipconvrt!$A$1:$AH$1,0),FALSE),"")</f>
        <v>DMG: +10000, Fire DMG: +10000, Light DMG: +10000, Order DMG: +10000 ++Doubles the chance for the Sword ability to activate</v>
      </c>
      <c r="G6" s="20">
        <f>IFERROR(VLOOKUP($A6,Equipment!$A$2:$AD1001,MATCH("Price",Equipment!$A$1:$AH$1,0),FALSE),"")</f>
        <v>31600000</v>
      </c>
      <c r="H6" s="4" t="b">
        <v>0</v>
      </c>
      <c r="I6" s="1" t="str">
        <f>IFERROR(VLOOKUP($A6,Equipment!$A$2:$AH1001,MATCH("EquipLoc",Equipment!$A$1:$AH$1,0),FALSE),"")</f>
        <v>Land of Spira</v>
      </c>
      <c r="L6" s="1" t="str">
        <f>IFERROR(__xludf.DUMMYFUNCTION("""COMPUTED_VALUE"""),"Symbol of Greed")</f>
        <v>Symbol of Greed</v>
      </c>
      <c r="W6" s="1" t="str">
        <f>IFERROR(__xludf.DUMMYFUNCTION("""COMPUTED_VALUE"""),"Ancient Samurai Sword")</f>
        <v>Ancient Samurai Sword</v>
      </c>
      <c r="X6" s="1" t="str">
        <f t="shared" si="1"/>
        <v/>
      </c>
    </row>
    <row r="7">
      <c r="A7" s="1" t="s">
        <v>513</v>
      </c>
      <c r="B7" s="18" t="str">
        <f>IFERROR(VLOOKUP($A7,Equipment!$A$2:$AH1001,MATCH("Description",Equipment!$A$1:$AH$1,0),FALSE),"")</f>
        <v/>
      </c>
      <c r="C7" s="18" t="str">
        <f>IFERROR(VLOOKUP($A7,Equipment!$A$2:$AH1001,MATCH("Type",Equipment!$A$1:$AH$1,0),FALSE),"")</f>
        <v>Sword</v>
      </c>
      <c r="D7" s="18" t="str">
        <f>IFERROR(VLOOKUP($A7,Equipment!$A$2:$AH1001,MATCH("Slot",Equipment!$A$1:$AH$1,0),FALSE),"")</f>
        <v>Hand</v>
      </c>
      <c r="E7" s="20">
        <f>IFERROR(VLOOKUP($A7,Equipment!$A$2:$AH1001,MATCH("LevelReq",Equipment!$A$1:$AH$1,0),FALSE),"")</f>
        <v>1200</v>
      </c>
      <c r="F7" s="18" t="str">
        <f>IFERROR(VLOOKUP($A7,Equipconvrt!$A$2:$AH1001,MATCH("Abilities",Equipconvrt!$A$1:$AH$1,0),FALSE),"")</f>
        <v>DMG: +20000, Earth DMG: +20000, Light DMG: +20000 ++X2 Defense for all allies</v>
      </c>
      <c r="G7" s="20">
        <f>IFERROR(VLOOKUP($A7,Equipment!$A$2:$AD1001,MATCH("Price",Equipment!$A$1:$AH$1,0),FALSE),"")</f>
        <v>71400000</v>
      </c>
      <c r="H7" s="4" t="b">
        <v>0</v>
      </c>
      <c r="I7" s="1" t="str">
        <f>IFERROR(VLOOKUP($A7,Equipment!$A$2:$AH1001,MATCH("EquipLoc",Equipment!$A$1:$AH$1,0),FALSE),"")</f>
        <v>Land of Spira</v>
      </c>
      <c r="L7" s="1" t="str">
        <f>IFERROR(__xludf.DUMMYFUNCTION("""COMPUTED_VALUE"""),"Enchanted Quiver")</f>
        <v>Enchanted Quiver</v>
      </c>
      <c r="W7" s="1" t="str">
        <f>IFERROR(__xludf.DUMMYFUNCTION("""COMPUTED_VALUE"""),"Ancient Stone Guardians Sword")</f>
        <v>Ancient Stone Guardians Sword</v>
      </c>
      <c r="X7" s="1" t="str">
        <f t="shared" si="1"/>
        <v/>
      </c>
    </row>
    <row r="8">
      <c r="A8" s="1" t="s">
        <v>514</v>
      </c>
      <c r="B8" s="18" t="str">
        <f>IFERROR(VLOOKUP($A8,Equipment!$A$2:$AH1001,MATCH("Description",Equipment!$A$1:$AH$1,0),FALSE),"")</f>
        <v/>
      </c>
      <c r="C8" s="18" t="str">
        <f>IFERROR(VLOOKUP($A8,Equipment!$A$2:$AH1001,MATCH("Type",Equipment!$A$1:$AH$1,0),FALSE),"")</f>
        <v/>
      </c>
      <c r="D8" s="18" t="str">
        <f>IFERROR(VLOOKUP($A8,Equipment!$A$2:$AH1001,MATCH("Slot",Equipment!$A$1:$AH$1,0),FALSE),"")</f>
        <v>Torso</v>
      </c>
      <c r="E8" s="20">
        <f>IFERROR(VLOOKUP($A8,Equipment!$A$2:$AH1001,MATCH("LevelReq",Equipment!$A$1:$AH$1,0),FALSE),"")</f>
        <v>40</v>
      </c>
      <c r="F8" s="18" t="str">
        <f>IFERROR(VLOOKUP($A8,Equipconvrt!$A$2:$AH1001,MATCH("Abilities",Equipconvrt!$A$1:$AH$1,0),FALSE),"")</f>
        <v>DEF: +1000, Water DEF: +1000 ++X4 damage additional water damage for the user.</v>
      </c>
      <c r="G8" s="20">
        <f>IFERROR(VLOOKUP($A8,Equipment!$A$2:$AD1001,MATCH("Price",Equipment!$A$1:$AH$1,0),FALSE),"")</f>
        <v>60000</v>
      </c>
      <c r="H8" s="4" t="b">
        <v>0</v>
      </c>
      <c r="I8" s="1" t="str">
        <f>IFERROR(VLOOKUP($A8,Equipment!$A$2:$AH1001,MATCH("EquipLoc",Equipment!$A$1:$AH$1,0),FALSE),"")</f>
        <v>Land of Spira</v>
      </c>
      <c r="L8" s="1" t="str">
        <f>IFERROR(__xludf.DUMMYFUNCTION("""COMPUTED_VALUE"""),"Ring of the Siren")</f>
        <v>Ring of the Siren</v>
      </c>
      <c r="W8" s="1" t="str">
        <f>IFERROR(__xludf.DUMMYFUNCTION("""COMPUTED_VALUE"""),"Aqua Robe")</f>
        <v>Aqua Robe</v>
      </c>
      <c r="X8" s="1" t="str">
        <f t="shared" si="1"/>
        <v/>
      </c>
    </row>
    <row r="9">
      <c r="A9" s="1" t="s">
        <v>515</v>
      </c>
      <c r="B9" s="18" t="str">
        <f>IFERROR(VLOOKUP($A9,Equipment!$A$2:$AH1001,MATCH("Description",Equipment!$A$1:$AH$1,0),FALSE),"")</f>
        <v/>
      </c>
      <c r="C9" s="18" t="str">
        <f>IFERROR(VLOOKUP($A9,Equipment!$A$2:$AH1001,MATCH("Type",Equipment!$A$1:$AH$1,0),FALSE),"")</f>
        <v/>
      </c>
      <c r="D9" s="18" t="str">
        <f>IFERROR(VLOOKUP($A9,Equipment!$A$2:$AH1001,MATCH("Slot",Equipment!$A$1:$AH$1,0),FALSE),"")</f>
        <v>Feet</v>
      </c>
      <c r="E9" s="20">
        <f>IFERROR(VLOOKUP($A9,Equipment!$A$2:$AH1001,MATCH("LevelReq",Equipment!$A$1:$AH$1,0),FALSE),"")</f>
        <v>300</v>
      </c>
      <c r="F9" s="18" t="str">
        <f>IFERROR(VLOOKUP($A9,Equipconvrt!$A$2:$AH1001,MATCH("Abilities",Equipconvrt!$A$1:$AH$1,0),FALSE),"")</f>
        <v>DEF: +7500, Water DEF: +7500 ++X6 additional water damage for self.</v>
      </c>
      <c r="G9" s="20">
        <f>IFERROR(VLOOKUP($A9,Equipment!$A$2:$AD1001,MATCH("Price",Equipment!$A$1:$AH$1,0),FALSE),"")</f>
        <v>4350000</v>
      </c>
      <c r="H9" s="4" t="b">
        <v>0</v>
      </c>
      <c r="I9" s="1" t="str">
        <f>IFERROR(VLOOKUP($A9,Equipment!$A$2:$AH1001,MATCH("EquipLoc",Equipment!$A$1:$AH$1,0),FALSE),"")</f>
        <v>Land of Spira</v>
      </c>
      <c r="L9" s="1" t="str">
        <f>IFERROR(__xludf.DUMMYFUNCTION("""COMPUTED_VALUE"""),"Amulet of The Berserker")</f>
        <v>Amulet of The Berserker</v>
      </c>
      <c r="W9" s="1" t="str">
        <f>IFERROR(__xludf.DUMMYFUNCTION("""COMPUTED_VALUE"""),"Aquatic Boots of Atlantis")</f>
        <v>Aquatic Boots of Atlantis</v>
      </c>
      <c r="X9" s="1" t="str">
        <f t="shared" si="1"/>
        <v/>
      </c>
    </row>
    <row r="10">
      <c r="A10" s="1" t="s">
        <v>516</v>
      </c>
      <c r="B10" s="18" t="str">
        <f>IFERROR(VLOOKUP($A10,Equipment!$A$2:$AH1001,MATCH("Description",Equipment!$A$1:$AH$1,0),FALSE),"")</f>
        <v/>
      </c>
      <c r="C10" s="18" t="str">
        <f>IFERROR(VLOOKUP($A10,Equipment!$A$2:$AH1001,MATCH("Type",Equipment!$A$1:$AH$1,0),FALSE),"")</f>
        <v/>
      </c>
      <c r="D10" s="18" t="str">
        <f>IFERROR(VLOOKUP($A10,Equipment!$A$2:$AH1001,MATCH("Slot",Equipment!$A$1:$AH$1,0),FALSE),"")</f>
        <v>Torso</v>
      </c>
      <c r="E10" s="20">
        <f>IFERROR(VLOOKUP($A10,Equipment!$A$2:$AH1001,MATCH("LevelReq",Equipment!$A$1:$AH$1,0),FALSE),"")</f>
        <v>600</v>
      </c>
      <c r="F10" s="18" t="str">
        <f>IFERROR(VLOOKUP($A10,Equipconvrt!$A$2:$AH1001,MATCH("Abilities",Equipconvrt!$A$1:$AH$1,0),FALSE),"")</f>
        <v>DEF: +15000, Water DEF: +15000 ++X6 additional water damage for self.  ++X8 Defense for self and allies if you have all Aquatic Atlantis Equipment Equipped.</v>
      </c>
      <c r="G10" s="20">
        <f>IFERROR(VLOOKUP($A10,Equipment!$A$2:$AD1001,MATCH("Price",Equipment!$A$1:$AH$1,0),FALSE),"")</f>
        <v>17700000</v>
      </c>
      <c r="H10" s="4" t="b">
        <v>0</v>
      </c>
      <c r="I10" s="1" t="str">
        <f>IFERROR(VLOOKUP($A10,Equipment!$A$2:$AH1001,MATCH("EquipLoc",Equipment!$A$1:$AH$1,0),FALSE),"")</f>
        <v>Land of Spira</v>
      </c>
      <c r="L10" s="1" t="str">
        <f>IFERROR(__xludf.DUMMYFUNCTION("""COMPUTED_VALUE"""),"Mask of the Cultist")</f>
        <v>Mask of the Cultist</v>
      </c>
      <c r="W10" s="1" t="str">
        <f>IFERROR(__xludf.DUMMYFUNCTION("""COMPUTED_VALUE"""),"Aquatic Chestplate of Atlantis")</f>
        <v>Aquatic Chestplate of Atlantis</v>
      </c>
      <c r="X10" s="1" t="str">
        <f t="shared" si="1"/>
        <v/>
      </c>
    </row>
    <row r="11">
      <c r="A11" s="1" t="s">
        <v>517</v>
      </c>
      <c r="B11" s="18" t="str">
        <f>IFERROR(VLOOKUP($A11,Equipment!$A$2:$AH1001,MATCH("Description",Equipment!$A$1:$AH$1,0),FALSE),"")</f>
        <v/>
      </c>
      <c r="C11" s="18" t="str">
        <f>IFERROR(VLOOKUP($A11,Equipment!$A$2:$AH1001,MATCH("Type",Equipment!$A$1:$AH$1,0),FALSE),"")</f>
        <v/>
      </c>
      <c r="D11" s="18" t="str">
        <f>IFERROR(VLOOKUP($A11,Equipment!$A$2:$AH1001,MATCH("Slot",Equipment!$A$1:$AH$1,0),FALSE),"")</f>
        <v>Legs</v>
      </c>
      <c r="E11" s="20">
        <f>IFERROR(VLOOKUP($A11,Equipment!$A$2:$AH1001,MATCH("LevelReq",Equipment!$A$1:$AH$1,0),FALSE),"")</f>
        <v>300</v>
      </c>
      <c r="F11" s="18" t="str">
        <f>IFERROR(VLOOKUP($A11,Equipconvrt!$A$2:$AH1001,MATCH("Abilities",Equipconvrt!$A$1:$AH$1,0),FALSE),"")</f>
        <v>DEF: +7500, Water DEF: +7500 ++X6 additional water damage for self.</v>
      </c>
      <c r="G11" s="20">
        <f>IFERROR(VLOOKUP($A11,Equipment!$A$2:$AD1001,MATCH("Price",Equipment!$A$1:$AH$1,0),FALSE),"")</f>
        <v>4350000</v>
      </c>
      <c r="H11" s="4" t="b">
        <v>0</v>
      </c>
      <c r="I11" s="1" t="str">
        <f>IFERROR(VLOOKUP($A11,Equipment!$A$2:$AH1001,MATCH("EquipLoc",Equipment!$A$1:$AH$1,0),FALSE),"")</f>
        <v>Land of Spira</v>
      </c>
      <c r="L11" s="1" t="str">
        <f>IFERROR(__xludf.DUMMYFUNCTION("""COMPUTED_VALUE"""),"""Natural"" Cologne")</f>
        <v>"Natural" Cologne</v>
      </c>
      <c r="W11" s="1" t="str">
        <f>IFERROR(__xludf.DUMMYFUNCTION("""COMPUTED_VALUE"""),"Aquatic Greaves of Atlantis")</f>
        <v>Aquatic Greaves of Atlantis</v>
      </c>
      <c r="X11" s="1" t="str">
        <f t="shared" si="1"/>
        <v/>
      </c>
    </row>
    <row r="12">
      <c r="A12" s="1" t="s">
        <v>518</v>
      </c>
      <c r="B12" s="18" t="str">
        <f>IFERROR(VLOOKUP($A12,Equipment!$A$2:$AH1001,MATCH("Description",Equipment!$A$1:$AH$1,0),FALSE),"")</f>
        <v/>
      </c>
      <c r="C12" s="18" t="str">
        <f>IFERROR(VLOOKUP($A12,Equipment!$A$2:$AH1001,MATCH("Type",Equipment!$A$1:$AH$1,0),FALSE),"")</f>
        <v/>
      </c>
      <c r="D12" s="18" t="str">
        <f>IFERROR(VLOOKUP($A12,Equipment!$A$2:$AH1001,MATCH("Slot",Equipment!$A$1:$AH$1,0),FALSE),"")</f>
        <v>Head</v>
      </c>
      <c r="E12" s="20">
        <f>IFERROR(VLOOKUP($A12,Equipment!$A$2:$AH1001,MATCH("LevelReq",Equipment!$A$1:$AH$1,0),FALSE),"")</f>
        <v>300</v>
      </c>
      <c r="F12" s="18" t="str">
        <f>IFERROR(VLOOKUP($A12,Equipconvrt!$A$2:$AH1001,MATCH("Abilities",Equipconvrt!$A$1:$AH$1,0),FALSE),"")</f>
        <v>DEF: +7500, Water DEF: +7500 ++X6 additional water damage for self.</v>
      </c>
      <c r="G12" s="20">
        <f>IFERROR(VLOOKUP($A12,Equipment!$A$2:$AD1001,MATCH("Price",Equipment!$A$1:$AH$1,0),FALSE),"")</f>
        <v>4350000</v>
      </c>
      <c r="H12" s="4" t="b">
        <v>0</v>
      </c>
      <c r="I12" s="1" t="str">
        <f>IFERROR(VLOOKUP($A12,Equipment!$A$2:$AH1001,MATCH("EquipLoc",Equipment!$A$1:$AH$1,0),FALSE),"")</f>
        <v>Land of Spira</v>
      </c>
      <c r="L12" s="1" t="str">
        <f>IFERROR(__xludf.DUMMYFUNCTION("""COMPUTED_VALUE"""),"Bonded Ring")</f>
        <v>Bonded Ring</v>
      </c>
      <c r="W12" s="1" t="str">
        <f>IFERROR(__xludf.DUMMYFUNCTION("""COMPUTED_VALUE"""),"Aquatic Helmet of Atlantis")</f>
        <v>Aquatic Helmet of Atlantis</v>
      </c>
      <c r="X12" s="1" t="str">
        <f t="shared" si="1"/>
        <v/>
      </c>
    </row>
    <row r="13">
      <c r="A13" s="1" t="s">
        <v>519</v>
      </c>
      <c r="B13" s="18" t="str">
        <f>IFERROR(VLOOKUP($A13,Equipment!$A$2:$AH1001,MATCH("Description",Equipment!$A$1:$AH$1,0),FALSE),"")</f>
        <v/>
      </c>
      <c r="C13" s="18" t="str">
        <f>IFERROR(VLOOKUP($A13,Equipment!$A$2:$AH1001,MATCH("Type",Equipment!$A$1:$AH$1,0),FALSE),"")</f>
        <v/>
      </c>
      <c r="D13" s="18" t="str">
        <f>IFERROR(VLOOKUP($A13,Equipment!$A$2:$AH1001,MATCH("Slot",Equipment!$A$1:$AH$1,0),FALSE),"")</f>
        <v>Shoulders</v>
      </c>
      <c r="E13" s="20">
        <f>IFERROR(VLOOKUP($A13,Equipment!$A$2:$AH1001,MATCH("LevelReq",Equipment!$A$1:$AH$1,0),FALSE),"")</f>
        <v>300</v>
      </c>
      <c r="F13" s="18" t="str">
        <f>IFERROR(VLOOKUP($A13,Equipconvrt!$A$2:$AH1001,MATCH("Abilities",Equipconvrt!$A$1:$AH$1,0),FALSE),"")</f>
        <v>DEF: +7500, Water DEF: +7500 ++X6 additional water damage for self.</v>
      </c>
      <c r="G13" s="20">
        <f>IFERROR(VLOOKUP($A13,Equipment!$A$2:$AD1001,MATCH("Price",Equipment!$A$1:$AH$1,0),FALSE),"")</f>
        <v>4350000</v>
      </c>
      <c r="H13" s="4" t="b">
        <v>0</v>
      </c>
      <c r="I13" s="1" t="str">
        <f>IFERROR(VLOOKUP($A13,Equipment!$A$2:$AH1001,MATCH("EquipLoc",Equipment!$A$1:$AH$1,0),FALSE),"")</f>
        <v>Land of Spira</v>
      </c>
      <c r="L13" s="1" t="str">
        <f>IFERROR(__xludf.DUMMYFUNCTION("""COMPUTED_VALUE"""),"Deadeye Brooch")</f>
        <v>Deadeye Brooch</v>
      </c>
      <c r="W13" s="1" t="str">
        <f>IFERROR(__xludf.DUMMYFUNCTION("""COMPUTED_VALUE"""),"Aquatic Pauldrons of Atlantis")</f>
        <v>Aquatic Pauldrons of Atlantis</v>
      </c>
      <c r="X13" s="1" t="str">
        <f t="shared" si="1"/>
        <v/>
      </c>
    </row>
    <row r="14">
      <c r="A14" s="1" t="s">
        <v>520</v>
      </c>
      <c r="B14" s="18" t="str">
        <f>IFERROR(VLOOKUP($A14,Equipment!$A$2:$AH1001,MATCH("Description",Equipment!$A$1:$AH$1,0),FALSE),"")</f>
        <v/>
      </c>
      <c r="C14" s="18" t="str">
        <f>IFERROR(VLOOKUP($A14,Equipment!$A$2:$AH1001,MATCH("Type",Equipment!$A$1:$AH$1,0),FALSE),"")</f>
        <v>Sword</v>
      </c>
      <c r="D14" s="18" t="str">
        <f>IFERROR(VLOOKUP($A14,Equipment!$A$2:$AH1001,MATCH("Slot",Equipment!$A$1:$AH$1,0),FALSE),"")</f>
        <v>Hand</v>
      </c>
      <c r="E14" s="20">
        <f>IFERROR(VLOOKUP($A14,Equipment!$A$2:$AH1001,MATCH("LevelReq",Equipment!$A$1:$AH$1,0),FALSE),"")</f>
        <v>1200</v>
      </c>
      <c r="F14" s="18" t="str">
        <f>IFERROR(VLOOKUP($A14,Equipconvrt!$A$2:$AH1001,MATCH("Abilities",Equipconvrt!$A$1:$AH$1,0),FALSE),"")</f>
        <v>DMG: +30000, Water DMG: +30000 ++X6 additional water damage for self, ++Tides of Atlantis: Upon a successful hit this weapon has a 50% chance to cast Tsunami for no sp cost. Cannot be duplicated.</v>
      </c>
      <c r="G14" s="20">
        <f>IFERROR(VLOOKUP($A14,Equipment!$A$2:$AD1001,MATCH("Price",Equipment!$A$1:$AH$1,0),FALSE),"")</f>
        <v>71400000</v>
      </c>
      <c r="H14" s="4" t="b">
        <v>0</v>
      </c>
      <c r="I14" s="1" t="str">
        <f>IFERROR(VLOOKUP($A14,Equipment!$A$2:$AH1001,MATCH("EquipLoc",Equipment!$A$1:$AH$1,0),FALSE),"")</f>
        <v>Land of Spira</v>
      </c>
      <c r="L14" s="1" t="str">
        <f>IFERROR(__xludf.DUMMYFUNCTION("""COMPUTED_VALUE"""),"Tool Kit")</f>
        <v>Tool Kit</v>
      </c>
      <c r="W14" s="1" t="str">
        <f>IFERROR(__xludf.DUMMYFUNCTION("""COMPUTED_VALUE"""),"Aquatic Sword of Atlantis")</f>
        <v>Aquatic Sword of Atlantis</v>
      </c>
      <c r="X14" s="1" t="str">
        <f t="shared" si="1"/>
        <v/>
      </c>
    </row>
    <row r="15">
      <c r="A15" s="1" t="s">
        <v>521</v>
      </c>
      <c r="B15" s="18" t="str">
        <f>IFERROR(VLOOKUP($A15,Equipment!$A$2:$AH1001,MATCH("Description",Equipment!$A$1:$AH$1,0),FALSE),"")</f>
        <v/>
      </c>
      <c r="C15" s="18" t="str">
        <f>IFERROR(VLOOKUP($A15,Equipment!$A$2:$AH1001,MATCH("Type",Equipment!$A$1:$AH$1,0),FALSE),"")</f>
        <v/>
      </c>
      <c r="D15" s="18" t="str">
        <f>IFERROR(VLOOKUP($A15,Equipment!$A$2:$AH1001,MATCH("Slot",Equipment!$A$1:$AH$1,0),FALSE),"")</f>
        <v>Arms</v>
      </c>
      <c r="E15" s="20">
        <f>IFERROR(VLOOKUP($A15,Equipment!$A$2:$AH1001,MATCH("LevelReq",Equipment!$A$1:$AH$1,0),FALSE),"")</f>
        <v>300</v>
      </c>
      <c r="F15" s="18" t="str">
        <f>IFERROR(VLOOKUP($A15,Equipconvrt!$A$2:$AH1001,MATCH("Abilities",Equipconvrt!$A$1:$AH$1,0),FALSE),"")</f>
        <v>DEF: +7500, Water DEF: +7500 X6 additional water damage for self.</v>
      </c>
      <c r="G15" s="20">
        <f>IFERROR(VLOOKUP($A15,Equipment!$A$2:$AD1001,MATCH("Price",Equipment!$A$1:$AH$1,0),FALSE),"")</f>
        <v>4350000</v>
      </c>
      <c r="H15" s="4" t="b">
        <v>0</v>
      </c>
      <c r="I15" s="1" t="str">
        <f>IFERROR(VLOOKUP($A15,Equipment!$A$2:$AH1001,MATCH("EquipLoc",Equipment!$A$1:$AH$1,0),FALSE),"")</f>
        <v>Land of Spira</v>
      </c>
      <c r="L15" s="1" t="str">
        <f>IFERROR(__xludf.DUMMYFUNCTION("""COMPUTED_VALUE"""),"Basic Bitch Award")</f>
        <v>Basic Bitch Award</v>
      </c>
      <c r="W15" s="1" t="str">
        <f>IFERROR(__xludf.DUMMYFUNCTION("""COMPUTED_VALUE"""),"Aquatic Vambraces of Atlantis")</f>
        <v>Aquatic Vambraces of Atlantis</v>
      </c>
      <c r="X15" s="1" t="str">
        <f t="shared" si="1"/>
        <v/>
      </c>
    </row>
    <row r="16">
      <c r="A16" s="1" t="s">
        <v>522</v>
      </c>
      <c r="B16" s="18" t="str">
        <f>IFERROR(VLOOKUP($A16,Equipment!$A$2:$AH1001,MATCH("Description",Equipment!$A$1:$AH$1,0),FALSE),"")</f>
        <v/>
      </c>
      <c r="C16" s="18" t="str">
        <f>IFERROR(VLOOKUP($A16,Equipment!$A$2:$AH1001,MATCH("Type",Equipment!$A$1:$AH$1,0),FALSE),"")</f>
        <v/>
      </c>
      <c r="D16" s="18" t="str">
        <f>IFERROR(VLOOKUP($A16,Equipment!$A$2:$AH1001,MATCH("Slot",Equipment!$A$1:$AH$1,0),FALSE),"")</f>
        <v>Torso</v>
      </c>
      <c r="E16" s="20">
        <f>IFERROR(VLOOKUP($A16,Equipment!$A$2:$AH1001,MATCH("LevelReq",Equipment!$A$1:$AH$1,0),FALSE),"")</f>
        <v>20</v>
      </c>
      <c r="F16" s="18" t="str">
        <f>IFERROR(VLOOKUP($A16,Equipconvrt!$A$2:$AH1001,MATCH("Abilities",Equipconvrt!$A$1:$AH$1,0),FALSE),"")</f>
        <v>DEF: +800 (Ranger Set) ++Half the Arrow - Range Spells cost half the sp cost, ++Ranger Enrage - All Ranged Spells do double in damage ++only archers can equip</v>
      </c>
      <c r="G16" s="20">
        <f>IFERROR(VLOOKUP($A16,Equipment!$A$2:$AD1001,MATCH("Price",Equipment!$A$1:$AH$1,0),FALSE),"")</f>
        <v>1000</v>
      </c>
      <c r="H16" s="4" t="b">
        <v>0</v>
      </c>
      <c r="I16" s="1" t="str">
        <f>IFERROR(VLOOKUP($A16,Equipment!$A$2:$AH1001,MATCH("EquipLoc",Equipment!$A$1:$AH$1,0),FALSE),"")</f>
        <v>Land of Spira</v>
      </c>
      <c r="L16" s="1" t="str">
        <f>IFERROR(__xludf.DUMMYFUNCTION("""COMPUTED_VALUE"""),"Ring of The Frail Scholar")</f>
        <v>Ring of The Frail Scholar</v>
      </c>
      <c r="W16" s="1" t="str">
        <f>IFERROR(__xludf.DUMMYFUNCTION("""COMPUTED_VALUE"""),"Archer’s Cloaked Vest")</f>
        <v>Archer’s Cloaked Vest</v>
      </c>
      <c r="X16" s="1" t="str">
        <f t="shared" si="1"/>
        <v/>
      </c>
    </row>
    <row r="17">
      <c r="A17" s="1" t="s">
        <v>523</v>
      </c>
      <c r="B17" s="18" t="str">
        <f>IFERROR(VLOOKUP($A17,Equipment!$A$2:$AH1001,MATCH("Description",Equipment!$A$1:$AH$1,0),FALSE),"")</f>
        <v/>
      </c>
      <c r="C17" s="18" t="str">
        <f>IFERROR(VLOOKUP($A17,Equipment!$A$2:$AH1001,MATCH("Type",Equipment!$A$1:$AH$1,0),FALSE),"")</f>
        <v/>
      </c>
      <c r="D17" s="18" t="str">
        <f>IFERROR(VLOOKUP($A17,Equipment!$A$2:$AH1001,MATCH("Slot",Equipment!$A$1:$AH$1,0),FALSE),"")</f>
        <v>Feet</v>
      </c>
      <c r="E17" s="20">
        <f>IFERROR(VLOOKUP($A17,Equipment!$A$2:$AH1001,MATCH("LevelReq",Equipment!$A$1:$AH$1,0),FALSE),"")</f>
        <v>1</v>
      </c>
      <c r="F17" s="18" t="str">
        <f>IFERROR(VLOOKUP($A17,Equipconvrt!$A$2:$AH1001,MATCH("Abilities",Equipconvrt!$A$1:$AH$1,0),FALSE),"")</f>
        <v> (Ranger Set) ++5 evasion ++Only archers can equip, +-Cannot be duplicated or forged.</v>
      </c>
      <c r="G17" s="20">
        <f>IFERROR(VLOOKUP($A17,Equipment!$A$2:$AD1001,MATCH("Price",Equipment!$A$1:$AH$1,0),FALSE),"")</f>
        <v>0</v>
      </c>
      <c r="H17" s="4" t="b">
        <v>0</v>
      </c>
      <c r="I17" s="1" t="str">
        <f>IFERROR(VLOOKUP($A17,Equipment!$A$2:$AH1001,MATCH("EquipLoc",Equipment!$A$1:$AH$1,0),FALSE),"")</f>
        <v>Land of Spira</v>
      </c>
      <c r="L17" s="1" t="str">
        <f>IFERROR(__xludf.DUMMYFUNCTION("""COMPUTED_VALUE"""),"Ring of Sticky FIngers")</f>
        <v>Ring of Sticky FIngers</v>
      </c>
      <c r="W17" s="1" t="str">
        <f>IFERROR(__xludf.DUMMYFUNCTION("""COMPUTED_VALUE"""),"Archers Boots")</f>
        <v>Archers Boots</v>
      </c>
      <c r="X17" s="1" t="str">
        <f t="shared" si="1"/>
        <v/>
      </c>
    </row>
    <row r="18">
      <c r="A18" s="1" t="s">
        <v>524</v>
      </c>
      <c r="B18" s="18" t="str">
        <f>IFERROR(VLOOKUP($A18,Equipment!$A$2:$AH1001,MATCH("Description",Equipment!$A$1:$AH$1,0),FALSE),"")</f>
        <v/>
      </c>
      <c r="C18" s="18" t="str">
        <f>IFERROR(VLOOKUP($A18,Equipment!$A$2:$AH1001,MATCH("Type",Equipment!$A$1:$AH$1,0),FALSE),"")</f>
        <v/>
      </c>
      <c r="D18" s="18" t="str">
        <f>IFERROR(VLOOKUP($A18,Equipment!$A$2:$AH1001,MATCH("Slot",Equipment!$A$1:$AH$1,0),FALSE),"")</f>
        <v>Torso</v>
      </c>
      <c r="E18" s="20">
        <f>IFERROR(VLOOKUP($A18,Equipment!$A$2:$AH1001,MATCH("LevelReq",Equipment!$A$1:$AH$1,0),FALSE),"")</f>
        <v>1</v>
      </c>
      <c r="F18" s="18" t="str">
        <f>IFERROR(VLOOKUP($A18,Equipconvrt!$A$2:$AH1001,MATCH("Abilities",Equipconvrt!$A$1:$AH$1,0),FALSE),"")</f>
        <v> (Ranger Set) ++Ranged Spells cost half the sp cost ++Only archers can equip</v>
      </c>
      <c r="G18" s="20">
        <f>IFERROR(VLOOKUP($A18,Equipment!$A$2:$AD1001,MATCH("Price",Equipment!$A$1:$AH$1,0),FALSE),"")</f>
        <v>0</v>
      </c>
      <c r="H18" s="4" t="b">
        <v>0</v>
      </c>
      <c r="I18" s="1" t="str">
        <f>IFERROR(VLOOKUP($A18,Equipment!$A$2:$AH1001,MATCH("EquipLoc",Equipment!$A$1:$AH$1,0),FALSE),"")</f>
        <v>Land of Spira</v>
      </c>
      <c r="L18" s="1" t="str">
        <f>IFERROR(__xludf.DUMMYFUNCTION("""COMPUTED_VALUE"""),"Spirit Furnace")</f>
        <v>Spirit Furnace</v>
      </c>
      <c r="W18" s="1" t="str">
        <f>IFERROR(__xludf.DUMMYFUNCTION("""COMPUTED_VALUE"""),"Archers Cloak")</f>
        <v>Archers Cloak</v>
      </c>
      <c r="X18" s="1" t="str">
        <f t="shared" si="1"/>
        <v/>
      </c>
    </row>
    <row r="19">
      <c r="A19" s="1" t="s">
        <v>525</v>
      </c>
      <c r="B19" s="18" t="str">
        <f>IFERROR(VLOOKUP($A19,Equipment!$A$2:$AH1001,MATCH("Description",Equipment!$A$1:$AH$1,0),FALSE),"")</f>
        <v/>
      </c>
      <c r="C19" s="18" t="str">
        <f>IFERROR(VLOOKUP($A19,Equipment!$A$2:$AH1001,MATCH("Type",Equipment!$A$1:$AH$1,0),FALSE),"")</f>
        <v/>
      </c>
      <c r="D19" s="18" t="str">
        <f>IFERROR(VLOOKUP($A19,Equipment!$A$2:$AH1001,MATCH("Slot",Equipment!$A$1:$AH$1,0),FALSE),"")</f>
        <v>Torso</v>
      </c>
      <c r="E19" s="20">
        <f>IFERROR(VLOOKUP($A19,Equipment!$A$2:$AH1001,MATCH("LevelReq",Equipment!$A$1:$AH$1,0),FALSE),"")</f>
        <v>400</v>
      </c>
      <c r="F19" s="18" t="str">
        <f>IFERROR(VLOOKUP($A19,Equipconvrt!$A$2:$AH1001,MATCH("Abilities",Equipconvrt!$A$1:$AH$1,0),FALSE),"")</f>
        <v>DEF: +20000 (Cthulhu Set) ++Curse of Cthulhu - When the wearer takes damage the wearer will gain half the damage back as HP and SP.</v>
      </c>
      <c r="G19" s="20">
        <f>IFERROR(VLOOKUP($A19,Equipment!$A$2:$AD1001,MATCH("Price",Equipment!$A$1:$AH$1,0),FALSE),"")</f>
        <v>7800000</v>
      </c>
      <c r="H19" s="4" t="b">
        <v>1</v>
      </c>
      <c r="I19" s="1" t="str">
        <f>IFERROR(VLOOKUP($A19,Equipment!$A$2:$AH1001,MATCH("EquipLoc",Equipment!$A$1:$AH$1,0),FALSE),"")</f>
        <v>Land of Spira</v>
      </c>
      <c r="L19" s="1" t="str">
        <f>IFERROR(__xludf.DUMMYFUNCTION("""COMPUTED_VALUE"""),"Smokebomb Pouch")</f>
        <v>Smokebomb Pouch</v>
      </c>
      <c r="W19" s="1" t="str">
        <f>IFERROR(__xludf.DUMMYFUNCTION("""COMPUTED_VALUE"""),"Armor Of Cthulhu")</f>
        <v>Armor Of Cthulhu</v>
      </c>
      <c r="X19" s="1" t="str">
        <f t="shared" si="1"/>
        <v/>
      </c>
    </row>
    <row r="20">
      <c r="A20" s="1" t="s">
        <v>526</v>
      </c>
      <c r="B20" s="18" t="str">
        <f>IFERROR(VLOOKUP($A20,Equipment!$A$2:$AH1001,MATCH("Description",Equipment!$A$1:$AH$1,0),FALSE),"")</f>
        <v>Made of gold</v>
      </c>
      <c r="C20" s="18" t="str">
        <f>IFERROR(VLOOKUP($A20,Equipment!$A$2:$AH1001,MATCH("Type",Equipment!$A$1:$AH$1,0),FALSE),"")</f>
        <v/>
      </c>
      <c r="D20" s="18" t="str">
        <f>IFERROR(VLOOKUP($A20,Equipment!$A$2:$AH1001,MATCH("Slot",Equipment!$A$1:$AH$1,0),FALSE),"")</f>
        <v>Torso</v>
      </c>
      <c r="E20" s="20">
        <f>IFERROR(VLOOKUP($A20,Equipment!$A$2:$AH1001,MATCH("LevelReq",Equipment!$A$1:$AH$1,0),FALSE),"")</f>
        <v>400</v>
      </c>
      <c r="F20" s="18" t="str">
        <f>IFERROR(VLOOKUP($A20,Equipconvrt!$A$2:$AH1001,MATCH("Abilities",Equipconvrt!$A$1:$AH$1,0),FALSE),"")</f>
        <v>DEF: +10000, Order DEF: +10000</v>
      </c>
      <c r="G20" s="20">
        <f>IFERROR(VLOOKUP($A20,Equipment!$A$2:$AD1001,MATCH("Price",Equipment!$A$1:$AH$1,0),FALSE),"")</f>
        <v>7800000</v>
      </c>
      <c r="H20" s="4" t="b">
        <v>0</v>
      </c>
      <c r="I20" s="1" t="str">
        <f>IFERROR(VLOOKUP($A20,Equipment!$A$2:$AH1001,MATCH("EquipLoc",Equipment!$A$1:$AH$1,0),FALSE),"")</f>
        <v>Land of Spira</v>
      </c>
      <c r="L20" s="1" t="str">
        <f>IFERROR(__xludf.DUMMYFUNCTION("""COMPUTED_VALUE"""),"Certificate of Shield Bashing School")</f>
        <v>Certificate of Shield Bashing School</v>
      </c>
      <c r="W20" s="1"/>
      <c r="X20" s="1" t="str">
        <f t="shared" si="1"/>
        <v/>
      </c>
    </row>
    <row r="21">
      <c r="A21" s="1" t="s">
        <v>527</v>
      </c>
      <c r="B21" s="18" t="str">
        <f>IFERROR(VLOOKUP($A21,Equipment!$A$2:$AH1001,MATCH("Description",Equipment!$A$1:$AH$1,0),FALSE),"")</f>
        <v/>
      </c>
      <c r="C21" s="18" t="str">
        <f>IFERROR(VLOOKUP($A21,Equipment!$A$2:$AH1001,MATCH("Type",Equipment!$A$1:$AH$1,0),FALSE),"")</f>
        <v>Axe</v>
      </c>
      <c r="D21" s="18" t="str">
        <f>IFERROR(VLOOKUP($A21,Equipment!$A$2:$AH1001,MATCH("Slot",Equipment!$A$1:$AH$1,0),FALSE),"")</f>
        <v>Hand</v>
      </c>
      <c r="E21" s="20">
        <f>IFERROR(VLOOKUP($A21,Equipment!$A$2:$AH1001,MATCH("LevelReq",Equipment!$A$1:$AH$1,0),FALSE),"")</f>
        <v>20</v>
      </c>
      <c r="F21" s="18" t="str">
        <f>IFERROR(VLOOKUP($A21,Equipconvrt!$A$2:$AH1001,MATCH("Abilities",Equipconvrt!$A$1:$AH$1,0),FALSE),"")</f>
        <v>DMG: +500, Fire DMG: +500 ++Inflicts Burn 500</v>
      </c>
      <c r="G21" s="20">
        <f>IFERROR(VLOOKUP($A21,Equipment!$A$2:$AD1001,MATCH("Price",Equipment!$A$1:$AH$1,0),FALSE),"")</f>
        <v>10000</v>
      </c>
      <c r="H21" s="4" t="b">
        <v>0</v>
      </c>
      <c r="I21" s="1" t="str">
        <f>IFERROR(VLOOKUP($A21,Equipment!$A$2:$AH1001,MATCH("EquipLoc",Equipment!$A$1:$AH$1,0),FALSE),"")</f>
        <v>Land of Spira</v>
      </c>
      <c r="L21" s="1" t="str">
        <f>IFERROR(__xludf.DUMMYFUNCTION("""COMPUTED_VALUE"""),"Goblet of Greed")</f>
        <v>Goblet of Greed</v>
      </c>
      <c r="W21" s="1"/>
      <c r="X21" s="1" t="str">
        <f t="shared" si="1"/>
        <v/>
      </c>
    </row>
    <row r="22">
      <c r="A22" s="1" t="s">
        <v>528</v>
      </c>
      <c r="B22" s="18" t="str">
        <f>IFERROR(VLOOKUP($A22,Equipment!$A$2:$AH1001,MATCH("Description",Equipment!$A$1:$AH$1,0),FALSE),"")</f>
        <v/>
      </c>
      <c r="C22" s="18" t="str">
        <f>IFERROR(VLOOKUP($A22,Equipment!$A$2:$AH1001,MATCH("Type",Equipment!$A$1:$AH$1,0),FALSE),"")</f>
        <v>Spear</v>
      </c>
      <c r="D22" s="18" t="str">
        <f>IFERROR(VLOOKUP($A22,Equipment!$A$2:$AH1001,MATCH("Slot",Equipment!$A$1:$AH$1,0),FALSE),"")</f>
        <v>Hand</v>
      </c>
      <c r="E22" s="20">
        <f>IFERROR(VLOOKUP($A22,Equipment!$A$2:$AH1001,MATCH("LevelReq",Equipment!$A$1:$AH$1,0),FALSE),"")</f>
        <v>60</v>
      </c>
      <c r="F22" s="18" t="str">
        <f>IFERROR(VLOOKUP($A22,Equipconvrt!$A$2:$AH1001,MATCH("Abilities",Equipconvrt!$A$1:$AH$1,0),FALSE),"")</f>
        <v>DMG: +1000, Nature DMG: +1000, Blood DMG: +1000 ++When striking an enemy with this weapon, they X2 additional Nature damage.</v>
      </c>
      <c r="G22" s="20">
        <f>IFERROR(VLOOKUP($A22,Equipment!$A$2:$AD1001,MATCH("Price",Equipment!$A$1:$AH$1,0),FALSE),"")</f>
        <v>150000</v>
      </c>
      <c r="H22" s="4" t="b">
        <v>0</v>
      </c>
      <c r="I22" s="1" t="str">
        <f>IFERROR(VLOOKUP($A22,Equipment!$A$2:$AH1001,MATCH("EquipLoc",Equipment!$A$1:$AH$1,0),FALSE),"")</f>
        <v>Land of Spira</v>
      </c>
      <c r="L22" s="1" t="str">
        <f>IFERROR(__xludf.DUMMYFUNCTION("""COMPUTED_VALUE"""),"Holy Symbol")</f>
        <v>Holy Symbol</v>
      </c>
      <c r="W22" s="1" t="str">
        <f>IFERROR(__xludf.DUMMYFUNCTION("""COMPUTED_VALUE"""),"Armor Of Zeldron")</f>
        <v>Armor Of Zeldron</v>
      </c>
      <c r="X22" s="1" t="str">
        <f t="shared" si="1"/>
        <v/>
      </c>
    </row>
    <row r="23">
      <c r="A23" s="1" t="s">
        <v>529</v>
      </c>
      <c r="B23" s="18" t="str">
        <f>IFERROR(VLOOKUP($A23,Equipment!$A$2:$AH1001,MATCH("Description",Equipment!$A$1:$AH$1,0),FALSE),"")</f>
        <v/>
      </c>
      <c r="C23" s="18" t="str">
        <f>IFERROR(VLOOKUP($A23,Equipment!$A$2:$AH1001,MATCH("Type",Equipment!$A$1:$AH$1,0),FALSE),"")</f>
        <v/>
      </c>
      <c r="D23" s="18" t="str">
        <f>IFERROR(VLOOKUP($A23,Equipment!$A$2:$AH1001,MATCH("Slot",Equipment!$A$1:$AH$1,0),FALSE),"")</f>
        <v>Neck</v>
      </c>
      <c r="E23" s="20">
        <f>IFERROR(VLOOKUP($A23,Equipment!$A$2:$AH1001,MATCH("LevelReq",Equipment!$A$1:$AH$1,0),FALSE),"")</f>
        <v>1</v>
      </c>
      <c r="F23" s="18" t="str">
        <f>IFERROR(VLOOKUP($A23,Equipconvrt!$A$2:$AH1001,MATCH("Abilities",Equipconvrt!$A$1:$AH$1,0),FALSE),"")</f>
        <v> ++Restores 100 HP and SP per round during battle.</v>
      </c>
      <c r="G23" s="20">
        <f>IFERROR(VLOOKUP($A23,Equipment!$A$2:$AD1001,MATCH("Price",Equipment!$A$1:$AH$1,0),FALSE),"")</f>
        <v>0</v>
      </c>
      <c r="H23" s="4" t="b">
        <v>0</v>
      </c>
      <c r="I23" s="1" t="str">
        <f>IFERROR(VLOOKUP($A23,Equipment!$A$2:$AH1001,MATCH("EquipLoc",Equipment!$A$1:$AH$1,0),FALSE),"")</f>
        <v>Land of Spira</v>
      </c>
      <c r="L23" s="1" t="str">
        <f>IFERROR(__xludf.DUMMYFUNCTION("""COMPUTED_VALUE"""),"Mysterious Merchant's Scythe")</f>
        <v>Mysterious Merchant's Scythe</v>
      </c>
      <c r="W23" s="1" t="str">
        <f>IFERROR(__xludf.DUMMYFUNCTION("""COMPUTED_VALUE"""),"Ashen Pole Axe")</f>
        <v>Ashen Pole Axe</v>
      </c>
      <c r="X23" s="1" t="str">
        <f t="shared" si="1"/>
        <v/>
      </c>
    </row>
    <row r="24">
      <c r="A24" s="1" t="s">
        <v>530</v>
      </c>
      <c r="B24" s="18" t="str">
        <f>IFERROR(VLOOKUP($A24,Equipment!$A$2:$AH1001,MATCH("Description",Equipment!$A$1:$AH$1,0),FALSE),"")</f>
        <v/>
      </c>
      <c r="C24" s="18" t="str">
        <f>IFERROR(VLOOKUP($A24,Equipment!$A$2:$AH1001,MATCH("Type",Equipment!$A$1:$AH$1,0),FALSE),"")</f>
        <v>Firearm</v>
      </c>
      <c r="D24" s="18" t="str">
        <f>IFERROR(VLOOKUP($A24,Equipment!$A$2:$AH1001,MATCH("Slot",Equipment!$A$1:$AH$1,0),FALSE),"")</f>
        <v>BoatGun</v>
      </c>
      <c r="E24" s="20">
        <f>IFERROR(VLOOKUP($A24,Equipment!$A$2:$AH1001,MATCH("LevelReq",Equipment!$A$1:$AH$1,0),FALSE),"")</f>
        <v>400</v>
      </c>
      <c r="F24" s="18" t="str">
        <f>IFERROR(VLOOKUP($A24,Equipconvrt!$A$2:$AH1001,MATCH("Abilities",Equipconvrt!$A$1:$AH$1,0),FALSE),"")</f>
        <v>DMG: +20000</v>
      </c>
      <c r="G24" s="20">
        <f>IFERROR(VLOOKUP($A24,Equipment!$A$2:$AD1001,MATCH("Price",Equipment!$A$1:$AH$1,0),FALSE),"")</f>
        <v>7800000</v>
      </c>
      <c r="H24" s="4" t="b">
        <v>0</v>
      </c>
      <c r="I24" s="1" t="str">
        <f>IFERROR(VLOOKUP($A24,Equipment!$A$2:$AH1001,MATCH("EquipLoc",Equipment!$A$1:$AH$1,0),FALSE),"")</f>
        <v>Land of Spira</v>
      </c>
      <c r="L24" s="1" t="str">
        <f>IFERROR(__xludf.DUMMYFUNCTION("""COMPUTED_VALUE"""),"Cursed Saya")</f>
        <v>Cursed Saya</v>
      </c>
      <c r="W24" s="1" t="str">
        <f>IFERROR(__xludf.DUMMYFUNCTION("""COMPUTED_VALUE"""),"Bamboo Spear")</f>
        <v>Bamboo Spear</v>
      </c>
      <c r="X24" s="1" t="str">
        <f t="shared" si="1"/>
        <v/>
      </c>
    </row>
    <row r="25">
      <c r="A25" s="1" t="s">
        <v>531</v>
      </c>
      <c r="B25" s="18" t="str">
        <f>IFERROR(VLOOKUP($A25,Equipment!$A$2:$AH1001,MATCH("Description",Equipment!$A$1:$AH$1,0),FALSE),"")</f>
        <v/>
      </c>
      <c r="C25" s="18" t="str">
        <f>IFERROR(VLOOKUP($A25,Equipment!$A$2:$AH1001,MATCH("Type",Equipment!$A$1:$AH$1,0),FALSE),"")</f>
        <v/>
      </c>
      <c r="D25" s="18" t="str">
        <f>IFERROR(VLOOKUP($A25,Equipment!$A$2:$AH1001,MATCH("Slot",Equipment!$A$1:$AH$1,0),FALSE),"")</f>
        <v>Head</v>
      </c>
      <c r="E25" s="20">
        <f>IFERROR(VLOOKUP($A25,Equipment!$A$2:$AH1001,MATCH("LevelReq",Equipment!$A$1:$AH$1,0),FALSE),"")</f>
        <v>1</v>
      </c>
      <c r="F25" s="18" t="str">
        <f>IFERROR(VLOOKUP($A25,Equipconvrt!$A$2:$AH1001,MATCH("Abilities",Equipconvrt!$A$1:$AH$1,0),FALSE),"")</f>
        <v> ++Grants immunity to Nature.</v>
      </c>
      <c r="G25" s="20">
        <f>IFERROR(VLOOKUP($A25,Equipment!$A$2:$AD1001,MATCH("Price",Equipment!$A$1:$AH$1,0),FALSE),"")</f>
        <v>0</v>
      </c>
      <c r="H25" s="4" t="b">
        <v>0</v>
      </c>
      <c r="I25" s="1" t="str">
        <f>IFERROR(VLOOKUP($A25,Equipment!$A$2:$AH1001,MATCH("EquipLoc",Equipment!$A$1:$AH$1,0),FALSE),"")</f>
        <v>Land of Spira</v>
      </c>
      <c r="L25" s="1" t="str">
        <f>IFERROR(__xludf.DUMMYFUNCTION("""COMPUTED_VALUE"""),"Shamanic Staff")</f>
        <v>Shamanic Staff</v>
      </c>
      <c r="W25" s="1" t="str">
        <f>IFERROR(__xludf.DUMMYFUNCTION("""COMPUTED_VALUE"""),"Baosheng’s Restore Pendant")</f>
        <v>Baosheng’s Restore Pendant</v>
      </c>
      <c r="X25" s="1" t="str">
        <f t="shared" si="1"/>
        <v/>
      </c>
    </row>
    <row r="26">
      <c r="A26" s="1" t="s">
        <v>532</v>
      </c>
      <c r="B26" s="18" t="str">
        <f>IFERROR(VLOOKUP($A26,Equipment!$A$2:$AH1001,MATCH("Description",Equipment!$A$1:$AH$1,0),FALSE),"")</f>
        <v/>
      </c>
      <c r="C26" s="18" t="str">
        <f>IFERROR(VLOOKUP($A26,Equipment!$A$2:$AH1001,MATCH("Type",Equipment!$A$1:$AH$1,0),FALSE),"")</f>
        <v/>
      </c>
      <c r="D26" s="18" t="str">
        <f>IFERROR(VLOOKUP($A26,Equipment!$A$2:$AH1001,MATCH("Slot",Equipment!$A$1:$AH$1,0),FALSE),"")</f>
        <v>Hand</v>
      </c>
      <c r="E26" s="20">
        <f>IFERROR(VLOOKUP($A26,Equipment!$A$2:$AH1001,MATCH("LevelReq",Equipment!$A$1:$AH$1,0),FALSE),"")</f>
        <v>3000</v>
      </c>
      <c r="F26" s="18" t="str">
        <f>IFERROR(VLOOKUP($A26,Equipconvrt!$A$2:$AH1001,MATCH("Abilities",Equipconvrt!$A$1:$AH$1,0),FALSE),"")</f>
        <v>DMG: +125000, Dark DMG: +25000 ++Allows you to use another party members companion on your turn as a second action.</v>
      </c>
      <c r="G26" s="20">
        <f>IFERROR(VLOOKUP($A26,Equipment!$A$2:$AD1001,MATCH("Price",Equipment!$A$1:$AH$1,0),FALSE),"")</f>
        <v>448500000</v>
      </c>
      <c r="H26" s="4" t="b">
        <v>0</v>
      </c>
      <c r="I26" s="1" t="str">
        <f>IFERROR(VLOOKUP($A26,Equipment!$A$2:$AH1001,MATCH("EquipLoc",Equipment!$A$1:$AH$1,0),FALSE),"")</f>
        <v>Abstara</v>
      </c>
      <c r="L26" s="1" t="str">
        <f>IFERROR(__xludf.DUMMYFUNCTION("""COMPUTED_VALUE"""),"Rune Necklace")</f>
        <v>Rune Necklace</v>
      </c>
      <c r="W26" s="1" t="str">
        <f>IFERROR(__xludf.DUMMYFUNCTION("""COMPUTED_VALUE"""),"Basic Cannon")</f>
        <v>Basic Cannon</v>
      </c>
      <c r="X26" s="1" t="str">
        <f t="shared" si="1"/>
        <v/>
      </c>
    </row>
    <row r="27">
      <c r="A27" s="1" t="s">
        <v>533</v>
      </c>
      <c r="B27" s="18" t="str">
        <f>IFERROR(VLOOKUP($A27,Equipment!$A$2:$AH1001,MATCH("Description",Equipment!$A$1:$AH$1,0),FALSE),"")</f>
        <v/>
      </c>
      <c r="C27" s="18" t="str">
        <f>IFERROR(VLOOKUP($A27,Equipment!$A$2:$AH1001,MATCH("Type",Equipment!$A$1:$AH$1,0),FALSE),"")</f>
        <v/>
      </c>
      <c r="D27" s="18" t="str">
        <f>IFERROR(VLOOKUP($A27,Equipment!$A$2:$AH1001,MATCH("Slot",Equipment!$A$1:$AH$1,0),FALSE),"")</f>
        <v>Neck</v>
      </c>
      <c r="E27" s="20">
        <f>IFERROR(VLOOKUP($A27,Equipment!$A$2:$AH1001,MATCH("LevelReq",Equipment!$A$1:$AH$1,0),FALSE),"")</f>
        <v>1</v>
      </c>
      <c r="F27" s="18" t="str">
        <f>IFERROR(VLOOKUP($A27,Equipconvrt!$A$2:$AH1001,MATCH("Abilities",Equipconvrt!$A$1:$AH$1,0),FALSE),"")</f>
        <v> ++Plus 2 is added to whatever number you roll on a d20 ++can only wear one, +-Cannot be forged or duplicated.</v>
      </c>
      <c r="G27" s="20">
        <f>IFERROR(VLOOKUP($A27,Equipment!$A$2:$AD1001,MATCH("Price",Equipment!$A$1:$AH$1,0),FALSE),"")</f>
        <v>0</v>
      </c>
      <c r="H27" s="4" t="b">
        <v>0</v>
      </c>
      <c r="I27" s="1" t="str">
        <f>IFERROR(VLOOKUP($A27,Equipment!$A$2:$AH1001,MATCH("EquipLoc",Equipment!$A$1:$AH$1,0),FALSE),"")</f>
        <v>Land of Spira</v>
      </c>
      <c r="L27" s="1" t="str">
        <f>IFERROR(__xludf.DUMMYFUNCTION("""COMPUTED_VALUE"""),"Spell Sponge")</f>
        <v>Spell Sponge</v>
      </c>
      <c r="W27" s="1" t="str">
        <f>IFERROR(__xludf.DUMMYFUNCTION("""COMPUTED_VALUE"""),"Beltane Floral crown")</f>
        <v>Beltane Floral crown</v>
      </c>
      <c r="X27" s="1" t="str">
        <f t="shared" si="1"/>
        <v/>
      </c>
    </row>
    <row r="28">
      <c r="A28" s="4" t="s">
        <v>534</v>
      </c>
      <c r="B28" s="18" t="str">
        <f>IFERROR(VLOOKUP($A28,Equipment!$A$2:$AH1001,MATCH("Description",Equipment!$A$1:$AH$1,0),FALSE),"")</f>
        <v/>
      </c>
      <c r="C28" s="18" t="str">
        <f>IFERROR(VLOOKUP($A28,Equipment!$A$2:$AH1001,MATCH("Type",Equipment!$A$1:$AH$1,0),FALSE),"")</f>
        <v/>
      </c>
      <c r="D28" s="18" t="str">
        <f>IFERROR(VLOOKUP($A28,Equipment!$A$2:$AH1001,MATCH("Slot",Equipment!$A$1:$AH$1,0),FALSE),"")</f>
        <v>Neck</v>
      </c>
      <c r="E28" s="20">
        <f>IFERROR(VLOOKUP($A28,Equipment!$A$2:$AH1001,MATCH("LevelReq",Equipment!$A$1:$AH$1,0),FALSE),"")</f>
        <v>1</v>
      </c>
      <c r="F28" s="18" t="str">
        <f>IFERROR(VLOOKUP($A28,Equipconvrt!$A$2:$AH1001,MATCH("Abilities",Equipconvrt!$A$1:$AH$1,0),FALSE),"")</f>
        <v> ++Immunity to dark and water damage. ++X2 additional dark and water damage for the wearer.</v>
      </c>
      <c r="G28" s="20">
        <f>IFERROR(VLOOKUP($A28,Equipment!$A$2:$AD1001,MATCH("Price",Equipment!$A$1:$AH$1,0),FALSE),"")</f>
        <v>0</v>
      </c>
      <c r="H28" s="4" t="b">
        <v>0</v>
      </c>
      <c r="I28" s="1" t="str">
        <f>IFERROR(VLOOKUP($A28,Equipment!$A$2:$AH1001,MATCH("EquipLoc",Equipment!$A$1:$AH$1,0),FALSE),"")</f>
        <v>Abstara</v>
      </c>
      <c r="L28" s="1" t="str">
        <f>IFERROR(__xludf.DUMMYFUNCTION("""COMPUTED_VALUE"""),"Viking's Warpaint")</f>
        <v>Viking's Warpaint</v>
      </c>
      <c r="W28" s="1" t="str">
        <f>IFERROR(__xludf.DUMMYFUNCTION("""COMPUTED_VALUE"""),"Beta Sword")</f>
        <v>Beta Sword</v>
      </c>
      <c r="X28" s="1" t="str">
        <f t="shared" si="1"/>
        <v/>
      </c>
    </row>
    <row r="29">
      <c r="A29" s="1" t="s">
        <v>535</v>
      </c>
      <c r="B29" s="18" t="str">
        <f>IFERROR(VLOOKUP($A29,Equipment!$A$2:$AH1001,MATCH("Description",Equipment!$A$1:$AH$1,0),FALSE),"")</f>
        <v/>
      </c>
      <c r="C29" s="18" t="str">
        <f>IFERROR(VLOOKUP($A29,Equipment!$A$2:$AH1001,MATCH("Type",Equipment!$A$1:$AH$1,0),FALSE),"")</f>
        <v>Sword</v>
      </c>
      <c r="D29" s="18" t="str">
        <f>IFERROR(VLOOKUP($A29,Equipment!$A$2:$AH1001,MATCH("Slot",Equipment!$A$1:$AH$1,0),FALSE),"")</f>
        <v>Hand</v>
      </c>
      <c r="E29" s="20">
        <f>IFERROR(VLOOKUP($A29,Equipment!$A$2:$AH1001,MATCH("LevelReq",Equipment!$A$1:$AH$1,0),FALSE),"")</f>
        <v>400</v>
      </c>
      <c r="F29" s="18" t="str">
        <f>IFERROR(VLOOKUP($A29,Equipconvrt!$A$2:$AH1001,MATCH("Abilities",Equipconvrt!$A$1:$AH$1,0),FALSE),"")</f>
        <v>DMG: +10000, Fire DMG: +10000 ++Burn 5000</v>
      </c>
      <c r="G29" s="20">
        <f>IFERROR(VLOOKUP($A29,Equipment!$A$2:$AD1001,MATCH("Price",Equipment!$A$1:$AH$1,0),FALSE),"")</f>
        <v>7800000</v>
      </c>
      <c r="H29" s="4" t="b">
        <v>0</v>
      </c>
      <c r="I29" s="1" t="str">
        <f>IFERROR(VLOOKUP($A29,Equipment!$A$2:$AH1001,MATCH("EquipLoc",Equipment!$A$1:$AH$1,0),FALSE),"")</f>
        <v>Land of Spira</v>
      </c>
      <c r="L29" s="1" t="str">
        <f>IFERROR(__xludf.DUMMYFUNCTION("""COMPUTED_VALUE"""),"Speed Shoes")</f>
        <v>Speed Shoes</v>
      </c>
      <c r="W29" s="1" t="str">
        <f>IFERROR(__xludf.DUMMYFUNCTION("""COMPUTED_VALUE"""),"Black Crystal Necklace of Luck")</f>
        <v>Black Crystal Necklace of Luck</v>
      </c>
      <c r="X29" s="1" t="str">
        <f t="shared" si="1"/>
        <v/>
      </c>
    </row>
    <row r="30">
      <c r="A30" s="1" t="s">
        <v>536</v>
      </c>
      <c r="B30" s="18" t="str">
        <f>IFERROR(VLOOKUP($A30,Equipment!$A$2:$AH1001,MATCH("Description",Equipment!$A$1:$AH$1,0),FALSE),"")</f>
        <v/>
      </c>
      <c r="C30" s="18" t="str">
        <f>IFERROR(VLOOKUP($A30,Equipment!$A$2:$AH1001,MATCH("Type",Equipment!$A$1:$AH$1,0),FALSE),"")</f>
        <v>Sword</v>
      </c>
      <c r="D30" s="18" t="str">
        <f>IFERROR(VLOOKUP($A30,Equipment!$A$2:$AH1001,MATCH("Slot",Equipment!$A$1:$AH$1,0),FALSE),"")</f>
        <v>Hand</v>
      </c>
      <c r="E30" s="20">
        <f>IFERROR(VLOOKUP($A30,Equipment!$A$2:$AH1001,MATCH("LevelReq",Equipment!$A$1:$AH$1,0),FALSE),"")</f>
        <v>400</v>
      </c>
      <c r="F30" s="18" t="str">
        <f>IFERROR(VLOOKUP($A30,Equipconvrt!$A$2:$AH1001,MATCH("Abilities",Equipconvrt!$A$1:$AH$1,0),FALSE),"")</f>
        <v>DMG: +10000, Blood DMG: +10000 ++X2 blood damage for spells and weapons. +-Cannot be duplicated.</v>
      </c>
      <c r="G30" s="20">
        <f>IFERROR(VLOOKUP($A30,Equipment!$A$2:$AD1001,MATCH("Price",Equipment!$A$1:$AH$1,0),FALSE),"")</f>
        <v>7800000</v>
      </c>
      <c r="H30" s="4" t="b">
        <v>0</v>
      </c>
      <c r="I30" s="1" t="str">
        <f>IFERROR(VLOOKUP($A30,Equipment!$A$2:$AH1001,MATCH("EquipLoc",Equipment!$A$1:$AH$1,0),FALSE),"")</f>
        <v>Land of Spira</v>
      </c>
      <c r="L30" s="1" t="str">
        <f>IFERROR(__xludf.DUMMYFUNCTION("""COMPUTED_VALUE"""),"Book of Hexes")</f>
        <v>Book of Hexes</v>
      </c>
      <c r="W30" s="1" t="str">
        <f>IFERROR(__xludf.DUMMYFUNCTION("""COMPUTED_VALUE"""),"Black Serpent Dragon Pendant")</f>
        <v>Black Serpent Dragon Pendant</v>
      </c>
      <c r="X30" s="1" t="str">
        <f t="shared" si="1"/>
        <v/>
      </c>
    </row>
    <row r="31">
      <c r="A31" s="1" t="s">
        <v>537</v>
      </c>
      <c r="B31" s="18" t="str">
        <f>IFERROR(VLOOKUP($A31,Equipment!$A$2:$AH1001,MATCH("Description",Equipment!$A$1:$AH$1,0),FALSE),"")</f>
        <v/>
      </c>
      <c r="C31" s="18" t="str">
        <f>IFERROR(VLOOKUP($A31,Equipment!$A$2:$AH1001,MATCH("Type",Equipment!$A$1:$AH$1,0),FALSE),"")</f>
        <v>Sword</v>
      </c>
      <c r="D31" s="18" t="str">
        <f>IFERROR(VLOOKUP($A31,Equipment!$A$2:$AH1001,MATCH("Slot",Equipment!$A$1:$AH$1,0),FALSE),"")</f>
        <v>Hand</v>
      </c>
      <c r="E31" s="20">
        <f>IFERROR(VLOOKUP($A31,Equipment!$A$2:$AH1001,MATCH("LevelReq",Equipment!$A$1:$AH$1,0),FALSE),"")</f>
        <v>40</v>
      </c>
      <c r="F31" s="18" t="str">
        <f>IFERROR(VLOOKUP($A31,Equipconvrt!$A$2:$AH1001,MATCH("Abilities",Equipconvrt!$A$1:$AH$1,0),FALSE),"")</f>
        <v>DMG: +1000, Water DMG: +1000</v>
      </c>
      <c r="G31" s="20">
        <f>IFERROR(VLOOKUP($A31,Equipment!$A$2:$AD1001,MATCH("Price",Equipment!$A$1:$AH$1,0),FALSE),"")</f>
        <v>60000</v>
      </c>
      <c r="H31" s="4" t="b">
        <v>0</v>
      </c>
      <c r="I31" s="1" t="str">
        <f>IFERROR(VLOOKUP($A31,Equipment!$A$2:$AH1001,MATCH("EquipLoc",Equipment!$A$1:$AH$1,0),FALSE),"")</f>
        <v>Land of Spira</v>
      </c>
      <c r="L31" s="1" t="str">
        <f>IFERROR(__xludf.DUMMYFUNCTION("""COMPUTED_VALUE"""),"Ring of Boring")</f>
        <v>Ring of Boring</v>
      </c>
      <c r="W31" s="1" t="str">
        <f>IFERROR(__xludf.DUMMYFUNCTION("""COMPUTED_VALUE"""),"Blade of Burning Energy")</f>
        <v>Blade of Burning Energy</v>
      </c>
      <c r="X31" s="1" t="str">
        <f t="shared" si="1"/>
        <v/>
      </c>
    </row>
    <row r="32">
      <c r="A32" s="1" t="s">
        <v>538</v>
      </c>
      <c r="B32" s="18" t="str">
        <f>IFERROR(VLOOKUP($A32,Equipment!$A$2:$AH1001,MATCH("Description",Equipment!$A$1:$AH$1,0),FALSE),"")</f>
        <v>The feast enjoyed on the first Thanksgiving didn’t hunt itself! The Pilgrims had to forage and hunt before setting the table. You can count on the Blunderbuss to help you when times are rough.</v>
      </c>
      <c r="C32" s="18" t="str">
        <f>IFERROR(VLOOKUP($A32,Equipment!$A$2:$AH1001,MATCH("Type",Equipment!$A$1:$AH$1,0),FALSE),"")</f>
        <v>Firearm</v>
      </c>
      <c r="D32" s="18" t="str">
        <f>IFERROR(VLOOKUP($A32,Equipment!$A$2:$AH1001,MATCH("Slot",Equipment!$A$1:$AH$1,0),FALSE),"")</f>
        <v>Hand</v>
      </c>
      <c r="E32" s="20">
        <f>IFERROR(VLOOKUP($A32,Equipment!$A$2:$AH1001,MATCH("LevelReq",Equipment!$A$1:$AH$1,0),FALSE),"")</f>
        <v>200</v>
      </c>
      <c r="F32" s="18" t="str">
        <f>IFERROR(VLOOKUP($A32,Equipconvrt!$A$2:$AH1001,MATCH("Abilities",Equipconvrt!$A$1:$AH$1,0),FALSE),"")</f>
        <v>: +50000, Celestial : +50000 ++This weapon will deal x4 damage if you are using the turkey hydra companion. +-You must take a turn to reload this weapon after using it.</v>
      </c>
      <c r="G32" s="20">
        <f>IFERROR(VLOOKUP($A32,Equipment!$A$2:$AD1001,MATCH("Price",Equipment!$A$1:$AH$1,0),FALSE),"")</f>
        <v>199000000</v>
      </c>
      <c r="H32" s="4" t="b">
        <v>1</v>
      </c>
      <c r="I32" s="1" t="str">
        <f>IFERROR(VLOOKUP($A32,Equipment!$A$2:$AH1001,MATCH("EquipLoc",Equipment!$A$1:$AH$1,0),FALSE),"")</f>
        <v>Land of Spira</v>
      </c>
      <c r="L32" s="1" t="str">
        <f>IFERROR(__xludf.DUMMYFUNCTION("""COMPUTED_VALUE"""),"Frozen Spearman's High-Low Dress")</f>
        <v>Frozen Spearman's High-Low Dress</v>
      </c>
      <c r="W32" s="1" t="str">
        <f>IFERROR(__xludf.DUMMYFUNCTION("""COMPUTED_VALUE"""),"Blood Katana")</f>
        <v>Blood Katana</v>
      </c>
      <c r="X32" s="1" t="str">
        <f t="shared" si="1"/>
        <v/>
      </c>
    </row>
    <row r="33">
      <c r="A33" s="1" t="s">
        <v>539</v>
      </c>
      <c r="B33" s="18" t="str">
        <f>IFERROR(VLOOKUP($A33,Equipment!$A$2:$AH1001,MATCH("Description",Equipment!$A$1:$AH$1,0),FALSE),"")</f>
        <v/>
      </c>
      <c r="C33" s="18" t="str">
        <f>IFERROR(VLOOKUP($A33,Equipment!$A$2:$AH1001,MATCH("Type",Equipment!$A$1:$AH$1,0),FALSE),"")</f>
        <v>Sword</v>
      </c>
      <c r="D33" s="18" t="str">
        <f>IFERROR(VLOOKUP($A33,Equipment!$A$2:$AH1001,MATCH("Slot",Equipment!$A$1:$AH$1,0),FALSE),"")</f>
        <v>Hand</v>
      </c>
      <c r="E33" s="20">
        <f>IFERROR(VLOOKUP($A33,Equipment!$A$2:$AH1001,MATCH("LevelReq",Equipment!$A$1:$AH$1,0),FALSE),"")</f>
        <v>300</v>
      </c>
      <c r="F33" s="18" t="str">
        <f>IFERROR(VLOOKUP($A33,Equipconvrt!$A$2:$AH1001,MATCH("Abilities",Equipconvrt!$A$1:$AH$1,0),FALSE),"")</f>
        <v>DMG: +5000, Earth DMG: +5000, Dark DMG: +5000 ++X2 Earth damage. </v>
      </c>
      <c r="G33" s="20">
        <f>IFERROR(VLOOKUP($A33,Equipment!$A$2:$AD1001,MATCH("Price",Equipment!$A$1:$AH$1,0),FALSE),"")</f>
        <v>4350000</v>
      </c>
      <c r="H33" s="4" t="b">
        <v>0</v>
      </c>
      <c r="I33" s="1" t="str">
        <f>IFERROR(VLOOKUP($A33,Equipment!$A$2:$AH1001,MATCH("EquipLoc",Equipment!$A$1:$AH$1,0),FALSE),"")</f>
        <v>Land of Spira</v>
      </c>
      <c r="L33" s="1" t="str">
        <f>IFERROR(__xludf.DUMMYFUNCTION("""COMPUTED_VALUE"""),"Frozen Spearman's Jhodpur's")</f>
        <v>Frozen Spearman's Jhodpur's</v>
      </c>
      <c r="W33" s="1" t="str">
        <f>IFERROR(__xludf.DUMMYFUNCTION("""COMPUTED_VALUE"""),"Blue Steel Sword")</f>
        <v>Blue Steel Sword</v>
      </c>
      <c r="X33" s="1" t="str">
        <f t="shared" si="1"/>
        <v/>
      </c>
    </row>
    <row r="34">
      <c r="A34" s="1" t="s">
        <v>540</v>
      </c>
      <c r="B34" s="18" t="str">
        <f>IFERROR(VLOOKUP($A34,Equipment!$A$2:$AH1001,MATCH("Description",Equipment!$A$1:$AH$1,0),FALSE),"")</f>
        <v/>
      </c>
      <c r="C34" s="18" t="str">
        <f>IFERROR(VLOOKUP($A34,Equipment!$A$2:$AH1001,MATCH("Type",Equipment!$A$1:$AH$1,0),FALSE),"")</f>
        <v/>
      </c>
      <c r="D34" s="18" t="str">
        <f>IFERROR(VLOOKUP($A34,Equipment!$A$2:$AH1001,MATCH("Slot",Equipment!$A$1:$AH$1,0),FALSE),"")</f>
        <v>Feet</v>
      </c>
      <c r="E34" s="20">
        <f>IFERROR(VLOOKUP($A34,Equipment!$A$2:$AH1001,MATCH("LevelReq",Equipment!$A$1:$AH$1,0),FALSE),"")</f>
        <v>200</v>
      </c>
      <c r="F34" s="18" t="str">
        <f>IFERROR(VLOOKUP($A34,Equipconvrt!$A$2:$AH1001,MATCH("Abilities",Equipconvrt!$A$1:$AH$1,0),FALSE),"")</f>
        <v>DEF: +5000, Water DEF: +5000 ++X4 additional water damage for self.</v>
      </c>
      <c r="G34" s="20">
        <f>IFERROR(VLOOKUP($A34,Equipment!$A$2:$AD1001,MATCH("Price",Equipment!$A$1:$AH$1,0),FALSE),"")</f>
        <v>1900000</v>
      </c>
      <c r="H34" s="4" t="b">
        <v>0</v>
      </c>
      <c r="I34" s="1" t="str">
        <f>IFERROR(VLOOKUP($A34,Equipment!$A$2:$AH1001,MATCH("EquipLoc",Equipment!$A$1:$AH$1,0),FALSE),"")</f>
        <v>Land of Spira</v>
      </c>
      <c r="L34" s="1" t="str">
        <f>IFERROR(__xludf.DUMMYFUNCTION("""COMPUTED_VALUE"""),"Frozen Spearman's Fur Boots")</f>
        <v>Frozen Spearman's Fur Boots</v>
      </c>
      <c r="W34" s="1" t="str">
        <f>IFERROR(__xludf.DUMMYFUNCTION("""COMPUTED_VALUE"""),"Blunderbuss (Exclusive)")</f>
        <v>Blunderbuss (Exclusive)</v>
      </c>
      <c r="X34" s="1" t="str">
        <f t="shared" si="1"/>
        <v/>
      </c>
    </row>
    <row r="35">
      <c r="A35" s="1" t="s">
        <v>541</v>
      </c>
      <c r="B35" s="18" t="str">
        <f>IFERROR(VLOOKUP($A35,Equipment!$A$2:$AH1001,MATCH("Description",Equipment!$A$1:$AH$1,0),FALSE),"")</f>
        <v/>
      </c>
      <c r="C35" s="18" t="str">
        <f>IFERROR(VLOOKUP($A35,Equipment!$A$2:$AH1001,MATCH("Type",Equipment!$A$1:$AH$1,0),FALSE),"")</f>
        <v>Bow</v>
      </c>
      <c r="D35" s="18" t="str">
        <f>IFERROR(VLOOKUP($A35,Equipment!$A$2:$AH1001,MATCH("Slot",Equipment!$A$1:$AH$1,0),FALSE),"")</f>
        <v>Hand</v>
      </c>
      <c r="E35" s="20">
        <f>IFERROR(VLOOKUP($A35,Equipment!$A$2:$AH1001,MATCH("LevelReq",Equipment!$A$1:$AH$1,0),FALSE),"")</f>
        <v>4400</v>
      </c>
      <c r="F35" s="18" t="str">
        <f>IFERROR(VLOOKUP($A35,Equipconvrt!$A$2:$AH1001,MATCH("Abilities",Equipconvrt!$A$1:$AH$1,0),FALSE),"")</f>
        <v>DMG: +140000, Dark DMG: +40000, Chaos DMG: +40000 ++You may use up to 4 arrows with this bow.</v>
      </c>
      <c r="G35" s="20">
        <f>IFERROR(VLOOKUP($A35,Equipment!$A$2:$AD1001,MATCH("Price",Equipment!$A$1:$AH$1,0),FALSE),"")</f>
        <v>965800000</v>
      </c>
      <c r="H35" s="4" t="b">
        <v>0</v>
      </c>
      <c r="I35" s="1" t="str">
        <f>IFERROR(VLOOKUP($A35,Equipment!$A$2:$AH1001,MATCH("EquipLoc",Equipment!$A$1:$AH$1,0),FALSE),"")</f>
        <v>Abstara</v>
      </c>
      <c r="L35" s="1" t="str">
        <f>IFERROR(__xludf.DUMMYFUNCTION("""COMPUTED_VALUE"""),"Frozen Spearman's Bracers")</f>
        <v>Frozen Spearman's Bracers</v>
      </c>
      <c r="W35" s="1" t="str">
        <f>IFERROR(__xludf.DUMMYFUNCTION("""COMPUTED_VALUE"""),"Bone Sword ")</f>
        <v>Bone Sword </v>
      </c>
      <c r="X35" s="1" t="str">
        <f t="shared" si="1"/>
        <v/>
      </c>
    </row>
    <row r="36">
      <c r="A36" s="1" t="s">
        <v>542</v>
      </c>
      <c r="B36" s="18" t="str">
        <f>IFERROR(VLOOKUP($A36,Equipment!$A$2:$AH1001,MATCH("Description",Equipment!$A$1:$AH$1,0),FALSE),"")</f>
        <v/>
      </c>
      <c r="C36" s="18" t="str">
        <f>IFERROR(VLOOKUP($A36,Equipment!$A$2:$AH1001,MATCH("Type",Equipment!$A$1:$AH$1,0),FALSE),"")</f>
        <v>Bow</v>
      </c>
      <c r="D36" s="18" t="str">
        <f>IFERROR(VLOOKUP($A36,Equipment!$A$2:$AH1001,MATCH("Slot",Equipment!$A$1:$AH$1,0),FALSE),"")</f>
        <v>Hand</v>
      </c>
      <c r="E36" s="20">
        <f>IFERROR(VLOOKUP($A36,Equipment!$A$2:$AH1001,MATCH("LevelReq",Equipment!$A$1:$AH$1,0),FALSE),"")</f>
        <v>3000</v>
      </c>
      <c r="F36" s="18" t="str">
        <f>IFERROR(VLOOKUP($A36,Equipconvrt!$A$2:$AH1001,MATCH("Abilities",Equipconvrt!$A$1:$AH$1,0),FALSE),"")</f>
        <v>DMG: +150000 ++You may add mobility to your attack rolls as long as you are attacking with a bow. +-Cannot be forged</v>
      </c>
      <c r="G36" s="20">
        <f>IFERROR(VLOOKUP($A36,Equipment!$A$2:$AD1001,MATCH("Price",Equipment!$A$1:$AH$1,0),FALSE),"")</f>
        <v>448500000</v>
      </c>
      <c r="H36" s="4" t="b">
        <v>0</v>
      </c>
      <c r="I36" s="1" t="str">
        <f>IFERROR(VLOOKUP($A36,Equipment!$A$2:$AH1001,MATCH("EquipLoc",Equipment!$A$1:$AH$1,0),FALSE),"")</f>
        <v>Abstara</v>
      </c>
      <c r="L36" s="1" t="str">
        <f>IFERROR(__xludf.DUMMYFUNCTION("""COMPUTED_VALUE"""),"Frozen Spearman's Fur Cloak")</f>
        <v>Frozen Spearman's Fur Cloak</v>
      </c>
      <c r="W36" s="1" t="str">
        <f>IFERROR(__xludf.DUMMYFUNCTION("""COMPUTED_VALUE"""),"Boots of Waking Waters")</f>
        <v>Boots of Waking Waters</v>
      </c>
      <c r="X36" s="1" t="str">
        <f t="shared" si="1"/>
        <v/>
      </c>
    </row>
    <row r="37">
      <c r="A37" s="1" t="s">
        <v>543</v>
      </c>
      <c r="B37" s="18" t="str">
        <f>IFERROR(VLOOKUP($A37,Equipment!$A$2:$AH1001,MATCH("Description",Equipment!$A$1:$AH$1,0),FALSE),"")</f>
        <v/>
      </c>
      <c r="C37" s="18" t="str">
        <f>IFERROR(VLOOKUP($A37,Equipment!$A$2:$AH1001,MATCH("Type",Equipment!$A$1:$AH$1,0),FALSE),"")</f>
        <v>Bow</v>
      </c>
      <c r="D37" s="18" t="str">
        <f>IFERROR(VLOOKUP($A37,Equipment!$A$2:$AH1001,MATCH("Slot",Equipment!$A$1:$AH$1,0),FALSE),"")</f>
        <v>Hand</v>
      </c>
      <c r="E37" s="20">
        <f>IFERROR(VLOOKUP($A37,Equipment!$A$2:$AH1001,MATCH("LevelReq",Equipment!$A$1:$AH$1,0),FALSE),"")</f>
        <v>200</v>
      </c>
      <c r="F37" s="18" t="str">
        <f>IFERROR(VLOOKUP($A37,Equipconvrt!$A$2:$AH1001,MATCH("Abilities",Equipconvrt!$A$1:$AH$1,0),FALSE),"")</f>
        <v>DMG: +5000, Nature DMG: +5000 ++Druids Call - X4 additional damage for ranged weapons.</v>
      </c>
      <c r="G37" s="20">
        <f>IFERROR(VLOOKUP($A37,Equipment!$A$2:$AD1001,MATCH("Price",Equipment!$A$1:$AH$1,0),FALSE),"")</f>
        <v>1900000</v>
      </c>
      <c r="H37" s="4" t="b">
        <v>0</v>
      </c>
      <c r="I37" s="1" t="str">
        <f>IFERROR(VLOOKUP($A37,Equipment!$A$2:$AH1001,MATCH("EquipLoc",Equipment!$A$1:$AH$1,0),FALSE),"")</f>
        <v>Land of Spira</v>
      </c>
      <c r="L37" s="1" t="str">
        <f>IFERROR(__xludf.DUMMYFUNCTION("""COMPUTED_VALUE"""),"Frost Mage's Cloak")</f>
        <v>Frost Mage's Cloak</v>
      </c>
      <c r="W37" s="1" t="str">
        <f>IFERROR(__xludf.DUMMYFUNCTION("""COMPUTED_VALUE"""),"Bow of Chaotic Darkness")</f>
        <v>Bow of Chaotic Darkness</v>
      </c>
      <c r="X37" s="1" t="str">
        <f t="shared" si="1"/>
        <v/>
      </c>
    </row>
    <row r="38">
      <c r="A38" s="1" t="s">
        <v>544</v>
      </c>
      <c r="B38" s="18" t="str">
        <f>IFERROR(VLOOKUP($A38,Equipment!$A$2:$AH1001,MATCH("Description",Equipment!$A$1:$AH$1,0),FALSE),"")</f>
        <v/>
      </c>
      <c r="C38" s="18" t="str">
        <f>IFERROR(VLOOKUP($A38,Equipment!$A$2:$AH1001,MATCH("Type",Equipment!$A$1:$AH$1,0),FALSE),"")</f>
        <v>Club</v>
      </c>
      <c r="D38" s="18" t="str">
        <f>IFERROR(VLOOKUP($A38,Equipment!$A$2:$AH1001,MATCH("Slot",Equipment!$A$1:$AH$1,0),FALSE),"")</f>
        <v>Hand</v>
      </c>
      <c r="E38" s="20">
        <f>IFERROR(VLOOKUP($A38,Equipment!$A$2:$AH1001,MATCH("LevelReq",Equipment!$A$1:$AH$1,0),FALSE),"")</f>
        <v>3000</v>
      </c>
      <c r="F38" s="18" t="str">
        <f>IFERROR(VLOOKUP($A38,Equipconvrt!$A$2:$AH1001,MATCH("Abilities",Equipconvrt!$A$1:$AH$1,0),FALSE),"")</f>
        <v>DMG: +100000, Zen DMG: +50000 ++Blindness 2. </v>
      </c>
      <c r="G38" s="20">
        <f>IFERROR(VLOOKUP($A38,Equipment!$A$2:$AD1001,MATCH("Price",Equipment!$A$1:$AH$1,0),FALSE),"")</f>
        <v>448500000</v>
      </c>
      <c r="H38" s="4" t="b">
        <v>0</v>
      </c>
      <c r="I38" s="1" t="str">
        <f>IFERROR(VLOOKUP($A38,Equipment!$A$2:$AH1001,MATCH("EquipLoc",Equipment!$A$1:$AH$1,0),FALSE),"")</f>
        <v>Land of Spira</v>
      </c>
      <c r="L38" s="1" t="str">
        <f>IFERROR(__xludf.DUMMYFUNCTION("""COMPUTED_VALUE"""),"Frost Mage's Boots")</f>
        <v>Frost Mage's Boots</v>
      </c>
      <c r="W38" s="1" t="str">
        <f>IFERROR(__xludf.DUMMYFUNCTION("""COMPUTED_VALUE"""),"Bow of Luck")</f>
        <v>Bow of Luck</v>
      </c>
      <c r="X38" s="1" t="str">
        <f t="shared" si="1"/>
        <v/>
      </c>
    </row>
    <row r="39">
      <c r="A39" s="1" t="s">
        <v>545</v>
      </c>
      <c r="B39" s="18" t="str">
        <f>IFERROR(VLOOKUP($A39,Equipment!$A$2:$AH1001,MATCH("Description",Equipment!$A$1:$AH$1,0),FALSE),"")</f>
        <v/>
      </c>
      <c r="C39" s="18" t="str">
        <f>IFERROR(VLOOKUP($A39,Equipment!$A$2:$AH1001,MATCH("Type",Equipment!$A$1:$AH$1,0),FALSE),"")</f>
        <v/>
      </c>
      <c r="D39" s="18" t="str">
        <f>IFERROR(VLOOKUP($A39,Equipment!$A$2:$AH1001,MATCH("Slot",Equipment!$A$1:$AH$1,0),FALSE),"")</f>
        <v>Torso</v>
      </c>
      <c r="E39" s="20">
        <f>IFERROR(VLOOKUP($A39,Equipment!$A$2:$AH1001,MATCH("LevelReq",Equipment!$A$1:$AH$1,0),FALSE),"")</f>
        <v>1</v>
      </c>
      <c r="F39" s="18" t="str">
        <f>IFERROR(VLOOKUP($A39,Equipconvrt!$A$2:$AH1001,MATCH("Abilities",Equipconvrt!$A$1:$AH$1,0),FALSE),"")</f>
        <v> ++While equipped, Take half damage from fire damage, But decrease water damage you deal by half. </v>
      </c>
      <c r="G39" s="20">
        <f>IFERROR(VLOOKUP($A39,Equipment!$A$2:$AD1001,MATCH("Price",Equipment!$A$1:$AH$1,0),FALSE),"")</f>
        <v>0</v>
      </c>
      <c r="H39" s="4" t="b">
        <v>0</v>
      </c>
      <c r="I39" s="1" t="str">
        <f>IFERROR(VLOOKUP($A39,Equipment!$A$2:$AH1001,MATCH("EquipLoc",Equipment!$A$1:$AH$1,0),FALSE),"")</f>
        <v>Land of Spira</v>
      </c>
      <c r="L39" s="1" t="str">
        <f>IFERROR(__xludf.DUMMYFUNCTION("""COMPUTED_VALUE"""),"Frost Mage's Hood")</f>
        <v>Frost Mage's Hood</v>
      </c>
      <c r="W39" s="1" t="str">
        <f>IFERROR(__xludf.DUMMYFUNCTION("""COMPUTED_VALUE"""),"Bow of The Sacred Druids")</f>
        <v>Bow of The Sacred Druids</v>
      </c>
      <c r="X39" s="1" t="str">
        <f t="shared" si="1"/>
        <v/>
      </c>
    </row>
    <row r="40">
      <c r="A40" s="1" t="s">
        <v>546</v>
      </c>
      <c r="B40" s="18" t="str">
        <f>IFERROR(VLOOKUP($A40,Equipment!$A$2:$AH1001,MATCH("Description",Equipment!$A$1:$AH$1,0),FALSE),"")</f>
        <v/>
      </c>
      <c r="C40" s="18" t="str">
        <f>IFERROR(VLOOKUP($A40,Equipment!$A$2:$AH1001,MATCH("Type",Equipment!$A$1:$AH$1,0),FALSE),"")</f>
        <v>Sword</v>
      </c>
      <c r="D40" s="18" t="str">
        <f>IFERROR(VLOOKUP($A40,Equipment!$A$2:$AH1001,MATCH("Slot",Equipment!$A$1:$AH$1,0),FALSE),"")</f>
        <v>Hand</v>
      </c>
      <c r="E40" s="20">
        <f>IFERROR(VLOOKUP($A40,Equipment!$A$2:$AH1001,MATCH("LevelReq",Equipment!$A$1:$AH$1,0),FALSE),"")</f>
        <v>300</v>
      </c>
      <c r="F40" s="18" t="str">
        <f>IFERROR(VLOOKUP($A40,Equipconvrt!$A$2:$AH1001,MATCH("Abilities",Equipconvrt!$A$1:$AH$1,0),FALSE),"")</f>
        <v>DMG: +10000, Fire DMG: +5000</v>
      </c>
      <c r="G40" s="20">
        <f>IFERROR(VLOOKUP($A40,Equipment!$A$2:$AD1001,MATCH("Price",Equipment!$A$1:$AH$1,0),FALSE),"")</f>
        <v>4350000</v>
      </c>
      <c r="H40" s="4" t="b">
        <v>0</v>
      </c>
      <c r="I40" s="1" t="str">
        <f>IFERROR(VLOOKUP($A40,Equipment!$A$2:$AH1001,MATCH("EquipLoc",Equipment!$A$1:$AH$1,0),FALSE),"")</f>
        <v>Land of Spira</v>
      </c>
      <c r="L40" s="1" t="str">
        <f>IFERROR(__xludf.DUMMYFUNCTION("""COMPUTED_VALUE"""),"Crown of Frozen Swords")</f>
        <v>Crown of Frozen Swords</v>
      </c>
      <c r="W40" s="1" t="str">
        <f>IFERROR(__xludf.DUMMYFUNCTION("""COMPUTED_VALUE"""),"Bo Staff Of Zhenmay")</f>
        <v>Bo Staff Of Zhenmay</v>
      </c>
      <c r="X40" s="1" t="str">
        <f t="shared" si="1"/>
        <v/>
      </c>
    </row>
    <row r="41">
      <c r="A41" s="1" t="s">
        <v>547</v>
      </c>
      <c r="B41" s="18" t="str">
        <f>IFERROR(VLOOKUP($A41,Equipment!$A$2:$AH1001,MATCH("Description",Equipment!$A$1:$AH$1,0),FALSE),"")</f>
        <v/>
      </c>
      <c r="C41" s="18" t="str">
        <f>IFERROR(VLOOKUP($A41,Equipment!$A$2:$AH1001,MATCH("Type",Equipment!$A$1:$AH$1,0),FALSE),"")</f>
        <v>Knife</v>
      </c>
      <c r="D41" s="18" t="str">
        <f>IFERROR(VLOOKUP($A41,Equipment!$A$2:$AH1001,MATCH("Slot",Equipment!$A$1:$AH$1,0),FALSE),"")</f>
        <v>Hand</v>
      </c>
      <c r="E41" s="20">
        <f>IFERROR(VLOOKUP($A41,Equipment!$A$2:$AH1001,MATCH("LevelReq",Equipment!$A$1:$AH$1,0),FALSE),"")</f>
        <v>1</v>
      </c>
      <c r="F41" s="18" t="str">
        <f>IFERROR(VLOOKUP($A41,Equipconvrt!$A$2:$AH1001,MATCH("Abilities",Equipconvrt!$A$1:$AH$1,0),FALSE),"")</f>
        <v>DMG: +1 ++ -1 evasion</v>
      </c>
      <c r="G41" s="20">
        <f>IFERROR(VLOOKUP($A41,Equipment!$A$2:$AD1001,MATCH("Price",Equipment!$A$1:$AH$1,0),FALSE),"")</f>
        <v>0</v>
      </c>
      <c r="H41" s="4" t="b">
        <v>0</v>
      </c>
      <c r="I41" s="1" t="str">
        <f>IFERROR(VLOOKUP($A41,Equipment!$A$2:$AH1001,MATCH("EquipLoc",Equipment!$A$1:$AH$1,0),FALSE),"")</f>
        <v>Land of Spira</v>
      </c>
      <c r="L41" s="1" t="str">
        <f>IFERROR(__xludf.DUMMYFUNCTION("""COMPUTED_VALUE"""),"Frost-bitten Cape")</f>
        <v>Frost-bitten Cape</v>
      </c>
      <c r="W41" s="1" t="str">
        <f>IFERROR(__xludf.DUMMYFUNCTION("""COMPUTED_VALUE"""),"Breezy Clothes")</f>
        <v>Breezy Clothes</v>
      </c>
      <c r="X41" s="1" t="str">
        <f t="shared" si="1"/>
        <v/>
      </c>
    </row>
    <row r="42">
      <c r="A42" s="1" t="s">
        <v>548</v>
      </c>
      <c r="B42" s="18" t="str">
        <f>IFERROR(VLOOKUP($A42,Equipment!$A$2:$AH1001,MATCH("Description",Equipment!$A$1:$AH$1,0),FALSE),"")</f>
        <v/>
      </c>
      <c r="C42" s="18" t="str">
        <f>IFERROR(VLOOKUP($A42,Equipment!$A$2:$AH1001,MATCH("Type",Equipment!$A$1:$AH$1,0),FALSE),"")</f>
        <v>Sword</v>
      </c>
      <c r="D42" s="18" t="str">
        <f>IFERROR(VLOOKUP($A42,Equipment!$A$2:$AH1001,MATCH("Slot",Equipment!$A$1:$AH$1,0),FALSE),"")</f>
        <v>Hand</v>
      </c>
      <c r="E42" s="20">
        <f>IFERROR(VLOOKUP($A42,Equipment!$A$2:$AH1001,MATCH("LevelReq",Equipment!$A$1:$AH$1,0),FALSE),"")</f>
        <v>200</v>
      </c>
      <c r="F42" s="18" t="str">
        <f>IFERROR(VLOOKUP($A42,Equipconvrt!$A$2:$AH1001,MATCH("Abilities",Equipconvrt!$A$1:$AH$1,0),FALSE),"")</f>
        <v>DMG: +5000, Fire DMG: +5000 ++10,000 fire damage per round for 3 rounds.</v>
      </c>
      <c r="G42" s="20">
        <f>IFERROR(VLOOKUP($A42,Equipment!$A$2:$AD1001,MATCH("Price",Equipment!$A$1:$AH$1,0),FALSE),"")</f>
        <v>1900000</v>
      </c>
      <c r="H42" s="4" t="b">
        <v>0</v>
      </c>
      <c r="I42" s="1" t="str">
        <f>IFERROR(VLOOKUP($A42,Equipment!$A$2:$AH1001,MATCH("EquipLoc",Equipment!$A$1:$AH$1,0),FALSE),"")</f>
        <v>Land of Spira</v>
      </c>
      <c r="L42" s="1" t="str">
        <f>IFERROR(__xludf.DUMMYFUNCTION("""COMPUTED_VALUE"""),"Ice-steel Pauldrons")</f>
        <v>Ice-steel Pauldrons</v>
      </c>
      <c r="W42" s="1" t="str">
        <f>IFERROR(__xludf.DUMMYFUNCTION("""COMPUTED_VALUE"""),"Bright Flame Sword")</f>
        <v>Bright Flame Sword</v>
      </c>
      <c r="X42" s="1" t="str">
        <f t="shared" si="1"/>
        <v/>
      </c>
    </row>
    <row r="43">
      <c r="A43" s="1" t="s">
        <v>549</v>
      </c>
      <c r="B43" s="18" t="str">
        <f>IFERROR(VLOOKUP($A43,Equipment!$A$2:$AH1001,MATCH("Description",Equipment!$A$1:$AH$1,0),FALSE),"")</f>
        <v>Halloween Exclusive</v>
      </c>
      <c r="C43" s="18" t="str">
        <f>IFERROR(VLOOKUP($A43,Equipment!$A$2:$AH1001,MATCH("Type",Equipment!$A$1:$AH$1,0),FALSE),"")</f>
        <v/>
      </c>
      <c r="D43" s="18" t="str">
        <f>IFERROR(VLOOKUP($A43,Equipment!$A$2:$AH1001,MATCH("Slot",Equipment!$A$1:$AH$1,0),FALSE),"")</f>
        <v>Neck</v>
      </c>
      <c r="E43" s="20">
        <f>IFERROR(VLOOKUP($A43,Equipment!$A$2:$AH1001,MATCH("LevelReq",Equipment!$A$1:$AH$1,0),FALSE),"")</f>
        <v>1</v>
      </c>
      <c r="F43" s="18" t="str">
        <f>IFERROR(VLOOKUP($A43,Equipconvrt!$A$2:$AH1001,MATCH("Abilities",Equipconvrt!$A$1:$AH$1,0),FALSE),"")</f>
        <v> ++Gives Immunity to Dark and Chaos Damage, ++ +2 Intimidation.</v>
      </c>
      <c r="G43" s="20">
        <f>IFERROR(VLOOKUP($A43,Equipment!$A$2:$AD1001,MATCH("Price",Equipment!$A$1:$AH$1,0),FALSE),"")</f>
        <v>0</v>
      </c>
      <c r="H43" s="4" t="b">
        <v>1</v>
      </c>
      <c r="I43" s="1" t="str">
        <f>IFERROR(VLOOKUP($A43,Equipment!$A$2:$AH1001,MATCH("EquipLoc",Equipment!$A$1:$AH$1,0),FALSE),"")</f>
        <v>Halloween Kingdom</v>
      </c>
      <c r="L43" s="1" t="str">
        <f>IFERROR(__xludf.DUMMYFUNCTION("""COMPUTED_VALUE"""),"Ice-steel Bracers")</f>
        <v>Ice-steel Bracers</v>
      </c>
      <c r="W43" s="1" t="str">
        <f>IFERROR(__xludf.DUMMYFUNCTION("""COMPUTED_VALUE"""),"Broken Sword")</f>
        <v>Broken Sword</v>
      </c>
      <c r="X43" s="1" t="str">
        <f t="shared" si="1"/>
        <v/>
      </c>
    </row>
    <row r="44">
      <c r="A44" s="1" t="s">
        <v>550</v>
      </c>
      <c r="B44" s="18" t="str">
        <f>IFERROR(VLOOKUP($A44,Equipment!$A$2:$AH1001,MATCH("Description",Equipment!$A$1:$AH$1,0),FALSE),"")</f>
        <v>Halloween Exclusive</v>
      </c>
      <c r="C44" s="18" t="str">
        <f>IFERROR(VLOOKUP($A44,Equipment!$A$2:$AH1001,MATCH("Type",Equipment!$A$1:$AH$1,0),FALSE),"")</f>
        <v>Firearm</v>
      </c>
      <c r="D44" s="18" t="str">
        <f>IFERROR(VLOOKUP($A44,Equipment!$A$2:$AH1001,MATCH("Slot",Equipment!$A$1:$AH$1,0),FALSE),"")</f>
        <v>Hand</v>
      </c>
      <c r="E44" s="20">
        <f>IFERROR(VLOOKUP($A44,Equipment!$A$2:$AH1001,MATCH("LevelReq",Equipment!$A$1:$AH$1,0),FALSE),"")</f>
        <v>200</v>
      </c>
      <c r="F44" s="18" t="str">
        <f>IFERROR(VLOOKUP($A44,Equipconvrt!$A$2:$AH1001,MATCH("Abilities",Equipconvrt!$A$1:$AH$1,0),FALSE),"")</f>
        <v>DMG: +10000, Fire DMG: +10000, Dark DMG: +10000, Spirit DMG: +10000, Chaos DMG: +10000, Voodoo DMG: +10000, Blood DMG: +10000, Celestial DMG: +10000 ++Uses Candy Corn as Ammunition. ++Can use mobility when attacking with this weapon. +-Cannot be forged or duplicated. </v>
      </c>
      <c r="G44" s="20">
        <f>IFERROR(VLOOKUP($A44,Equipment!$A$2:$AD1001,MATCH("Price",Equipment!$A$1:$AH$1,0),FALSE),"")</f>
        <v>127200000</v>
      </c>
      <c r="H44" s="4" t="b">
        <v>1</v>
      </c>
      <c r="I44" s="1" t="str">
        <f>IFERROR(VLOOKUP($A44,Equipment!$A$2:$AH1001,MATCH("EquipLoc",Equipment!$A$1:$AH$1,0),FALSE),"")</f>
        <v>Halloween Kingdom</v>
      </c>
      <c r="L44" s="1" t="str">
        <f>IFERROR(__xludf.DUMMYFUNCTION("""COMPUTED_VALUE"""),"Ice-steel Chausses")</f>
        <v>Ice-steel Chausses</v>
      </c>
      <c r="W44" s="1" t="str">
        <f>IFERROR(__xludf.DUMMYFUNCTION("""COMPUTED_VALUE"""),"Burning Broadsword")</f>
        <v>Burning Broadsword</v>
      </c>
      <c r="X44" s="1" t="str">
        <f t="shared" si="1"/>
        <v/>
      </c>
    </row>
    <row r="45">
      <c r="A45" s="1" t="s">
        <v>551</v>
      </c>
      <c r="B45" s="18" t="str">
        <f>IFERROR(VLOOKUP($A45,Equipment!$A$2:$AH1001,MATCH("Description",Equipment!$A$1:$AH$1,0),FALSE),"")</f>
        <v/>
      </c>
      <c r="C45" s="18" t="str">
        <f>IFERROR(VLOOKUP($A45,Equipment!$A$2:$AH1001,MATCH("Type",Equipment!$A$1:$AH$1,0),FALSE),"")</f>
        <v/>
      </c>
      <c r="D45" s="18" t="str">
        <f>IFERROR(VLOOKUP($A45,Equipment!$A$2:$AH1001,MATCH("Slot",Equipment!$A$1:$AH$1,0),FALSE),"")</f>
        <v>Head</v>
      </c>
      <c r="E45" s="20">
        <f>IFERROR(VLOOKUP($A45,Equipment!$A$2:$AH1001,MATCH("LevelReq",Equipment!$A$1:$AH$1,0),FALSE),"")</f>
        <v>200</v>
      </c>
      <c r="F45" s="18" t="str">
        <f>IFERROR(VLOOKUP($A45,Equipconvrt!$A$2:$AH1001,MATCH("Abilities",Equipconvrt!$A$1:$AH$1,0),FALSE),"")</f>
        <v>DEF: +10000 ++Half the SP cost for Fire, Water, Storm, Earth, and Nature spells.</v>
      </c>
      <c r="G45" s="20">
        <f>IFERROR(VLOOKUP($A45,Equipment!$A$2:$AD1001,MATCH("Price",Equipment!$A$1:$AH$1,0),FALSE),"")</f>
        <v>1900000</v>
      </c>
      <c r="H45" s="4" t="b">
        <v>0</v>
      </c>
      <c r="I45" s="1" t="str">
        <f>IFERROR(VLOOKUP($A45,Equipment!$A$2:$AH1001,MATCH("EquipLoc",Equipment!$A$1:$AH$1,0),FALSE),"")</f>
        <v>Land of Spira</v>
      </c>
      <c r="L45" s="1" t="str">
        <f>IFERROR(__xludf.DUMMYFUNCTION("""COMPUTED_VALUE"""),"Frost Stompers")</f>
        <v>Frost Stompers</v>
      </c>
      <c r="W45" s="1" t="str">
        <f>IFERROR(__xludf.DUMMYFUNCTION("""COMPUTED_VALUE"""),"Candy Corn Necklace")</f>
        <v>Candy Corn Necklace</v>
      </c>
      <c r="X45" s="1" t="str">
        <f t="shared" si="1"/>
        <v/>
      </c>
    </row>
    <row r="46">
      <c r="A46" s="1" t="s">
        <v>552</v>
      </c>
      <c r="B46" s="18" t="str">
        <f>IFERROR(VLOOKUP($A46,Equipment!$A$2:$AH1001,MATCH("Description",Equipment!$A$1:$AH$1,0),FALSE),"")</f>
        <v>Quest Item</v>
      </c>
      <c r="C46" s="18" t="str">
        <f>IFERROR(VLOOKUP($A46,Equipment!$A$2:$AH1001,MATCH("Type",Equipment!$A$1:$AH$1,0),FALSE),"")</f>
        <v>Towershield</v>
      </c>
      <c r="D46" s="18" t="str">
        <f>IFERROR(VLOOKUP($A46,Equipment!$A$2:$AH1001,MATCH("Slot",Equipment!$A$1:$AH$1,0),FALSE),"")</f>
        <v>Hand</v>
      </c>
      <c r="E46" s="20">
        <f>IFERROR(VLOOKUP($A46,Equipment!$A$2:$AH1001,MATCH("LevelReq",Equipment!$A$1:$AH$1,0),FALSE),"")</f>
        <v>200</v>
      </c>
      <c r="F46" s="18" t="str">
        <f>IFERROR(VLOOKUP($A46,Equipconvrt!$A$2:$AH1001,MATCH("Abilities",Equipconvrt!$A$1:$AH$1,0),FALSE),"")</f>
        <v>DEF: +100000, Light DEF: +100000, Dark DEF: +100000, Celestial DEF: +100000 ++Royal Protection: Immunity to Celestial. +-Cannot be forged or duplicated.</v>
      </c>
      <c r="G46" s="20">
        <f>IFERROR(VLOOKUP($A46,Equipment!$A$2:$AD1001,MATCH("Price",Equipment!$A$1:$AH$1,0),FALSE),"")</f>
        <v>3196000000</v>
      </c>
      <c r="H46" s="4" t="b">
        <v>1</v>
      </c>
      <c r="I46" s="1" t="str">
        <f>IFERROR(VLOOKUP($A46,Equipment!$A$2:$AH1001,MATCH("EquipLoc",Equipment!$A$1:$AH$1,0),FALSE),"")</f>
        <v>Land of Spira</v>
      </c>
      <c r="L46" s="1" t="str">
        <f>IFERROR(__xludf.DUMMYFUNCTION("""COMPUTED_VALUE"""),"Plate of the Frozen Sun")</f>
        <v>Plate of the Frozen Sun</v>
      </c>
      <c r="W46" s="1" t="str">
        <f>IFERROR(__xludf.DUMMYFUNCTION("""COMPUTED_VALUE"""),"Candy Corn Rifle")</f>
        <v>Candy Corn Rifle</v>
      </c>
      <c r="X46" s="1" t="str">
        <f t="shared" si="1"/>
        <v/>
      </c>
    </row>
    <row r="47">
      <c r="A47" s="1" t="s">
        <v>553</v>
      </c>
      <c r="B47" s="18" t="str">
        <f>IFERROR(VLOOKUP($A47,Equipment!$A$2:$AH1001,MATCH("Description",Equipment!$A$1:$AH$1,0),FALSE),"")</f>
        <v>Quest Item</v>
      </c>
      <c r="C47" s="18" t="str">
        <f>IFERROR(VLOOKUP($A47,Equipment!$A$2:$AH1001,MATCH("Type",Equipment!$A$1:$AH$1,0),FALSE),"")</f>
        <v>Sword</v>
      </c>
      <c r="D47" s="18" t="str">
        <f>IFERROR(VLOOKUP($A47,Equipment!$A$2:$AH1001,MATCH("Slot",Equipment!$A$1:$AH$1,0),FALSE),"")</f>
        <v>Hand</v>
      </c>
      <c r="E47" s="20">
        <f>IFERROR(VLOOKUP($A47,Equipment!$A$2:$AH1001,MATCH("LevelReq",Equipment!$A$1:$AH$1,0),FALSE),"")</f>
        <v>200</v>
      </c>
      <c r="F47" s="18" t="str">
        <f>IFERROR(VLOOKUP($A47,Equipconvrt!$A$2:$AH1001,MATCH("Abilities",Equipconvrt!$A$1:$AH$1,0),FALSE),"")</f>
        <v>DMG: +100000, Light DMG: +100000, Dark DMG: +100000, Celestial DMG: +100000 ++X8 Celestial Damage. +-Cannot be forged or duplicated.</v>
      </c>
      <c r="G47" s="20">
        <f>IFERROR(VLOOKUP($A47,Equipment!$A$2:$AD1001,MATCH("Price",Equipment!$A$1:$AH$1,0),FALSE),"")</f>
        <v>3196000000</v>
      </c>
      <c r="H47" s="4" t="b">
        <v>1</v>
      </c>
      <c r="I47" s="1" t="str">
        <f>IFERROR(VLOOKUP($A47,Equipment!$A$2:$AH1001,MATCH("EquipLoc",Equipment!$A$1:$AH$1,0),FALSE),"")</f>
        <v>Land of Spira</v>
      </c>
      <c r="L47" s="1" t="str">
        <f>IFERROR(__xludf.DUMMYFUNCTION("""COMPUTED_VALUE"""),"Frost Mage's Staff")</f>
        <v>Frost Mage's Staff</v>
      </c>
      <c r="W47" s="1" t="str">
        <f>IFERROR(__xludf.DUMMYFUNCTION("""COMPUTED_VALUE"""),"Cap of Metal Harmony's")</f>
        <v>Cap of Metal Harmony's</v>
      </c>
      <c r="X47" s="1" t="str">
        <f t="shared" si="1"/>
        <v/>
      </c>
    </row>
    <row r="48">
      <c r="A48" s="1" t="s">
        <v>554</v>
      </c>
      <c r="B48" s="18" t="str">
        <f>IFERROR(VLOOKUP($A48,Equipment!$A$2:$AH1001,MATCH("Description",Equipment!$A$1:$AH$1,0),FALSE),"")</f>
        <v/>
      </c>
      <c r="C48" s="18" t="str">
        <f>IFERROR(VLOOKUP($A48,Equipment!$A$2:$AH1001,MATCH("Type",Equipment!$A$1:$AH$1,0),FALSE),"")</f>
        <v/>
      </c>
      <c r="D48" s="18" t="str">
        <f>IFERROR(VLOOKUP($A48,Equipment!$A$2:$AH1001,MATCH("Slot",Equipment!$A$1:$AH$1,0),FALSE),"")</f>
        <v>Torso</v>
      </c>
      <c r="E48" s="20">
        <f>IFERROR(VLOOKUP($A48,Equipment!$A$2:$AH1001,MATCH("LevelReq",Equipment!$A$1:$AH$1,0),FALSE),"")</f>
        <v>40</v>
      </c>
      <c r="F48" s="18" t="str">
        <f>IFERROR(VLOOKUP($A48,Equipconvrt!$A$2:$AH1001,MATCH("Abilities",Equipconvrt!$A$1:$AH$1,0),FALSE),"")</f>
        <v>DEF: +2000 ++Wrapped in Chains - When the wearer is attacked with a weapon; 25% chance to make the attacker drop it's weapon.</v>
      </c>
      <c r="G48" s="20">
        <f>IFERROR(VLOOKUP($A48,Equipment!$A$2:$AD1001,MATCH("Price",Equipment!$A$1:$AH$1,0),FALSE),"")</f>
        <v>60000</v>
      </c>
      <c r="H48" s="4" t="b">
        <v>0</v>
      </c>
      <c r="I48" s="1" t="str">
        <f>IFERROR(VLOOKUP($A48,Equipment!$A$2:$AH1001,MATCH("EquipLoc",Equipment!$A$1:$AH$1,0),FALSE),"")</f>
        <v>Land of Spira</v>
      </c>
      <c r="L48" s="1" t="str">
        <f>IFERROR(__xludf.DUMMYFUNCTION("""COMPUTED_VALUE"""),"Snowball")</f>
        <v>Snowball</v>
      </c>
      <c r="W48" s="1" t="str">
        <f>IFERROR(__xludf.DUMMYFUNCTION("""COMPUTED_VALUE"""),"Celestian Royal Shield")</f>
        <v>Celestian Royal Shield</v>
      </c>
      <c r="X48" s="1" t="str">
        <f t="shared" si="1"/>
        <v/>
      </c>
    </row>
    <row r="49">
      <c r="A49" s="1" t="s">
        <v>555</v>
      </c>
      <c r="B49" s="18" t="str">
        <f>IFERROR(VLOOKUP($A49,Equipment!$A$2:$AH1001,MATCH("Description",Equipment!$A$1:$AH$1,0),FALSE),"")</f>
        <v/>
      </c>
      <c r="C49" s="18" t="str">
        <f>IFERROR(VLOOKUP($A49,Equipment!$A$2:$AH1001,MATCH("Type",Equipment!$A$1:$AH$1,0),FALSE),"")</f>
        <v>Sword</v>
      </c>
      <c r="D49" s="18" t="str">
        <f>IFERROR(VLOOKUP($A49,Equipment!$A$2:$AH1001,MATCH("Slot",Equipment!$A$1:$AH$1,0),FALSE),"")</f>
        <v>Hand</v>
      </c>
      <c r="E49" s="20">
        <f>IFERROR(VLOOKUP($A49,Equipment!$A$2:$AH1001,MATCH("LevelReq",Equipment!$A$1:$AH$1,0),FALSE),"")</f>
        <v>90</v>
      </c>
      <c r="F49" s="18" t="str">
        <f>IFERROR(VLOOKUP($A49,Equipconvrt!$A$2:$AH1001,MATCH("Abilities",Equipconvrt!$A$1:$AH$1,0),FALSE),"")</f>
        <v>DMG: +2500, Chaos DMG: +2000 ++ +2 Intimidation. +-Cannot be duplicated. +-Can only equip one.</v>
      </c>
      <c r="G49" s="20">
        <f>IFERROR(VLOOKUP($A49,Equipment!$A$2:$AD1001,MATCH("Price",Equipment!$A$1:$AH$1,0),FALSE),"")</f>
        <v>360000</v>
      </c>
      <c r="H49" s="4" t="b">
        <v>0</v>
      </c>
      <c r="I49" s="1" t="str">
        <f>IFERROR(VLOOKUP($A49,Equipment!$A$2:$AH1001,MATCH("EquipLoc",Equipment!$A$1:$AH$1,0),FALSE),"")</f>
        <v>Land of Spira</v>
      </c>
      <c r="L49" s="1" t="str">
        <f>IFERROR(__xludf.DUMMYFUNCTION("""COMPUTED_VALUE"""),"Corvid Cloak")</f>
        <v>Corvid Cloak</v>
      </c>
      <c r="W49" s="1" t="str">
        <f>IFERROR(__xludf.DUMMYFUNCTION("""COMPUTED_VALUE"""),"Celestian Royal Sword")</f>
        <v>Celestian Royal Sword</v>
      </c>
      <c r="X49" s="1" t="str">
        <f t="shared" si="1"/>
        <v/>
      </c>
    </row>
    <row r="50">
      <c r="A50" s="1" t="s">
        <v>556</v>
      </c>
      <c r="B50" s="18" t="str">
        <f>IFERROR(VLOOKUP($A50,Equipment!$A$2:$AH1001,MATCH("Description",Equipment!$A$1:$AH$1,0),FALSE),"")</f>
        <v/>
      </c>
      <c r="C50" s="18" t="str">
        <f>IFERROR(VLOOKUP($A50,Equipment!$A$2:$AH1001,MATCH("Type",Equipment!$A$1:$AH$1,0),FALSE),"")</f>
        <v/>
      </c>
      <c r="D50" s="18" t="str">
        <f>IFERROR(VLOOKUP($A50,Equipment!$A$2:$AH1001,MATCH("Slot",Equipment!$A$1:$AH$1,0),FALSE),"")</f>
        <v>Neck</v>
      </c>
      <c r="E50" s="20">
        <f>IFERROR(VLOOKUP($A50,Equipment!$A$2:$AH1001,MATCH("LevelReq",Equipment!$A$1:$AH$1,0),FALSE),"")</f>
        <v>1</v>
      </c>
      <c r="F50" s="18" t="str">
        <f>IFERROR(VLOOKUP($A50,Equipconvrt!$A$2:$AH1001,MATCH("Abilities",Equipconvrt!$A$1:$AH$1,0),FALSE),"")</f>
        <v> ++Immunity to all Chaos Dmg, ++Deal 2x more Chaos Dmg.</v>
      </c>
      <c r="G50" s="20">
        <f>IFERROR(VLOOKUP($A50,Equipment!$A$2:$AD1001,MATCH("Price",Equipment!$A$1:$AH$1,0),FALSE),"")</f>
        <v>0</v>
      </c>
      <c r="H50" s="4" t="b">
        <v>1</v>
      </c>
      <c r="I50" s="1" t="str">
        <f>IFERROR(VLOOKUP($A50,Equipment!$A$2:$AH1001,MATCH("EquipLoc",Equipment!$A$1:$AH$1,0),FALSE),"")</f>
        <v>Land of The Forgotten</v>
      </c>
      <c r="L50" s="1" t="str">
        <f>IFERROR(__xludf.DUMMYFUNCTION("""COMPUTED_VALUE"""),"Plague Doctor's Mask")</f>
        <v>Plague Doctor's Mask</v>
      </c>
      <c r="W50" s="1" t="str">
        <f>IFERROR(__xludf.DUMMYFUNCTION("""COMPUTED_VALUE"""),"Chain Link Armor")</f>
        <v>Chain Link Armor</v>
      </c>
      <c r="X50" s="1" t="str">
        <f t="shared" si="1"/>
        <v/>
      </c>
    </row>
    <row r="51">
      <c r="A51" s="1" t="s">
        <v>557</v>
      </c>
      <c r="B51" s="18" t="str">
        <f>IFERROR(VLOOKUP($A51,Equipment!$A$2:$AH1001,MATCH("Description",Equipment!$A$1:$AH$1,0),FALSE),"")</f>
        <v/>
      </c>
      <c r="C51" s="18" t="str">
        <f>IFERROR(VLOOKUP($A51,Equipment!$A$2:$AH1001,MATCH("Type",Equipment!$A$1:$AH$1,0),FALSE),"")</f>
        <v/>
      </c>
      <c r="D51" s="18" t="str">
        <f>IFERROR(VLOOKUP($A51,Equipment!$A$2:$AH1001,MATCH("Slot",Equipment!$A$1:$AH$1,0),FALSE),"")</f>
        <v>Ring</v>
      </c>
      <c r="E51" s="20">
        <f>IFERROR(VLOOKUP($A51,Equipment!$A$2:$AH1001,MATCH("LevelReq",Equipment!$A$1:$AH$1,0),FALSE),"")</f>
        <v>1</v>
      </c>
      <c r="F51" s="18" t="str">
        <f>IFERROR(VLOOKUP($A51,Equipconvrt!$A$2:$AH1001,MATCH("Abilities",Equipconvrt!$A$1:$AH$1,0),FALSE),"")</f>
        <v> ++X2 additional Chaos and Blood damage</v>
      </c>
      <c r="G51" s="20">
        <f>IFERROR(VLOOKUP($A51,Equipment!$A$2:$AD1001,MATCH("Price",Equipment!$A$1:$AH$1,0),FALSE),"")</f>
        <v>0</v>
      </c>
      <c r="H51" s="4" t="b">
        <v>0</v>
      </c>
      <c r="I51" s="1" t="str">
        <f>IFERROR(VLOOKUP($A51,Equipment!$A$2:$AH1001,MATCH("EquipLoc",Equipment!$A$1:$AH$1,0),FALSE),"")</f>
        <v>Land of Spira</v>
      </c>
      <c r="L51" s="1" t="str">
        <f>IFERROR(__xludf.DUMMYFUNCTION("""COMPUTED_VALUE"""),"""The Only Cure""")</f>
        <v>"The Only Cure"</v>
      </c>
      <c r="W51" s="1" t="str">
        <f>IFERROR(__xludf.DUMMYFUNCTION("""COMPUTED_VALUE"""),"Chaos Sword")</f>
        <v>Chaos Sword</v>
      </c>
      <c r="X51" s="1" t="str">
        <f t="shared" si="1"/>
        <v/>
      </c>
    </row>
    <row r="52">
      <c r="A52" s="1" t="s">
        <v>558</v>
      </c>
      <c r="B52" s="18" t="str">
        <f>IFERROR(VLOOKUP($A52,Equipment!$A$2:$AH1001,MATCH("Description",Equipment!$A$1:$AH$1,0),FALSE),"")</f>
        <v/>
      </c>
      <c r="C52" s="18" t="str">
        <f>IFERROR(VLOOKUP($A52,Equipment!$A$2:$AH1001,MATCH("Type",Equipment!$A$1:$AH$1,0),FALSE),"")</f>
        <v/>
      </c>
      <c r="D52" s="18" t="str">
        <f>IFERROR(VLOOKUP($A52,Equipment!$A$2:$AH1001,MATCH("Slot",Equipment!$A$1:$AH$1,0),FALSE),"")</f>
        <v>Hand</v>
      </c>
      <c r="E52" s="20">
        <f>IFERROR(VLOOKUP($A52,Equipment!$A$2:$AH1001,MATCH("LevelReq",Equipment!$A$1:$AH$1,0),FALSE),"")</f>
        <v>1</v>
      </c>
      <c r="F52" s="18" t="str">
        <f>IFERROR(VLOOKUP($A52,Equipconvrt!$A$2:$AH1001,MATCH("Abilities",Equipconvrt!$A$1:$AH$1,0),FALSE),"")</f>
        <v> ++Last Chance - Protected from death once per battle, can only use the effect of "Last Chance" once per battle.  +-Can only have one equipped. +- Cannot be duplicated.</v>
      </c>
      <c r="G52" s="20">
        <f>IFERROR(VLOOKUP($A52,Equipment!$A$2:$AD1001,MATCH("Price",Equipment!$A$1:$AH$1,0),FALSE),"")</f>
        <v>0</v>
      </c>
      <c r="H52" s="4" t="b">
        <v>0</v>
      </c>
      <c r="I52" s="1" t="str">
        <f>IFERROR(VLOOKUP($A52,Equipment!$A$2:$AH1001,MATCH("EquipLoc",Equipment!$A$1:$AH$1,0),FALSE),"")</f>
        <v>Land of Spira</v>
      </c>
      <c r="L52" s="1" t="str">
        <f>IFERROR(__xludf.DUMMYFUNCTION("""COMPUTED_VALUE"""),"Plague Doctor's Gloves")</f>
        <v>Plague Doctor's Gloves</v>
      </c>
      <c r="W52" s="1" t="str">
        <f>IFERROR(__xludf.DUMMYFUNCTION("""COMPUTED_VALUE"""),"Chaotic Amulet")</f>
        <v>Chaotic Amulet</v>
      </c>
      <c r="X52" s="1" t="str">
        <f t="shared" si="1"/>
        <v/>
      </c>
    </row>
    <row r="53">
      <c r="A53" s="1" t="s">
        <v>559</v>
      </c>
      <c r="B53" s="18" t="str">
        <f>IFERROR(VLOOKUP($A53,Equipment!$A$2:$AH1001,MATCH("Description",Equipment!$A$1:$AH$1,0),FALSE),"")</f>
        <v/>
      </c>
      <c r="C53" s="18" t="str">
        <f>IFERROR(VLOOKUP($A53,Equipment!$A$2:$AH1001,MATCH("Type",Equipment!$A$1:$AH$1,0),FALSE),"")</f>
        <v/>
      </c>
      <c r="D53" s="18" t="str">
        <f>IFERROR(VLOOKUP($A53,Equipment!$A$2:$AH1001,MATCH("Slot",Equipment!$A$1:$AH$1,0),FALSE),"")</f>
        <v>Neck</v>
      </c>
      <c r="E53" s="20">
        <f>IFERROR(VLOOKUP($A53,Equipment!$A$2:$AH1001,MATCH("LevelReq",Equipment!$A$1:$AH$1,0),FALSE),"")</f>
        <v>1</v>
      </c>
      <c r="F53" s="18" t="str">
        <f>IFERROR(VLOOKUP($A53,Equipconvrt!$A$2:$AH1001,MATCH("Abilities",Equipconvrt!$A$1:$AH$1,0),FALSE),"")</f>
        <v> ++Immunity to sleep.</v>
      </c>
      <c r="G53" s="20">
        <f>IFERROR(VLOOKUP($A53,Equipment!$A$2:$AD1001,MATCH("Price",Equipment!$A$1:$AH$1,0),FALSE),"")</f>
        <v>0</v>
      </c>
      <c r="H53" s="4" t="b">
        <v>0</v>
      </c>
      <c r="I53" s="1" t="str">
        <f>IFERROR(VLOOKUP($A53,Equipment!$A$2:$AH1001,MATCH("EquipLoc",Equipment!$A$1:$AH$1,0),FALSE),"")</f>
        <v>Abstara</v>
      </c>
      <c r="L53" s="1" t="str">
        <f>IFERROR(__xludf.DUMMYFUNCTION("""COMPUTED_VALUE"""),"Plague Doctor's Sarouel")</f>
        <v>Plague Doctor's Sarouel</v>
      </c>
      <c r="W53" s="1" t="str">
        <f>IFERROR(__xludf.DUMMYFUNCTION("""COMPUTED_VALUE"""),"Ring")</f>
        <v>Ring</v>
      </c>
      <c r="X53" s="1" t="str">
        <f t="shared" si="1"/>
        <v/>
      </c>
    </row>
    <row r="54">
      <c r="A54" s="1" t="s">
        <v>560</v>
      </c>
      <c r="B54" s="18" t="str">
        <f>IFERROR(VLOOKUP($A54,Equipment!$A$2:$AH1001,MATCH("Description",Equipment!$A$1:$AH$1,0),FALSE),"")</f>
        <v/>
      </c>
      <c r="C54" s="18" t="str">
        <f>IFERROR(VLOOKUP($A54,Equipment!$A$2:$AH1001,MATCH("Type",Equipment!$A$1:$AH$1,0),FALSE),"")</f>
        <v/>
      </c>
      <c r="D54" s="18" t="str">
        <f>IFERROR(VLOOKUP($A54,Equipment!$A$2:$AH1001,MATCH("Slot",Equipment!$A$1:$AH$1,0),FALSE),"")</f>
        <v>Torso</v>
      </c>
      <c r="E54" s="20">
        <f>IFERROR(VLOOKUP($A54,Equipment!$A$2:$AH1001,MATCH("LevelReq",Equipment!$A$1:$AH$1,0),FALSE),"")</f>
        <v>200</v>
      </c>
      <c r="F54" s="18" t="str">
        <f>IFERROR(VLOOKUP($A54,Equipconvrt!$A$2:$AH1001,MATCH("Abilities",Equipconvrt!$A$1:$AH$1,0),FALSE),"")</f>
        <v>DEF: +5000, Nature DEF: +5000 (Foul Night Set) ++X2 Nature and Poison damage, ++Poison Immunity.</v>
      </c>
      <c r="G54" s="20">
        <f>IFERROR(VLOOKUP($A54,Equipment!$A$2:$AD1001,MATCH("Price",Equipment!$A$1:$AH$1,0),FALSE),"")</f>
        <v>1900000</v>
      </c>
      <c r="H54" s="4" t="b">
        <v>0</v>
      </c>
      <c r="I54" s="1" t="str">
        <f>IFERROR(VLOOKUP($A54,Equipment!$A$2:$AH1001,MATCH("EquipLoc",Equipment!$A$1:$AH$1,0),FALSE),"")</f>
        <v>Land of Spira</v>
      </c>
      <c r="L54" s="1" t="str">
        <f>IFERROR(__xludf.DUMMYFUNCTION("""COMPUTED_VALUE"""),"Plague Doctor's Boots")</f>
        <v>Plague Doctor's Boots</v>
      </c>
      <c r="W54" s="1" t="str">
        <f>IFERROR(__xludf.DUMMYFUNCTION("""COMPUTED_VALUE"""),"Chaotic Shadow Life Orb")</f>
        <v>Chaotic Shadow Life Orb</v>
      </c>
      <c r="X54" s="1" t="str">
        <f t="shared" si="1"/>
        <v/>
      </c>
    </row>
    <row r="55">
      <c r="A55" s="1" t="s">
        <v>561</v>
      </c>
      <c r="B55" s="18" t="str">
        <f>IFERROR(VLOOKUP($A55,Equipment!$A$2:$AH1001,MATCH("Description",Equipment!$A$1:$AH$1,0),FALSE),"")</f>
        <v/>
      </c>
      <c r="C55" s="18" t="str">
        <f>IFERROR(VLOOKUP($A55,Equipment!$A$2:$AH1001,MATCH("Type",Equipment!$A$1:$AH$1,0),FALSE),"")</f>
        <v/>
      </c>
      <c r="D55" s="18" t="str">
        <f>IFERROR(VLOOKUP($A55,Equipment!$A$2:$AH1001,MATCH("Slot",Equipment!$A$1:$AH$1,0),FALSE),"")</f>
        <v>Torso</v>
      </c>
      <c r="E55" s="20">
        <f>IFERROR(VLOOKUP($A55,Equipment!$A$2:$AH1001,MATCH("LevelReq",Equipment!$A$1:$AH$1,0),FALSE),"")</f>
        <v>400</v>
      </c>
      <c r="F55" s="18" t="str">
        <f>IFERROR(VLOOKUP($A55,Equipconvrt!$A$2:$AH1001,MATCH("Abilities",Equipconvrt!$A$1:$AH$1,0),FALSE),"")</f>
        <v>DEF: +10000, Water DEF: +10000 ++X4 additional water damage for self.</v>
      </c>
      <c r="G55" s="20">
        <f>IFERROR(VLOOKUP($A55,Equipment!$A$2:$AD1001,MATCH("Price",Equipment!$A$1:$AH$1,0),FALSE),"")</f>
        <v>7800000</v>
      </c>
      <c r="H55" s="4" t="b">
        <v>0</v>
      </c>
      <c r="I55" s="1" t="str">
        <f>IFERROR(VLOOKUP($A55,Equipment!$A$2:$AH1001,MATCH("EquipLoc",Equipment!$A$1:$AH$1,0),FALSE),"")</f>
        <v>Land of Spira</v>
      </c>
      <c r="L55" s="1" t="str">
        <f>IFERROR(__xludf.DUMMYFUNCTION("""COMPUTED_VALUE"""),"Plague Doctor's Apron")</f>
        <v>Plague Doctor's Apron</v>
      </c>
      <c r="W55" s="1" t="str">
        <f>IFERROR(__xludf.DUMMYFUNCTION("""COMPUTED_VALUE"""),"Charm of Awaken")</f>
        <v>Charm of Awaken</v>
      </c>
      <c r="X55" s="1" t="str">
        <f t="shared" si="1"/>
        <v/>
      </c>
    </row>
    <row r="56">
      <c r="A56" s="1" t="s">
        <v>562</v>
      </c>
      <c r="B56" s="18" t="str">
        <f>IFERROR(VLOOKUP($A56,Equipment!$A$2:$AH1001,MATCH("Description",Equipment!$A$1:$AH$1,0),FALSE),"")</f>
        <v/>
      </c>
      <c r="C56" s="18" t="str">
        <f>IFERROR(VLOOKUP($A56,Equipment!$A$2:$AH1001,MATCH("Type",Equipment!$A$1:$AH$1,0),FALSE),"")</f>
        <v/>
      </c>
      <c r="D56" s="18" t="str">
        <f>IFERROR(VLOOKUP($A56,Equipment!$A$2:$AH1001,MATCH("Slot",Equipment!$A$1:$AH$1,0),FALSE),"")</f>
        <v>Head</v>
      </c>
      <c r="E56" s="20">
        <f>IFERROR(VLOOKUP($A56,Equipment!$A$2:$AH1001,MATCH("LevelReq",Equipment!$A$1:$AH$1,0),FALSE),"")</f>
        <v>50</v>
      </c>
      <c r="F56" s="18" t="str">
        <f>IFERROR(VLOOKUP($A56,Equipconvrt!$A$2:$AH1001,MATCH("Abilities",Equipconvrt!$A$1:$AH$1,0),FALSE),"")</f>
        <v>DEF: +2500</v>
      </c>
      <c r="G56" s="20">
        <f>IFERROR(VLOOKUP($A56,Equipment!$A$2:$AD1001,MATCH("Price",Equipment!$A$1:$AH$1,0),FALSE),"")</f>
        <v>100000</v>
      </c>
      <c r="H56" s="4" t="b">
        <v>0</v>
      </c>
      <c r="I56" s="1" t="str">
        <f>IFERROR(VLOOKUP($A56,Equipment!$A$2:$AH1001,MATCH("EquipLoc",Equipment!$A$1:$AH$1,0),FALSE),"")</f>
        <v>Land of Spira</v>
      </c>
      <c r="L56" s="1" t="str">
        <f>IFERROR(__xludf.DUMMYFUNCTION("""COMPUTED_VALUE"""),"Poisonous Hand Crossbow")</f>
        <v>Poisonous Hand Crossbow</v>
      </c>
      <c r="W56" s="1" t="str">
        <f>IFERROR(__xludf.DUMMYFUNCTION("""COMPUTED_VALUE"""),"Chestplate of Foul Night")</f>
        <v>Chestplate of Foul Night</v>
      </c>
      <c r="X56" s="1" t="str">
        <f t="shared" si="1"/>
        <v/>
      </c>
    </row>
    <row r="57">
      <c r="A57" s="1" t="s">
        <v>563</v>
      </c>
      <c r="B57" s="18" t="str">
        <f>IFERROR(VLOOKUP($A57,Equipment!$A$2:$AH1001,MATCH("Description",Equipment!$A$1:$AH$1,0),FALSE),"")</f>
        <v>Mob Exclusive</v>
      </c>
      <c r="C57" s="18" t="str">
        <f>IFERROR(VLOOKUP($A57,Equipment!$A$2:$AH1001,MATCH("Type",Equipment!$A$1:$AH$1,0),FALSE),"")</f>
        <v>Sword</v>
      </c>
      <c r="D57" s="18" t="str">
        <f>IFERROR(VLOOKUP($A57,Equipment!$A$2:$AH1001,MATCH("Slot",Equipment!$A$1:$AH$1,0),FALSE),"")</f>
        <v>Hand</v>
      </c>
      <c r="E57" s="20">
        <f>IFERROR(VLOOKUP($A57,Equipment!$A$2:$AH1001,MATCH("LevelReq",Equipment!$A$1:$AH$1,0),FALSE),"")</f>
        <v>1500</v>
      </c>
      <c r="F57" s="18" t="str">
        <f>IFERROR(VLOOKUP($A57,Equipconvrt!$A$2:$AH1001,MATCH("Abilities",Equipconvrt!$A$1:$AH$1,0),FALSE),"")</f>
        <v>DMG: +25000, Earth DMG: +25000, Dark DMG: +25000 ++X2 additional damage for the user.</v>
      </c>
      <c r="G57" s="20">
        <f>IFERROR(VLOOKUP($A57,Equipment!$A$2:$AD1001,MATCH("Price",Equipment!$A$1:$AH$1,0),FALSE),"")</f>
        <v>111750000</v>
      </c>
      <c r="H57" s="4" t="b">
        <v>1</v>
      </c>
      <c r="I57" s="1" t="str">
        <f>IFERROR(VLOOKUP($A57,Equipment!$A$2:$AH1001,MATCH("EquipLoc",Equipment!$A$1:$AH$1,0),FALSE),"")</f>
        <v>Land of Spira</v>
      </c>
      <c r="L57" s="1" t="str">
        <f>IFERROR(__xludf.DUMMYFUNCTION("""COMPUTED_VALUE"""),"Poison Tipped Knife")</f>
        <v>Poison Tipped Knife</v>
      </c>
      <c r="W57" s="1" t="str">
        <f>IFERROR(__xludf.DUMMYFUNCTION("""COMPUTED_VALUE"""),"Chestplate of Waking Waters")</f>
        <v>Chestplate of Waking Waters</v>
      </c>
      <c r="X57" s="1" t="str">
        <f t="shared" si="1"/>
        <v/>
      </c>
    </row>
    <row r="58">
      <c r="A58" s="1" t="s">
        <v>564</v>
      </c>
      <c r="B58" s="18" t="str">
        <f>IFERROR(VLOOKUP($A58,Equipment!$A$2:$AH1001,MATCH("Description",Equipment!$A$1:$AH$1,0),FALSE),"")</f>
        <v/>
      </c>
      <c r="C58" s="18" t="str">
        <f>IFERROR(VLOOKUP($A58,Equipment!$A$2:$AH1001,MATCH("Type",Equipment!$A$1:$AH$1,0),FALSE),"")</f>
        <v/>
      </c>
      <c r="D58" s="18" t="str">
        <f>IFERROR(VLOOKUP($A58,Equipment!$A$2:$AH1001,MATCH("Slot",Equipment!$A$1:$AH$1,0),FALSE),"")</f>
        <v>Head</v>
      </c>
      <c r="E58" s="20">
        <f>IFERROR(VLOOKUP($A58,Equipment!$A$2:$AH1001,MATCH("LevelReq",Equipment!$A$1:$AH$1,0),FALSE),"")</f>
        <v>20</v>
      </c>
      <c r="F58" s="18" t="str">
        <f>IFERROR(VLOOKUP($A58,Equipconvrt!$A$2:$AH1001,MATCH("Abilities",Equipconvrt!$A$1:$AH$1,0),FALSE),"")</f>
        <v>DEF: +800 ++Immunity to water damage.</v>
      </c>
      <c r="G58" s="20">
        <f>IFERROR(VLOOKUP($A58,Equipment!$A$2:$AD1001,MATCH("Price",Equipment!$A$1:$AH$1,0),FALSE),"")</f>
        <v>1000</v>
      </c>
      <c r="H58" s="4" t="b">
        <v>0</v>
      </c>
      <c r="I58" s="1" t="str">
        <f>IFERROR(VLOOKUP($A58,Equipment!$A$2:$AH1001,MATCH("EquipLoc",Equipment!$A$1:$AH$1,0),FALSE),"")</f>
        <v>Land of Spira</v>
      </c>
      <c r="L58" s="1" t="str">
        <f>IFERROR(__xludf.DUMMYFUNCTION("""COMPUTED_VALUE"""),"Frozen Head-Splitter")</f>
        <v>Frozen Head-Splitter</v>
      </c>
      <c r="W58" s="1" t="str">
        <f>IFERROR(__xludf.DUMMYFUNCTION("""COMPUTED_VALUE"""),"Cloth Cap")</f>
        <v>Cloth Cap</v>
      </c>
      <c r="X58" s="1" t="str">
        <f t="shared" si="1"/>
        <v/>
      </c>
    </row>
    <row r="59">
      <c r="A59" s="1" t="s">
        <v>565</v>
      </c>
      <c r="B59" s="18" t="str">
        <f>IFERROR(VLOOKUP($A59,Equipment!$A$2:$AH1001,MATCH("Description",Equipment!$A$1:$AH$1,0),FALSE),"")</f>
        <v/>
      </c>
      <c r="C59" s="18" t="str">
        <f>IFERROR(VLOOKUP($A59,Equipment!$A$2:$AH1001,MATCH("Type",Equipment!$A$1:$AH$1,0),FALSE),"")</f>
        <v/>
      </c>
      <c r="D59" s="18" t="str">
        <f>IFERROR(VLOOKUP($A59,Equipment!$A$2:$AH1001,MATCH("Slot",Equipment!$A$1:$AH$1,0),FALSE),"")</f>
        <v>Torso</v>
      </c>
      <c r="E59" s="20">
        <f>IFERROR(VLOOKUP($A59,Equipment!$A$2:$AH1001,MATCH("LevelReq",Equipment!$A$1:$AH$1,0),FALSE),"")</f>
        <v>10</v>
      </c>
      <c r="F59" s="18" t="str">
        <f>IFERROR(VLOOKUP($A59,Equipconvrt!$A$2:$AH1001,MATCH("Abilities",Equipconvrt!$A$1:$AH$1,0),FALSE),"")</f>
        <v>DEF: +500 ++will negate a critical hit to the wearer</v>
      </c>
      <c r="G59" s="20">
        <f>IFERROR(VLOOKUP($A59,Equipment!$A$2:$AD1001,MATCH("Price",Equipment!$A$1:$AH$1,0),FALSE),"")</f>
        <v>1000</v>
      </c>
      <c r="H59" s="4" t="b">
        <v>0</v>
      </c>
      <c r="I59" s="1" t="str">
        <f>IFERROR(VLOOKUP($A59,Equipment!$A$2:$AH1001,MATCH("EquipLoc",Equipment!$A$1:$AH$1,0),FALSE),"")</f>
        <v>Land of Spira</v>
      </c>
      <c r="L59" s="1" t="str">
        <f>IFERROR(__xludf.DUMMYFUNCTION("""COMPUTED_VALUE"""),"Fireball Cannon")</f>
        <v>Fireball Cannon</v>
      </c>
      <c r="W59" s="1" t="str">
        <f>IFERROR(__xludf.DUMMYFUNCTION("""COMPUTED_VALUE"""),"Colossus Bone Sword")</f>
        <v>Colossus Bone Sword</v>
      </c>
      <c r="X59" s="1" t="str">
        <f t="shared" si="1"/>
        <v/>
      </c>
    </row>
    <row r="60">
      <c r="A60" s="1" t="s">
        <v>566</v>
      </c>
      <c r="B60" s="18" t="str">
        <f>IFERROR(VLOOKUP($A60,Equipment!$A$2:$AH1001,MATCH("Description",Equipment!$A$1:$AH$1,0),FALSE),"")</f>
        <v/>
      </c>
      <c r="C60" s="18" t="str">
        <f>IFERROR(VLOOKUP($A60,Equipment!$A$2:$AH1001,MATCH("Type",Equipment!$A$1:$AH$1,0),FALSE),"")</f>
        <v>Staff</v>
      </c>
      <c r="D60" s="18" t="str">
        <f>IFERROR(VLOOKUP($A60,Equipment!$A$2:$AH1001,MATCH("Slot",Equipment!$A$1:$AH$1,0),FALSE),"")</f>
        <v>Hand</v>
      </c>
      <c r="E60" s="20">
        <f>IFERROR(VLOOKUP($A60,Equipment!$A$2:$AH1001,MATCH("LevelReq",Equipment!$A$1:$AH$1,0),FALSE),"")</f>
        <v>400</v>
      </c>
      <c r="F60" s="18" t="str">
        <f>IFERROR(VLOOKUP($A60,Equipconvrt!$A$2:$AH1001,MATCH("Abilities",Equipconvrt!$A$1:$AH$1,0),FALSE),"")</f>
        <v>DMG: +10000, Dark DMG: +10000 ++Swarm: inflicts 10000 bleed to all enemies. +- 300SP</v>
      </c>
      <c r="G60" s="20">
        <f>IFERROR(VLOOKUP($A60,Equipment!$A$2:$AD1001,MATCH("Price",Equipment!$A$1:$AH$1,0),FALSE),"")</f>
        <v>7800000</v>
      </c>
      <c r="H60" s="4" t="b">
        <v>0</v>
      </c>
      <c r="I60" s="1" t="str">
        <f>IFERROR(VLOOKUP($A60,Equipment!$A$2:$AH1001,MATCH("EquipLoc",Equipment!$A$1:$AH$1,0),FALSE),"")</f>
        <v>Land of Spira</v>
      </c>
      <c r="L60" s="1" t="str">
        <f>IFERROR(__xludf.DUMMYFUNCTION("""COMPUTED_VALUE"""),"Harpoon Gun")</f>
        <v>Harpoon Gun</v>
      </c>
      <c r="W60" s="1" t="str">
        <f>IFERROR(__xludf.DUMMYFUNCTION("""COMPUTED_VALUE"""),"Coral Hat")</f>
        <v>Coral Hat</v>
      </c>
      <c r="X60" s="1" t="str">
        <f t="shared" si="1"/>
        <v/>
      </c>
    </row>
    <row r="61">
      <c r="A61" s="1" t="s">
        <v>567</v>
      </c>
      <c r="B61" s="18" t="str">
        <f>IFERROR(VLOOKUP($A61,Equipment!$A$2:$AH1001,MATCH("Description",Equipment!$A$1:$AH$1,0),FALSE),"")</f>
        <v/>
      </c>
      <c r="C61" s="18" t="str">
        <f>IFERROR(VLOOKUP($A61,Equipment!$A$2:$AH1001,MATCH("Type",Equipment!$A$1:$AH$1,0),FALSE),"")</f>
        <v/>
      </c>
      <c r="D61" s="18" t="str">
        <f>IFERROR(VLOOKUP($A61,Equipment!$A$2:$AH1001,MATCH("Slot",Equipment!$A$1:$AH$1,0),FALSE),"")</f>
        <v>Head</v>
      </c>
      <c r="E61" s="20">
        <f>IFERROR(VLOOKUP($A61,Equipment!$A$2:$AH1001,MATCH("LevelReq",Equipment!$A$1:$AH$1,0),FALSE),"")</f>
        <v>300</v>
      </c>
      <c r="F61" s="18" t="str">
        <f>IFERROR(VLOOKUP($A61,Equipconvrt!$A$2:$AH1001,MATCH("Abilities",Equipconvrt!$A$1:$AH$1,0),FALSE),"")</f>
        <v>DEF: +15000 ++Select one target and choose an action for them during your turn (This counts as a form of possession) Fail/Succeed. +-Cannot be duplicated. </v>
      </c>
      <c r="G61" s="20">
        <f>IFERROR(VLOOKUP($A61,Equipment!$A$2:$AD1001,MATCH("Price",Equipment!$A$1:$AH$1,0),FALSE),"")</f>
        <v>4350000</v>
      </c>
      <c r="H61" s="4" t="b">
        <v>1</v>
      </c>
      <c r="I61" s="1" t="str">
        <f>IFERROR(VLOOKUP($A61,Equipment!$A$2:$AH1001,MATCH("EquipLoc",Equipment!$A$1:$AH$1,0),FALSE),"")</f>
        <v>Land of The Forgotten</v>
      </c>
      <c r="L61" s="1" t="str">
        <f>IFERROR(__xludf.DUMMYFUNCTION("""COMPUTED_VALUE"""),"Torpedo Launcher")</f>
        <v>Torpedo Launcher</v>
      </c>
      <c r="W61" s="1" t="str">
        <f>IFERROR(__xludf.DUMMYFUNCTION("""COMPUTED_VALUE"""),"Critical Vanish Armor")</f>
        <v>Critical Vanish Armor</v>
      </c>
      <c r="X61" s="1" t="str">
        <f t="shared" si="1"/>
        <v/>
      </c>
    </row>
    <row r="62">
      <c r="A62" s="1" t="s">
        <v>568</v>
      </c>
      <c r="B62" s="18" t="str">
        <f>IFERROR(VLOOKUP($A62,Equipment!$A$2:$AH1001,MATCH("Description",Equipment!$A$1:$AH$1,0),FALSE),"")</f>
        <v/>
      </c>
      <c r="C62" s="18" t="str">
        <f>IFERROR(VLOOKUP($A62,Equipment!$A$2:$AH1001,MATCH("Type",Equipment!$A$1:$AH$1,0),FALSE),"")</f>
        <v/>
      </c>
      <c r="D62" s="18" t="str">
        <f>IFERROR(VLOOKUP($A62,Equipment!$A$2:$AH1001,MATCH("Slot",Equipment!$A$1:$AH$1,0),FALSE),"")</f>
        <v>Head</v>
      </c>
      <c r="E62" s="20">
        <f>IFERROR(VLOOKUP($A62,Equipment!$A$2:$AH1001,MATCH("LevelReq",Equipment!$A$1:$AH$1,0),FALSE),"")</f>
        <v>200</v>
      </c>
      <c r="F62" s="18" t="str">
        <f>IFERROR(VLOOKUP($A62,Equipconvrt!$A$2:$AH1001,MATCH("Abilities",Equipconvrt!$A$1:$AH$1,0),FALSE),"")</f>
        <v>DEF: +10000 (The Frozen Spear Master Set) ++Frost Boost- X2 Storm damage. ++All weapon attacks have a 25% chance to freeze whoever you hit</v>
      </c>
      <c r="G62" s="20">
        <f>IFERROR(VLOOKUP($A62,Equipment!$A$2:$AD1001,MATCH("Price",Equipment!$A$1:$AH$1,0),FALSE),"")</f>
        <v>1900000</v>
      </c>
      <c r="H62" s="4" t="b">
        <v>0</v>
      </c>
      <c r="I62" s="1" t="str">
        <f>IFERROR(VLOOKUP($A62,Equipment!$A$2:$AH1001,MATCH("EquipLoc",Equipment!$A$1:$AH$1,0),FALSE),"")</f>
        <v>Land of Spira</v>
      </c>
      <c r="L62" s="1" t="str">
        <f>IFERROR(__xludf.DUMMYFUNCTION("""COMPUTED_VALUE"""),"Double Barrel Shotgun")</f>
        <v>Double Barrel Shotgun</v>
      </c>
      <c r="W62" s="1" t="str">
        <f>IFERROR(__xludf.DUMMYFUNCTION("""COMPUTED_VALUE"""),"Crow Staff")</f>
        <v>Crow Staff</v>
      </c>
      <c r="X62" s="1" t="str">
        <f t="shared" si="1"/>
        <v/>
      </c>
    </row>
    <row r="63">
      <c r="A63" s="1" t="s">
        <v>569</v>
      </c>
      <c r="B63" s="18" t="str">
        <f>IFERROR(VLOOKUP($A63,Equipment!$A$2:$AH1001,MATCH("Description",Equipment!$A$1:$AH$1,0),FALSE),"")</f>
        <v/>
      </c>
      <c r="C63" s="18" t="str">
        <f>IFERROR(VLOOKUP($A63,Equipment!$A$2:$AH1001,MATCH("Type",Equipment!$A$1:$AH$1,0),FALSE),"")</f>
        <v/>
      </c>
      <c r="D63" s="18" t="str">
        <f>IFERROR(VLOOKUP($A63,Equipment!$A$2:$AH1001,MATCH("Slot",Equipment!$A$1:$AH$1,0),FALSE),"")</f>
        <v>Head</v>
      </c>
      <c r="E63" s="20">
        <f>IFERROR(VLOOKUP($A63,Equipment!$A$2:$AH1001,MATCH("LevelReq",Equipment!$A$1:$AH$1,0),FALSE),"")</f>
        <v>20</v>
      </c>
      <c r="F63" s="18" t="str">
        <f>IFERROR(VLOOKUP($A63,Equipconvrt!$A$2:$AH1001,MATCH("Abilities",Equipconvrt!$A$1:$AH$1,0),FALSE),"")</f>
        <v>DEF: +1000 ++Immunity to Dark, Chaos, Fire, and Nature damage. ++Only Undead can equip. ++This item effect bypasses the Undead race ability. +-Cannot be duplicated.</v>
      </c>
      <c r="G63" s="20">
        <f>IFERROR(VLOOKUP($A63,Equipment!$A$2:$AD1001,MATCH("Price",Equipment!$A$1:$AH$1,0),FALSE),"")</f>
        <v>10000</v>
      </c>
      <c r="H63" s="4" t="b">
        <v>1</v>
      </c>
      <c r="I63" s="1" t="str">
        <f>IFERROR(VLOOKUP($A63,Equipment!$A$2:$AH1001,MATCH("EquipLoc",Equipment!$A$1:$AH$1,0),FALSE),"")</f>
        <v>Land of The Forgotten</v>
      </c>
      <c r="L63" s="1" t="str">
        <f>IFERROR(__xludf.DUMMYFUNCTION("""COMPUTED_VALUE"""),"Single Barrel Shotgun")</f>
        <v>Single Barrel Shotgun</v>
      </c>
      <c r="W63" s="1" t="str">
        <f>IFERROR(__xludf.DUMMYFUNCTION("""COMPUTED_VALUE"""),"Crown of Control")</f>
        <v>Crown of Control</v>
      </c>
      <c r="X63" s="1" t="str">
        <f t="shared" si="1"/>
        <v/>
      </c>
    </row>
    <row r="64">
      <c r="A64" s="1" t="s">
        <v>570</v>
      </c>
      <c r="B64" s="18" t="str">
        <f>IFERROR(VLOOKUP($A64,Equipment!$A$2:$AH1001,MATCH("Description",Equipment!$A$1:$AH$1,0),FALSE),"")</f>
        <v/>
      </c>
      <c r="C64" s="18" t="str">
        <f>IFERROR(VLOOKUP($A64,Equipment!$A$2:$AH1001,MATCH("Type",Equipment!$A$1:$AH$1,0),FALSE),"")</f>
        <v/>
      </c>
      <c r="D64" s="18" t="str">
        <f>IFERROR(VLOOKUP($A64,Equipment!$A$2:$AH1001,MATCH("Slot",Equipment!$A$1:$AH$1,0),FALSE),"")</f>
        <v>Head</v>
      </c>
      <c r="E64" s="20">
        <f>IFERROR(VLOOKUP($A64,Equipment!$A$2:$AH1001,MATCH("LevelReq",Equipment!$A$1:$AH$1,0),FALSE),"")</f>
        <v>1</v>
      </c>
      <c r="F64" s="18" t="str">
        <f>IFERROR(VLOOKUP($A64,Equipconvrt!$A$2:$AH1001,MATCH("Abilities",Equipconvrt!$A$1:$AH$1,0),FALSE),"")</f>
        <v> ++X4 additional water damage for the user, ++Water spells cost half sp, +-Cannot be duplicated.</v>
      </c>
      <c r="G64" s="20">
        <f>IFERROR(VLOOKUP($A64,Equipment!$A$2:$AD1001,MATCH("Price",Equipment!$A$1:$AH$1,0),FALSE),"")</f>
        <v>0</v>
      </c>
      <c r="H64" s="4" t="b">
        <v>0</v>
      </c>
      <c r="I64" s="1" t="str">
        <f>IFERROR(VLOOKUP($A64,Equipment!$A$2:$AH1001,MATCH("EquipLoc",Equipment!$A$1:$AH$1,0),FALSE),"")</f>
        <v>Land of Spira</v>
      </c>
      <c r="L64" s="1" t="str">
        <f>IFERROR(__xludf.DUMMYFUNCTION("""COMPUTED_VALUE"""),"Poison Staff")</f>
        <v>Poison Staff</v>
      </c>
      <c r="W64" s="1" t="str">
        <f>IFERROR(__xludf.DUMMYFUNCTION("""COMPUTED_VALUE"""),"Crown of Ice Spears")</f>
        <v>Crown of Ice Spears</v>
      </c>
      <c r="X64" s="1" t="str">
        <f t="shared" si="1"/>
        <v/>
      </c>
    </row>
    <row r="65">
      <c r="A65" s="1" t="s">
        <v>571</v>
      </c>
      <c r="B65" s="18" t="str">
        <f>IFERROR(VLOOKUP($A65,Equipment!$A$2:$AH1001,MATCH("Description",Equipment!$A$1:$AH$1,0),FALSE),"")</f>
        <v/>
      </c>
      <c r="C65" s="18" t="str">
        <f>IFERROR(VLOOKUP($A65,Equipment!$A$2:$AH1001,MATCH("Type",Equipment!$A$1:$AH$1,0),FALSE),"")</f>
        <v/>
      </c>
      <c r="D65" s="18" t="str">
        <f>IFERROR(VLOOKUP($A65,Equipment!$A$2:$AH1001,MATCH("Slot",Equipment!$A$1:$AH$1,0),FALSE),"")</f>
        <v>Head</v>
      </c>
      <c r="E65" s="20">
        <f>IFERROR(VLOOKUP($A65,Equipment!$A$2:$AH1001,MATCH("LevelReq",Equipment!$A$1:$AH$1,0),FALSE),"")</f>
        <v>400</v>
      </c>
      <c r="F65" s="18" t="str">
        <f>IFERROR(VLOOKUP($A65,Equipconvrt!$A$2:$AH1001,MATCH("Abilities",Equipconvrt!$A$1:$AH$1,0),FALSE),"")</f>
        <v>DEF: +20000 ++Waves of Entitlement - x5 additional Water damage</v>
      </c>
      <c r="G65" s="20">
        <f>IFERROR(VLOOKUP($A65,Equipment!$A$2:$AD1001,MATCH("Price",Equipment!$A$1:$AH$1,0),FALSE),"")</f>
        <v>7800000</v>
      </c>
      <c r="H65" s="4" t="b">
        <v>0</v>
      </c>
      <c r="I65" s="1" t="str">
        <f>IFERROR(VLOOKUP($A65,Equipment!$A$2:$AH1001,MATCH("EquipLoc",Equipment!$A$1:$AH$1,0),FALSE),"")</f>
        <v>Land of Spira</v>
      </c>
      <c r="L65" s="1" t="str">
        <f>IFERROR(__xludf.DUMMYFUNCTION("""COMPUTED_VALUE"""),"Chameldrians Staff of Thriving Blossoms")</f>
        <v>Chameldrians Staff of Thriving Blossoms</v>
      </c>
      <c r="W65" s="1" t="str">
        <f>IFERROR(__xludf.DUMMYFUNCTION("""COMPUTED_VALUE"""),"Crown of the Forgotten")</f>
        <v>Crown of the Forgotten</v>
      </c>
      <c r="X65" s="1" t="str">
        <f t="shared" si="1"/>
        <v/>
      </c>
    </row>
    <row r="66">
      <c r="A66" s="1" t="s">
        <v>572</v>
      </c>
      <c r="B66" s="18" t="str">
        <f>IFERROR(VLOOKUP($A66,Equipment!$A$2:$AH1001,MATCH("Description",Equipment!$A$1:$AH$1,0),FALSE),"")</f>
        <v>(The Frozen Blade Master Set)</v>
      </c>
      <c r="C66" s="18" t="str">
        <f>IFERROR(VLOOKUP($A66,Equipment!$A$2:$AH1001,MATCH("Type",Equipment!$A$1:$AH$1,0),FALSE),"")</f>
        <v>Sword</v>
      </c>
      <c r="D66" s="18" t="str">
        <f>IFERROR(VLOOKUP($A66,Equipment!$A$2:$AH1001,MATCH("Slot",Equipment!$A$1:$AH$1,0),FALSE),"")</f>
        <v>Hand</v>
      </c>
      <c r="E66" s="20">
        <f>IFERROR(VLOOKUP($A66,Equipment!$A$2:$AH1001,MATCH("LevelReq",Equipment!$A$1:$AH$1,0),FALSE),"")</f>
        <v>400</v>
      </c>
      <c r="F66" s="18" t="str">
        <f>IFERROR(VLOOKUP($A66,Equipconvrt!$A$2:$AH1001,MATCH("Abilities",Equipconvrt!$A$1:$AH$1,0),FALSE),"")</f>
        <v>DMG: +10000, Water DMG: +10000 ++10% chance to freeze all enemies.</v>
      </c>
      <c r="G66" s="20">
        <f>IFERROR(VLOOKUP($A66,Equipment!$A$2:$AD1001,MATCH("Price",Equipment!$A$1:$AH$1,0),FALSE),"")</f>
        <v>7800000</v>
      </c>
      <c r="H66" s="4" t="b">
        <v>0</v>
      </c>
      <c r="I66" s="1" t="str">
        <f>IFERROR(VLOOKUP($A66,Equipment!$A$2:$AH1001,MATCH("EquipLoc",Equipment!$A$1:$AH$1,0),FALSE),"")</f>
        <v>Land of Spira</v>
      </c>
      <c r="L66" s="1" t="str">
        <f>IFERROR(__xludf.DUMMYFUNCTION("""COMPUTED_VALUE"""),"Cooper's Memento")</f>
        <v>Cooper's Memento</v>
      </c>
      <c r="W66" s="1" t="str">
        <f>IFERROR(__xludf.DUMMYFUNCTION("""COMPUTED_VALUE"""),"Crown Of The Sea Serpent")</f>
        <v>Crown Of The Sea Serpent</v>
      </c>
      <c r="X66" s="1" t="str">
        <f t="shared" si="1"/>
        <v/>
      </c>
    </row>
    <row r="67">
      <c r="A67" s="1" t="s">
        <v>573</v>
      </c>
      <c r="B67" s="18" t="str">
        <f>IFERROR(VLOOKUP($A67,Equipment!$A$2:$AH1001,MATCH("Description",Equipment!$A$1:$AH$1,0),FALSE),"")</f>
        <v/>
      </c>
      <c r="C67" s="18" t="str">
        <f>IFERROR(VLOOKUP($A67,Equipment!$A$2:$AH1001,MATCH("Type",Equipment!$A$1:$AH$1,0),FALSE),"")</f>
        <v/>
      </c>
      <c r="D67" s="18" t="str">
        <f>IFERROR(VLOOKUP($A67,Equipment!$A$2:$AH1001,MATCH("Slot",Equipment!$A$1:$AH$1,0),FALSE),"")</f>
        <v>Head</v>
      </c>
      <c r="E67" s="20">
        <f>IFERROR(VLOOKUP($A67,Equipment!$A$2:$AH1001,MATCH("LevelReq",Equipment!$A$1:$AH$1,0),FALSE),"")</f>
        <v>200</v>
      </c>
      <c r="F67" s="18" t="str">
        <f>IFERROR(VLOOKUP($A67,Equipconvrt!$A$2:$AH1001,MATCH("Abilities",Equipconvrt!$A$1:$AH$1,0),FALSE),"")</f>
        <v>DEF: +10000 ++When equipped, Gem and Crystal related weapons deal an additional X2 damage for the user.</v>
      </c>
      <c r="G67" s="20">
        <f>IFERROR(VLOOKUP($A67,Equipment!$A$2:$AD1001,MATCH("Price",Equipment!$A$1:$AH$1,0),FALSE),"")</f>
        <v>1900000</v>
      </c>
      <c r="H67" s="4" t="b">
        <v>0</v>
      </c>
      <c r="I67" s="1" t="str">
        <f>IFERROR(VLOOKUP($A67,Equipment!$A$2:$AH1001,MATCH("EquipLoc",Equipment!$A$1:$AH$1,0),FALSE),"")</f>
        <v>Land of Spira</v>
      </c>
      <c r="L67" s="1" t="str">
        <f>IFERROR(__xludf.DUMMYFUNCTION("""COMPUTED_VALUE"""),"Gaian Champion's Shield")</f>
        <v>Gaian Champion's Shield</v>
      </c>
      <c r="W67" s="1" t="str">
        <f>IFERROR(__xludf.DUMMYFUNCTION("""COMPUTED_VALUE"""),"Crown Of Tritonoch")</f>
        <v>Crown Of Tritonoch</v>
      </c>
      <c r="X67" s="1" t="str">
        <f t="shared" si="1"/>
        <v/>
      </c>
    </row>
    <row r="68">
      <c r="A68" s="1" t="s">
        <v>574</v>
      </c>
      <c r="B68" s="18" t="str">
        <f>IFERROR(VLOOKUP($A68,Equipment!$A$2:$AH1001,MATCH("Description",Equipment!$A$1:$AH$1,0),FALSE),"")</f>
        <v/>
      </c>
      <c r="C68" s="18" t="str">
        <f>IFERROR(VLOOKUP($A68,Equipment!$A$2:$AH1001,MATCH("Type",Equipment!$A$1:$AH$1,0),FALSE),"")</f>
        <v/>
      </c>
      <c r="D68" s="18" t="str">
        <f>IFERROR(VLOOKUP($A68,Equipment!$A$2:$AH1001,MATCH("Slot",Equipment!$A$1:$AH$1,0),FALSE),"")</f>
        <v>Hand</v>
      </c>
      <c r="E68" s="20">
        <f>IFERROR(VLOOKUP($A68,Equipment!$A$2:$AH1001,MATCH("LevelReq",Equipment!$A$1:$AH$1,0),FALSE),"")</f>
        <v>400</v>
      </c>
      <c r="F68" s="18" t="str">
        <f>IFERROR(VLOOKUP($A68,Equipconvrt!$A$2:$AH1001,MATCH("Abilities",Equipconvrt!$A$1:$AH$1,0),FALSE),"")</f>
        <v>DMG: +10000, Earth DMG: +10000 ++When equipped, Gem and Crystal related weapons deal an additional X6 damage for the user.</v>
      </c>
      <c r="G68" s="20">
        <f>IFERROR(VLOOKUP($A68,Equipment!$A$2:$AD1001,MATCH("Price",Equipment!$A$1:$AH$1,0),FALSE),"")</f>
        <v>7800000</v>
      </c>
      <c r="H68" s="4" t="b">
        <v>0</v>
      </c>
      <c r="I68" s="1" t="str">
        <f>IFERROR(VLOOKUP($A68,Equipment!$A$2:$AH1001,MATCH("EquipLoc",Equipment!$A$1:$AH$1,0),FALSE),"")</f>
        <v>Land of Spira</v>
      </c>
      <c r="L68" s="1" t="str">
        <f>IFERROR(__xludf.DUMMYFUNCTION("""COMPUTED_VALUE"""),"The Billowing Bludgeon")</f>
        <v>The Billowing Bludgeon</v>
      </c>
      <c r="W68" s="1" t="str">
        <f>IFERROR(__xludf.DUMMYFUNCTION("""COMPUTED_VALUE"""),"Cryogenic Claymore")</f>
        <v>Cryogenic Claymore</v>
      </c>
      <c r="X68" s="1" t="str">
        <f t="shared" si="1"/>
        <v/>
      </c>
    </row>
    <row r="69">
      <c r="A69" s="1" t="s">
        <v>575</v>
      </c>
      <c r="B69" s="18" t="str">
        <f>IFERROR(VLOOKUP($A69,Equipment!$A$2:$AH1001,MATCH("Description",Equipment!$A$1:$AH$1,0),FALSE),"")</f>
        <v/>
      </c>
      <c r="C69" s="18" t="str">
        <f>IFERROR(VLOOKUP($A69,Equipment!$A$2:$AH1001,MATCH("Type",Equipment!$A$1:$AH$1,0),FALSE),"")</f>
        <v/>
      </c>
      <c r="D69" s="18" t="str">
        <f>IFERROR(VLOOKUP($A69,Equipment!$A$2:$AH1001,MATCH("Slot",Equipment!$A$1:$AH$1,0),FALSE),"")</f>
        <v>Torso</v>
      </c>
      <c r="E69" s="20">
        <f>IFERROR(VLOOKUP($A69,Equipment!$A$2:$AH1001,MATCH("LevelReq",Equipment!$A$1:$AH$1,0),FALSE),"")</f>
        <v>200</v>
      </c>
      <c r="F69" s="18" t="str">
        <f>IFERROR(VLOOKUP($A69,Equipconvrt!$A$2:$AH1001,MATCH("Abilities",Equipconvrt!$A$1:$AH$1,0),FALSE),"")</f>
        <v>DEF: +5000, Earth DEF: +5000 ++When equipped, Gem and Crystal related weapons deal an additional X2 damage for the user.</v>
      </c>
      <c r="G69" s="20">
        <f>IFERROR(VLOOKUP($A69,Equipment!$A$2:$AD1001,MATCH("Price",Equipment!$A$1:$AH$1,0),FALSE),"")</f>
        <v>1900000</v>
      </c>
      <c r="H69" s="4" t="b">
        <v>0</v>
      </c>
      <c r="I69" s="1" t="str">
        <f>IFERROR(VLOOKUP($A69,Equipment!$A$2:$AH1001,MATCH("EquipLoc",Equipment!$A$1:$AH$1,0),FALSE),"")</f>
        <v>Land of Spira</v>
      </c>
      <c r="L69" s="1" t="str">
        <f>IFERROR(__xludf.DUMMYFUNCTION("""COMPUTED_VALUE"""),"Home Run Bat")</f>
        <v>Home Run Bat</v>
      </c>
      <c r="W69" s="1" t="str">
        <f>IFERROR(__xludf.DUMMYFUNCTION("""COMPUTED_VALUE"""),"Crystal Forged Helmet")</f>
        <v>Crystal Forged Helmet</v>
      </c>
      <c r="X69" s="1" t="str">
        <f t="shared" si="1"/>
        <v/>
      </c>
    </row>
    <row r="70">
      <c r="A70" s="1" t="s">
        <v>576</v>
      </c>
      <c r="B70" s="18" t="str">
        <f>IFERROR(VLOOKUP($A70,Equipment!$A$2:$AH1001,MATCH("Description",Equipment!$A$1:$AH$1,0),FALSE),"")</f>
        <v/>
      </c>
      <c r="C70" s="18" t="str">
        <f>IFERROR(VLOOKUP($A70,Equipment!$A$2:$AH1001,MATCH("Type",Equipment!$A$1:$AH$1,0),FALSE),"")</f>
        <v/>
      </c>
      <c r="D70" s="18" t="str">
        <f>IFERROR(VLOOKUP($A70,Equipment!$A$2:$AH1001,MATCH("Slot",Equipment!$A$1:$AH$1,0),FALSE),"")</f>
        <v>Neck</v>
      </c>
      <c r="E70" s="20">
        <f>IFERROR(VLOOKUP($A70,Equipment!$A$2:$AH1001,MATCH("LevelReq",Equipment!$A$1:$AH$1,0),FALSE),"")</f>
        <v>1</v>
      </c>
      <c r="F70" s="18" t="str">
        <f>IFERROR(VLOOKUP($A70,Equipconvrt!$A$2:$AH1001,MATCH("Abilities",Equipconvrt!$A$1:$AH$1,0),FALSE),"")</f>
        <v> ++Crystal Aura - Protected from death once per battle, can only use the effect of "Crystal Aura" once per battle. +-Can only have one equipped.    +-Cannot be duplicated.</v>
      </c>
      <c r="G70" s="20">
        <f>IFERROR(VLOOKUP($A70,Equipment!$A$2:$AD1001,MATCH("Price",Equipment!$A$1:$AH$1,0),FALSE),"")</f>
        <v>0</v>
      </c>
      <c r="H70" s="4" t="b">
        <v>0</v>
      </c>
      <c r="I70" s="1" t="str">
        <f>IFERROR(VLOOKUP($A70,Equipment!$A$2:$AH1001,MATCH("EquipLoc",Equipment!$A$1:$AH$1,0),FALSE),"")</f>
        <v>Land of Spira</v>
      </c>
      <c r="L70" s="1" t="str">
        <f>IFERROR(__xludf.DUMMYFUNCTION("""COMPUTED_VALUE"""),"Lunar New Year Dragon Head")</f>
        <v>Lunar New Year Dragon Head</v>
      </c>
      <c r="W70" s="1" t="str">
        <f>IFERROR(__xludf.DUMMYFUNCTION("""COMPUTED_VALUE"""),"Crystal Forged Axe")</f>
        <v>Crystal Forged Axe</v>
      </c>
      <c r="X70" s="1" t="str">
        <f t="shared" si="1"/>
        <v/>
      </c>
    </row>
    <row r="71">
      <c r="A71" s="1" t="s">
        <v>577</v>
      </c>
      <c r="B71" s="18" t="str">
        <f>IFERROR(VLOOKUP($A71,Equipment!$A$2:$AH1001,MATCH("Description",Equipment!$A$1:$AH$1,0),FALSE),"")</f>
        <v/>
      </c>
      <c r="C71" s="18" t="str">
        <f>IFERROR(VLOOKUP($A71,Equipment!$A$2:$AH1001,MATCH("Type",Equipment!$A$1:$AH$1,0),FALSE),"")</f>
        <v>Sword</v>
      </c>
      <c r="D71" s="18" t="str">
        <f>IFERROR(VLOOKUP($A71,Equipment!$A$2:$AH1001,MATCH("Slot",Equipment!$A$1:$AH$1,0),FALSE),"")</f>
        <v>Hand</v>
      </c>
      <c r="E71" s="20">
        <f>IFERROR(VLOOKUP($A71,Equipment!$A$2:$AH1001,MATCH("LevelReq",Equipment!$A$1:$AH$1,0),FALSE),"")</f>
        <v>200</v>
      </c>
      <c r="F71" s="18" t="str">
        <f>IFERROR(VLOOKUP($A71,Equipconvrt!$A$2:$AH1001,MATCH("Abilities",Equipconvrt!$A$1:$AH$1,0),FALSE),"")</f>
        <v>DMG: +5000, Earth DMG: +5000 ++When equipped, Gem and Crystal related weapons deal an additional X4 damage for the user.</v>
      </c>
      <c r="G71" s="20">
        <f>IFERROR(VLOOKUP($A71,Equipment!$A$2:$AD1001,MATCH("Price",Equipment!$A$1:$AH$1,0),FALSE),"")</f>
        <v>1900000</v>
      </c>
      <c r="H71" s="4" t="b">
        <v>0</v>
      </c>
      <c r="I71" s="1" t="str">
        <f>IFERROR(VLOOKUP($A71,Equipment!$A$2:$AH1001,MATCH("EquipLoc",Equipment!$A$1:$AH$1,0),FALSE),"")</f>
        <v>Land of Spira</v>
      </c>
      <c r="L71" s="1" t="str">
        <f>IFERROR(__xludf.DUMMYFUNCTION("""COMPUTED_VALUE"""),"Lunar New Year Dragon Shoulders")</f>
        <v>Lunar New Year Dragon Shoulders</v>
      </c>
      <c r="W71" s="1" t="str">
        <f>IFERROR(__xludf.DUMMYFUNCTION("""COMPUTED_VALUE"""),"Crystal Forged Chestplate")</f>
        <v>Crystal Forged Chestplate</v>
      </c>
      <c r="X71" s="1" t="str">
        <f t="shared" si="1"/>
        <v/>
      </c>
    </row>
    <row r="72">
      <c r="A72" s="1" t="s">
        <v>578</v>
      </c>
      <c r="B72" s="18" t="str">
        <f>IFERROR(VLOOKUP($A72,Equipment!$A$2:$AH1001,MATCH("Description",Equipment!$A$1:$AH$1,0),FALSE),"")</f>
        <v/>
      </c>
      <c r="C72" s="18" t="str">
        <f>IFERROR(VLOOKUP($A72,Equipment!$A$2:$AH1001,MATCH("Type",Equipment!$A$1:$AH$1,0),FALSE),"")</f>
        <v/>
      </c>
      <c r="D72" s="18" t="str">
        <f>IFERROR(VLOOKUP($A72,Equipment!$A$2:$AH1001,MATCH("Slot",Equipment!$A$1:$AH$1,0),FALSE),"")</f>
        <v>Ring</v>
      </c>
      <c r="E72" s="20">
        <f>IFERROR(VLOOKUP($A72,Equipment!$A$2:$AH1001,MATCH("LevelReq",Equipment!$A$1:$AH$1,0),FALSE),"")</f>
        <v>1</v>
      </c>
      <c r="F72" s="18" t="str">
        <f>IFERROR(VLOOKUP($A72,Equipconvrt!$A$2:$AH1001,MATCH("Abilities",Equipconvrt!$A$1:$AH$1,0),FALSE),"")</f>
        <v> ++When equipped, Gem and Crystal related weapons deal an additional X2 damage for the user.</v>
      </c>
      <c r="G72" s="20">
        <f>IFERROR(VLOOKUP($A72,Equipment!$A$2:$AD1001,MATCH("Price",Equipment!$A$1:$AH$1,0),FALSE),"")</f>
        <v>0</v>
      </c>
      <c r="H72" s="4" t="b">
        <v>0</v>
      </c>
      <c r="I72" s="1" t="str">
        <f>IFERROR(VLOOKUP($A72,Equipment!$A$2:$AH1001,MATCH("EquipLoc",Equipment!$A$1:$AH$1,0),FALSE),"")</f>
        <v>Land of Spira</v>
      </c>
      <c r="L72" s="1" t="str">
        <f>IFERROR(__xludf.DUMMYFUNCTION("""COMPUTED_VALUE"""),"Lunar New Year Dragon Arms")</f>
        <v>Lunar New Year Dragon Arms</v>
      </c>
      <c r="W72" s="1" t="str">
        <f>IFERROR(__xludf.DUMMYFUNCTION("""COMPUTED_VALUE"""),"Crystal Healing Amulet")</f>
        <v>Crystal Healing Amulet</v>
      </c>
      <c r="X72" s="1" t="str">
        <f t="shared" si="1"/>
        <v/>
      </c>
    </row>
    <row r="73">
      <c r="A73" s="1" t="s">
        <v>579</v>
      </c>
      <c r="B73" s="18" t="str">
        <f>IFERROR(VLOOKUP($A73,Equipment!$A$2:$AH1001,MATCH("Description",Equipment!$A$1:$AH$1,0),FALSE),"")</f>
        <v/>
      </c>
      <c r="C73" s="18" t="str">
        <f>IFERROR(VLOOKUP($A73,Equipment!$A$2:$AH1001,MATCH("Type",Equipment!$A$1:$AH$1,0),FALSE),"")</f>
        <v>Buckler</v>
      </c>
      <c r="D73" s="18" t="str">
        <f>IFERROR(VLOOKUP($A73,Equipment!$A$2:$AH1001,MATCH("Slot",Equipment!$A$1:$AH$1,0),FALSE),"")</f>
        <v>Hand</v>
      </c>
      <c r="E73" s="20">
        <f>IFERROR(VLOOKUP($A73,Equipment!$A$2:$AH1001,MATCH("LevelReq",Equipment!$A$1:$AH$1,0),FALSE),"")</f>
        <v>200</v>
      </c>
      <c r="F73" s="18" t="str">
        <f>IFERROR(VLOOKUP($A73,Equipconvrt!$A$2:$AH1001,MATCH("Abilities",Equipconvrt!$A$1:$AH$1,0),FALSE),"")</f>
        <v>DEF: +10000 ++Take half damage from Gem and Crystal related weapons.</v>
      </c>
      <c r="G73" s="20">
        <f>IFERROR(VLOOKUP($A73,Equipment!$A$2:$AD1001,MATCH("Price",Equipment!$A$1:$AH$1,0),FALSE),"")</f>
        <v>1900000</v>
      </c>
      <c r="H73" s="4" t="b">
        <v>0</v>
      </c>
      <c r="I73" s="1" t="str">
        <f>IFERROR(VLOOKUP($A73,Equipment!$A$2:$AH1001,MATCH("EquipLoc",Equipment!$A$1:$AH$1,0),FALSE),"")</f>
        <v>Land of Spira</v>
      </c>
      <c r="L73" s="1" t="str">
        <f>IFERROR(__xludf.DUMMYFUNCTION("""COMPUTED_VALUE"""),"Lunar New Year Dragon Torso")</f>
        <v>Lunar New Year Dragon Torso</v>
      </c>
      <c r="W73" s="1" t="str">
        <f>IFERROR(__xludf.DUMMYFUNCTION("""COMPUTED_VALUE"""),"Crystal Longsword")</f>
        <v>Crystal Longsword</v>
      </c>
      <c r="X73" s="1" t="str">
        <f t="shared" si="1"/>
        <v/>
      </c>
    </row>
    <row r="74">
      <c r="A74" s="1" t="s">
        <v>580</v>
      </c>
      <c r="B74" s="18" t="str">
        <f>IFERROR(VLOOKUP($A74,Equipment!$A$2:$AH1001,MATCH("Description",Equipment!$A$1:$AH$1,0),FALSE),"")</f>
        <v/>
      </c>
      <c r="C74" s="18" t="str">
        <f>IFERROR(VLOOKUP($A74,Equipment!$A$2:$AH1001,MATCH("Type",Equipment!$A$1:$AH$1,0),FALSE),"")</f>
        <v>Staff</v>
      </c>
      <c r="D74" s="18" t="str">
        <f>IFERROR(VLOOKUP($A74,Equipment!$A$2:$AH1001,MATCH("Slot",Equipment!$A$1:$AH$1,0),FALSE),"")</f>
        <v>Hand</v>
      </c>
      <c r="E74" s="20">
        <f>IFERROR(VLOOKUP($A74,Equipment!$A$2:$AH1001,MATCH("LevelReq",Equipment!$A$1:$AH$1,0),FALSE),"")</f>
        <v>1</v>
      </c>
      <c r="F74" s="18" t="str">
        <f>IFERROR(VLOOKUP($A74,Equipconvrt!$A$2:$AH1001,MATCH("Abilities",Equipconvrt!$A$1:$AH$1,0),FALSE),"")</f>
        <v> ++Creates a Crystal like barrier around you making it so weapons deal no damage to you for 3 rounds, 500SP. ++1000 Additional HP and SP while equipped.</v>
      </c>
      <c r="G74" s="20">
        <f>IFERROR(VLOOKUP($A74,Equipment!$A$2:$AD1001,MATCH("Price",Equipment!$A$1:$AH$1,0),FALSE),"")</f>
        <v>0</v>
      </c>
      <c r="H74" s="4" t="b">
        <v>0</v>
      </c>
      <c r="I74" s="1" t="str">
        <f>IFERROR(VLOOKUP($A74,Equipment!$A$2:$AH1001,MATCH("EquipLoc",Equipment!$A$1:$AH$1,0),FALSE),"")</f>
        <v>Land of Spira</v>
      </c>
      <c r="L74" s="1" t="str">
        <f>IFERROR(__xludf.DUMMYFUNCTION("""COMPUTED_VALUE"""),"Lunar New Year Dragon Legs")</f>
        <v>Lunar New Year Dragon Legs</v>
      </c>
      <c r="W74" s="1" t="str">
        <f>IFERROR(__xludf.DUMMYFUNCTION("""COMPUTED_VALUE"""),"Crystal Ring")</f>
        <v>Crystal Ring</v>
      </c>
      <c r="X74" s="1" t="str">
        <f t="shared" si="1"/>
        <v/>
      </c>
    </row>
    <row r="75">
      <c r="A75" s="1" t="s">
        <v>581</v>
      </c>
      <c r="B75" s="18" t="str">
        <f>IFERROR(VLOOKUP($A75,Equipment!$A$2:$AH1001,MATCH("Description",Equipment!$A$1:$AH$1,0),FALSE),"")</f>
        <v/>
      </c>
      <c r="C75" s="18" t="str">
        <f>IFERROR(VLOOKUP($A75,Equipment!$A$2:$AH1001,MATCH("Type",Equipment!$A$1:$AH$1,0),FALSE),"")</f>
        <v>Sword</v>
      </c>
      <c r="D75" s="18" t="str">
        <f>IFERROR(VLOOKUP($A75,Equipment!$A$2:$AH1001,MATCH("Slot",Equipment!$A$1:$AH$1,0),FALSE),"")</f>
        <v>Hand</v>
      </c>
      <c r="E75" s="20">
        <f>IFERROR(VLOOKUP($A75,Equipment!$A$2:$AH1001,MATCH("LevelReq",Equipment!$A$1:$AH$1,0),FALSE),"")</f>
        <v>80</v>
      </c>
      <c r="F75" s="18" t="str">
        <f>IFERROR(VLOOKUP($A75,Equipconvrt!$A$2:$AH1001,MATCH("Abilities",Equipconvrt!$A$1:$AH$1,0),FALSE),"")</f>
        <v>DMG: +2000, Earth DMG: +2000 ++When equipped, Gem and Crystal related weapons deal an additional X2 damage for the user.</v>
      </c>
      <c r="G75" s="20">
        <f>IFERROR(VLOOKUP($A75,Equipment!$A$2:$AD1001,MATCH("Price",Equipment!$A$1:$AH$1,0),FALSE),"")</f>
        <v>280000</v>
      </c>
      <c r="H75" s="4" t="b">
        <v>0</v>
      </c>
      <c r="I75" s="1" t="str">
        <f>IFERROR(VLOOKUP($A75,Equipment!$A$2:$AH1001,MATCH("EquipLoc",Equipment!$A$1:$AH$1,0),FALSE),"")</f>
        <v>Land of Spira</v>
      </c>
      <c r="L75" s="1" t="str">
        <f>IFERROR(__xludf.DUMMYFUNCTION("""COMPUTED_VALUE"""),"Lunar New Year Dragon Feet")</f>
        <v>Lunar New Year Dragon Feet</v>
      </c>
      <c r="W75" s="1" t="str">
        <f>IFERROR(__xludf.DUMMYFUNCTION("""COMPUTED_VALUE"""),"Crystal Shield")</f>
        <v>Crystal Shield</v>
      </c>
      <c r="X75" s="1" t="str">
        <f t="shared" si="1"/>
        <v/>
      </c>
    </row>
    <row r="76">
      <c r="A76" s="1" t="s">
        <v>582</v>
      </c>
      <c r="B76" s="18" t="str">
        <f>IFERROR(VLOOKUP($A76,Equipment!$A$2:$AH1001,MATCH("Description",Equipment!$A$1:$AH$1,0),FALSE),"")</f>
        <v/>
      </c>
      <c r="C76" s="18" t="str">
        <f>IFERROR(VLOOKUP($A76,Equipment!$A$2:$AH1001,MATCH("Type",Equipment!$A$1:$AH$1,0),FALSE),"")</f>
        <v>Sword</v>
      </c>
      <c r="D76" s="18" t="str">
        <f>IFERROR(VLOOKUP($A76,Equipment!$A$2:$AH1001,MATCH("Slot",Equipment!$A$1:$AH$1,0),FALSE),"")</f>
        <v>Hand</v>
      </c>
      <c r="E76" s="20">
        <f>IFERROR(VLOOKUP($A76,Equipment!$A$2:$AH1001,MATCH("LevelReq",Equipment!$A$1:$AH$1,0),FALSE),"")</f>
        <v>620</v>
      </c>
      <c r="F76" s="18" t="str">
        <f>IFERROR(VLOOKUP($A76,Equipconvrt!$A$2:$AH1001,MATCH("Abilities",Equipconvrt!$A$1:$AH$1,0),FALSE),"")</f>
        <v>DMG: +30000, Dark DMG: +1000 +- -5 evasion and mobility while equipped.</v>
      </c>
      <c r="G76" s="20">
        <f>IFERROR(VLOOKUP($A76,Equipment!$A$2:$AD1001,MATCH("Price",Equipment!$A$1:$AH$1,0),FALSE),"")</f>
        <v>18910000</v>
      </c>
      <c r="H76" s="4" t="b">
        <v>0</v>
      </c>
      <c r="I76" s="1" t="str">
        <f>IFERROR(VLOOKUP($A76,Equipment!$A$2:$AH1001,MATCH("EquipLoc",Equipment!$A$1:$AH$1,0),FALSE),"")</f>
        <v>Land of Spira</v>
      </c>
      <c r="L76" s="1" t="str">
        <f>IFERROR(__xludf.DUMMYFUNCTION("""COMPUTED_VALUE"""),"Spirit Blade")</f>
        <v>Spirit Blade</v>
      </c>
      <c r="W76" s="1" t="str">
        <f>IFERROR(__xludf.DUMMYFUNCTION("""COMPUTED_VALUE"""),"Crystal Staff")</f>
        <v>Crystal Staff</v>
      </c>
      <c r="X76" s="1" t="str">
        <f t="shared" si="1"/>
        <v/>
      </c>
    </row>
    <row r="77">
      <c r="A77" s="1" t="s">
        <v>583</v>
      </c>
      <c r="B77" s="18" t="str">
        <f>IFERROR(VLOOKUP($A77,Equipment!$A$2:$AH1001,MATCH("Description",Equipment!$A$1:$AH$1,0),FALSE),"")</f>
        <v/>
      </c>
      <c r="C77" s="18" t="str">
        <f>IFERROR(VLOOKUP($A77,Equipment!$A$2:$AH1001,MATCH("Type",Equipment!$A$1:$AH$1,0),FALSE),"")</f>
        <v>Sword</v>
      </c>
      <c r="D77" s="18" t="str">
        <f>IFERROR(VLOOKUP($A77,Equipment!$A$2:$AH1001,MATCH("Slot",Equipment!$A$1:$AH$1,0),FALSE),"")</f>
        <v>Hand</v>
      </c>
      <c r="E77" s="20">
        <f>IFERROR(VLOOKUP($A77,Equipment!$A$2:$AH1001,MATCH("LevelReq",Equipment!$A$1:$AH$1,0),FALSE),"")</f>
        <v>1</v>
      </c>
      <c r="F77" s="18" t="str">
        <f>IFERROR(VLOOKUP($A77,Equipconvrt!$A$2:$AH1001,MATCH("Abilities",Equipconvrt!$A$1:$AH$1,0),FALSE),"")</f>
        <v> +-When equipped this item cannot be unequipped for 3 rounds, +-Depletes 1000 SP per round.</v>
      </c>
      <c r="G77" s="20">
        <f>IFERROR(VLOOKUP($A77,Equipment!$A$2:$AD1001,MATCH("Price",Equipment!$A$1:$AH$1,0),FALSE),"")</f>
        <v>0</v>
      </c>
      <c r="H77" s="4" t="b">
        <v>0</v>
      </c>
      <c r="I77" s="1" t="str">
        <f>IFERROR(VLOOKUP($A77,Equipment!$A$2:$AH1001,MATCH("EquipLoc",Equipment!$A$1:$AH$1,0),FALSE),"")</f>
        <v>Land of Spira</v>
      </c>
      <c r="L77" s="1" t="str">
        <f>IFERROR(__xludf.DUMMYFUNCTION("""COMPUTED_VALUE"""),"Spirit Shield")</f>
        <v>Spirit Shield</v>
      </c>
      <c r="W77" s="1" t="str">
        <f>IFERROR(__xludf.DUMMYFUNCTION("""COMPUTED_VALUE"""),"Crystal Sword")</f>
        <v>Crystal Sword</v>
      </c>
      <c r="X77" s="1" t="str">
        <f t="shared" si="1"/>
        <v/>
      </c>
    </row>
    <row r="78">
      <c r="A78" s="1" t="s">
        <v>584</v>
      </c>
      <c r="B78" s="18" t="str">
        <f>IFERROR(VLOOKUP($A78,Equipment!$A$2:$AH1001,MATCH("Description",Equipment!$A$1:$AH$1,0),FALSE),"")</f>
        <v>The first weapon </v>
      </c>
      <c r="C78" s="18" t="str">
        <f>IFERROR(VLOOKUP($A78,Equipment!$A$2:$AH1001,MATCH("Type",Equipment!$A$1:$AH$1,0),FALSE),"")</f>
        <v>Knife</v>
      </c>
      <c r="D78" s="18" t="str">
        <f>IFERROR(VLOOKUP($A78,Equipment!$A$2:$AH1001,MATCH("Slot",Equipment!$A$1:$AH$1,0),FALSE),"")</f>
        <v>Hand</v>
      </c>
      <c r="E78" s="20">
        <f>IFERROR(VLOOKUP($A78,Equipment!$A$2:$AH1001,MATCH("LevelReq",Equipment!$A$1:$AH$1,0),FALSE),"")</f>
        <v>20</v>
      </c>
      <c r="F78" s="18" t="str">
        <f>IFERROR(VLOOKUP($A78,Equipconvrt!$A$2:$AH1001,MATCH("Abilities",Equipconvrt!$A$1:$AH$1,0),FALSE),"")</f>
        <v>DMG: +1000</v>
      </c>
      <c r="G78" s="20">
        <f>IFERROR(VLOOKUP($A78,Equipment!$A$2:$AD1001,MATCH("Price",Equipment!$A$1:$AH$1,0),FALSE),"")</f>
        <v>10000</v>
      </c>
      <c r="H78" s="4" t="b">
        <v>0</v>
      </c>
      <c r="I78" s="1" t="str">
        <f>IFERROR(VLOOKUP($A78,Equipment!$A$2:$AH1001,MATCH("EquipLoc",Equipment!$A$1:$AH$1,0),FALSE),"")</f>
        <v>Land of Spira</v>
      </c>
      <c r="L78" s="1" t="str">
        <f>IFERROR(__xludf.DUMMYFUNCTION("""COMPUTED_VALUE"""),"Mage's Hood")</f>
        <v>Mage's Hood</v>
      </c>
      <c r="W78" s="1" t="str">
        <f>IFERROR(__xludf.DUMMYFUNCTION("""COMPUTED_VALUE"""),"Cursed Blade")</f>
        <v>Cursed Blade</v>
      </c>
      <c r="X78" s="1" t="str">
        <f t="shared" si="1"/>
        <v/>
      </c>
    </row>
    <row r="79">
      <c r="A79" s="1" t="s">
        <v>585</v>
      </c>
      <c r="B79" s="18" t="str">
        <f>IFERROR(VLOOKUP($A79,Equipment!$A$2:$AH1001,MATCH("Description",Equipment!$A$1:$AH$1,0),FALSE),"")</f>
        <v>(Event Exclusive)</v>
      </c>
      <c r="C79" s="18" t="str">
        <f>IFERROR(VLOOKUP($A79,Equipment!$A$2:$AH1001,MATCH("Type",Equipment!$A$1:$AH$1,0),FALSE),"")</f>
        <v>Knife</v>
      </c>
      <c r="D79" s="18" t="str">
        <f>IFERROR(VLOOKUP($A79,Equipment!$A$2:$AH1001,MATCH("Slot",Equipment!$A$1:$AH$1,0),FALSE),"")</f>
        <v>Hand</v>
      </c>
      <c r="E79" s="20">
        <f>IFERROR(VLOOKUP($A79,Equipment!$A$2:$AH1001,MATCH("LevelReq",Equipment!$A$1:$AH$1,0),FALSE),"")</f>
        <v>90</v>
      </c>
      <c r="F79" s="18" t="str">
        <f>IFERROR(VLOOKUP($A79,Equipconvrt!$A$2:$AH1001,MATCH("Abilities",Equipconvrt!$A$1:$AH$1,0),FALSE),"")</f>
        <v>DMG: +3000, Nature DMG: +1500</v>
      </c>
      <c r="G79" s="20">
        <f>IFERROR(VLOOKUP($A79,Equipment!$A$2:$AD1001,MATCH("Price",Equipment!$A$1:$AH$1,0),FALSE),"")</f>
        <v>360000</v>
      </c>
      <c r="H79" s="4" t="b">
        <v>1</v>
      </c>
      <c r="I79" s="1" t="str">
        <f>IFERROR(VLOOKUP($A79,Equipment!$A$2:$AH1001,MATCH("EquipLoc",Equipment!$A$1:$AH$1,0),FALSE),"")</f>
        <v>Land of Spira</v>
      </c>
      <c r="L79" s="1" t="str">
        <f>IFERROR(__xludf.DUMMYFUNCTION("""COMPUTED_VALUE"""),"Mage's Cloak")</f>
        <v>Mage's Cloak</v>
      </c>
      <c r="W79" s="1" t="str">
        <f>IFERROR(__xludf.DUMMYFUNCTION("""COMPUTED_VALUE"""),"Cursed Blade of The Void Realm")</f>
        <v>Cursed Blade of The Void Realm</v>
      </c>
      <c r="X79" s="1" t="str">
        <f t="shared" si="1"/>
        <v/>
      </c>
    </row>
    <row r="80">
      <c r="A80" s="1" t="s">
        <v>586</v>
      </c>
      <c r="B80" s="18" t="str">
        <f>IFERROR(VLOOKUP($A80,Equipment!$A$2:$AH1001,MATCH("Description",Equipment!$A$1:$AH$1,0),FALSE),"")</f>
        <v/>
      </c>
      <c r="C80" s="18" t="str">
        <f>IFERROR(VLOOKUP($A80,Equipment!$A$2:$AH1001,MATCH("Type",Equipment!$A$1:$AH$1,0),FALSE),"")</f>
        <v>Knife</v>
      </c>
      <c r="D80" s="18" t="str">
        <f>IFERROR(VLOOKUP($A80,Equipment!$A$2:$AH1001,MATCH("Slot",Equipment!$A$1:$AH$1,0),FALSE),"")</f>
        <v>Hand</v>
      </c>
      <c r="E80" s="20">
        <f>IFERROR(VLOOKUP($A80,Equipment!$A$2:$AH1001,MATCH("LevelReq",Equipment!$A$1:$AH$1,0),FALSE),"")</f>
        <v>120</v>
      </c>
      <c r="F80" s="18" t="str">
        <f>IFERROR(VLOOKUP($A80,Equipconvrt!$A$2:$AH1001,MATCH("Abilities",Equipconvrt!$A$1:$AH$1,0),FALSE),"")</f>
        <v>DMG: +2000, Dark DMG: +2000, Chaos DMG: +2000 (Cultist Set) ++25% chance of instant death to the target.</v>
      </c>
      <c r="G80" s="20">
        <f>IFERROR(VLOOKUP($A80,Equipment!$A$2:$AD1001,MATCH("Price",Equipment!$A$1:$AH$1,0),FALSE),"")</f>
        <v>660000</v>
      </c>
      <c r="H80" s="4" t="b">
        <v>0</v>
      </c>
      <c r="I80" s="1" t="str">
        <f>IFERROR(VLOOKUP($A80,Equipment!$A$2:$AH1001,MATCH("EquipLoc",Equipment!$A$1:$AH$1,0),FALSE),"")</f>
        <v>Land of Spira</v>
      </c>
      <c r="L80" s="1" t="str">
        <f>IFERROR(__xludf.DUMMYFUNCTION("""COMPUTED_VALUE"""),"Mage's Shoes")</f>
        <v>Mage's Shoes</v>
      </c>
      <c r="W80" s="1" t="str">
        <f>IFERROR(__xludf.DUMMYFUNCTION("""COMPUTED_VALUE"""),"Dagger")</f>
        <v>Dagger</v>
      </c>
      <c r="X80" s="1" t="str">
        <f t="shared" si="1"/>
        <v/>
      </c>
    </row>
    <row r="81">
      <c r="A81" s="1" t="s">
        <v>587</v>
      </c>
      <c r="B81" s="18" t="str">
        <f>IFERROR(VLOOKUP($A81,Equipment!$A$2:$AH1001,MATCH("Description",Equipment!$A$1:$AH$1,0),FALSE),"")</f>
        <v/>
      </c>
      <c r="C81" s="18" t="str">
        <f>IFERROR(VLOOKUP($A81,Equipment!$A$2:$AH1001,MATCH("Type",Equipment!$A$1:$AH$1,0),FALSE),"")</f>
        <v>Sword</v>
      </c>
      <c r="D81" s="18" t="str">
        <f>IFERROR(VLOOKUP($A81,Equipment!$A$2:$AH1001,MATCH("Slot",Equipment!$A$1:$AH$1,0),FALSE),"")</f>
        <v>Hand</v>
      </c>
      <c r="E81" s="20">
        <f>IFERROR(VLOOKUP($A81,Equipment!$A$2:$AH1001,MATCH("LevelReq",Equipment!$A$1:$AH$1,0),FALSE),"")</f>
        <v>20</v>
      </c>
      <c r="F81" s="18" t="str">
        <f>IFERROR(VLOOKUP($A81,Equipconvrt!$A$2:$AH1001,MATCH("Abilities",Equipconvrt!$A$1:$AH$1,0),FALSE),"")</f>
        <v>DMG: +600 ++25% Chance to freeze target.</v>
      </c>
      <c r="G81" s="20">
        <f>IFERROR(VLOOKUP($A81,Equipment!$A$2:$AD1001,MATCH("Price",Equipment!$A$1:$AH$1,0),FALSE),"")</f>
        <v>1000</v>
      </c>
      <c r="H81" s="4" t="b">
        <v>0</v>
      </c>
      <c r="I81" s="1" t="str">
        <f>IFERROR(VLOOKUP($A81,Equipment!$A$2:$AH1001,MATCH("EquipLoc",Equipment!$A$1:$AH$1,0),FALSE),"")</f>
        <v>Land of Spira</v>
      </c>
      <c r="L81" s="1" t="str">
        <f>IFERROR(__xludf.DUMMYFUNCTION("""COMPUTED_VALUE"""),"Sorcerer's Hood")</f>
        <v>Sorcerer's Hood</v>
      </c>
      <c r="W81" s="1" t="str">
        <f>IFERROR(__xludf.DUMMYFUNCTION("""COMPUTED_VALUE"""),"Dagger of Flowers")</f>
        <v>Dagger of Flowers</v>
      </c>
      <c r="X81" s="1" t="str">
        <f t="shared" si="1"/>
        <v/>
      </c>
    </row>
    <row r="82">
      <c r="A82" s="1" t="s">
        <v>588</v>
      </c>
      <c r="B82" s="18" t="str">
        <f>IFERROR(VLOOKUP($A82,Equipment!$A$2:$AH1001,MATCH("Description",Equipment!$A$1:$AH$1,0),FALSE),"")</f>
        <v/>
      </c>
      <c r="C82" s="18" t="str">
        <f>IFERROR(VLOOKUP($A82,Equipment!$A$2:$AH1001,MATCH("Type",Equipment!$A$1:$AH$1,0),FALSE),"")</f>
        <v/>
      </c>
      <c r="D82" s="18" t="str">
        <f>IFERROR(VLOOKUP($A82,Equipment!$A$2:$AH1001,MATCH("Slot",Equipment!$A$1:$AH$1,0),FALSE),"")</f>
        <v>Head</v>
      </c>
      <c r="E82" s="20">
        <f>IFERROR(VLOOKUP($A82,Equipment!$A$2:$AH1001,MATCH("LevelReq",Equipment!$A$1:$AH$1,0),FALSE),"")</f>
        <v>10</v>
      </c>
      <c r="F82" s="18" t="str">
        <f>IFERROR(VLOOKUP($A82,Equipconvrt!$A$2:$AH1001,MATCH("Abilities",Equipconvrt!$A$1:$AH$1,0),FALSE),"")</f>
        <v>DEF: +500 ++Immune to dark damage</v>
      </c>
      <c r="G82" s="20">
        <f>IFERROR(VLOOKUP($A82,Equipment!$A$2:$AD1001,MATCH("Price",Equipment!$A$1:$AH$1,0),FALSE),"")</f>
        <v>1000</v>
      </c>
      <c r="H82" s="4" t="b">
        <v>0</v>
      </c>
      <c r="I82" s="1" t="str">
        <f>IFERROR(VLOOKUP($A82,Equipment!$A$2:$AH1001,MATCH("EquipLoc",Equipment!$A$1:$AH$1,0),FALSE),"")</f>
        <v>Land of Spira</v>
      </c>
      <c r="L82" s="1" t="str">
        <f>IFERROR(__xludf.DUMMYFUNCTION("""COMPUTED_VALUE"""),"Sorcerer's Cloak")</f>
        <v>Sorcerer's Cloak</v>
      </c>
      <c r="W82" s="1" t="str">
        <f>IFERROR(__xludf.DUMMYFUNCTION("""COMPUTED_VALUE"""),"Dagger of The Cultist")</f>
        <v>Dagger of The Cultist</v>
      </c>
      <c r="X82" s="1" t="str">
        <f t="shared" si="1"/>
        <v/>
      </c>
    </row>
    <row r="83">
      <c r="A83" s="1" t="s">
        <v>589</v>
      </c>
      <c r="B83" s="18" t="str">
        <f>IFERROR(VLOOKUP($A83,Equipment!$A$2:$AH1001,MATCH("Description",Equipment!$A$1:$AH$1,0),FALSE),"")</f>
        <v/>
      </c>
      <c r="C83" s="18" t="str">
        <f>IFERROR(VLOOKUP($A83,Equipment!$A$2:$AH1001,MATCH("Type",Equipment!$A$1:$AH$1,0),FALSE),"")</f>
        <v>Wand</v>
      </c>
      <c r="D83" s="18" t="str">
        <f>IFERROR(VLOOKUP($A83,Equipment!$A$2:$AH1001,MATCH("Slot",Equipment!$A$1:$AH$1,0),FALSE),"")</f>
        <v>Hand</v>
      </c>
      <c r="E83" s="20">
        <f>IFERROR(VLOOKUP($A83,Equipment!$A$2:$AH1001,MATCH("LevelReq",Equipment!$A$1:$AH$1,0),FALSE),"")</f>
        <v>1</v>
      </c>
      <c r="F83" s="18" t="str">
        <f>IFERROR(VLOOKUP($A83,Equipconvrt!$A$2:$AH1001,MATCH("Abilities",Equipconvrt!$A$1:$AH$1,0),FALSE),"")</f>
        <v> ++Half the SP cost of dark spells</v>
      </c>
      <c r="G83" s="20">
        <f>IFERROR(VLOOKUP($A83,Equipment!$A$2:$AD1001,MATCH("Price",Equipment!$A$1:$AH$1,0),FALSE),"")</f>
        <v>0</v>
      </c>
      <c r="H83" s="4" t="b">
        <v>0</v>
      </c>
      <c r="I83" s="1" t="str">
        <f>IFERROR(VLOOKUP($A83,Equipment!$A$2:$AH1001,MATCH("EquipLoc",Equipment!$A$1:$AH$1,0),FALSE),"")</f>
        <v>Land of Spira</v>
      </c>
      <c r="L83" s="1" t="str">
        <f>IFERROR(__xludf.DUMMYFUNCTION("""COMPUTED_VALUE"""),"Sorcerer's Shoes")</f>
        <v>Sorcerer's Shoes</v>
      </c>
      <c r="W83" s="1" t="str">
        <f>IFERROR(__xludf.DUMMYFUNCTION("""COMPUTED_VALUE"""),"Dark Ice Sword")</f>
        <v>Dark Ice Sword</v>
      </c>
      <c r="X83" s="1" t="str">
        <f t="shared" si="1"/>
        <v/>
      </c>
    </row>
    <row r="84">
      <c r="A84" s="1" t="s">
        <v>590</v>
      </c>
      <c r="B84" s="18" t="str">
        <f>IFERROR(VLOOKUP($A84,Equipment!$A$2:$AH1001,MATCH("Description",Equipment!$A$1:$AH$1,0),FALSE),"")</f>
        <v/>
      </c>
      <c r="C84" s="18" t="str">
        <f>IFERROR(VLOOKUP($A84,Equipment!$A$2:$AH1001,MATCH("Type",Equipment!$A$1:$AH$1,0),FALSE),"")</f>
        <v>Sword</v>
      </c>
      <c r="D84" s="18" t="str">
        <f>IFERROR(VLOOKUP($A84,Equipment!$A$2:$AH1001,MATCH("Slot",Equipment!$A$1:$AH$1,0),FALSE),"")</f>
        <v>Hand</v>
      </c>
      <c r="E84" s="20">
        <f>IFERROR(VLOOKUP($A84,Equipment!$A$2:$AH1001,MATCH("LevelReq",Equipment!$A$1:$AH$1,0),FALSE),"")</f>
        <v>180</v>
      </c>
      <c r="F84" s="18" t="str">
        <f>IFERROR(VLOOKUP($A84,Equipconvrt!$A$2:$AH1001,MATCH("Abilities",Equipconvrt!$A$1:$AH$1,0),FALSE),"")</f>
        <v>DMG: +5000, Dark DMG: +4000 ++Darkness Embodiment - When Equipped Any dark and chaos weapons and dark and chaos spells will deal an additional X2 damage.</v>
      </c>
      <c r="G84" s="20">
        <f>IFERROR(VLOOKUP($A84,Equipment!$A$2:$AD1001,MATCH("Price",Equipment!$A$1:$AH$1,0),FALSE),"")</f>
        <v>1530000</v>
      </c>
      <c r="H84" s="4" t="b">
        <v>0</v>
      </c>
      <c r="I84" s="1" t="str">
        <f>IFERROR(VLOOKUP($A84,Equipment!$A$2:$AH1001,MATCH("EquipLoc",Equipment!$A$1:$AH$1,0),FALSE),"")</f>
        <v>Land of Spira</v>
      </c>
      <c r="L84" s="1" t="str">
        <f>IFERROR(__xludf.DUMMYFUNCTION("""COMPUTED_VALUE"""),"Wizard's Hood")</f>
        <v>Wizard's Hood</v>
      </c>
      <c r="W84" s="1" t="str">
        <f>IFERROR(__xludf.DUMMYFUNCTION("""COMPUTED_VALUE"""),"Dark Knight Helm")</f>
        <v>Dark Knight Helm</v>
      </c>
      <c r="X84" s="1" t="str">
        <f t="shared" si="1"/>
        <v/>
      </c>
    </row>
    <row r="85">
      <c r="A85" s="1" t="s">
        <v>591</v>
      </c>
      <c r="B85" s="18" t="str">
        <f>IFERROR(VLOOKUP($A85,Equipment!$A$2:$AH1001,MATCH("Description",Equipment!$A$1:$AH$1,0),FALSE),"")</f>
        <v/>
      </c>
      <c r="C85" s="18" t="str">
        <f>IFERROR(VLOOKUP($A85,Equipment!$A$2:$AH1001,MATCH("Type",Equipment!$A$1:$AH$1,0),FALSE),"")</f>
        <v>Club</v>
      </c>
      <c r="D85" s="18" t="str">
        <f>IFERROR(VLOOKUP($A85,Equipment!$A$2:$AH1001,MATCH("Slot",Equipment!$A$1:$AH$1,0),FALSE),"")</f>
        <v>Hand</v>
      </c>
      <c r="E85" s="20">
        <f>IFERROR(VLOOKUP($A85,Equipment!$A$2:$AH1001,MATCH("LevelReq",Equipment!$A$1:$AH$1,0),FALSE),"")</f>
        <v>200</v>
      </c>
      <c r="F85" s="18" t="str">
        <f>IFERROR(VLOOKUP($A85,Equipconvrt!$A$2:$AH1001,MATCH("Abilities",Equipconvrt!$A$1:$AH$1,0),FALSE),"")</f>
        <v>, Celestial DMG: +10000000 ++This Branch will deal 10,000,000 celestial damage but it has a 95% chance to break</v>
      </c>
      <c r="G85" s="20">
        <f>IFERROR(VLOOKUP($A85,Equipment!$A$2:$AD1001,MATCH("Price",Equipment!$A$1:$AH$1,0),FALSE),"")</f>
        <v>28788000000</v>
      </c>
      <c r="H85" s="4" t="b">
        <v>0</v>
      </c>
      <c r="I85" s="1" t="str">
        <f>IFERROR(VLOOKUP($A85,Equipment!$A$2:$AH1001,MATCH("EquipLoc",Equipment!$A$1:$AH$1,0),FALSE),"")</f>
        <v>Land of Spira</v>
      </c>
      <c r="L85" s="1" t="str">
        <f>IFERROR(__xludf.DUMMYFUNCTION("""COMPUTED_VALUE"""),"Wizard's Cloak")</f>
        <v>Wizard's Cloak</v>
      </c>
      <c r="W85" s="1" t="str">
        <f>IFERROR(__xludf.DUMMYFUNCTION("""COMPUTED_VALUE"""),"Dark Wand")</f>
        <v>Dark Wand</v>
      </c>
      <c r="X85" s="1" t="str">
        <f t="shared" si="1"/>
        <v/>
      </c>
    </row>
    <row r="86">
      <c r="A86" s="4" t="s">
        <v>592</v>
      </c>
      <c r="B86" s="18" t="str">
        <f>IFERROR(VLOOKUP($A86,Equipment!$A$2:$AH1001,MATCH("Description",Equipment!$A$1:$AH$1,0),FALSE),"")</f>
        <v/>
      </c>
      <c r="C86" s="18" t="str">
        <f>IFERROR(VLOOKUP($A86,Equipment!$A$2:$AH1001,MATCH("Type",Equipment!$A$1:$AH$1,0),FALSE),"")</f>
        <v>Scythe</v>
      </c>
      <c r="D86" s="18" t="str">
        <f>IFERROR(VLOOKUP($A86,Equipment!$A$2:$AH1001,MATCH("Slot",Equipment!$A$1:$AH$1,0),FALSE),"")</f>
        <v>Hand</v>
      </c>
      <c r="E86" s="20">
        <f>IFERROR(VLOOKUP($A86,Equipment!$A$2:$AH1001,MATCH("LevelReq",Equipment!$A$1:$AH$1,0),FALSE),"")</f>
        <v>600</v>
      </c>
      <c r="F86" s="18" t="str">
        <f>IFERROR(VLOOKUP($A86,Equipconvrt!$A$2:$AH1001,MATCH("Abilities",Equipconvrt!$A$1:$AH$1,0),FALSE),"")</f>
        <v>DMG: +10000, Dark DMG: +10000, Chaos DMG: +10000 ++ +2 Intimidation, ++ +2 Wisdom when rolling a wisdom check for traps. +-Cannot be duplicated, +-Can only equip one.</v>
      </c>
      <c r="G86" s="20">
        <f>IFERROR(VLOOKUP($A86,Equipment!$A$2:$AD1001,MATCH("Price",Equipment!$A$1:$AH$1,0),FALSE),"")</f>
        <v>17700000</v>
      </c>
      <c r="H86" s="4" t="b">
        <v>0</v>
      </c>
      <c r="I86" s="1" t="str">
        <f>IFERROR(VLOOKUP($A86,Equipment!$A$2:$AH1001,MATCH("EquipLoc",Equipment!$A$1:$AH$1,0),FALSE),"")</f>
        <v>Land of Spira</v>
      </c>
      <c r="L86" s="1" t="str">
        <f>IFERROR(__xludf.DUMMYFUNCTION("""COMPUTED_VALUE"""),"Wizard's Shoes")</f>
        <v>Wizard's Shoes</v>
      </c>
      <c r="W86" s="1" t="str">
        <f>IFERROR(__xludf.DUMMYFUNCTION("""COMPUTED_VALUE"""),"Dead Forest Blade")</f>
        <v>Dead Forest Blade</v>
      </c>
      <c r="X86" s="1" t="str">
        <f t="shared" si="1"/>
        <v/>
      </c>
    </row>
    <row r="87">
      <c r="A87" s="1" t="s">
        <v>593</v>
      </c>
      <c r="B87" s="18" t="str">
        <f>IFERROR(VLOOKUP($A87,Equipment!$A$2:$AH1001,MATCH("Description",Equipment!$A$1:$AH$1,0),FALSE),"")</f>
        <v/>
      </c>
      <c r="C87" s="18" t="str">
        <f>IFERROR(VLOOKUP($A87,Equipment!$A$2:$AH1001,MATCH("Type",Equipment!$A$1:$AH$1,0),FALSE),"")</f>
        <v>Scythe</v>
      </c>
      <c r="D87" s="18" t="str">
        <f>IFERROR(VLOOKUP($A87,Equipment!$A$2:$AH1001,MATCH("Slot",Equipment!$A$1:$AH$1,0),FALSE),"")</f>
        <v>Hand</v>
      </c>
      <c r="E87" s="20">
        <f>IFERROR(VLOOKUP($A87,Equipment!$A$2:$AH1001,MATCH("LevelReq",Equipment!$A$1:$AH$1,0),FALSE),"")</f>
        <v>3000</v>
      </c>
      <c r="F87" s="18" t="str">
        <f>IFERROR(VLOOKUP($A87,Equipconvrt!$A$2:$AH1001,MATCH("Abilities",Equipconvrt!$A$1:$AH$1,0),FALSE),"")</f>
        <v>DMG: +50000, Fire DMG: +50000, Chaos DMG: +50000 ++X2  Additional Fire and Chaos damage. +-Cannot be duplicated.</v>
      </c>
      <c r="G87" s="20">
        <f>IFERROR(VLOOKUP($A87,Equipment!$A$2:$AD1001,MATCH("Price",Equipment!$A$1:$AH$1,0),FALSE),"")</f>
        <v>448500000</v>
      </c>
      <c r="H87" s="4" t="b">
        <v>0</v>
      </c>
      <c r="I87" s="1" t="str">
        <f>IFERROR(VLOOKUP($A87,Equipment!$A$2:$AH1001,MATCH("EquipLoc",Equipment!$A$1:$AH$1,0),FALSE),"")</f>
        <v>Abstara</v>
      </c>
      <c r="L87" s="1" t="str">
        <f>IFERROR(__xludf.DUMMYFUNCTION("""COMPUTED_VALUE"""),"Gunslinger's Cap")</f>
        <v>Gunslinger's Cap</v>
      </c>
      <c r="W87" s="1" t="str">
        <f>IFERROR(__xludf.DUMMYFUNCTION("""COMPUTED_VALUE"""),"Dead Forest Branch")</f>
        <v>Dead Forest Branch</v>
      </c>
      <c r="X87" s="1" t="str">
        <f t="shared" si="1"/>
        <v/>
      </c>
    </row>
    <row r="88">
      <c r="A88" s="1" t="s">
        <v>594</v>
      </c>
      <c r="B88" s="18" t="str">
        <f>IFERROR(VLOOKUP($A88,Equipment!$A$2:$AH1001,MATCH("Description",Equipment!$A$1:$AH$1,0),FALSE),"")</f>
        <v/>
      </c>
      <c r="C88" s="18" t="str">
        <f>IFERROR(VLOOKUP($A88,Equipment!$A$2:$AH1001,MATCH("Type",Equipment!$A$1:$AH$1,0),FALSE),"")</f>
        <v>Sword</v>
      </c>
      <c r="D88" s="18" t="str">
        <f>IFERROR(VLOOKUP($A88,Equipment!$A$2:$AH1001,MATCH("Slot",Equipment!$A$1:$AH$1,0),FALSE),"")</f>
        <v>Hand</v>
      </c>
      <c r="E88" s="20">
        <f>IFERROR(VLOOKUP($A88,Equipment!$A$2:$AH1001,MATCH("LevelReq",Equipment!$A$1:$AH$1,0),FALSE),"")</f>
        <v>200</v>
      </c>
      <c r="F88" s="18" t="str">
        <f>IFERROR(VLOOKUP($A88,Equipconvrt!$A$2:$AH1001,MATCH("Abilities",Equipconvrt!$A$1:$AH$1,0),FALSE),"")</f>
        <v>DMG: +100000, Fire DMG: +100000, Dark DMG: +50000, Chaos DMG: +50000, Blood DMG: +50000, Celestial DMG: +50000 ++When targeted for an attack you can choose a party member to take the damage instead. +-Cannot be duplicated.</v>
      </c>
      <c r="G88" s="20">
        <f>IFERROR(VLOOKUP($A88,Equipment!$A$2:$AD1001,MATCH("Price",Equipment!$A$1:$AH$1,0),FALSE),"")</f>
        <v>3196000000</v>
      </c>
      <c r="H88" s="4" t="b">
        <v>0</v>
      </c>
      <c r="I88" s="1" t="str">
        <f>IFERROR(VLOOKUP($A88,Equipment!$A$2:$AH1001,MATCH("EquipLoc",Equipment!$A$1:$AH$1,0),FALSE),"")</f>
        <v>Abstara</v>
      </c>
      <c r="L88" s="1" t="str">
        <f>IFERROR(__xludf.DUMMYFUNCTION("""COMPUTED_VALUE"""),"Gunslinger's Shirt")</f>
        <v>Gunslinger's Shirt</v>
      </c>
      <c r="W88" s="1" t="str">
        <f>IFERROR(__xludf.DUMMYFUNCTION("""COMPUTED_VALUE"""),"Death's Scythe")</f>
        <v>Death's Scythe</v>
      </c>
      <c r="X88" s="1" t="str">
        <f t="shared" si="1"/>
        <v/>
      </c>
    </row>
    <row r="89">
      <c r="A89" s="1" t="s">
        <v>595</v>
      </c>
      <c r="B89" s="18" t="str">
        <f>IFERROR(VLOOKUP($A89,Equipment!$A$2:$AH1001,MATCH("Description",Equipment!$A$1:$AH$1,0),FALSE),"")</f>
        <v/>
      </c>
      <c r="C89" s="18" t="str">
        <f>IFERROR(VLOOKUP($A89,Equipment!$A$2:$AH1001,MATCH("Type",Equipment!$A$1:$AH$1,0),FALSE),"")</f>
        <v>Knife</v>
      </c>
      <c r="D89" s="18" t="str">
        <f>IFERROR(VLOOKUP($A89,Equipment!$A$2:$AH1001,MATCH("Slot",Equipment!$A$1:$AH$1,0),FALSE),"")</f>
        <v>Hand</v>
      </c>
      <c r="E89" s="20">
        <f>IFERROR(VLOOKUP($A89,Equipment!$A$2:$AH1001,MATCH("LevelReq",Equipment!$A$1:$AH$1,0),FALSE),"")</f>
        <v>200</v>
      </c>
      <c r="F89" s="18" t="str">
        <f>IFERROR(VLOOKUP($A89,Equipconvrt!$A$2:$AH1001,MATCH("Abilities",Equipconvrt!$A$1:$AH$1,0),FALSE),"")</f>
        <v>DMG: +5000, Chaos DMG: +5000 ++25% chance to teleport the target being attacked to a random location.</v>
      </c>
      <c r="G89" s="20">
        <f>IFERROR(VLOOKUP($A89,Equipment!$A$2:$AD1001,MATCH("Price",Equipment!$A$1:$AH$1,0),FALSE),"")</f>
        <v>1900000</v>
      </c>
      <c r="H89" s="4" t="b">
        <v>0</v>
      </c>
      <c r="I89" s="1" t="str">
        <f>IFERROR(VLOOKUP($A89,Equipment!$A$2:$AH1001,MATCH("EquipLoc",Equipment!$A$1:$AH$1,0),FALSE),"")</f>
        <v>Land of Spira</v>
      </c>
      <c r="L89" s="1" t="str">
        <f>IFERROR(__xludf.DUMMYFUNCTION("""COMPUTED_VALUE"""),"Gunslinger's Boots")</f>
        <v>Gunslinger's Boots</v>
      </c>
      <c r="W89" s="1" t="str">
        <f>IFERROR(__xludf.DUMMYFUNCTION("""COMPUTED_VALUE"""),"Demonic Scythe of Chaos ")</f>
        <v>Demonic Scythe of Chaos </v>
      </c>
      <c r="X89" s="1" t="str">
        <f t="shared" si="1"/>
        <v/>
      </c>
    </row>
    <row r="90">
      <c r="A90" s="1" t="s">
        <v>596</v>
      </c>
      <c r="B90" s="18" t="str">
        <f>IFERROR(VLOOKUP($A90,Equipment!$A$2:$AH1001,MATCH("Description",Equipment!$A$1:$AH$1,0),FALSE),"")</f>
        <v/>
      </c>
      <c r="C90" s="18" t="str">
        <f>IFERROR(VLOOKUP($A90,Equipment!$A$2:$AH1001,MATCH("Type",Equipment!$A$1:$AH$1,0),FALSE),"")</f>
        <v>Towershield</v>
      </c>
      <c r="D90" s="18" t="str">
        <f>IFERROR(VLOOKUP($A90,Equipment!$A$2:$AH1001,MATCH("Slot",Equipment!$A$1:$AH$1,0),FALSE),"")</f>
        <v>Hand</v>
      </c>
      <c r="E90" s="20">
        <f>IFERROR(VLOOKUP($A90,Equipment!$A$2:$AH1001,MATCH("LevelReq",Equipment!$A$1:$AH$1,0),FALSE),"")</f>
        <v>5000</v>
      </c>
      <c r="F90" s="18" t="str">
        <f>IFERROR(VLOOKUP($A90,Equipconvrt!$A$2:$AH1001,MATCH("Abilities",Equipconvrt!$A$1:$AH$1,0),FALSE),"")</f>
        <v>DEF: +50000, Fire DEF: +50000, Dark DEF: +50000, Chaos DEF: +50000, Blood DEF: +50000 ++Draconic Block - Any damage you take in battle is now reduced to 1 for for the first round of battle.</v>
      </c>
      <c r="G90" s="20">
        <f>IFERROR(VLOOKUP($A90,Equipment!$A$2:$AD1001,MATCH("Price",Equipment!$A$1:$AH$1,0),FALSE),"")</f>
        <v>1247500000</v>
      </c>
      <c r="H90" s="4" t="b">
        <v>0</v>
      </c>
      <c r="I90" s="1" t="str">
        <f>IFERROR(VLOOKUP($A90,Equipment!$A$2:$AH1001,MATCH("EquipLoc",Equipment!$A$1:$AH$1,0),FALSE),"")</f>
        <v>Abstara</v>
      </c>
      <c r="L90" s="1" t="str">
        <f>IFERROR(__xludf.DUMMYFUNCTION("""COMPUTED_VALUE"""),"Bard's Coif")</f>
        <v>Bard's Coif</v>
      </c>
      <c r="W90" s="1" t="str">
        <f>IFERROR(__xludf.DUMMYFUNCTION("""COMPUTED_VALUE"""),"Demonic Sword of The King")</f>
        <v>Demonic Sword of The King</v>
      </c>
      <c r="X90" s="1" t="str">
        <f t="shared" si="1"/>
        <v/>
      </c>
    </row>
    <row r="91">
      <c r="A91" s="1" t="s">
        <v>597</v>
      </c>
      <c r="B91" s="18" t="str">
        <f>IFERROR(VLOOKUP($A91,Equipment!$A$2:$AH1001,MATCH("Description",Equipment!$A$1:$AH$1,0),FALSE),"")</f>
        <v/>
      </c>
      <c r="C91" s="18" t="str">
        <f>IFERROR(VLOOKUP($A91,Equipment!$A$2:$AH1001,MATCH("Type",Equipment!$A$1:$AH$1,0),FALSE),"")</f>
        <v/>
      </c>
      <c r="D91" s="18" t="str">
        <f>IFERROR(VLOOKUP($A91,Equipment!$A$2:$AH1001,MATCH("Slot",Equipment!$A$1:$AH$1,0),FALSE),"")</f>
        <v>Head</v>
      </c>
      <c r="E91" s="20">
        <f>IFERROR(VLOOKUP($A91,Equipment!$A$2:$AH1001,MATCH("LevelReq",Equipment!$A$1:$AH$1,0),FALSE),"")</f>
        <v>200</v>
      </c>
      <c r="F91" s="18" t="str">
        <f>IFERROR(VLOOKUP($A91,Equipconvrt!$A$2:$AH1001,MATCH("Abilities",Equipconvrt!$A$1:$AH$1,0),FALSE),"")</f>
        <v>DEF: +10000 ++Any damage that is dealt to the wearer by a dragon is negated. ++(Dragon Tamers Cannot Wear This)</v>
      </c>
      <c r="G91" s="20">
        <f>IFERROR(VLOOKUP($A91,Equipment!$A$2:$AD1001,MATCH("Price",Equipment!$A$1:$AH$1,0),FALSE),"")</f>
        <v>1900000</v>
      </c>
      <c r="H91" s="4" t="b">
        <v>0</v>
      </c>
      <c r="I91" s="1" t="str">
        <f>IFERROR(VLOOKUP($A91,Equipment!$A$2:$AH1001,MATCH("EquipLoc",Equipment!$A$1:$AH$1,0),FALSE),"")</f>
        <v>Land of Spira</v>
      </c>
      <c r="L91" s="1" t="str">
        <f>IFERROR(__xludf.DUMMYFUNCTION("""COMPUTED_VALUE"""),"Bard's Gambeson")</f>
        <v>Bard's Gambeson</v>
      </c>
      <c r="W91" s="1" t="str">
        <f>IFERROR(__xludf.DUMMYFUNCTION("""COMPUTED_VALUE"""),"Dimensional Dagger")</f>
        <v>Dimensional Dagger</v>
      </c>
      <c r="X91" s="1" t="str">
        <f t="shared" si="1"/>
        <v/>
      </c>
    </row>
    <row r="92">
      <c r="A92" s="1" t="s">
        <v>598</v>
      </c>
      <c r="B92" s="18" t="str">
        <f>IFERROR(VLOOKUP($A92,Equipment!$A$2:$AH1001,MATCH("Description",Equipment!$A$1:$AH$1,0),FALSE),"")</f>
        <v/>
      </c>
      <c r="C92" s="18" t="str">
        <f>IFERROR(VLOOKUP($A92,Equipment!$A$2:$AH1001,MATCH("Type",Equipment!$A$1:$AH$1,0),FALSE),"")</f>
        <v>Sword</v>
      </c>
      <c r="D92" s="18" t="str">
        <f>IFERROR(VLOOKUP($A92,Equipment!$A$2:$AH1001,MATCH("Slot",Equipment!$A$1:$AH$1,0),FALSE),"")</f>
        <v>Hand</v>
      </c>
      <c r="E92" s="20">
        <f>IFERROR(VLOOKUP($A92,Equipment!$A$2:$AH1001,MATCH("LevelReq",Equipment!$A$1:$AH$1,0),FALSE),"")</f>
        <v>200</v>
      </c>
      <c r="F92" s="18" t="str">
        <f>IFERROR(VLOOKUP($A92,Equipconvrt!$A$2:$AH1001,MATCH("Abilities",Equipconvrt!$A$1:$AH$1,0),FALSE),"")</f>
        <v>DMG: +100000, Fire DMG: +100000, Earth DMG: +100000, Dark DMG: +100000, Blood DMG: +100000, Celestial DMG: +100000 ++If you have a dragon as a companion in the current battle this sword will deal x4 additional fire, earth, dark, blood, and celestial damage.</v>
      </c>
      <c r="G92" s="20">
        <f>IFERROR(VLOOKUP($A92,Equipment!$A$2:$AD1001,MATCH("Price",Equipment!$A$1:$AH$1,0),FALSE),"")</f>
        <v>7194000000</v>
      </c>
      <c r="H92" s="4" t="b">
        <v>0</v>
      </c>
      <c r="I92" s="1" t="str">
        <f>IFERROR(VLOOKUP($A92,Equipment!$A$2:$AH1001,MATCH("EquipLoc",Equipment!$A$1:$AH$1,0),FALSE),"")</f>
        <v>Abstara</v>
      </c>
      <c r="L92" s="1" t="str">
        <f>IFERROR(__xludf.DUMMYFUNCTION("""COMPUTED_VALUE"""),"Bard's Shoes")</f>
        <v>Bard's Shoes</v>
      </c>
      <c r="W92" s="1" t="str">
        <f>IFERROR(__xludf.DUMMYFUNCTION("""COMPUTED_VALUE"""),"Draconic Shield")</f>
        <v>Draconic Shield</v>
      </c>
      <c r="X92" s="1" t="str">
        <f t="shared" si="1"/>
        <v/>
      </c>
    </row>
    <row r="93">
      <c r="A93" s="1" t="s">
        <v>599</v>
      </c>
      <c r="B93" s="18" t="str">
        <f>IFERROR(VLOOKUP($A93,Equipment!$A$2:$AH1001,MATCH("Description",Equipment!$A$1:$AH$1,0),FALSE),"")</f>
        <v/>
      </c>
      <c r="C93" s="18" t="str">
        <f>IFERROR(VLOOKUP($A93,Equipment!$A$2:$AH1001,MATCH("Type",Equipment!$A$1:$AH$1,0),FALSE),"")</f>
        <v>Wand</v>
      </c>
      <c r="D93" s="18" t="str">
        <f>IFERROR(VLOOKUP($A93,Equipment!$A$2:$AH1001,MATCH("Slot",Equipment!$A$1:$AH$1,0),FALSE),"")</f>
        <v>Hand</v>
      </c>
      <c r="E93" s="20">
        <f>IFERROR(VLOOKUP($A93,Equipment!$A$2:$AH1001,MATCH("LevelReq",Equipment!$A$1:$AH$1,0),FALSE),"")</f>
        <v>1</v>
      </c>
      <c r="F93" s="18" t="str">
        <f>IFERROR(VLOOKUP($A93,Equipconvrt!$A$2:$AH1001,MATCH("Abilities",Equipconvrt!$A$1:$AH$1,0),FALSE),"")</f>
        <v> ++Half SP costs for fire spells</v>
      </c>
      <c r="G93" s="20">
        <f>IFERROR(VLOOKUP($A93,Equipment!$A$2:$AD1001,MATCH("Price",Equipment!$A$1:$AH$1,0),FALSE),"")</f>
        <v>0</v>
      </c>
      <c r="H93" s="4" t="b">
        <v>0</v>
      </c>
      <c r="I93" s="1" t="str">
        <f>IFERROR(VLOOKUP($A93,Equipment!$A$2:$AH1001,MATCH("EquipLoc",Equipment!$A$1:$AH$1,0),FALSE),"")</f>
        <v>Land of Spira</v>
      </c>
      <c r="L93" s="1" t="str">
        <f>IFERROR(__xludf.DUMMYFUNCTION("""COMPUTED_VALUE"""),"Dragonscale Skirt")</f>
        <v>Dragonscale Skirt</v>
      </c>
      <c r="W93" s="1" t="str">
        <f>IFERROR(__xludf.DUMMYFUNCTION("""COMPUTED_VALUE"""),"Dragon's Skull")</f>
        <v>Dragon's Skull</v>
      </c>
      <c r="X93" s="1" t="str">
        <f t="shared" si="1"/>
        <v/>
      </c>
    </row>
    <row r="94">
      <c r="A94" s="1" t="s">
        <v>600</v>
      </c>
      <c r="B94" s="18" t="str">
        <f>IFERROR(VLOOKUP($A94,Equipment!$A$2:$AH1001,MATCH("Description",Equipment!$A$1:$AH$1,0),FALSE),"")</f>
        <v/>
      </c>
      <c r="C94" s="18" t="str">
        <f>IFERROR(VLOOKUP($A94,Equipment!$A$2:$AH1001,MATCH("Type",Equipment!$A$1:$AH$1,0),FALSE),"")</f>
        <v/>
      </c>
      <c r="D94" s="18" t="str">
        <f>IFERROR(VLOOKUP($A94,Equipment!$A$2:$AH1001,MATCH("Slot",Equipment!$A$1:$AH$1,0),FALSE),"")</f>
        <v>Torso</v>
      </c>
      <c r="E94" s="20">
        <f>IFERROR(VLOOKUP($A94,Equipment!$A$2:$AH1001,MATCH("LevelReq",Equipment!$A$1:$AH$1,0),FALSE),"")</f>
        <v>4000</v>
      </c>
      <c r="F94" s="18" t="str">
        <f>IFERROR(VLOOKUP($A94,Equipconvrt!$A$2:$AH1001,MATCH("Abilities",Equipconvrt!$A$1:$AH$1,0),FALSE),"")</f>
        <v>DEF: +50000, Fire DEF: +50000, Earth DEF: +50000, Spirit DEF: +50000 ++Roll a d20 at the beginning of battle, 11 or higher = half the damage taken from the first attack, 10 or lower = take double the damage from the first attack.</v>
      </c>
      <c r="G94" s="20">
        <f>IFERROR(VLOOKUP($A94,Equipment!$A$2:$AD1001,MATCH("Price",Equipment!$A$1:$AH$1,0),FALSE),"")</f>
        <v>798000000</v>
      </c>
      <c r="H94" s="4" t="b">
        <v>0</v>
      </c>
      <c r="I94" s="1" t="str">
        <f>IFERROR(VLOOKUP($A94,Equipment!$A$2:$AH1001,MATCH("EquipLoc",Equipment!$A$1:$AH$1,0),FALSE),"")</f>
        <v>Land of Spira</v>
      </c>
      <c r="L94" s="1" t="str">
        <f>IFERROR(__xludf.DUMMYFUNCTION("""COMPUTED_VALUE"""),"Dragonscale Cape")</f>
        <v>Dragonscale Cape</v>
      </c>
      <c r="W94" s="1" t="str">
        <f>IFERROR(__xludf.DUMMYFUNCTION("""COMPUTED_VALUE"""),"Dragonbone Greatsword")</f>
        <v>Dragonbone Greatsword</v>
      </c>
      <c r="X94" s="1" t="str">
        <f t="shared" si="1"/>
        <v/>
      </c>
    </row>
    <row r="95">
      <c r="A95" s="1" t="s">
        <v>601</v>
      </c>
      <c r="B95" s="18" t="str">
        <f>IFERROR(VLOOKUP($A95,Equipment!$A$2:$AH1001,MATCH("Description",Equipment!$A$1:$AH$1,0),FALSE),"")</f>
        <v/>
      </c>
      <c r="C95" s="18" t="str">
        <f>IFERROR(VLOOKUP($A95,Equipment!$A$2:$AH1001,MATCH("Type",Equipment!$A$1:$AH$1,0),FALSE),"")</f>
        <v/>
      </c>
      <c r="D95" s="18" t="str">
        <f>IFERROR(VLOOKUP($A95,Equipment!$A$2:$AH1001,MATCH("Slot",Equipment!$A$1:$AH$1,0),FALSE),"")</f>
        <v>Ring</v>
      </c>
      <c r="E95" s="20">
        <f>IFERROR(VLOOKUP($A95,Equipment!$A$2:$AH1001,MATCH("LevelReq",Equipment!$A$1:$AH$1,0),FALSE),"")</f>
        <v>1</v>
      </c>
      <c r="F95" s="18" t="str">
        <f>IFERROR(VLOOKUP($A95,Equipconvrt!$A$2:$AH1001,MATCH("Abilities",Equipconvrt!$A$1:$AH$1,0),FALSE),"")</f>
        <v> ++Can turn one bad day of travel into a good day of travel. +-Cannot be forged</v>
      </c>
      <c r="G95" s="20">
        <f>IFERROR(VLOOKUP($A95,Equipment!$A$2:$AD1001,MATCH("Price",Equipment!$A$1:$AH$1,0),FALSE),"")</f>
        <v>0</v>
      </c>
      <c r="H95" s="4" t="b">
        <v>1</v>
      </c>
      <c r="I95" s="1" t="str">
        <f>IFERROR(VLOOKUP($A95,Equipment!$A$2:$AH1001,MATCH("EquipLoc",Equipment!$A$1:$AH$1,0),FALSE),"")</f>
        <v>Land of Spira</v>
      </c>
      <c r="L95" s="1" t="str">
        <f>IFERROR(__xludf.DUMMYFUNCTION("""COMPUTED_VALUE"""),"Broken Dragonscale Mail")</f>
        <v>Broken Dragonscale Mail</v>
      </c>
      <c r="W95" s="1" t="str">
        <f>IFERROR(__xludf.DUMMYFUNCTION("""COMPUTED_VALUE"""),"Dreading Wand Of Fire")</f>
        <v>Dreading Wand Of Fire</v>
      </c>
      <c r="X95" s="1" t="str">
        <f t="shared" si="1"/>
        <v/>
      </c>
    </row>
    <row r="96">
      <c r="A96" s="1" t="s">
        <v>602</v>
      </c>
      <c r="B96" s="18" t="str">
        <f>IFERROR(VLOOKUP($A96,Equipment!$A$2:$AH1001,MATCH("Description",Equipment!$A$1:$AH$1,0),FALSE),"")</f>
        <v/>
      </c>
      <c r="C96" s="18" t="str">
        <f>IFERROR(VLOOKUP($A96,Equipment!$A$2:$AH1001,MATCH("Type",Equipment!$A$1:$AH$1,0),FALSE),"")</f>
        <v/>
      </c>
      <c r="D96" s="18" t="str">
        <f>IFERROR(VLOOKUP($A96,Equipment!$A$2:$AH1001,MATCH("Slot",Equipment!$A$1:$AH$1,0),FALSE),"")</f>
        <v>Torso</v>
      </c>
      <c r="E96" s="20">
        <f>IFERROR(VLOOKUP($A96,Equipment!$A$2:$AH1001,MATCH("LevelReq",Equipment!$A$1:$AH$1,0),FALSE),"")</f>
        <v>100</v>
      </c>
      <c r="F96" s="18" t="str">
        <f>IFERROR(VLOOKUP($A96,Equipconvrt!$A$2:$AH1001,MATCH("Abilities",Equipconvrt!$A$1:$AH$1,0),FALSE),"")</f>
        <v>DEF: +5000 ++Damage received by Spells and Weapons are reduced to half when wearing this.</v>
      </c>
      <c r="G96" s="20">
        <f>IFERROR(VLOOKUP($A96,Equipment!$A$2:$AD1001,MATCH("Price",Equipment!$A$1:$AH$1,0),FALSE),"")</f>
        <v>450000</v>
      </c>
      <c r="H96" s="4" t="b">
        <v>0</v>
      </c>
      <c r="I96" s="1" t="str">
        <f>IFERROR(VLOOKUP($A96,Equipment!$A$2:$AH1001,MATCH("EquipLoc",Equipment!$A$1:$AH$1,0),FALSE),"")</f>
        <v>Land of Spira</v>
      </c>
      <c r="L96" s="1" t="str">
        <f>IFERROR(__xludf.DUMMYFUNCTION("""COMPUTED_VALUE"""),"Dragonscale Mail")</f>
        <v>Dragonscale Mail</v>
      </c>
      <c r="W96" s="1" t="str">
        <f>IFERROR(__xludf.DUMMYFUNCTION("""COMPUTED_VALUE"""),"Dy Yu’s Plated Armor")</f>
        <v>Dy Yu’s Plated Armor</v>
      </c>
      <c r="X96" s="1" t="str">
        <f t="shared" si="1"/>
        <v/>
      </c>
    </row>
    <row r="97">
      <c r="A97" s="1" t="s">
        <v>603</v>
      </c>
      <c r="B97" s="18" t="str">
        <f>IFERROR(VLOOKUP($A97,Equipment!$A$2:$AH1001,MATCH("Description",Equipment!$A$1:$AH$1,0),FALSE),"")</f>
        <v/>
      </c>
      <c r="C97" s="18" t="str">
        <f>IFERROR(VLOOKUP($A97,Equipment!$A$2:$AH1001,MATCH("Type",Equipment!$A$1:$AH$1,0),FALSE),"")</f>
        <v>Knife</v>
      </c>
      <c r="D97" s="18" t="str">
        <f>IFERROR(VLOOKUP($A97,Equipment!$A$2:$AH1001,MATCH("Slot",Equipment!$A$1:$AH$1,0),FALSE),"")</f>
        <v>Hand</v>
      </c>
      <c r="E97" s="20">
        <f>IFERROR(VLOOKUP($A97,Equipment!$A$2:$AH1001,MATCH("LevelReq",Equipment!$A$1:$AH$1,0),FALSE),"")</f>
        <v>1</v>
      </c>
      <c r="F97" s="18" t="str">
        <f>IFERROR(VLOOKUP($A97,Equipconvrt!$A$2:$AH1001,MATCH("Abilities",Equipconvrt!$A$1:$AH$1,0),FALSE),"")</f>
        <v>: +1 ++100% of instantly killing the target.</v>
      </c>
      <c r="G97" s="20">
        <f>IFERROR(VLOOKUP($A97,Equipment!$A$2:$AD1001,MATCH("Price",Equipment!$A$1:$AH$1,0),FALSE),"")</f>
        <v>0</v>
      </c>
      <c r="H97" s="4" t="b">
        <v>0</v>
      </c>
      <c r="I97" s="1" t="str">
        <f>IFERROR(VLOOKUP($A97,Equipment!$A$2:$AH1001,MATCH("EquipLoc",Equipment!$A$1:$AH$1,0),FALSE),"")</f>
        <v>Land of Spira</v>
      </c>
      <c r="L97" s="1" t="str">
        <f>IFERROR(__xludf.DUMMYFUNCTION("""COMPUTED_VALUE"""),"Dragonscale Charm")</f>
        <v>Dragonscale Charm</v>
      </c>
      <c r="W97" s="1" t="str">
        <f>IFERROR(__xludf.DUMMYFUNCTION("""COMPUTED_VALUE"""),"Easters Ring (Exclusive)")</f>
        <v>Easters Ring (Exclusive)</v>
      </c>
      <c r="X97" s="1" t="str">
        <f t="shared" si="1"/>
        <v/>
      </c>
    </row>
    <row r="98">
      <c r="A98" s="1" t="s">
        <v>604</v>
      </c>
      <c r="B98" s="18" t="str">
        <f>IFERROR(VLOOKUP($A98,Equipment!$A$2:$AH1001,MATCH("Description",Equipment!$A$1:$AH$1,0),FALSE),"")</f>
        <v/>
      </c>
      <c r="C98" s="18" t="str">
        <f>IFERROR(VLOOKUP($A98,Equipment!$A$2:$AH1001,MATCH("Type",Equipment!$A$1:$AH$1,0),FALSE),"")</f>
        <v>Sword</v>
      </c>
      <c r="D98" s="18" t="str">
        <f>IFERROR(VLOOKUP($A98,Equipment!$A$2:$AH1001,MATCH("Slot",Equipment!$A$1:$AH$1,0),FALSE),"")</f>
        <v>Hand</v>
      </c>
      <c r="E98" s="20">
        <f>IFERROR(VLOOKUP($A98,Equipment!$A$2:$AH1001,MATCH("LevelReq",Equipment!$A$1:$AH$1,0),FALSE),"")</f>
        <v>60</v>
      </c>
      <c r="F98" s="18" t="str">
        <f>IFERROR(VLOOKUP($A98,Equipconvrt!$A$2:$AH1001,MATCH("Abilities",Equipconvrt!$A$1:$AH$1,0),FALSE),"")</f>
        <v>DMG: +2000, Order DMG: +600 ++Falcon’s Power - All attacks dealt by your weapons will deal double in damage for 3 of your turns when equipped.</v>
      </c>
      <c r="G98" s="20">
        <f>IFERROR(VLOOKUP($A98,Equipment!$A$2:$AD1001,MATCH("Price",Equipment!$A$1:$AH$1,0),FALSE),"")</f>
        <v>100000</v>
      </c>
      <c r="H98" s="4" t="b">
        <v>0</v>
      </c>
      <c r="I98" s="1" t="str">
        <f>IFERROR(VLOOKUP($A98,Equipment!$A$2:$AH1001,MATCH("EquipLoc",Equipment!$A$1:$AH$1,0),FALSE),"")</f>
        <v>Land of Spira</v>
      </c>
      <c r="L98" s="1" t="str">
        <f>IFERROR(__xludf.DUMMYFUNCTION("""COMPUTED_VALUE"""),"Dragonscale Sandals")</f>
        <v>Dragonscale Sandals</v>
      </c>
      <c r="W98" s="1" t="str">
        <f>IFERROR(__xludf.DUMMYFUNCTION("""COMPUTED_VALUE"""),"Enchanted Chestplate of Defense")</f>
        <v>Enchanted Chestplate of Defense</v>
      </c>
      <c r="X98" s="1" t="str">
        <f t="shared" si="1"/>
        <v/>
      </c>
    </row>
    <row r="99">
      <c r="A99" s="1" t="s">
        <v>605</v>
      </c>
      <c r="B99" s="18" t="str">
        <f>IFERROR(VLOOKUP($A99,Equipment!$A$2:$AH1001,MATCH("Description",Equipment!$A$1:$AH$1,0),FALSE),"")</f>
        <v/>
      </c>
      <c r="C99" s="18" t="str">
        <f>IFERROR(VLOOKUP($A99,Equipment!$A$2:$AH1001,MATCH("Type",Equipment!$A$1:$AH$1,0),FALSE),"")</f>
        <v>Spear</v>
      </c>
      <c r="D99" s="18" t="str">
        <f>IFERROR(VLOOKUP($A99,Equipment!$A$2:$AH1001,MATCH("Slot",Equipment!$A$1:$AH$1,0),FALSE),"")</f>
        <v>Hand</v>
      </c>
      <c r="E99" s="20">
        <f>IFERROR(VLOOKUP($A99,Equipment!$A$2:$AH1001,MATCH("LevelReq",Equipment!$A$1:$AH$1,0),FALSE),"")</f>
        <v>10</v>
      </c>
      <c r="F99" s="18" t="str">
        <f>IFERROR(VLOOKUP($A99,Equipconvrt!$A$2:$AH1001,MATCH("Abilities",Equipconvrt!$A$1:$AH$1,0),FALSE),"")</f>
        <v>DMG: +500 ++50% chance of stun 3.</v>
      </c>
      <c r="G99" s="20">
        <f>IFERROR(VLOOKUP($A99,Equipment!$A$2:$AD1001,MATCH("Price",Equipment!$A$1:$AH$1,0),FALSE),"")</f>
        <v>1000</v>
      </c>
      <c r="H99" s="4" t="b">
        <v>0</v>
      </c>
      <c r="I99" s="1" t="str">
        <f>IFERROR(VLOOKUP($A99,Equipment!$A$2:$AH1001,MATCH("EquipLoc",Equipment!$A$1:$AH$1,0),FALSE),"")</f>
        <v>Land of Spira</v>
      </c>
      <c r="L99" s="1" t="str">
        <f>IFERROR(__xludf.DUMMYFUNCTION("""COMPUTED_VALUE"""),"Dragonscale Talisman")</f>
        <v>Dragonscale Talisman</v>
      </c>
      <c r="W99" s="1" t="str">
        <f>IFERROR(__xludf.DUMMYFUNCTION("""COMPUTED_VALUE"""),"Enchanted Dagger")</f>
        <v>Enchanted Dagger</v>
      </c>
      <c r="X99" s="1" t="str">
        <f t="shared" si="1"/>
        <v/>
      </c>
    </row>
    <row r="100">
      <c r="A100" s="1" t="s">
        <v>606</v>
      </c>
      <c r="B100" s="18" t="str">
        <f>IFERROR(VLOOKUP($A100,Equipment!$A$2:$AH1001,MATCH("Description",Equipment!$A$1:$AH$1,0),FALSE),"")</f>
        <v/>
      </c>
      <c r="C100" s="18" t="str">
        <f>IFERROR(VLOOKUP($A100,Equipment!$A$2:$AH1001,MATCH("Type",Equipment!$A$1:$AH$1,0),FALSE),"")</f>
        <v>Sword</v>
      </c>
      <c r="D100" s="18" t="str">
        <f>IFERROR(VLOOKUP($A100,Equipment!$A$2:$AH1001,MATCH("Slot",Equipment!$A$1:$AH$1,0),FALSE),"")</f>
        <v>Hand</v>
      </c>
      <c r="E100" s="20">
        <f>IFERROR(VLOOKUP($A100,Equipment!$A$2:$AH1001,MATCH("LevelReq",Equipment!$A$1:$AH$1,0),FALSE),"")</f>
        <v>200</v>
      </c>
      <c r="F100" s="18" t="str">
        <f>IFERROR(VLOOKUP($A100,Equipconvrt!$A$2:$AH1001,MATCH("Abilities",Equipconvrt!$A$1:$AH$1,0),FALSE),"")</f>
        <v>DMG: +500000, Nature DMG: +25000, Celestial DMG: +25000</v>
      </c>
      <c r="G100" s="20">
        <f>IFERROR(VLOOKUP($A100,Equipment!$A$2:$AD1001,MATCH("Price",Equipment!$A$1:$AH$1,0),FALSE),"")</f>
        <v>6044500000</v>
      </c>
      <c r="H100" s="4" t="b">
        <v>1</v>
      </c>
      <c r="I100" s="1" t="str">
        <f>IFERROR(VLOOKUP($A100,Equipment!$A$2:$AH1001,MATCH("EquipLoc",Equipment!$A$1:$AH$1,0),FALSE),"")</f>
        <v>Land of Spira</v>
      </c>
      <c r="L100" s="1" t="str">
        <f>IFERROR(__xludf.DUMMYFUNCTION("""COMPUTED_VALUE"""),"Dragonscale Water Ring")</f>
        <v>Dragonscale Water Ring</v>
      </c>
      <c r="W100" s="1" t="str">
        <f>IFERROR(__xludf.DUMMYFUNCTION("""COMPUTED_VALUE"""),"Enchanted Falcon Blade")</f>
        <v>Enchanted Falcon Blade</v>
      </c>
      <c r="X100" s="1" t="str">
        <f t="shared" si="1"/>
        <v/>
      </c>
    </row>
    <row r="101">
      <c r="A101" s="1" t="s">
        <v>607</v>
      </c>
      <c r="B101" s="18" t="str">
        <f>IFERROR(VLOOKUP($A101,Equipment!$A$2:$AH1001,MATCH("Description",Equipment!$A$1:$AH$1,0),FALSE),"")</f>
        <v/>
      </c>
      <c r="C101" s="18" t="str">
        <f>IFERROR(VLOOKUP($A101,Equipment!$A$2:$AH1001,MATCH("Type",Equipment!$A$1:$AH$1,0),FALSE),"")</f>
        <v/>
      </c>
      <c r="D101" s="18" t="str">
        <f>IFERROR(VLOOKUP($A101,Equipment!$A$2:$AH1001,MATCH("Slot",Equipment!$A$1:$AH$1,0),FALSE),"")</f>
        <v>Head</v>
      </c>
      <c r="E101" s="20">
        <f>IFERROR(VLOOKUP($A101,Equipment!$A$2:$AH1001,MATCH("LevelReq",Equipment!$A$1:$AH$1,0),FALSE),"")</f>
        <v>1</v>
      </c>
      <c r="F101" s="18" t="str">
        <f>IFERROR(VLOOKUP($A101,Equipconvrt!$A$2:$AH1001,MATCH("Abilities",Equipconvrt!$A$1:$AH$1,0),FALSE),"")</f>
        <v> ++ ++5 Intimidation, ++ - 2 Charisma. +-Cannot be forged +-Cannot be duplicated.</v>
      </c>
      <c r="G101" s="20">
        <f>IFERROR(VLOOKUP($A101,Equipment!$A$2:$AD1001,MATCH("Price",Equipment!$A$1:$AH$1,0),FALSE),"")</f>
        <v>0</v>
      </c>
      <c r="H101" s="4" t="b">
        <v>0</v>
      </c>
      <c r="I101" s="1" t="str">
        <f>IFERROR(VLOOKUP($A101,Equipment!$A$2:$AH1001,MATCH("EquipLoc",Equipment!$A$1:$AH$1,0),FALSE),"")</f>
        <v>Land of Spira</v>
      </c>
      <c r="L101" s="1" t="str">
        <f>IFERROR(__xludf.DUMMYFUNCTION("""COMPUTED_VALUE"""),"Dragonscale Gauntlets")</f>
        <v>Dragonscale Gauntlets</v>
      </c>
      <c r="W101" s="1" t="str">
        <f>IFERROR(__xludf.DUMMYFUNCTION("""COMPUTED_VALUE"""),"Energy Prong")</f>
        <v>Energy Prong</v>
      </c>
      <c r="X101" s="1" t="str">
        <f t="shared" si="1"/>
        <v/>
      </c>
    </row>
    <row r="102">
      <c r="A102" s="1" t="s">
        <v>608</v>
      </c>
      <c r="B102" s="18" t="str">
        <f>IFERROR(VLOOKUP($A102,Equipment!$A$2:$AH1001,MATCH("Description",Equipment!$A$1:$AH$1,0),FALSE),"")</f>
        <v/>
      </c>
      <c r="C102" s="18" t="str">
        <f>IFERROR(VLOOKUP($A102,Equipment!$A$2:$AH1001,MATCH("Type",Equipment!$A$1:$AH$1,0),FALSE),"")</f>
        <v/>
      </c>
      <c r="D102" s="18" t="str">
        <f>IFERROR(VLOOKUP($A102,Equipment!$A$2:$AH1001,MATCH("Slot",Equipment!$A$1:$AH$1,0),FALSE),"")</f>
        <v>Head</v>
      </c>
      <c r="E102" s="20">
        <f>IFERROR(VLOOKUP($A102,Equipment!$A$2:$AH1001,MATCH("LevelReq",Equipment!$A$1:$AH$1,0),FALSE),"")</f>
        <v>1</v>
      </c>
      <c r="F102" s="18" t="str">
        <f>IFERROR(VLOOKUP($A102,Equipconvrt!$A$2:$AH1001,MATCH("Abilities",Equipconvrt!$A$1:$AH$1,0),FALSE),"")</f>
        <v> ++ -1 Evasion ++ +2 Intimidation, +-Can only wear one, +-Cannot be duplicated.</v>
      </c>
      <c r="G102" s="20">
        <f>IFERROR(VLOOKUP($A102,Equipment!$A$2:$AD1001,MATCH("Price",Equipment!$A$1:$AH$1,0),FALSE),"")</f>
        <v>0</v>
      </c>
      <c r="H102" s="4" t="b">
        <v>0</v>
      </c>
      <c r="I102" s="1" t="str">
        <f>IFERROR(VLOOKUP($A102,Equipment!$A$2:$AH1001,MATCH("EquipLoc",Equipment!$A$1:$AH$1,0),FALSE),"")</f>
        <v>Land of Spira</v>
      </c>
      <c r="L102" s="1" t="str">
        <f>IFERROR(__xludf.DUMMYFUNCTION("""COMPUTED_VALUE"""),"Fire Dragonscale Bow")</f>
        <v>Fire Dragonscale Bow</v>
      </c>
      <c r="W102" s="1" t="str">
        <f>IFERROR(__xludf.DUMMYFUNCTION("""COMPUTED_VALUE"""),"Faery Kings Sword")</f>
        <v>Faery Kings Sword</v>
      </c>
      <c r="X102" s="1" t="str">
        <f t="shared" si="1"/>
        <v/>
      </c>
    </row>
    <row r="103">
      <c r="A103" s="1" t="s">
        <v>609</v>
      </c>
      <c r="B103" s="18" t="str">
        <f>IFERROR(VLOOKUP($A103,Equipment!$A$2:$AH1001,MATCH("Description",Equipment!$A$1:$AH$1,0),FALSE),"")</f>
        <v/>
      </c>
      <c r="C103" s="18" t="str">
        <f>IFERROR(VLOOKUP($A103,Equipment!$A$2:$AH1001,MATCH("Type",Equipment!$A$1:$AH$1,0),FALSE),"")</f>
        <v/>
      </c>
      <c r="D103" s="18" t="str">
        <f>IFERROR(VLOOKUP($A103,Equipment!$A$2:$AH1001,MATCH("Slot",Equipment!$A$1:$AH$1,0),FALSE),"")</f>
        <v>Feet</v>
      </c>
      <c r="E103" s="20">
        <f>IFERROR(VLOOKUP($A103,Equipment!$A$2:$AH1001,MATCH("LevelReq",Equipment!$A$1:$AH$1,0),FALSE),"")</f>
        <v>200</v>
      </c>
      <c r="F103" s="18" t="str">
        <f>IFERROR(VLOOKUP($A103,Equipconvrt!$A$2:$AH1001,MATCH("Abilities",Equipconvrt!$A$1:$AH$1,0),FALSE),"")</f>
        <v>, Fire DEF: +10000 ++Fire Immune, ++X2 Additional fire damage. +-Cannot be duplicated.</v>
      </c>
      <c r="G103" s="20">
        <f>IFERROR(VLOOKUP($A103,Equipment!$A$2:$AD1001,MATCH("Price",Equipment!$A$1:$AH$1,0),FALSE),"")</f>
        <v>1900000</v>
      </c>
      <c r="H103" s="4" t="b">
        <v>0</v>
      </c>
      <c r="I103" s="1" t="str">
        <f>IFERROR(VLOOKUP($A103,Equipment!$A$2:$AH1001,MATCH("EquipLoc",Equipment!$A$1:$AH$1,0),FALSE),"")</f>
        <v>Land of Spira</v>
      </c>
      <c r="L103" s="1" t="str">
        <f>IFERROR(__xludf.DUMMYFUNCTION("""COMPUTED_VALUE"""),"Storm Dragonscale Flail")</f>
        <v>Storm Dragonscale Flail</v>
      </c>
      <c r="W103" s="1" t="str">
        <f>IFERROR(__xludf.DUMMYFUNCTION("""COMPUTED_VALUE"""),"False Helmet")</f>
        <v>False Helmet</v>
      </c>
      <c r="X103" s="1" t="str">
        <f t="shared" si="1"/>
        <v/>
      </c>
    </row>
    <row r="104">
      <c r="A104" s="1" t="s">
        <v>610</v>
      </c>
      <c r="B104" s="18" t="str">
        <f>IFERROR(VLOOKUP($A104,Equipment!$A$2:$AH1001,MATCH("Description",Equipment!$A$1:$AH$1,0),FALSE),"")</f>
        <v/>
      </c>
      <c r="C104" s="18" t="str">
        <f>IFERROR(VLOOKUP($A104,Equipment!$A$2:$AH1001,MATCH("Type",Equipment!$A$1:$AH$1,0),FALSE),"")</f>
        <v/>
      </c>
      <c r="D104" s="18" t="str">
        <f>IFERROR(VLOOKUP($A104,Equipment!$A$2:$AH1001,MATCH("Slot",Equipment!$A$1:$AH$1,0),FALSE),"")</f>
        <v>Ring</v>
      </c>
      <c r="E104" s="20">
        <f>IFERROR(VLOOKUP($A104,Equipment!$A$2:$AH1001,MATCH("LevelReq",Equipment!$A$1:$AH$1,0),FALSE),"")</f>
        <v>1</v>
      </c>
      <c r="F104" s="18" t="str">
        <f>IFERROR(VLOOKUP($A104,Equipconvrt!$A$2:$AH1001,MATCH("Abilities",Equipconvrt!$A$1:$AH$1,0),FALSE),"")</f>
        <v> ++Fire Immune, ++X2 Additional fire damage. +-Cannot be duplicated.</v>
      </c>
      <c r="G104" s="20">
        <f>IFERROR(VLOOKUP($A104,Equipment!$A$2:$AD1001,MATCH("Price",Equipment!$A$1:$AH$1,0),FALSE),"")</f>
        <v>0</v>
      </c>
      <c r="H104" s="4" t="b">
        <v>0</v>
      </c>
      <c r="I104" s="1" t="str">
        <f>IFERROR(VLOOKUP($A104,Equipment!$A$2:$AH1001,MATCH("EquipLoc",Equipment!$A$1:$AH$1,0),FALSE),"")</f>
        <v>Land of Spira</v>
      </c>
      <c r="L104" s="1" t="str">
        <f>IFERROR(__xludf.DUMMYFUNCTION("""COMPUTED_VALUE"""),"Dragonscale Spear")</f>
        <v>Dragonscale Spear</v>
      </c>
      <c r="W104" s="1" t="str">
        <f>IFERROR(__xludf.DUMMYFUNCTION("""COMPUTED_VALUE"""),"Felt Cap")</f>
        <v>Felt Cap</v>
      </c>
      <c r="X104" s="1" t="str">
        <f t="shared" si="1"/>
        <v/>
      </c>
    </row>
    <row r="105">
      <c r="A105" s="1" t="s">
        <v>611</v>
      </c>
      <c r="B105" s="18" t="str">
        <f>IFERROR(VLOOKUP($A105,Equipment!$A$2:$AH1001,MATCH("Description",Equipment!$A$1:$AH$1,0),FALSE),"")</f>
        <v/>
      </c>
      <c r="C105" s="18" t="str">
        <f>IFERROR(VLOOKUP($A105,Equipment!$A$2:$AH1001,MATCH("Type",Equipment!$A$1:$AH$1,0),FALSE),"")</f>
        <v>Towershield</v>
      </c>
      <c r="D105" s="18" t="str">
        <f>IFERROR(VLOOKUP($A105,Equipment!$A$2:$AH1001,MATCH("Slot",Equipment!$A$1:$AH$1,0),FALSE),"")</f>
        <v>Hand</v>
      </c>
      <c r="E105" s="20">
        <f>IFERROR(VLOOKUP($A105,Equipment!$A$2:$AH1001,MATCH("LevelReq",Equipment!$A$1:$AH$1,0),FALSE),"")</f>
        <v>200</v>
      </c>
      <c r="F105" s="18" t="str">
        <f>IFERROR(VLOOKUP($A105,Equipconvrt!$A$2:$AH1001,MATCH("Abilities",Equipconvrt!$A$1:$AH$1,0),FALSE),"")</f>
        <v>DEF: +5000, Fire DEF: +5000 ++ Immunity to Fire, ++X2 Additional fire resistance. +-Cannot be duplicated.</v>
      </c>
      <c r="G105" s="20">
        <f>IFERROR(VLOOKUP($A105,Equipment!$A$2:$AD1001,MATCH("Price",Equipment!$A$1:$AH$1,0),FALSE),"")</f>
        <v>1900000</v>
      </c>
      <c r="H105" s="4" t="b">
        <v>0</v>
      </c>
      <c r="I105" s="1" t="str">
        <f>IFERROR(VLOOKUP($A105,Equipment!$A$2:$AH1001,MATCH("EquipLoc",Equipment!$A$1:$AH$1,0),FALSE),"")</f>
        <v>Land of Spira</v>
      </c>
      <c r="L105" s="1" t="str">
        <f>IFERROR(__xludf.DUMMYFUNCTION("""COMPUTED_VALUE"""),"Dragonscale Scythe")</f>
        <v>Dragonscale Scythe</v>
      </c>
      <c r="W105" s="1" t="str">
        <f>IFERROR(__xludf.DUMMYFUNCTION("""COMPUTED_VALUE"""),"Fire Resistant Boots")</f>
        <v>Fire Resistant Boots</v>
      </c>
      <c r="X105" s="1" t="str">
        <f t="shared" si="1"/>
        <v/>
      </c>
    </row>
    <row r="106">
      <c r="A106" s="1" t="s">
        <v>612</v>
      </c>
      <c r="B106" s="18" t="str">
        <f>IFERROR(VLOOKUP($A106,Equipment!$A$2:$AH1001,MATCH("Description",Equipment!$A$1:$AH$1,0),FALSE),"")</f>
        <v/>
      </c>
      <c r="C106" s="18" t="str">
        <f>IFERROR(VLOOKUP($A106,Equipment!$A$2:$AH1001,MATCH("Type",Equipment!$A$1:$AH$1,0),FALSE),"")</f>
        <v>Sword</v>
      </c>
      <c r="D106" s="18" t="str">
        <f>IFERROR(VLOOKUP($A106,Equipment!$A$2:$AH1001,MATCH("Slot",Equipment!$A$1:$AH$1,0),FALSE),"")</f>
        <v>Hand</v>
      </c>
      <c r="E106" s="20">
        <f>IFERROR(VLOOKUP($A106,Equipment!$A$2:$AH1001,MATCH("LevelReq",Equipment!$A$1:$AH$1,0),FALSE),"")</f>
        <v>200</v>
      </c>
      <c r="F106" s="18" t="str">
        <f>IFERROR(VLOOKUP($A106,Equipconvrt!$A$2:$AH1001,MATCH("Abilities",Equipconvrt!$A$1:$AH$1,0),FALSE),"")</f>
        <v>DMG: +5000, Fire DMG: +5000 ++X2 Additional Fire damage. Burn 2500. Cannot be duplicated.</v>
      </c>
      <c r="G106" s="20">
        <f>IFERROR(VLOOKUP($A106,Equipment!$A$2:$AD1001,MATCH("Price",Equipment!$A$1:$AH$1,0),FALSE),"")</f>
        <v>1900000</v>
      </c>
      <c r="H106" s="4" t="b">
        <v>0</v>
      </c>
      <c r="I106" s="1" t="str">
        <f>IFERROR(VLOOKUP($A106,Equipment!$A$2:$AH1001,MATCH("EquipLoc",Equipment!$A$1:$AH$1,0),FALSE),"")</f>
        <v>Land of Spira</v>
      </c>
      <c r="L106" s="1" t="str">
        <f>IFERROR(__xludf.DUMMYFUNCTION("""COMPUTED_VALUE"""),"Dark Dragonscale Claws")</f>
        <v>Dark Dragonscale Claws</v>
      </c>
      <c r="W106" s="1" t="str">
        <f>IFERROR(__xludf.DUMMYFUNCTION("""COMPUTED_VALUE"""),"Fire Ring")</f>
        <v>Fire Ring</v>
      </c>
      <c r="X106" s="1" t="str">
        <f t="shared" si="1"/>
        <v/>
      </c>
    </row>
    <row r="107">
      <c r="A107" s="1" t="s">
        <v>613</v>
      </c>
      <c r="B107" s="18" t="str">
        <f>IFERROR(VLOOKUP($A107,Equipment!$A$2:$AH1001,MATCH("Description",Equipment!$A$1:$AH$1,0),FALSE),"")</f>
        <v/>
      </c>
      <c r="C107" s="18" t="str">
        <f>IFERROR(VLOOKUP($A107,Equipment!$A$2:$AH1001,MATCH("Type",Equipment!$A$1:$AH$1,0),FALSE),"")</f>
        <v/>
      </c>
      <c r="D107" s="18" t="str">
        <f>IFERROR(VLOOKUP($A107,Equipment!$A$2:$AH1001,MATCH("Slot",Equipment!$A$1:$AH$1,0),FALSE),"")</f>
        <v>Torso</v>
      </c>
      <c r="E107" s="20">
        <f>IFERROR(VLOOKUP($A107,Equipment!$A$2:$AH1001,MATCH("LevelReq",Equipment!$A$1:$AH$1,0),FALSE),"")</f>
        <v>400</v>
      </c>
      <c r="F107" s="18" t="str">
        <f>IFERROR(VLOOKUP($A107,Equipconvrt!$A$2:$AH1001,MATCH("Abilities",Equipconvrt!$A$1:$AH$1,0),FALSE),"")</f>
        <v>DEF: +5000, Fire DEF: +15000 Fire Immune, X2 Additional fire resistance. Cannot be duplicated.</v>
      </c>
      <c r="G107" s="20">
        <f>IFERROR(VLOOKUP($A107,Equipment!$A$2:$AD1001,MATCH("Price",Equipment!$A$1:$AH$1,0),FALSE),"")</f>
        <v>7800000</v>
      </c>
      <c r="H107" s="4" t="b">
        <v>0</v>
      </c>
      <c r="I107" s="1" t="str">
        <f>IFERROR(VLOOKUP($A107,Equipment!$A$2:$AH1001,MATCH("EquipLoc",Equipment!$A$1:$AH$1,0),FALSE),"")</f>
        <v>Land of Spira</v>
      </c>
      <c r="L107" s="1" t="str">
        <f>IFERROR(__xludf.DUMMYFUNCTION("""COMPUTED_VALUE"""),"Chaotic Dragonscale Claw")</f>
        <v>Chaotic Dragonscale Claw</v>
      </c>
      <c r="W107" s="1" t="str">
        <f>IFERROR(__xludf.DUMMYFUNCTION("""COMPUTED_VALUE"""),"Fire Shield")</f>
        <v>Fire Shield</v>
      </c>
      <c r="X107" s="1" t="str">
        <f t="shared" si="1"/>
        <v/>
      </c>
    </row>
    <row r="108">
      <c r="A108" s="1" t="s">
        <v>614</v>
      </c>
      <c r="B108" s="18" t="str">
        <f>IFERROR(VLOOKUP($A108,Equipment!$A$2:$AH1001,MATCH("Description",Equipment!$A$1:$AH$1,0),FALSE),"")</f>
        <v/>
      </c>
      <c r="C108" s="18" t="str">
        <f>IFERROR(VLOOKUP($A108,Equipment!$A$2:$AH1001,MATCH("Type",Equipment!$A$1:$AH$1,0),FALSE),"")</f>
        <v/>
      </c>
      <c r="D108" s="18" t="str">
        <f>IFERROR(VLOOKUP($A108,Equipment!$A$2:$AH1001,MATCH("Slot",Equipment!$A$1:$AH$1,0),FALSE),"")</f>
        <v>Neck</v>
      </c>
      <c r="E108" s="20">
        <f>IFERROR(VLOOKUP($A108,Equipment!$A$2:$AH1001,MATCH("LevelReq",Equipment!$A$1:$AH$1,0),FALSE),"")</f>
        <v>1</v>
      </c>
      <c r="F108" s="18" t="str">
        <f>IFERROR(VLOOKUP($A108,Equipconvrt!$A$2:$AH1001,MATCH("Abilities",Equipconvrt!$A$1:$AH$1,0),FALSE),"")</f>
        <v> ++Choose the rarity of the fish when fishing +-Cannot be forged +-Cannot be duplicated +-Can only equip one</v>
      </c>
      <c r="G108" s="20">
        <f>IFERROR(VLOOKUP($A108,Equipment!$A$2:$AD1001,MATCH("Price",Equipment!$A$1:$AH$1,0),FALSE),"")</f>
        <v>0</v>
      </c>
      <c r="H108" s="4" t="b">
        <v>0</v>
      </c>
      <c r="I108" s="1" t="str">
        <f>IFERROR(VLOOKUP($A108,Equipment!$A$2:$AH1001,MATCH("EquipLoc",Equipment!$A$1:$AH$1,0),FALSE),"")</f>
        <v>Land of Spira</v>
      </c>
      <c r="L108" s="1" t="str">
        <f>IFERROR(__xludf.DUMMYFUNCTION("""COMPUTED_VALUE"""),"Earthen Dragonscale Boots")</f>
        <v>Earthen Dragonscale Boots</v>
      </c>
      <c r="W108" s="1" t="str">
        <f>IFERROR(__xludf.DUMMYFUNCTION("""COMPUTED_VALUE"""),"Fire Sword")</f>
        <v>Fire Sword</v>
      </c>
      <c r="X108" s="1" t="str">
        <f t="shared" si="1"/>
        <v/>
      </c>
    </row>
    <row r="109">
      <c r="A109" s="1" t="s">
        <v>615</v>
      </c>
      <c r="B109" s="18" t="str">
        <f>IFERROR(VLOOKUP($A109,Equipment!$A$2:$AH1001,MATCH("Description",Equipment!$A$1:$AH$1,0),FALSE),"")</f>
        <v/>
      </c>
      <c r="C109" s="18" t="str">
        <f>IFERROR(VLOOKUP($A109,Equipment!$A$2:$AH1001,MATCH("Type",Equipment!$A$1:$AH$1,0),FALSE),"")</f>
        <v/>
      </c>
      <c r="D109" s="18" t="str">
        <f>IFERROR(VLOOKUP($A109,Equipment!$A$2:$AH1001,MATCH("Slot",Equipment!$A$1:$AH$1,0),FALSE),"")</f>
        <v>Arms</v>
      </c>
      <c r="E109" s="20">
        <f>IFERROR(VLOOKUP($A109,Equipment!$A$2:$AH1001,MATCH("LevelReq",Equipment!$A$1:$AH$1,0),FALSE),"")</f>
        <v>1</v>
      </c>
      <c r="F109" s="18" t="str">
        <f>IFERROR(VLOOKUP($A109,Equipconvrt!$A$2:$AH1001,MATCH("Abilities",Equipconvrt!$A$1:$AH$1,0),FALSE),"")</f>
        <v> Fire Immune, X2 Additional fire damage. +-Cannot be duplicated</v>
      </c>
      <c r="G109" s="20">
        <f>IFERROR(VLOOKUP($A109,Equipment!$A$2:$AD1001,MATCH("Price",Equipment!$A$1:$AH$1,0),FALSE),"")</f>
        <v>0</v>
      </c>
      <c r="H109" s="4" t="b">
        <v>0</v>
      </c>
      <c r="I109" s="1" t="str">
        <f>IFERROR(VLOOKUP($A109,Equipment!$A$2:$AH1001,MATCH("EquipLoc",Equipment!$A$1:$AH$1,0),FALSE),"")</f>
        <v>Land of Spira</v>
      </c>
      <c r="L109" s="1" t="str">
        <f>IFERROR(__xludf.DUMMYFUNCTION("""COMPUTED_VALUE"""),"Dragonscale Harp")</f>
        <v>Dragonscale Harp</v>
      </c>
      <c r="W109" s="1" t="str">
        <f>IFERROR(__xludf.DUMMYFUNCTION("""COMPUTED_VALUE"""),"Fireproof Suit")</f>
        <v>Fireproof Suit</v>
      </c>
      <c r="X109" s="1" t="str">
        <f t="shared" si="1"/>
        <v/>
      </c>
    </row>
    <row r="110">
      <c r="A110" s="1" t="s">
        <v>616</v>
      </c>
      <c r="B110" s="18" t="str">
        <f>IFERROR(VLOOKUP($A110,Equipment!$A$2:$AH1001,MATCH("Description",Equipment!$A$1:$AH$1,0),FALSE),"")</f>
        <v/>
      </c>
      <c r="C110" s="18" t="str">
        <f>IFERROR(VLOOKUP($A110,Equipment!$A$2:$AH1001,MATCH("Type",Equipment!$A$1:$AH$1,0),FALSE),"")</f>
        <v/>
      </c>
      <c r="D110" s="18" t="str">
        <f>IFERROR(VLOOKUP($A110,Equipment!$A$2:$AH1001,MATCH("Slot",Equipment!$A$1:$AH$1,0),FALSE),"")</f>
        <v>Head</v>
      </c>
      <c r="E110" s="20">
        <f>IFERROR(VLOOKUP($A110,Equipment!$A$2:$AH1001,MATCH("LevelReq",Equipment!$A$1:$AH$1,0),FALSE),"")</f>
        <v>130</v>
      </c>
      <c r="F110" s="18" t="str">
        <f>IFERROR(VLOOKUP($A110,Equipconvrt!$A$2:$AH1001,MATCH("Abilities",Equipconvrt!$A$1:$AH$1,0),FALSE),"")</f>
        <v>DEF: +5000, Fire DEF: +1500 ++Fire Immunity, ++X2 Additional fire resistance. +-Cannot be duplicated.</v>
      </c>
      <c r="G110" s="20">
        <f>IFERROR(VLOOKUP($A110,Equipment!$A$2:$AD1001,MATCH("Price",Equipment!$A$1:$AH$1,0),FALSE),"")</f>
        <v>780000</v>
      </c>
      <c r="H110" s="4" t="b">
        <v>0</v>
      </c>
      <c r="I110" s="1" t="str">
        <f>IFERROR(VLOOKUP($A110,Equipment!$A$2:$AH1001,MATCH("EquipLoc",Equipment!$A$1:$AH$1,0),FALSE),"")</f>
        <v>Land of Spira</v>
      </c>
      <c r="L110" s="1" t="str">
        <f>IFERROR(__xludf.DUMMYFUNCTION("""COMPUTED_VALUE"""),"Dragonscale Bracers")</f>
        <v>Dragonscale Bracers</v>
      </c>
      <c r="W110" s="1" t="str">
        <f>IFERROR(__xludf.DUMMYFUNCTION("""COMPUTED_VALUE"""),"Fish Pendant")</f>
        <v>Fish Pendant</v>
      </c>
      <c r="X110" s="1" t="str">
        <f t="shared" si="1"/>
        <v/>
      </c>
    </row>
    <row r="111">
      <c r="A111" s="1" t="s">
        <v>617</v>
      </c>
      <c r="B111" s="18" t="str">
        <f>IFERROR(VLOOKUP($A111,Equipment!$A$2:$AH1001,MATCH("Description",Equipment!$A$1:$AH$1,0),FALSE),"")</f>
        <v/>
      </c>
      <c r="C111" s="18" t="str">
        <f>IFERROR(VLOOKUP($A111,Equipment!$A$2:$AH1001,MATCH("Type",Equipment!$A$1:$AH$1,0),FALSE),"")</f>
        <v>Firearm</v>
      </c>
      <c r="D111" s="18" t="str">
        <f>IFERROR(VLOOKUP($A111,Equipment!$A$2:$AH1001,MATCH("Slot",Equipment!$A$1:$AH$1,0),FALSE),"")</f>
        <v>Hand</v>
      </c>
      <c r="E111" s="20">
        <f>IFERROR(VLOOKUP($A111,Equipment!$A$2:$AH1001,MATCH("LevelReq",Equipment!$A$1:$AH$1,0),FALSE),"")</f>
        <v>700</v>
      </c>
      <c r="F111" s="18" t="str">
        <f>IFERROR(VLOOKUP($A111,Equipconvrt!$A$2:$AH1001,MATCH("Abilities",Equipconvrt!$A$1:$AH$1,0),FALSE),"")</f>
        <v>, Fire DMG: +35000 ++20% chance of hitting all enemies</v>
      </c>
      <c r="G111" s="20">
        <f>IFERROR(VLOOKUP($A111,Equipment!$A$2:$AD1001,MATCH("Price",Equipment!$A$1:$AH$1,0),FALSE),"")</f>
        <v>24150000</v>
      </c>
      <c r="H111" s="4" t="b">
        <v>0</v>
      </c>
      <c r="I111" s="1" t="str">
        <f>IFERROR(VLOOKUP($A111,Equipment!$A$2:$AH1001,MATCH("EquipLoc",Equipment!$A$1:$AH$1,0),FALSE),"")</f>
        <v>Land of Spira</v>
      </c>
      <c r="L111" s="1" t="str">
        <f>IFERROR(__xludf.DUMMYFUNCTION("""COMPUTED_VALUE"""),"Dragonscale Crown")</f>
        <v>Dragonscale Crown</v>
      </c>
      <c r="W111" s="1" t="str">
        <f>IFERROR(__xludf.DUMMYFUNCTION("""COMPUTED_VALUE"""),"Flame Band")</f>
        <v>Flame Band</v>
      </c>
      <c r="X111" s="1" t="str">
        <f t="shared" si="1"/>
        <v/>
      </c>
    </row>
    <row r="112">
      <c r="A112" s="1" t="s">
        <v>618</v>
      </c>
      <c r="B112" s="18" t="str">
        <f>IFERROR(VLOOKUP($A112,Equipment!$A$2:$AH1001,MATCH("Description",Equipment!$A$1:$AH$1,0),FALSE),"")</f>
        <v/>
      </c>
      <c r="C112" s="18" t="str">
        <f>IFERROR(VLOOKUP($A112,Equipment!$A$2:$AH1001,MATCH("Type",Equipment!$A$1:$AH$1,0),FALSE),"")</f>
        <v>Sword</v>
      </c>
      <c r="D112" s="18" t="str">
        <f>IFERROR(VLOOKUP($A112,Equipment!$A$2:$AH1001,MATCH("Slot",Equipment!$A$1:$AH$1,0),FALSE),"")</f>
        <v>Hand</v>
      </c>
      <c r="E112" s="20">
        <f>IFERROR(VLOOKUP($A112,Equipment!$A$2:$AH1001,MATCH("LevelReq",Equipment!$A$1:$AH$1,0),FALSE),"")</f>
        <v>300</v>
      </c>
      <c r="F112" s="18" t="str">
        <f>IFERROR(VLOOKUP($A112,Equipconvrt!$A$2:$AH1001,MATCH("Abilities",Equipconvrt!$A$1:$AH$1,0),FALSE),"")</f>
        <v>DMG: +5000, Fire DMG: +5000, Nature DMG: +5000 ++Burn 1000</v>
      </c>
      <c r="G112" s="20">
        <f>IFERROR(VLOOKUP($A112,Equipment!$A$2:$AD1001,MATCH("Price",Equipment!$A$1:$AH$1,0),FALSE),"")</f>
        <v>4350000</v>
      </c>
      <c r="H112" s="4" t="b">
        <v>0</v>
      </c>
      <c r="I112" s="1" t="str">
        <f>IFERROR(VLOOKUP($A112,Equipment!$A$2:$AH1001,MATCH("EquipLoc",Equipment!$A$1:$AH$1,0),FALSE),"")</f>
        <v>Land of Spira</v>
      </c>
      <c r="L112" s="1" t="str">
        <f>IFERROR(__xludf.DUMMYFUNCTION("""COMPUTED_VALUE"""),"Dragonscale Helm")</f>
        <v>Dragonscale Helm</v>
      </c>
      <c r="W112" s="1" t="str">
        <f>IFERROR(__xludf.DUMMYFUNCTION("""COMPUTED_VALUE"""),"Flame Mask")</f>
        <v>Flame Mask</v>
      </c>
      <c r="X112" s="1" t="str">
        <f t="shared" si="1"/>
        <v/>
      </c>
    </row>
    <row r="113">
      <c r="A113" s="1" t="s">
        <v>619</v>
      </c>
      <c r="B113" s="18" t="str">
        <f>IFERROR(VLOOKUP($A113,Equipment!$A$2:$AH1001,MATCH("Description",Equipment!$A$1:$AH$1,0),FALSE),"")</f>
        <v/>
      </c>
      <c r="C113" s="18" t="str">
        <f>IFERROR(VLOOKUP($A113,Equipment!$A$2:$AH1001,MATCH("Type",Equipment!$A$1:$AH$1,0),FALSE),"")</f>
        <v>Sword</v>
      </c>
      <c r="D113" s="18" t="str">
        <f>IFERROR(VLOOKUP($A113,Equipment!$A$2:$AH1001,MATCH("Slot",Equipment!$A$1:$AH$1,0),FALSE),"")</f>
        <v>Hand</v>
      </c>
      <c r="E113" s="20">
        <f>IFERROR(VLOOKUP($A113,Equipment!$A$2:$AH1001,MATCH("LevelReq",Equipment!$A$1:$AH$1,0),FALSE),"")</f>
        <v>200</v>
      </c>
      <c r="F113" s="18" t="str">
        <f>IFERROR(VLOOKUP($A113,Equipconvrt!$A$2:$AH1001,MATCH("Abilities",Equipconvrt!$A$1:$AH$1,0),FALSE),"")</f>
        <v>DMG: +5000, Nature DMG: +5000 (Foul Night Set) ++Poison 5000 for 3 rounds. ++Foul Night Embodiment - When Equipped  Any Dark, Nature or Poison damage is X4.</v>
      </c>
      <c r="G113" s="20">
        <f>IFERROR(VLOOKUP($A113,Equipment!$A$2:$AD1001,MATCH("Price",Equipment!$A$1:$AH$1,0),FALSE),"")</f>
        <v>1900000</v>
      </c>
      <c r="H113" s="4" t="b">
        <v>0</v>
      </c>
      <c r="I113" s="1" t="str">
        <f>IFERROR(VLOOKUP($A113,Equipment!$A$2:$AH1001,MATCH("EquipLoc",Equipment!$A$1:$AH$1,0),FALSE),"")</f>
        <v>Land of Spira</v>
      </c>
      <c r="L113" s="1" t="str">
        <f>IFERROR(__xludf.DUMMYFUNCTION("""COMPUTED_VALUE"""),"Dragonscale Rifle")</f>
        <v>Dragonscale Rifle</v>
      </c>
      <c r="W113" s="1" t="str">
        <f>IFERROR(__xludf.DUMMYFUNCTION("""COMPUTED_VALUE"""),"Flamethrower")</f>
        <v>Flamethrower</v>
      </c>
      <c r="X113" s="1" t="str">
        <f t="shared" si="1"/>
        <v/>
      </c>
    </row>
    <row r="114">
      <c r="A114" s="1" t="s">
        <v>620</v>
      </c>
      <c r="B114" s="18" t="str">
        <f>IFERROR(VLOOKUP($A114,Equipment!$A$2:$AH1001,MATCH("Description",Equipment!$A$1:$AH$1,0),FALSE),"")</f>
        <v/>
      </c>
      <c r="C114" s="18" t="str">
        <f>IFERROR(VLOOKUP($A114,Equipment!$A$2:$AH1001,MATCH("Type",Equipment!$A$1:$AH$1,0),FALSE),"")</f>
        <v>Club</v>
      </c>
      <c r="D114" s="18" t="str">
        <f>IFERROR(VLOOKUP($A114,Equipment!$A$2:$AH1001,MATCH("Slot",Equipment!$A$1:$AH$1,0),FALSE),"")</f>
        <v>Hand</v>
      </c>
      <c r="E114" s="20">
        <f>IFERROR(VLOOKUP($A114,Equipment!$A$2:$AH1001,MATCH("LevelReq",Equipment!$A$1:$AH$1,0),FALSE),"")</f>
        <v>200</v>
      </c>
      <c r="F114" s="18" t="str">
        <f>IFERROR(VLOOKUP($A114,Equipconvrt!$A$2:$AH1001,MATCH("Abilities",Equipconvrt!$A$1:$AH$1,0),FALSE),"")</f>
        <v>DMG: +5000, Water DMG: +5000 ++Frost Bind- binds the target freezing them until the end of their next turn</v>
      </c>
      <c r="G114" s="20">
        <f>IFERROR(VLOOKUP($A114,Equipment!$A$2:$AD1001,MATCH("Price",Equipment!$A$1:$AH$1,0),FALSE),"")</f>
        <v>1900000</v>
      </c>
      <c r="H114" s="4" t="b">
        <v>0</v>
      </c>
      <c r="I114" s="1" t="str">
        <f>IFERROR(VLOOKUP($A114,Equipment!$A$2:$AH1001,MATCH("EquipLoc",Equipment!$A$1:$AH$1,0),FALSE),"")</f>
        <v>Land of Spira</v>
      </c>
      <c r="L114" s="1" t="str">
        <f>IFERROR(__xludf.DUMMYFUNCTION("""COMPUTED_VALUE"""),"Searing Dragonscale Staff")</f>
        <v>Searing Dragonscale Staff</v>
      </c>
      <c r="W114" s="1" t="str">
        <f>IFERROR(__xludf.DUMMYFUNCTION("""COMPUTED_VALUE"""),"Flaming Sword")</f>
        <v>Flaming Sword</v>
      </c>
      <c r="X114" s="1" t="str">
        <f t="shared" si="1"/>
        <v/>
      </c>
    </row>
    <row r="115">
      <c r="A115" s="1" t="s">
        <v>621</v>
      </c>
      <c r="B115" s="18" t="str">
        <f>IFERROR(VLOOKUP($A115,Equipment!$A$2:$AH1001,MATCH("Description",Equipment!$A$1:$AH$1,0),FALSE),"")</f>
        <v/>
      </c>
      <c r="C115" s="18" t="str">
        <f>IFERROR(VLOOKUP($A115,Equipment!$A$2:$AH1001,MATCH("Type",Equipment!$A$1:$AH$1,0),FALSE),"")</f>
        <v>Bow</v>
      </c>
      <c r="D115" s="18" t="str">
        <f>IFERROR(VLOOKUP($A115,Equipment!$A$2:$AH1001,MATCH("Slot",Equipment!$A$1:$AH$1,0),FALSE),"")</f>
        <v>Hand</v>
      </c>
      <c r="E115" s="20">
        <f>IFERROR(VLOOKUP($A115,Equipment!$A$2:$AH1001,MATCH("LevelReq",Equipment!$A$1:$AH$1,0),FALSE),"")</f>
        <v>180</v>
      </c>
      <c r="F115" s="18" t="str">
        <f>IFERROR(VLOOKUP($A115,Equipconvrt!$A$2:$AH1001,MATCH("Abilities",Equipconvrt!$A$1:$AH$1,0),FALSE),"")</f>
        <v>DMG: +5000, Water DMG: +4000 ++Arrows Used with this bow have a 50% chance to freeze the target(s)</v>
      </c>
      <c r="G115" s="20">
        <f>IFERROR(VLOOKUP($A115,Equipment!$A$2:$AD1001,MATCH("Price",Equipment!$A$1:$AH$1,0),FALSE),"")</f>
        <v>1530000</v>
      </c>
      <c r="H115" s="4" t="b">
        <v>0</v>
      </c>
      <c r="I115" s="1" t="str">
        <f>IFERROR(VLOOKUP($A115,Equipment!$A$2:$AH1001,MATCH("EquipLoc",Equipment!$A$1:$AH$1,0),FALSE),"")</f>
        <v>Land of Spira</v>
      </c>
      <c r="L115" s="1" t="str">
        <f>IFERROR(__xludf.DUMMYFUNCTION("""COMPUTED_VALUE"""),"Forgotten Scythe")</f>
        <v>Forgotten Scythe</v>
      </c>
      <c r="W115" s="1" t="str">
        <f>IFERROR(__xludf.DUMMYFUNCTION("""COMPUTED_VALUE"""),"Foul Night Blade")</f>
        <v>Foul Night Blade</v>
      </c>
      <c r="X115" s="1" t="str">
        <f t="shared" si="1"/>
        <v/>
      </c>
    </row>
    <row r="116">
      <c r="A116" s="1" t="s">
        <v>622</v>
      </c>
      <c r="B116" s="18" t="str">
        <f>IFERROR(VLOOKUP($A116,Equipment!$A$2:$AH1001,MATCH("Description",Equipment!$A$1:$AH$1,0),FALSE),"")</f>
        <v/>
      </c>
      <c r="C116" s="18" t="str">
        <f>IFERROR(VLOOKUP($A116,Equipment!$A$2:$AH1001,MATCH("Type",Equipment!$A$1:$AH$1,0),FALSE),"")</f>
        <v/>
      </c>
      <c r="D116" s="18" t="str">
        <f>IFERROR(VLOOKUP($A116,Equipment!$A$2:$AH1001,MATCH("Slot",Equipment!$A$1:$AH$1,0),FALSE),"")</f>
        <v>Torso</v>
      </c>
      <c r="E116" s="20">
        <f>IFERROR(VLOOKUP($A116,Equipment!$A$2:$AH1001,MATCH("LevelReq",Equipment!$A$1:$AH$1,0),FALSE),"")</f>
        <v>1</v>
      </c>
      <c r="F116" s="18" t="str">
        <f>IFERROR(VLOOKUP($A116,Equipconvrt!$A$2:$AH1001,MATCH("Abilities",Equipconvrt!$A$1:$AH$1,0),FALSE),"")</f>
        <v> (Frost Mage Set) ++When caster is hit by an enemy,the enemy is frozen for 5r/s caster,s cloak last for 3 r/s 90 sp</v>
      </c>
      <c r="G116" s="20">
        <f>IFERROR(VLOOKUP($A116,Equipment!$A$2:$AD1001,MATCH("Price",Equipment!$A$1:$AH$1,0),FALSE),"")</f>
        <v>0</v>
      </c>
      <c r="H116" s="4" t="b">
        <v>0</v>
      </c>
      <c r="I116" s="1" t="str">
        <f>IFERROR(VLOOKUP($A116,Equipment!$A$2:$AH1001,MATCH("EquipLoc",Equipment!$A$1:$AH$1,0),FALSE),"")</f>
        <v>Land of Spira</v>
      </c>
      <c r="L116" s="1" t="str">
        <f>IFERROR(__xludf.DUMMYFUNCTION("""COMPUTED_VALUE"""),"Forsaken Club")</f>
        <v>Forsaken Club</v>
      </c>
      <c r="W116" s="1" t="str">
        <f>IFERROR(__xludf.DUMMYFUNCTION("""COMPUTED_VALUE"""),"Freezing Chains")</f>
        <v>Freezing Chains</v>
      </c>
      <c r="X116" s="1" t="str">
        <f t="shared" si="1"/>
        <v/>
      </c>
    </row>
    <row r="117">
      <c r="A117" s="1" t="s">
        <v>623</v>
      </c>
      <c r="B117" s="18" t="str">
        <f>IFERROR(VLOOKUP($A117,Equipment!$A$2:$AH1001,MATCH("Description",Equipment!$A$1:$AH$1,0),FALSE),"")</f>
        <v>Event Exclusive</v>
      </c>
      <c r="C117" s="18" t="str">
        <f>IFERROR(VLOOKUP($A117,Equipment!$A$2:$AH1001,MATCH("Type",Equipment!$A$1:$AH$1,0),FALSE),"")</f>
        <v>Spear</v>
      </c>
      <c r="D117" s="18" t="str">
        <f>IFERROR(VLOOKUP($A117,Equipment!$A$2:$AH1001,MATCH("Slot",Equipment!$A$1:$AH$1,0),FALSE),"")</f>
        <v>Hand</v>
      </c>
      <c r="E117" s="20">
        <f>IFERROR(VLOOKUP($A117,Equipment!$A$2:$AH1001,MATCH("LevelReq",Equipment!$A$1:$AH$1,0),FALSE),"")</f>
        <v>1000</v>
      </c>
      <c r="F117" s="18" t="str">
        <f>IFERROR(VLOOKUP($A117,Equipconvrt!$A$2:$AH1001,MATCH("Abilities",Equipconvrt!$A$1:$AH$1,0),FALSE),"")</f>
        <v>DMG: +25000, Storm DMG: +25000 (The Frozen Spear Master Set) ++50% chance to freeze any enemies hit with this weapon</v>
      </c>
      <c r="G117" s="20">
        <f>IFERROR(VLOOKUP($A117,Equipment!$A$2:$AD1001,MATCH("Price",Equipment!$A$1:$AH$1,0),FALSE),"")</f>
        <v>49500000</v>
      </c>
      <c r="H117" s="4" t="b">
        <v>0</v>
      </c>
      <c r="I117" s="1" t="str">
        <f>IFERROR(VLOOKUP($A117,Equipment!$A$2:$AH1001,MATCH("EquipLoc",Equipment!$A$1:$AH$1,0),FALSE),"")</f>
        <v>Land of Spira</v>
      </c>
      <c r="L117" s="1" t="str">
        <f>IFERROR(__xludf.DUMMYFUNCTION("""COMPUTED_VALUE"""),"Demonic Breastplate")</f>
        <v>Demonic Breastplate</v>
      </c>
      <c r="W117" s="1" t="str">
        <f>IFERROR(__xludf.DUMMYFUNCTION("""COMPUTED_VALUE"""),"Frost Bow")</f>
        <v>Frost Bow</v>
      </c>
      <c r="X117" s="1" t="str">
        <f t="shared" si="1"/>
        <v/>
      </c>
    </row>
    <row r="118">
      <c r="A118" s="1" t="s">
        <v>624</v>
      </c>
      <c r="B118" s="18" t="str">
        <f>IFERROR(VLOOKUP($A118,Equipment!$A$2:$AH1001,MATCH("Description",Equipment!$A$1:$AH$1,0),FALSE),"")</f>
        <v>Event Exclusive</v>
      </c>
      <c r="C118" s="18" t="str">
        <f>IFERROR(VLOOKUP($A118,Equipment!$A$2:$AH1001,MATCH("Type",Equipment!$A$1:$AH$1,0),FALSE),"")</f>
        <v>Knife</v>
      </c>
      <c r="D118" s="18" t="str">
        <f>IFERROR(VLOOKUP($A118,Equipment!$A$2:$AH1001,MATCH("Slot",Equipment!$A$1:$AH$1,0),FALSE),"")</f>
        <v>Hand</v>
      </c>
      <c r="E118" s="20">
        <f>IFERROR(VLOOKUP($A118,Equipment!$A$2:$AH1001,MATCH("LevelReq",Equipment!$A$1:$AH$1,0),FALSE),"")</f>
        <v>200</v>
      </c>
      <c r="F118" s="18" t="str">
        <f>IFERROR(VLOOKUP($A118,Equipconvrt!$A$2:$AH1001,MATCH("Abilities",Equipconvrt!$A$1:$AH$1,0),FALSE),"")</f>
        <v>DMG: +5000, Water DMG: +5000</v>
      </c>
      <c r="G118" s="20">
        <f>IFERROR(VLOOKUP($A118,Equipment!$A$2:$AD1001,MATCH("Price",Equipment!$A$1:$AH$1,0),FALSE),"")</f>
        <v>1900000</v>
      </c>
      <c r="H118" s="4" t="b">
        <v>1</v>
      </c>
      <c r="I118" s="1" t="str">
        <f>IFERROR(VLOOKUP($A118,Equipment!$A$2:$AH1001,MATCH("EquipLoc",Equipment!$A$1:$AH$1,0),FALSE),"")</f>
        <v>Land of Spira</v>
      </c>
      <c r="L118" s="1" t="str">
        <f>IFERROR(__xludf.DUMMYFUNCTION("""COMPUTED_VALUE"""),"Fallen Ruler's Crown")</f>
        <v>Fallen Ruler's Crown</v>
      </c>
      <c r="W118" s="1" t="str">
        <f>IFERROR(__xludf.DUMMYFUNCTION("""COMPUTED_VALUE"""),"Frost Cloak")</f>
        <v>Frost Cloak</v>
      </c>
      <c r="X118" s="1" t="str">
        <f t="shared" si="1"/>
        <v/>
      </c>
    </row>
    <row r="119">
      <c r="A119" s="1" t="s">
        <v>625</v>
      </c>
      <c r="B119" s="18" t="str">
        <f>IFERROR(VLOOKUP($A119,Equipment!$A$2:$AH1001,MATCH("Description",Equipment!$A$1:$AH$1,0),FALSE),"")</f>
        <v/>
      </c>
      <c r="C119" s="18" t="str">
        <f>IFERROR(VLOOKUP($A119,Equipment!$A$2:$AH1001,MATCH("Type",Equipment!$A$1:$AH$1,0),FALSE),"")</f>
        <v>Sword</v>
      </c>
      <c r="D119" s="18" t="str">
        <f>IFERROR(VLOOKUP($A119,Equipment!$A$2:$AH1001,MATCH("Slot",Equipment!$A$1:$AH$1,0),FALSE),"")</f>
        <v>Hand</v>
      </c>
      <c r="E119" s="20">
        <f>IFERROR(VLOOKUP($A119,Equipment!$A$2:$AH1001,MATCH("LevelReq",Equipment!$A$1:$AH$1,0),FALSE),"")</f>
        <v>400</v>
      </c>
      <c r="F119" s="18" t="str">
        <f>IFERROR(VLOOKUP($A119,Equipconvrt!$A$2:$AH1001,MATCH("Abilities",Equipconvrt!$A$1:$AH$1,0),FALSE),"")</f>
        <v>DMG: +10000, Water DMG: +10000 ++40% chance to freeze the target. ++While enemies are frozen in battle they will take 20,000 Water damage per round. +-Cannot be duplicated.</v>
      </c>
      <c r="G119" s="20">
        <f>IFERROR(VLOOKUP($A119,Equipment!$A$2:$AD1001,MATCH("Price",Equipment!$A$1:$AH$1,0),FALSE),"")</f>
        <v>7800000</v>
      </c>
      <c r="H119" s="4" t="b">
        <v>0</v>
      </c>
      <c r="I119" s="1" t="str">
        <f>IFERROR(VLOOKUP($A119,Equipment!$A$2:$AH1001,MATCH("EquipLoc",Equipment!$A$1:$AH$1,0),FALSE),"")</f>
        <v>Land of Spira</v>
      </c>
      <c r="L119" s="1" t="str">
        <f>IFERROR(__xludf.DUMMYFUNCTION("""COMPUTED_VALUE"""),"Old Knife")</f>
        <v>Old Knife</v>
      </c>
      <c r="W119" s="1" t="str">
        <f>IFERROR(__xludf.DUMMYFUNCTION("""COMPUTED_VALUE"""),"Frost Spear")</f>
        <v>Frost Spear</v>
      </c>
      <c r="X119" s="1" t="str">
        <f t="shared" si="1"/>
        <v/>
      </c>
    </row>
    <row r="120">
      <c r="A120" s="1" t="s">
        <v>626</v>
      </c>
      <c r="B120" s="18" t="str">
        <f>IFERROR(VLOOKUP($A120,Equipment!$A$2:$AH1001,MATCH("Description",Equipment!$A$1:$AH$1,0),FALSE),"")</f>
        <v/>
      </c>
      <c r="C120" s="18" t="str">
        <f>IFERROR(VLOOKUP($A120,Equipment!$A$2:$AH1001,MATCH("Type",Equipment!$A$1:$AH$1,0),FALSE),"")</f>
        <v>Wand</v>
      </c>
      <c r="D120" s="18" t="str">
        <f>IFERROR(VLOOKUP($A120,Equipment!$A$2:$AH1001,MATCH("Slot",Equipment!$A$1:$AH$1,0),FALSE),"")</f>
        <v>Hand</v>
      </c>
      <c r="E120" s="20">
        <f>IFERROR(VLOOKUP($A120,Equipment!$A$2:$AH1001,MATCH("LevelReq",Equipment!$A$1:$AH$1,0),FALSE),"")</f>
        <v>1</v>
      </c>
      <c r="F120" s="18" t="str">
        <f>IFERROR(VLOOKUP($A120,Equipconvrt!$A$2:$AH1001,MATCH("Abilities",Equipconvrt!$A$1:$AH$1,0),FALSE),"")</f>
        <v> ++When a spell that deals damage is casted by an enemy this item will inflict the effect Frostburn. ++Frostburn - The Targets spell damage is halved.</v>
      </c>
      <c r="G120" s="20">
        <f>IFERROR(VLOOKUP($A120,Equipment!$A$2:$AD1001,MATCH("Price",Equipment!$A$1:$AH$1,0),FALSE),"")</f>
        <v>0</v>
      </c>
      <c r="H120" s="4" t="b">
        <v>1</v>
      </c>
      <c r="I120" s="1" t="str">
        <f>IFERROR(VLOOKUP($A120,Equipment!$A$2:$AH1001,MATCH("EquipLoc",Equipment!$A$1:$AH$1,0),FALSE),"")</f>
        <v>Land of Spira</v>
      </c>
      <c r="L120" s="1" t="str">
        <f>IFERROR(__xludf.DUMMYFUNCTION("""COMPUTED_VALUE"""),"Plunderbuss")</f>
        <v>Plunderbuss</v>
      </c>
      <c r="W120" s="1" t="str">
        <f>IFERROR(__xludf.DUMMYFUNCTION("""COMPUTED_VALUE"""),"Frozen Carrot Dagger")</f>
        <v>Frozen Carrot Dagger</v>
      </c>
      <c r="X120" s="1" t="str">
        <f t="shared" si="1"/>
        <v/>
      </c>
    </row>
    <row r="121">
      <c r="A121" s="1" t="s">
        <v>627</v>
      </c>
      <c r="B121" s="18" t="str">
        <f>IFERROR(VLOOKUP($A121,Equipment!$A$2:$AH1001,MATCH("Description",Equipment!$A$1:$AH$1,0),FALSE),"")</f>
        <v/>
      </c>
      <c r="C121" s="18" t="str">
        <f>IFERROR(VLOOKUP($A121,Equipment!$A$2:$AH1001,MATCH("Type",Equipment!$A$1:$AH$1,0),FALSE),"")</f>
        <v>Wand</v>
      </c>
      <c r="D121" s="18" t="str">
        <f>IFERROR(VLOOKUP($A121,Equipment!$A$2:$AH1001,MATCH("Slot",Equipment!$A$1:$AH$1,0),FALSE),"")</f>
        <v>Hand</v>
      </c>
      <c r="E121" s="20">
        <f>IFERROR(VLOOKUP($A121,Equipment!$A$2:$AH1001,MATCH("LevelReq",Equipment!$A$1:$AH$1,0),FALSE),"")</f>
        <v>1</v>
      </c>
      <c r="F121" s="18" t="str">
        <f>IFERROR(VLOOKUP($A121,Equipconvrt!$A$2:$AH1001,MATCH("Abilities",Equipconvrt!$A$1:$AH$1,0),FALSE),"")</f>
        <v> ++Summons a d2 of Gargoyles to help you in battle. +-Can only be used once per battle.</v>
      </c>
      <c r="G121" s="20">
        <f>IFERROR(VLOOKUP($A121,Equipment!$A$2:$AD1001,MATCH("Price",Equipment!$A$1:$AH$1,0),FALSE),"")</f>
        <v>0</v>
      </c>
      <c r="H121" s="4" t="b">
        <v>0</v>
      </c>
      <c r="I121" s="1" t="str">
        <f>IFERROR(VLOOKUP($A121,Equipment!$A$2:$AH1001,MATCH("EquipLoc",Equipment!$A$1:$AH$1,0),FALSE),"")</f>
        <v>Abstara</v>
      </c>
      <c r="L121" s="1" t="str">
        <f>IFERROR(__xludf.DUMMYFUNCTION("""COMPUTED_VALUE"""),"Dragon Destroyer")</f>
        <v>Dragon Destroyer</v>
      </c>
      <c r="W121" s="1" t="str">
        <f>IFERROR(__xludf.DUMMYFUNCTION("""COMPUTED_VALUE"""),"Frozen Falchion")</f>
        <v>Frozen Falchion</v>
      </c>
      <c r="X121" s="1" t="str">
        <f t="shared" si="1"/>
        <v/>
      </c>
    </row>
    <row r="122">
      <c r="A122" s="1" t="s">
        <v>628</v>
      </c>
      <c r="B122" s="18" t="str">
        <f>IFERROR(VLOOKUP($A122,Equipment!$A$2:$AH1001,MATCH("Description",Equipment!$A$1:$AH$1,0),FALSE),"")</f>
        <v/>
      </c>
      <c r="C122" s="18" t="str">
        <f>IFERROR(VLOOKUP($A122,Equipment!$A$2:$AH1001,MATCH("Type",Equipment!$A$1:$AH$1,0),FALSE),"")</f>
        <v>Bow</v>
      </c>
      <c r="D122" s="18" t="str">
        <f>IFERROR(VLOOKUP($A122,Equipment!$A$2:$AH1001,MATCH("Slot",Equipment!$A$1:$AH$1,0),FALSE),"")</f>
        <v>Hand</v>
      </c>
      <c r="E122" s="20">
        <f>IFERROR(VLOOKUP($A122,Equipment!$A$2:$AH1001,MATCH("LevelReq",Equipment!$A$1:$AH$1,0),FALSE),"")</f>
        <v>3000</v>
      </c>
      <c r="F122" s="18" t="str">
        <f>IFERROR(VLOOKUP($A122,Equipconvrt!$A$2:$AH1001,MATCH("Abilities",Equipconvrt!$A$1:$AH$1,0),FALSE),"")</f>
        <v>DMG: +100000, Earth DMG: +50000 ++Damage dealt with this bow gives you hp back equal to the damage you dealt. </v>
      </c>
      <c r="G122" s="20">
        <f>IFERROR(VLOOKUP($A122,Equipment!$A$2:$AD1001,MATCH("Price",Equipment!$A$1:$AH$1,0),FALSE),"")</f>
        <v>448500000</v>
      </c>
      <c r="H122" s="4" t="b">
        <v>0</v>
      </c>
      <c r="I122" s="1" t="str">
        <f>IFERROR(VLOOKUP($A122,Equipment!$A$2:$AH1001,MATCH("EquipLoc",Equipment!$A$1:$AH$1,0),FALSE),"")</f>
        <v>Abstara</v>
      </c>
      <c r="L122" s="1" t="str">
        <f>IFERROR(__xludf.DUMMYFUNCTION("""COMPUTED_VALUE"""),"Dragonscale of Returns")</f>
        <v>Dragonscale of Returns</v>
      </c>
      <c r="W122" s="1" t="str">
        <f>IFERROR(__xludf.DUMMYFUNCTION("""COMPUTED_VALUE"""),"Frozen Soul Lantern")</f>
        <v>Frozen Soul Lantern</v>
      </c>
      <c r="X122" s="1" t="str">
        <f t="shared" si="1"/>
        <v/>
      </c>
    </row>
    <row r="123">
      <c r="A123" s="1" t="s">
        <v>629</v>
      </c>
      <c r="B123" s="18" t="str">
        <f>IFERROR(VLOOKUP($A123,Equipment!$A$2:$AH1001,MATCH("Description",Equipment!$A$1:$AH$1,0),FALSE),"")</f>
        <v/>
      </c>
      <c r="C123" s="18" t="str">
        <f>IFERROR(VLOOKUP($A123,Equipment!$A$2:$AH1001,MATCH("Type",Equipment!$A$1:$AH$1,0),FALSE),"")</f>
        <v/>
      </c>
      <c r="D123" s="18" t="str">
        <f>IFERROR(VLOOKUP($A123,Equipment!$A$2:$AH1001,MATCH("Slot",Equipment!$A$1:$AH$1,0),FALSE),"")</f>
        <v>Neck</v>
      </c>
      <c r="E123" s="20">
        <f>IFERROR(VLOOKUP($A123,Equipment!$A$2:$AH1001,MATCH("LevelReq",Equipment!$A$1:$AH$1,0),FALSE),"")</f>
        <v>1</v>
      </c>
      <c r="F123" s="18" t="str">
        <f>IFERROR(VLOOKUP($A123,Equipconvrt!$A$2:$AH1001,MATCH("Abilities",Equipconvrt!$A$1:$AH$1,0),FALSE),"")</f>
        <v> ++Allows 1 d20 roll to be a 20 once per battle or 1 rp action per day of travel. +-Cannot be forged +-Cannot be duplicated +-Can only equip one</v>
      </c>
      <c r="G123" s="20">
        <f>IFERROR(VLOOKUP($A123,Equipment!$A$2:$AD1001,MATCH("Price",Equipment!$A$1:$AH$1,0),FALSE),"")</f>
        <v>0</v>
      </c>
      <c r="H123" s="4" t="b">
        <v>0</v>
      </c>
      <c r="I123" s="1" t="str">
        <f>IFERROR(VLOOKUP($A123,Equipment!$A$2:$AH1001,MATCH("EquipLoc",Equipment!$A$1:$AH$1,0),FALSE),"")</f>
        <v>Abstara</v>
      </c>
      <c r="L123" s="1" t="str">
        <f>IFERROR(__xludf.DUMMYFUNCTION("""COMPUTED_VALUE"""),"Brimstone Staff")</f>
        <v>Brimstone Staff</v>
      </c>
      <c r="W123" s="1" t="str">
        <f>IFERROR(__xludf.DUMMYFUNCTION("""COMPUTED_VALUE"""),"Gargoyle War Horn")</f>
        <v>Gargoyle War Horn</v>
      </c>
      <c r="X123" s="1" t="str">
        <f t="shared" si="1"/>
        <v/>
      </c>
    </row>
    <row r="124">
      <c r="A124" s="1" t="s">
        <v>630</v>
      </c>
      <c r="B124" s="18" t="str">
        <f>IFERROR(VLOOKUP($A124,Equipment!$A$2:$AH1001,MATCH("Description",Equipment!$A$1:$AH$1,0),FALSE),"")</f>
        <v/>
      </c>
      <c r="C124" s="18" t="str">
        <f>IFERROR(VLOOKUP($A124,Equipment!$A$2:$AH1001,MATCH("Type",Equipment!$A$1:$AH$1,0),FALSE),"")</f>
        <v/>
      </c>
      <c r="D124" s="18" t="str">
        <f>IFERROR(VLOOKUP($A124,Equipment!$A$2:$AH1001,MATCH("Slot",Equipment!$A$1:$AH$1,0),FALSE),"")</f>
        <v>Ring</v>
      </c>
      <c r="E124" s="20">
        <f>IFERROR(VLOOKUP($A124,Equipment!$A$2:$AH1001,MATCH("LevelReq",Equipment!$A$1:$AH$1,0),FALSE),"")</f>
        <v>1</v>
      </c>
      <c r="F124" s="18" t="str">
        <f>IFERROR(VLOOKUP($A124,Equipconvrt!$A$2:$AH1001,MATCH("Abilities",Equipconvrt!$A$1:$AH$1,0),FALSE),"")</f>
        <v> ++If you chose the gargoyle race as your main starting race this ring will make it so you will not become hardened.</v>
      </c>
      <c r="G124" s="20">
        <f>IFERROR(VLOOKUP($A124,Equipment!$A$2:$AD1001,MATCH("Price",Equipment!$A$1:$AH$1,0),FALSE),"")</f>
        <v>0</v>
      </c>
      <c r="H124" s="4" t="b">
        <v>0</v>
      </c>
      <c r="I124" s="1" t="str">
        <f>IFERROR(VLOOKUP($A124,Equipment!$A$2:$AH1001,MATCH("EquipLoc",Equipment!$A$1:$AH$1,0),FALSE),"")</f>
        <v>Abstara</v>
      </c>
      <c r="L124" s="1" t="str">
        <f>IFERROR(__xludf.DUMMYFUNCTION("""COMPUTED_VALUE"""),"Eternal Ember")</f>
        <v>Eternal Ember</v>
      </c>
      <c r="W124" s="1" t="str">
        <f>IFERROR(__xludf.DUMMYFUNCTION("""COMPUTED_VALUE"""),"Gargoyle’s Heavy Enchanted Bow")</f>
        <v>Gargoyle’s Heavy Enchanted Bow</v>
      </c>
      <c r="X124" s="1" t="str">
        <f t="shared" si="1"/>
        <v/>
      </c>
    </row>
    <row r="125">
      <c r="A125" s="1" t="s">
        <v>631</v>
      </c>
      <c r="B125" s="18" t="str">
        <f>IFERROR(VLOOKUP($A125,Equipment!$A$2:$AH1001,MATCH("Description",Equipment!$A$1:$AH$1,0),FALSE),"")</f>
        <v/>
      </c>
      <c r="C125" s="18" t="str">
        <f>IFERROR(VLOOKUP($A125,Equipment!$A$2:$AH1001,MATCH("Type",Equipment!$A$1:$AH$1,0),FALSE),"")</f>
        <v>Knife</v>
      </c>
      <c r="D125" s="18" t="str">
        <f>IFERROR(VLOOKUP($A125,Equipment!$A$2:$AH1001,MATCH("Slot",Equipment!$A$1:$AH$1,0),FALSE),"")</f>
        <v>Hand</v>
      </c>
      <c r="E125" s="20">
        <f>IFERROR(VLOOKUP($A125,Equipment!$A$2:$AH1001,MATCH("LevelReq",Equipment!$A$1:$AH$1,0),FALSE),"")</f>
        <v>200</v>
      </c>
      <c r="F125" s="18" t="str">
        <f>IFERROR(VLOOKUP($A125,Equipconvrt!$A$2:$AH1001,MATCH("Abilities",Equipconvrt!$A$1:$AH$1,0),FALSE),"")</f>
        <v>ATK: +10000 ++When hitting an enemy inflict them with poison 500</v>
      </c>
      <c r="G125" s="20">
        <f>IFERROR(VLOOKUP($A125,Equipment!$A$2:$AD1001,MATCH("Price",Equipment!$A$1:$AH$1,0),FALSE),"")</f>
        <v>1900000</v>
      </c>
      <c r="H125" s="4" t="b">
        <v>0</v>
      </c>
      <c r="I125" s="1" t="str">
        <f>IFERROR(VLOOKUP($A125,Equipment!$A$2:$AH1001,MATCH("EquipLoc",Equipment!$A$1:$AH$1,0),FALSE),"")</f>
        <v>Land of Spira</v>
      </c>
      <c r="L125" s="1" t="str">
        <f>IFERROR(__xludf.DUMMYFUNCTION("""COMPUTED_VALUE"""),"Crystal Blood")</f>
        <v>Crystal Blood</v>
      </c>
      <c r="W125" s="1" t="str">
        <f>IFERROR(__xludf.DUMMYFUNCTION("""COMPUTED_VALUE"""),"Gargoyle’s Necklace of Luck ")</f>
        <v>Gargoyle’s Necklace of Luck </v>
      </c>
      <c r="X125" s="1" t="str">
        <f t="shared" si="1"/>
        <v/>
      </c>
    </row>
    <row r="126">
      <c r="A126" s="1" t="s">
        <v>632</v>
      </c>
      <c r="B126" s="18" t="str">
        <f>IFERROR(VLOOKUP($A126,Equipment!$A$2:$AH1001,MATCH("Description",Equipment!$A$1:$AH$1,0),FALSE),"")</f>
        <v/>
      </c>
      <c r="C126" s="18" t="str">
        <f>IFERROR(VLOOKUP($A126,Equipment!$A$2:$AH1001,MATCH("Type",Equipment!$A$1:$AH$1,0),FALSE),"")</f>
        <v>Towershield</v>
      </c>
      <c r="D126" s="18" t="str">
        <f>IFERROR(VLOOKUP($A126,Equipment!$A$2:$AH1001,MATCH("Slot",Equipment!$A$1:$AH$1,0),FALSE),"")</f>
        <v>Hand</v>
      </c>
      <c r="E126" s="20">
        <f>IFERROR(VLOOKUP($A126,Equipment!$A$2:$AH1001,MATCH("LevelReq",Equipment!$A$1:$AH$1,0),FALSE),"")</f>
        <v>1000</v>
      </c>
      <c r="F126" s="18" t="str">
        <f>IFERROR(VLOOKUP($A126,Equipconvrt!$A$2:$AH1001,MATCH("Abilities",Equipconvrt!$A$1:$AH$1,0),FALSE),"")</f>
        <v>DEF: +50000 +-has a 50% chance of breaking upon taking damage</v>
      </c>
      <c r="G126" s="20">
        <f>IFERROR(VLOOKUP($A126,Equipment!$A$2:$AD1001,MATCH("Price",Equipment!$A$1:$AH$1,0),FALSE),"")</f>
        <v>49500000</v>
      </c>
      <c r="H126" s="4" t="b">
        <v>0</v>
      </c>
      <c r="I126" s="1" t="str">
        <f>IFERROR(VLOOKUP($A126,Equipment!$A$2:$AH1001,MATCH("EquipLoc",Equipment!$A$1:$AH$1,0),FALSE),"")</f>
        <v>Land of Spira</v>
      </c>
      <c r="L126" s="1" t="str">
        <f>IFERROR(__xludf.DUMMYFUNCTION("""COMPUTED_VALUE"""),"Ultimate Gamble")</f>
        <v>Ultimate Gamble</v>
      </c>
      <c r="W126" s="1" t="str">
        <f>IFERROR(__xludf.DUMMYFUNCTION("""COMPUTED_VALUE"""),"Gargoyle’s Ring")</f>
        <v>Gargoyle’s Ring</v>
      </c>
      <c r="X126" s="1" t="str">
        <f t="shared" si="1"/>
        <v/>
      </c>
    </row>
    <row r="127">
      <c r="A127" s="1" t="s">
        <v>633</v>
      </c>
      <c r="B127" s="18" t="str">
        <f>IFERROR(VLOOKUP($A127,Equipment!$A$2:$AH1001,MATCH("Description",Equipment!$A$1:$AH$1,0),FALSE),"")</f>
        <v/>
      </c>
      <c r="C127" s="18" t="str">
        <f>IFERROR(VLOOKUP($A127,Equipment!$A$2:$AH1001,MATCH("Type",Equipment!$A$1:$AH$1,0),FALSE),"")</f>
        <v>Staff</v>
      </c>
      <c r="D127" s="18" t="str">
        <f>IFERROR(VLOOKUP($A127,Equipment!$A$2:$AH1001,MATCH("Slot",Equipment!$A$1:$AH$1,0),FALSE),"")</f>
        <v>Hand</v>
      </c>
      <c r="E127" s="20">
        <f>IFERROR(VLOOKUP($A127,Equipment!$A$2:$AH1001,MATCH("LevelReq",Equipment!$A$1:$AH$1,0),FALSE),"")</f>
        <v>1</v>
      </c>
      <c r="F127" s="18" t="str">
        <f>IFERROR(VLOOKUP($A127,Equipconvrt!$A$2:$AH1001,MATCH("Abilities",Equipconvrt!$A$1:$AH$1,0),FALSE),"")</f>
        <v> ++Summons Lord Goose to aid you in battle, 1000 SP.</v>
      </c>
      <c r="G127" s="20">
        <f>IFERROR(VLOOKUP($A127,Equipment!$A$2:$AD1001,MATCH("Price",Equipment!$A$1:$AH$1,0),FALSE),"")</f>
        <v>0</v>
      </c>
      <c r="H127" s="4" t="b">
        <v>0</v>
      </c>
      <c r="I127" s="1" t="str">
        <f>IFERROR(VLOOKUP($A127,Equipment!$A$2:$AH1001,MATCH("EquipLoc",Equipment!$A$1:$AH$1,0),FALSE),"")</f>
        <v>Land of Spira</v>
      </c>
      <c r="L127" s="1" t="str">
        <f>IFERROR(__xludf.DUMMYFUNCTION("""COMPUTED_VALUE"""),"Awakened Evil")</f>
        <v>Awakened Evil</v>
      </c>
      <c r="W127" s="1" t="str">
        <f>IFERROR(__xludf.DUMMYFUNCTION("""COMPUTED_VALUE"""),"Giant Spider Leg")</f>
        <v>Giant Spider Leg</v>
      </c>
      <c r="X127" s="1" t="str">
        <f t="shared" si="1"/>
        <v/>
      </c>
    </row>
    <row r="128">
      <c r="A128" s="4" t="s">
        <v>634</v>
      </c>
      <c r="B128" s="18" t="str">
        <f>IFERROR(VLOOKUP($A128,Equipment!$A$2:$AH1001,MATCH("Description",Equipment!$A$1:$AH$1,0),FALSE),"")</f>
        <v/>
      </c>
      <c r="C128" s="18" t="str">
        <f>IFERROR(VLOOKUP($A128,Equipment!$A$2:$AH1001,MATCH("Type",Equipment!$A$1:$AH$1,0),FALSE),"")</f>
        <v>Sword</v>
      </c>
      <c r="D128" s="18" t="str">
        <f>IFERROR(VLOOKUP($A128,Equipment!$A$2:$AH1001,MATCH("Slot",Equipment!$A$1:$AH$1,0),FALSE),"")</f>
        <v>Hand</v>
      </c>
      <c r="E128" s="20">
        <f>IFERROR(VLOOKUP($A128,Equipment!$A$2:$AH1001,MATCH("LevelReq",Equipment!$A$1:$AH$1,0),FALSE),"")</f>
        <v>200</v>
      </c>
      <c r="F128" s="18" t="str">
        <f>IFERROR(VLOOKUP($A128,Equipconvrt!$A$2:$AH1001,MATCH("Abilities",Equipconvrt!$A$1:$AH$1,0),FALSE),"")</f>
        <v>DMG: +50000, Fire DMG: +100000, Dark DMG: +50000, Chaos DMG: +50000, Celestial DMG: +50000 ++Upon a successful hit this weapon will have a 20% chance to summon a Grand Dark and Fire Mage, Level is determined by DM/GM. +-Cannot be Duplicated.</v>
      </c>
      <c r="G128" s="20">
        <f>IFERROR(VLOOKUP($A128,Equipment!$A$2:$AD1001,MATCH("Price",Equipment!$A$1:$AH$1,0),FALSE),"")</f>
        <v>1797000000</v>
      </c>
      <c r="H128" s="4" t="b">
        <v>0</v>
      </c>
      <c r="I128" s="1" t="str">
        <f>IFERROR(VLOOKUP($A128,Equipment!$A$2:$AH1001,MATCH("EquipLoc",Equipment!$A$1:$AH$1,0),FALSE),"")</f>
        <v>Abstara</v>
      </c>
      <c r="L128" s="1" t="str">
        <f>IFERROR(__xludf.DUMMYFUNCTION("""COMPUTED_VALUE"""),"Soldier's Charge")</f>
        <v>Soldier's Charge</v>
      </c>
      <c r="W128" s="1" t="str">
        <f>IFERROR(__xludf.DUMMYFUNCTION("""COMPUTED_VALUE"""),"Glass Shield")</f>
        <v>Glass Shield</v>
      </c>
      <c r="X128" s="1" t="str">
        <f t="shared" si="1"/>
        <v/>
      </c>
    </row>
    <row r="129">
      <c r="A129" s="1" t="s">
        <v>635</v>
      </c>
      <c r="B129" s="18" t="str">
        <f>IFERROR(VLOOKUP($A129,Equipment!$A$2:$AH1001,MATCH("Description",Equipment!$A$1:$AH$1,0),FALSE),"")</f>
        <v/>
      </c>
      <c r="C129" s="18" t="str">
        <f>IFERROR(VLOOKUP($A129,Equipment!$A$2:$AH1001,MATCH("Type",Equipment!$A$1:$AH$1,0),FALSE),"")</f>
        <v>Bow</v>
      </c>
      <c r="D129" s="18" t="str">
        <f>IFERROR(VLOOKUP($A129,Equipment!$A$2:$AH1001,MATCH("Slot",Equipment!$A$1:$AH$1,0),FALSE),"")</f>
        <v>Hand</v>
      </c>
      <c r="E129" s="20">
        <f>IFERROR(VLOOKUP($A129,Equipment!$A$2:$AH1001,MATCH("LevelReq",Equipment!$A$1:$AH$1,0),FALSE),"")</f>
        <v>20</v>
      </c>
      <c r="F129" s="18" t="str">
        <f>IFERROR(VLOOKUP($A129,Equipconvrt!$A$2:$AH1001,MATCH("Abilities",Equipconvrt!$A$1:$AH$1,0),FALSE),"")</f>
        <v>DMG: +1000 ++X4 additional damage towards ranged attacks. +-Only Archers can equip. +-Cannot be duplicated. </v>
      </c>
      <c r="G129" s="20">
        <f>IFERROR(VLOOKUP($A129,Equipment!$A$2:$AD1001,MATCH("Price",Equipment!$A$1:$AH$1,0),FALSE),"")</f>
        <v>10000</v>
      </c>
      <c r="H129" s="4" t="b">
        <v>0</v>
      </c>
      <c r="I129" s="1" t="str">
        <f>IFERROR(VLOOKUP($A129,Equipment!$A$2:$AH1001,MATCH("EquipLoc",Equipment!$A$1:$AH$1,0),FALSE),"")</f>
        <v>Land of Spira</v>
      </c>
      <c r="L129" s="1" t="str">
        <f>IFERROR(__xludf.DUMMYFUNCTION("""COMPUTED_VALUE"""),"Weight of Sin")</f>
        <v>Weight of Sin</v>
      </c>
      <c r="W129" s="1" t="str">
        <f>IFERROR(__xludf.DUMMYFUNCTION("""COMPUTED_VALUE"""),"Goose Staff")</f>
        <v>Goose Staff</v>
      </c>
      <c r="X129" s="1" t="str">
        <f t="shared" si="1"/>
        <v/>
      </c>
    </row>
    <row r="130">
      <c r="A130" s="1" t="s">
        <v>636</v>
      </c>
      <c r="B130" s="18" t="str">
        <f>IFERROR(VLOOKUP($A130,Equipment!$A$2:$AH1001,MATCH("Description",Equipment!$A$1:$AH$1,0),FALSE),"")</f>
        <v>A strong grass entity in the form of a sword</v>
      </c>
      <c r="C130" s="18" t="str">
        <f>IFERROR(VLOOKUP($A130,Equipment!$A$2:$AH1001,MATCH("Type",Equipment!$A$1:$AH$1,0),FALSE),"")</f>
        <v>Sword</v>
      </c>
      <c r="D130" s="18" t="str">
        <f>IFERROR(VLOOKUP($A130,Equipment!$A$2:$AH1001,MATCH("Slot",Equipment!$A$1:$AH$1,0),FALSE),"")</f>
        <v>Hand</v>
      </c>
      <c r="E130" s="20">
        <f>IFERROR(VLOOKUP($A130,Equipment!$A$2:$AH1001,MATCH("LevelReq",Equipment!$A$1:$AH$1,0),FALSE),"")</f>
        <v>1</v>
      </c>
      <c r="F130" s="18" t="str">
        <f>IFERROR(VLOOKUP($A130,Equipconvrt!$A$2:$AH1001,MATCH("Abilities",Equipconvrt!$A$1:$AH$1,0),FALSE),"")</f>
        <v>DMG: +250</v>
      </c>
      <c r="G130" s="20">
        <f>IFERROR(VLOOKUP($A130,Equipment!$A$2:$AD1001,MATCH("Price",Equipment!$A$1:$AH$1,0),FALSE),"")</f>
        <v>0</v>
      </c>
      <c r="H130" s="4" t="b">
        <v>0</v>
      </c>
      <c r="I130" s="1" t="str">
        <f>IFERROR(VLOOKUP($A130,Equipment!$A$2:$AH1001,MATCH("EquipLoc",Equipment!$A$1:$AH$1,0),FALSE),"")</f>
        <v>Land of Spira</v>
      </c>
      <c r="L130" s="1" t="str">
        <f>IFERROR(__xludf.DUMMYFUNCTION("""COMPUTED_VALUE"""),"Volcano's Summit")</f>
        <v>Volcano's Summit</v>
      </c>
      <c r="W130" s="1" t="str">
        <f>IFERROR(__xludf.DUMMYFUNCTION("""COMPUTED_VALUE"""),"Grand Hellfire Sword")</f>
        <v>Grand Hellfire Sword</v>
      </c>
      <c r="X130" s="1" t="str">
        <f t="shared" si="1"/>
        <v/>
      </c>
    </row>
    <row r="131">
      <c r="A131" s="1" t="s">
        <v>637</v>
      </c>
      <c r="B131" s="18" t="str">
        <f>IFERROR(VLOOKUP($A131,Equipment!$A$2:$AH1001,MATCH("Description",Equipment!$A$1:$AH$1,0),FALSE),"")</f>
        <v/>
      </c>
      <c r="C131" s="18" t="str">
        <f>IFERROR(VLOOKUP($A131,Equipment!$A$2:$AH1001,MATCH("Type",Equipment!$A$1:$AH$1,0),FALSE),"")</f>
        <v>Sword</v>
      </c>
      <c r="D131" s="18" t="str">
        <f>IFERROR(VLOOKUP($A131,Equipment!$A$2:$AH1001,MATCH("Slot",Equipment!$A$1:$AH$1,0),FALSE),"")</f>
        <v>Hand</v>
      </c>
      <c r="E131" s="20">
        <f>IFERROR(VLOOKUP($A131,Equipment!$A$2:$AH1001,MATCH("LevelReq",Equipment!$A$1:$AH$1,0),FALSE),"")</f>
        <v>4000</v>
      </c>
      <c r="F131" s="18" t="str">
        <f>IFERROR(VLOOKUP($A131,Equipconvrt!$A$2:$AH1001,MATCH("Abilities",Equipconvrt!$A$1:$AH$1,0),FALSE),"")</f>
        <v>DMG: +100000, Earth DMG: +100000 ++When this weapon is equipped the wielder gets X2 Attack and Defence, +-Cannot be duplicated.</v>
      </c>
      <c r="G131" s="20">
        <f>IFERROR(VLOOKUP($A131,Equipment!$A$2:$AD1001,MATCH("Price",Equipment!$A$1:$AH$1,0),FALSE),"")</f>
        <v>798000000</v>
      </c>
      <c r="H131" s="4" t="b">
        <v>0</v>
      </c>
      <c r="I131" s="1" t="str">
        <f>IFERROR(VLOOKUP($A131,Equipment!$A$2:$AH1001,MATCH("EquipLoc",Equipment!$A$1:$AH$1,0),FALSE),"")</f>
        <v>Abstara</v>
      </c>
      <c r="L131" s="1" t="str">
        <f>IFERROR(__xludf.DUMMYFUNCTION("""COMPUTED_VALUE"""),"Long Distance Loveletter")</f>
        <v>Long Distance Loveletter</v>
      </c>
      <c r="W131" s="1" t="str">
        <f>IFERROR(__xludf.DUMMYFUNCTION("""COMPUTED_VALUE"""),"Grand Master Bow")</f>
        <v>Grand Master Bow</v>
      </c>
      <c r="X131" s="1" t="str">
        <f t="shared" si="1"/>
        <v/>
      </c>
    </row>
    <row r="132">
      <c r="A132" s="1" t="s">
        <v>638</v>
      </c>
      <c r="B132" s="18" t="str">
        <f>IFERROR(VLOOKUP($A132,Equipment!$A$2:$AH1001,MATCH("Description",Equipment!$A$1:$AH$1,0),FALSE),"")</f>
        <v/>
      </c>
      <c r="C132" s="18" t="str">
        <f>IFERROR(VLOOKUP($A132,Equipment!$A$2:$AH1001,MATCH("Type",Equipment!$A$1:$AH$1,0),FALSE),"")</f>
        <v/>
      </c>
      <c r="D132" s="18" t="str">
        <f>IFERROR(VLOOKUP($A132,Equipment!$A$2:$AH1001,MATCH("Slot",Equipment!$A$1:$AH$1,0),FALSE),"")</f>
        <v>Legs</v>
      </c>
      <c r="E132" s="20">
        <f>IFERROR(VLOOKUP($A132,Equipment!$A$2:$AH1001,MATCH("LevelReq",Equipment!$A$1:$AH$1,0),FALSE),"")</f>
        <v>100</v>
      </c>
      <c r="F132" s="18" t="str">
        <f>IFERROR(VLOOKUP($A132,Equipconvrt!$A$2:$AH1001,MATCH("Abilities",Equipconvrt!$A$1:$AH$1,0),FALSE),"")</f>
        <v>DEF: +2500, Water DEF: +2500 ++X2 additional water damage for self.</v>
      </c>
      <c r="G132" s="20">
        <f>IFERROR(VLOOKUP($A132,Equipment!$A$2:$AD1001,MATCH("Price",Equipment!$A$1:$AH$1,0),FALSE),"")</f>
        <v>450000</v>
      </c>
      <c r="H132" s="4" t="b">
        <v>0</v>
      </c>
      <c r="I132" s="1" t="str">
        <f>IFERROR(VLOOKUP($A132,Equipment!$A$2:$AH1001,MATCH("EquipLoc",Equipment!$A$1:$AH$1,0),FALSE),"")</f>
        <v/>
      </c>
      <c r="L132" s="1" t="str">
        <f>IFERROR(__xludf.DUMMYFUNCTION("""COMPUTED_VALUE"""),"Cursed Child's Hatchet")</f>
        <v>Cursed Child's Hatchet</v>
      </c>
      <c r="W132" s="1" t="str">
        <f>IFERROR(__xludf.DUMMYFUNCTION("""COMPUTED_VALUE"""),"Grass Sword")</f>
        <v>Grass Sword</v>
      </c>
      <c r="X132" s="1" t="str">
        <f t="shared" si="1"/>
        <v/>
      </c>
    </row>
    <row r="133">
      <c r="A133" s="1" t="s">
        <v>639</v>
      </c>
      <c r="B133" s="18" t="str">
        <f>IFERROR(VLOOKUP($A133,Equipment!$A$2:$AH1001,MATCH("Description",Equipment!$A$1:$AH$1,0),FALSE),"")</f>
        <v/>
      </c>
      <c r="C133" s="18" t="str">
        <f>IFERROR(VLOOKUP($A133,Equipment!$A$2:$AH1001,MATCH("Type",Equipment!$A$1:$AH$1,0),FALSE),"")</f>
        <v/>
      </c>
      <c r="D133" s="18" t="str">
        <f>IFERROR(VLOOKUP($A133,Equipment!$A$2:$AH1001,MATCH("Slot",Equipment!$A$1:$AH$1,0),FALSE),"")</f>
        <v>Legs</v>
      </c>
      <c r="E133" s="20">
        <f>IFERROR(VLOOKUP($A133,Equipment!$A$2:$AH1001,MATCH("LevelReq",Equipment!$A$1:$AH$1,0),FALSE),"")</f>
        <v>200</v>
      </c>
      <c r="F133" s="18" t="str">
        <f>IFERROR(VLOOKUP($A133,Equipconvrt!$A$2:$AH1001,MATCH("Abilities",Equipconvrt!$A$1:$AH$1,0),FALSE),"")</f>
        <v>DEF: +5000, Water DEF: +5000 ++X4 additional water damage for self.</v>
      </c>
      <c r="G133" s="20">
        <f>IFERROR(VLOOKUP($A133,Equipment!$A$2:$AD1001,MATCH("Price",Equipment!$A$1:$AH$1,0),FALSE),"")</f>
        <v>1900000</v>
      </c>
      <c r="H133" s="4" t="b">
        <v>0</v>
      </c>
      <c r="I133" s="1" t="str">
        <f>IFERROR(VLOOKUP($A133,Equipment!$A$2:$AH1001,MATCH("EquipLoc",Equipment!$A$1:$AH$1,0),FALSE),"")</f>
        <v/>
      </c>
      <c r="L133" s="1" t="str">
        <f>IFERROR(__xludf.DUMMYFUNCTION("""COMPUTED_VALUE"""),"Helm of Lost Hope")</f>
        <v>Helm of Lost Hope</v>
      </c>
      <c r="W133" s="1" t="str">
        <f>IFERROR(__xludf.DUMMYFUNCTION("""COMPUTED_VALUE"""),"Great Stone Gargoyle Sword")</f>
        <v>Great Stone Gargoyle Sword</v>
      </c>
      <c r="X133" s="1" t="str">
        <f t="shared" si="1"/>
        <v/>
      </c>
    </row>
    <row r="134">
      <c r="A134" s="1" t="s">
        <v>640</v>
      </c>
      <c r="B134" s="18" t="str">
        <f>IFERROR(VLOOKUP($A134,Equipment!$A$2:$AH1001,MATCH("Description",Equipment!$A$1:$AH$1,0),FALSE),"")</f>
        <v>Halloween exclusive</v>
      </c>
      <c r="C134" s="18" t="str">
        <f>IFERROR(VLOOKUP($A134,Equipment!$A$2:$AH1001,MATCH("Type",Equipment!$A$1:$AH$1,0),FALSE),"")</f>
        <v>Staff</v>
      </c>
      <c r="D134" s="18" t="str">
        <f>IFERROR(VLOOKUP($A134,Equipment!$A$2:$AH1001,MATCH("Slot",Equipment!$A$1:$AH$1,0),FALSE),"")</f>
        <v>Hand</v>
      </c>
      <c r="E134" s="20">
        <f>IFERROR(VLOOKUP($A134,Equipment!$A$2:$AH1001,MATCH("LevelReq",Equipment!$A$1:$AH$1,0),FALSE),"")</f>
        <v>1</v>
      </c>
      <c r="F134" s="18" t="str">
        <f>IFERROR(VLOOKUP($A134,Equipconvrt!$A$2:$AH1001,MATCH("Abilities",Equipconvrt!$A$1:$AH$1,0),FALSE),"")</f>
        <v> ++Transform into the Headless Horseman for 3 rounds.</v>
      </c>
      <c r="G134" s="20">
        <f>IFERROR(VLOOKUP($A134,Equipment!$A$2:$AD1001,MATCH("Price",Equipment!$A$1:$AH$1,0),FALSE),"")</f>
        <v>0</v>
      </c>
      <c r="H134" s="4" t="b">
        <v>1</v>
      </c>
      <c r="I134" s="1" t="str">
        <f>IFERROR(VLOOKUP($A134,Equipment!$A$2:$AH1001,MATCH("EquipLoc",Equipment!$A$1:$AH$1,0),FALSE),"")</f>
        <v>Halloween Kingdom</v>
      </c>
      <c r="L134" s="1" t="str">
        <f>IFERROR(__xludf.DUMMYFUNCTION("""COMPUTED_VALUE"""),"Cursed Shield")</f>
        <v>Cursed Shield</v>
      </c>
      <c r="W134" s="1" t="str">
        <f>IFERROR(__xludf.DUMMYFUNCTION("""COMPUTED_VALUE"""),"Greaves of The Sea Serpent")</f>
        <v>Greaves of The Sea Serpent</v>
      </c>
      <c r="X134" s="1" t="str">
        <f t="shared" si="1"/>
        <v/>
      </c>
    </row>
    <row r="135">
      <c r="A135" s="1" t="s">
        <v>641</v>
      </c>
      <c r="B135" s="18" t="str">
        <f>IFERROR(VLOOKUP($A135,Equipment!$A$2:$AH1001,MATCH("Description",Equipment!$A$1:$AH$1,0),FALSE),"")</f>
        <v/>
      </c>
      <c r="C135" s="18" t="str">
        <f>IFERROR(VLOOKUP($A135,Equipment!$A$2:$AH1001,MATCH("Type",Equipment!$A$1:$AH$1,0),FALSE),"")</f>
        <v>Club</v>
      </c>
      <c r="D135" s="18" t="str">
        <f>IFERROR(VLOOKUP($A135,Equipment!$A$2:$AH1001,MATCH("Slot",Equipment!$A$1:$AH$1,0),FALSE),"")</f>
        <v>Hand</v>
      </c>
      <c r="E135" s="20">
        <f>IFERROR(VLOOKUP($A135,Equipment!$A$2:$AH1001,MATCH("LevelReq",Equipment!$A$1:$AH$1,0),FALSE),"")</f>
        <v>300</v>
      </c>
      <c r="F135" s="18" t="str">
        <f>IFERROR(VLOOKUP($A135,Equipconvrt!$A$2:$AH1001,MATCH("Abilities",Equipconvrt!$A$1:$AH$1,0),FALSE),"")</f>
        <v>DMG: +5000, Dark DMG: +5000, Chaos DMG: +5000 ++X2 Additional Dark and Chaos Damage. </v>
      </c>
      <c r="G135" s="20">
        <f>IFERROR(VLOOKUP($A135,Equipment!$A$2:$AD1001,MATCH("Price",Equipment!$A$1:$AH$1,0),FALSE),"")</f>
        <v>4350000</v>
      </c>
      <c r="H135" s="4" t="b">
        <v>0</v>
      </c>
      <c r="I135" s="1" t="str">
        <f>IFERROR(VLOOKUP($A135,Equipment!$A$2:$AH1001,MATCH("EquipLoc",Equipment!$A$1:$AH$1,0),FALSE),"")</f>
        <v>Land of Spira</v>
      </c>
      <c r="L135" s="1" t="str">
        <f>IFERROR(__xludf.DUMMYFUNCTION("""COMPUTED_VALUE"""),"Dragonscale Buckler")</f>
        <v>Dragonscale Buckler</v>
      </c>
      <c r="W135" s="1" t="str">
        <f>IFERROR(__xludf.DUMMYFUNCTION("""COMPUTED_VALUE"""),"Greaves of Waking Waters")</f>
        <v>Greaves of Waking Waters</v>
      </c>
      <c r="X135" s="1" t="str">
        <f t="shared" si="1"/>
        <v/>
      </c>
    </row>
    <row r="136">
      <c r="A136" s="1" t="s">
        <v>642</v>
      </c>
      <c r="B136" s="18" t="str">
        <f>IFERROR(VLOOKUP($A136,Equipment!$A$2:$AH1001,MATCH("Description",Equipment!$A$1:$AH$1,0),FALSE),"")</f>
        <v>Event Exclusive</v>
      </c>
      <c r="C136" s="18" t="str">
        <f>IFERROR(VLOOKUP($A136,Equipment!$A$2:$AH1001,MATCH("Type",Equipment!$A$1:$AH$1,0),FALSE),"")</f>
        <v>Knife</v>
      </c>
      <c r="D136" s="18" t="str">
        <f>IFERROR(VLOOKUP($A136,Equipment!$A$2:$AH1001,MATCH("Slot",Equipment!$A$1:$AH$1,0),FALSE),"")</f>
        <v>Hand</v>
      </c>
      <c r="E136" s="20">
        <f>IFERROR(VLOOKUP($A136,Equipment!$A$2:$AH1001,MATCH("LevelReq",Equipment!$A$1:$AH$1,0),FALSE),"")</f>
        <v>200</v>
      </c>
      <c r="F136" s="18" t="str">
        <f>IFERROR(VLOOKUP($A136,Equipconvrt!$A$2:$AH1001,MATCH("Abilities",Equipconvrt!$A$1:$AH$1,0),FALSE),"")</f>
        <v>DMG: +5000, Water DMG: +5000 ++75% chance to freeze the target.</v>
      </c>
      <c r="G136" s="20">
        <f>IFERROR(VLOOKUP($A136,Equipment!$A$2:$AD1001,MATCH("Price",Equipment!$A$1:$AH$1,0),FALSE),"")</f>
        <v>1900000</v>
      </c>
      <c r="H136" s="4" t="b">
        <v>1</v>
      </c>
      <c r="I136" s="1" t="str">
        <f>IFERROR(VLOOKUP($A136,Equipment!$A$2:$AH1001,MATCH("EquipLoc",Equipment!$A$1:$AH$1,0),FALSE),"")</f>
        <v>Land of Spira</v>
      </c>
      <c r="L136" s="1" t="str">
        <f>IFERROR(__xludf.DUMMYFUNCTION("""COMPUTED_VALUE"""),"Magma Trident")</f>
        <v>Magma Trident</v>
      </c>
      <c r="W136" s="1" t="str">
        <f>IFERROR(__xludf.DUMMYFUNCTION("""COMPUTED_VALUE"""),"Halloween Staff")</f>
        <v>Halloween Staff</v>
      </c>
      <c r="X136" s="1" t="str">
        <f t="shared" si="1"/>
        <v/>
      </c>
    </row>
    <row r="137">
      <c r="A137" s="1" t="s">
        <v>643</v>
      </c>
      <c r="B137" s="18" t="str">
        <f>IFERROR(VLOOKUP($A137,Equipment!$A$2:$AH1001,MATCH("Description",Equipment!$A$1:$AH$1,0),FALSE),"")</f>
        <v/>
      </c>
      <c r="C137" s="18" t="str">
        <f>IFERROR(VLOOKUP($A137,Equipment!$A$2:$AH1001,MATCH("Type",Equipment!$A$1:$AH$1,0),FALSE),"")</f>
        <v>Sword</v>
      </c>
      <c r="D137" s="18" t="str">
        <f>IFERROR(VLOOKUP($A137,Equipment!$A$2:$AH1001,MATCH("Slot",Equipment!$A$1:$AH$1,0),FALSE),"")</f>
        <v>Hand</v>
      </c>
      <c r="E137" s="20">
        <f>IFERROR(VLOOKUP($A137,Equipment!$A$2:$AH1001,MATCH("LevelReq",Equipment!$A$1:$AH$1,0),FALSE),"")</f>
        <v>600</v>
      </c>
      <c r="F137" s="18" t="str">
        <f>IFERROR(VLOOKUP($A137,Equipconvrt!$A$2:$AH1001,MATCH("Abilities",Equipconvrt!$A$1:$AH$1,0),FALSE),"")</f>
        <v>DMG: +10000, Dark DMG: +10000, Spirit DMG: +10000 +-You go last during the turn order in battle.. </v>
      </c>
      <c r="G137" s="20">
        <f>IFERROR(VLOOKUP($A137,Equipment!$A$2:$AD1001,MATCH("Price",Equipment!$A$1:$AH$1,0),FALSE),"")</f>
        <v>17700000</v>
      </c>
      <c r="H137" s="4" t="b">
        <v>0</v>
      </c>
      <c r="I137" s="1" t="str">
        <f>IFERROR(VLOOKUP($A137,Equipment!$A$2:$AH1001,MATCH("EquipLoc",Equipment!$A$1:$AH$1,0),FALSE),"")</f>
        <v>Land of Spira</v>
      </c>
      <c r="L137" s="1" t="str">
        <f>IFERROR(__xludf.DUMMYFUNCTION("""COMPUTED_VALUE"""),"Bonemerang")</f>
        <v>Bonemerang</v>
      </c>
      <c r="W137" s="1" t="str">
        <f>IFERROR(__xludf.DUMMYFUNCTION("""COMPUTED_VALUE"""),"Hammer of Chaotic Shadows")</f>
        <v>Hammer of Chaotic Shadows</v>
      </c>
      <c r="X137" s="1" t="str">
        <f t="shared" si="1"/>
        <v/>
      </c>
    </row>
    <row r="138">
      <c r="A138" s="1" t="s">
        <v>644</v>
      </c>
      <c r="B138" s="18" t="str">
        <f>IFERROR(VLOOKUP($A138,Equipment!$A$2:$AH1001,MATCH("Description",Equipment!$A$1:$AH$1,0),FALSE),"")</f>
        <v>Halloween exclusive</v>
      </c>
      <c r="C138" s="18" t="str">
        <f>IFERROR(VLOOKUP($A138,Equipment!$A$2:$AH1001,MATCH("Type",Equipment!$A$1:$AH$1,0),FALSE),"")</f>
        <v>Towershield</v>
      </c>
      <c r="D138" s="18" t="str">
        <f>IFERROR(VLOOKUP($A138,Equipment!$A$2:$AH1001,MATCH("Slot",Equipment!$A$1:$AH$1,0),FALSE),"")</f>
        <v>Hand</v>
      </c>
      <c r="E138" s="20">
        <f>IFERROR(VLOOKUP($A138,Equipment!$A$2:$AH1001,MATCH("LevelReq",Equipment!$A$1:$AH$1,0),FALSE),"")</f>
        <v>20</v>
      </c>
      <c r="F138" s="18" t="str">
        <f>IFERROR(VLOOKUP($A138,Equipconvrt!$A$2:$AH1001,MATCH("Abilities",Equipconvrt!$A$1:$AH$1,0),FALSE),"")</f>
        <v>DEF: +1000 ++Great Block - When attacked you will take no damage until your next turn, Costs All SP and sets Users HP to 1.</v>
      </c>
      <c r="G138" s="20">
        <f>IFERROR(VLOOKUP($A138,Equipment!$A$2:$AD1001,MATCH("Price",Equipment!$A$1:$AH$1,0),FALSE),"")</f>
        <v>10000</v>
      </c>
      <c r="H138" s="4" t="b">
        <v>1</v>
      </c>
      <c r="I138" s="1" t="str">
        <f>IFERROR(VLOOKUP($A138,Equipment!$A$2:$AH1001,MATCH("EquipLoc",Equipment!$A$1:$AH$1,0),FALSE),"")</f>
        <v>Land of Spira</v>
      </c>
      <c r="L138" s="1" t="str">
        <f>IFERROR(__xludf.DUMMYFUNCTION("""COMPUTED_VALUE"""),"Blamerang")</f>
        <v>Blamerang</v>
      </c>
      <c r="W138" s="1" t="str">
        <f>IFERROR(__xludf.DUMMYFUNCTION("""COMPUTED_VALUE"""),"Hardened Ice Sickle")</f>
        <v>Hardened Ice Sickle</v>
      </c>
      <c r="X138" s="1" t="str">
        <f t="shared" si="1"/>
        <v/>
      </c>
    </row>
    <row r="139">
      <c r="A139" s="1" t="s">
        <v>645</v>
      </c>
      <c r="B139" s="18" t="str">
        <f>IFERROR(VLOOKUP($A139,Equipment!$A$2:$AH1001,MATCH("Description",Equipment!$A$1:$AH$1,0),FALSE),"")</f>
        <v>Halloween exclusive</v>
      </c>
      <c r="C139" s="18" t="str">
        <f>IFERROR(VLOOKUP($A139,Equipment!$A$2:$AH1001,MATCH("Type",Equipment!$A$1:$AH$1,0),FALSE),"")</f>
        <v>Sword</v>
      </c>
      <c r="D139" s="18" t="str">
        <f>IFERROR(VLOOKUP($A139,Equipment!$A$2:$AH1001,MATCH("Slot",Equipment!$A$1:$AH$1,0),FALSE),"")</f>
        <v>Hand</v>
      </c>
      <c r="E139" s="20">
        <f>IFERROR(VLOOKUP($A139,Equipment!$A$2:$AH1001,MATCH("LevelReq",Equipment!$A$1:$AH$1,0),FALSE),"")</f>
        <v>60</v>
      </c>
      <c r="F139" s="18" t="str">
        <f>IFERROR(VLOOKUP($A139,Equipconvrt!$A$2:$AH1001,MATCH("Abilities",Equipconvrt!$A$1:$AH$1,0),FALSE),"")</f>
        <v>DMG: +3000 ++Piercing Strike - Ignores all Def when attacking with this weapon ++gain 1000 SP upon a successful hit. +-Cannot be duplicated</v>
      </c>
      <c r="G139" s="20">
        <f>IFERROR(VLOOKUP($A139,Equipment!$A$2:$AD1001,MATCH("Price",Equipment!$A$1:$AH$1,0),FALSE),"")</f>
        <v>150000</v>
      </c>
      <c r="H139" s="4" t="b">
        <v>1</v>
      </c>
      <c r="I139" s="1" t="str">
        <f>IFERROR(VLOOKUP($A139,Equipment!$A$2:$AH1001,MATCH("EquipLoc",Equipment!$A$1:$AH$1,0),FALSE),"")</f>
        <v>Land of Spira</v>
      </c>
      <c r="L139" s="1" t="str">
        <f>IFERROR(__xludf.DUMMYFUNCTION("""COMPUTED_VALUE"""),"Condemned Bow")</f>
        <v>Condemned Bow</v>
      </c>
      <c r="W139" s="1" t="str">
        <f>IFERROR(__xludf.DUMMYFUNCTION("""COMPUTED_VALUE"""),"Haunted Katana")</f>
        <v>Haunted Katana</v>
      </c>
      <c r="X139" s="1" t="str">
        <f t="shared" si="1"/>
        <v/>
      </c>
    </row>
    <row r="140">
      <c r="A140" s="1" t="s">
        <v>646</v>
      </c>
      <c r="B140" s="18" t="str">
        <f>IFERROR(VLOOKUP($A140,Equipment!$A$2:$AH1001,MATCH("Description",Equipment!$A$1:$AH$1,0),FALSE),"")</f>
        <v/>
      </c>
      <c r="C140" s="18" t="str">
        <f>IFERROR(VLOOKUP($A140,Equipment!$A$2:$AH1001,MATCH("Type",Equipment!$A$1:$AH$1,0),FALSE),"")</f>
        <v/>
      </c>
      <c r="D140" s="18" t="str">
        <f>IFERROR(VLOOKUP($A140,Equipment!$A$2:$AH1001,MATCH("Slot",Equipment!$A$1:$AH$1,0),FALSE),"")</f>
        <v>Head</v>
      </c>
      <c r="E140" s="20">
        <f>IFERROR(VLOOKUP($A140,Equipment!$A$2:$AH1001,MATCH("LevelReq",Equipment!$A$1:$AH$1,0),FALSE),"")</f>
        <v>300</v>
      </c>
      <c r="F140" s="18" t="str">
        <f>IFERROR(VLOOKUP($A140,Equipconvrt!$A$2:$AH1001,MATCH("Abilities",Equipconvrt!$A$1:$AH$1,0),FALSE),"")</f>
        <v>DEF: +5000, Fire DEF: +5000, Earth DEF: +5000 ++X2 additional Earth and Fire Resistance.</v>
      </c>
      <c r="G140" s="20">
        <f>IFERROR(VLOOKUP($A140,Equipment!$A$2:$AD1001,MATCH("Price",Equipment!$A$1:$AH$1,0),FALSE),"")</f>
        <v>4350000</v>
      </c>
      <c r="H140" s="4" t="b">
        <v>0</v>
      </c>
      <c r="I140" s="1" t="str">
        <f>IFERROR(VLOOKUP($A140,Equipment!$A$2:$AH1001,MATCH("EquipLoc",Equipment!$A$1:$AH$1,0),FALSE),"")</f>
        <v>Land of Spira</v>
      </c>
      <c r="L140" s="1" t="str">
        <f>IFERROR(__xludf.DUMMYFUNCTION("""COMPUTED_VALUE"""),"Ancient Blacksmith's Soul In A Bottle")</f>
        <v>Ancient Blacksmith's Soul In A Bottle</v>
      </c>
      <c r="W140" s="1" t="str">
        <f>IFERROR(__xludf.DUMMYFUNCTION("""COMPUTED_VALUE"""),"Haunted King's Favorite Shield")</f>
        <v>Haunted King's Favorite Shield</v>
      </c>
      <c r="X140" s="1" t="str">
        <f t="shared" si="1"/>
        <v/>
      </c>
    </row>
    <row r="141">
      <c r="A141" s="1" t="s">
        <v>647</v>
      </c>
      <c r="B141" s="18" t="str">
        <f>IFERROR(VLOOKUP($A141,Equipment!$A$2:$AH1001,MATCH("Description",Equipment!$A$1:$AH$1,0),FALSE),"")</f>
        <v/>
      </c>
      <c r="C141" s="18" t="str">
        <f>IFERROR(VLOOKUP($A141,Equipment!$A$2:$AH1001,MATCH("Type",Equipment!$A$1:$AH$1,0),FALSE),"")</f>
        <v/>
      </c>
      <c r="D141" s="18" t="str">
        <f>IFERROR(VLOOKUP($A141,Equipment!$A$2:$AH1001,MATCH("Slot",Equipment!$A$1:$AH$1,0),FALSE),"")</f>
        <v>Head</v>
      </c>
      <c r="E141" s="20">
        <f>IFERROR(VLOOKUP($A141,Equipment!$A$2:$AH1001,MATCH("LevelReq",Equipment!$A$1:$AH$1,0),FALSE),"")</f>
        <v>400</v>
      </c>
      <c r="F141" s="18" t="str">
        <f>IFERROR(VLOOKUP($A141,Equipconvrt!$A$2:$AH1001,MATCH("Abilities",Equipconvrt!$A$1:$AH$1,0),FALSE),"")</f>
        <v>DEF: +10000, Dark DEF: +10000 ++Immunity to Dark damage.</v>
      </c>
      <c r="G141" s="20">
        <f>IFERROR(VLOOKUP($A141,Equipment!$A$2:$AD1001,MATCH("Price",Equipment!$A$1:$AH$1,0),FALSE),"")</f>
        <v>7800000</v>
      </c>
      <c r="H141" s="4" t="b">
        <v>0</v>
      </c>
      <c r="I141" s="1" t="str">
        <f>IFERROR(VLOOKUP($A141,Equipment!$A$2:$AH1001,MATCH("EquipLoc",Equipment!$A$1:$AH$1,0),FALSE),"")</f>
        <v>Land of Spira</v>
      </c>
      <c r="L141" s="1" t="str">
        <f>IFERROR(__xludf.DUMMYFUNCTION("""COMPUTED_VALUE"""),"Ancient Breeder's Soul In A Bottle")</f>
        <v>Ancient Breeder's Soul In A Bottle</v>
      </c>
      <c r="W141" s="1" t="str">
        <f>IFERROR(__xludf.DUMMYFUNCTION("""COMPUTED_VALUE"""),"Haunted King's Favorite Sword")</f>
        <v>Haunted King's Favorite Sword</v>
      </c>
      <c r="X141" s="1" t="str">
        <f t="shared" si="1"/>
        <v/>
      </c>
    </row>
    <row r="142">
      <c r="A142" s="1" t="s">
        <v>648</v>
      </c>
      <c r="B142" s="18" t="str">
        <f>IFERROR(VLOOKUP($A142,Equipment!$A$2:$AH1001,MATCH("Description",Equipment!$A$1:$AH$1,0),FALSE),"")</f>
        <v/>
      </c>
      <c r="C142" s="18" t="str">
        <f>IFERROR(VLOOKUP($A142,Equipment!$A$2:$AH1001,MATCH("Type",Equipment!$A$1:$AH$1,0),FALSE),"")</f>
        <v/>
      </c>
      <c r="D142" s="18" t="str">
        <f>IFERROR(VLOOKUP($A142,Equipment!$A$2:$AH1001,MATCH("Slot",Equipment!$A$1:$AH$1,0),FALSE),"")</f>
        <v>Head</v>
      </c>
      <c r="E142" s="20">
        <f>IFERROR(VLOOKUP($A142,Equipment!$A$2:$AH1001,MATCH("LevelReq",Equipment!$A$1:$AH$1,0),FALSE),"")</f>
        <v>200</v>
      </c>
      <c r="F142" s="18" t="str">
        <f>IFERROR(VLOOKUP($A142,Equipconvrt!$A$2:$AH1001,MATCH("Abilities",Equipconvrt!$A$1:$AH$1,0),FALSE),"")</f>
        <v>DEF: +5000, Water DEF: +5000 ++X4 additional water damage.</v>
      </c>
      <c r="G142" s="20">
        <f>IFERROR(VLOOKUP($A142,Equipment!$A$2:$AD1001,MATCH("Price",Equipment!$A$1:$AH$1,0),FALSE),"")</f>
        <v>1900000</v>
      </c>
      <c r="H142" s="4" t="b">
        <v>0</v>
      </c>
      <c r="I142" s="1" t="str">
        <f>IFERROR(VLOOKUP($A142,Equipment!$A$2:$AH1001,MATCH("EquipLoc",Equipment!$A$1:$AH$1,0),FALSE),"")</f>
        <v>Land of Spira</v>
      </c>
      <c r="L142" s="1" t="str">
        <f>IFERROR(__xludf.DUMMYFUNCTION("""COMPUTED_VALUE"""),"Ancient Crafter's Soul In A Bottle")</f>
        <v>Ancient Crafter's Soul In A Bottle</v>
      </c>
      <c r="W142" s="1" t="str">
        <f>IFERROR(__xludf.DUMMYFUNCTION("""COMPUTED_VALUE"""),"Heatmore Flame Golem Head")</f>
        <v>Heatmore Flame Golem Head</v>
      </c>
      <c r="X142" s="1" t="str">
        <f t="shared" si="1"/>
        <v/>
      </c>
    </row>
    <row r="143">
      <c r="A143" s="1" t="s">
        <v>649</v>
      </c>
      <c r="B143" s="18" t="str">
        <f>IFERROR(VLOOKUP($A143,Equipment!$A$2:$AH1001,MATCH("Description",Equipment!$A$1:$AH$1,0),FALSE),"")</f>
        <v/>
      </c>
      <c r="C143" s="18" t="str">
        <f>IFERROR(VLOOKUP($A143,Equipment!$A$2:$AH1001,MATCH("Type",Equipment!$A$1:$AH$1,0),FALSE),"")</f>
        <v>Bow</v>
      </c>
      <c r="D143" s="18" t="str">
        <f>IFERROR(VLOOKUP($A143,Equipment!$A$2:$AH1001,MATCH("Slot",Equipment!$A$1:$AH$1,0),FALSE),"")</f>
        <v>Hand</v>
      </c>
      <c r="E143" s="20">
        <f>IFERROR(VLOOKUP($A143,Equipment!$A$2:$AH1001,MATCH("LevelReq",Equipment!$A$1:$AH$1,0),FALSE),"")</f>
        <v>10</v>
      </c>
      <c r="F143" s="18" t="str">
        <f>IFERROR(VLOOKUP($A143,Equipconvrt!$A$2:$AH1001,MATCH("Abilities",Equipconvrt!$A$1:$AH$1,0),FALSE),"")</f>
        <v>DMG: +500 ++Hawkeye: X2 more arrow damage and ranged attacks deal half damage that are dealt to the wearer. </v>
      </c>
      <c r="G143" s="20">
        <f>IFERROR(VLOOKUP($A143,Equipment!$A$2:$AD1001,MATCH("Price",Equipment!$A$1:$AH$1,0),FALSE),"")</f>
        <v>1000</v>
      </c>
      <c r="H143" s="4" t="b">
        <v>0</v>
      </c>
      <c r="I143" s="1" t="str">
        <f>IFERROR(VLOOKUP($A143,Equipment!$A$2:$AH1001,MATCH("EquipLoc",Equipment!$A$1:$AH$1,0),FALSE),"")</f>
        <v>Land of Spira</v>
      </c>
      <c r="L143" s="1" t="str">
        <f>IFERROR(__xludf.DUMMYFUNCTION("""COMPUTED_VALUE"""),"Ancient Alchemist's Soul In A Bottle")</f>
        <v>Ancient Alchemist's Soul In A Bottle</v>
      </c>
      <c r="W143" s="1" t="str">
        <f>IFERROR(__xludf.DUMMYFUNCTION("""COMPUTED_VALUE"""),"Helmet of Darkness")</f>
        <v>Helmet of Darkness</v>
      </c>
      <c r="X143" s="1" t="str">
        <f t="shared" si="1"/>
        <v/>
      </c>
    </row>
    <row r="144">
      <c r="A144" s="1" t="s">
        <v>650</v>
      </c>
      <c r="B144" s="18" t="str">
        <f>IFERROR(VLOOKUP($A144,Equipment!$A$2:$AH1001,MATCH("Description",Equipment!$A$1:$AH$1,0),FALSE),"")</f>
        <v/>
      </c>
      <c r="C144" s="18" t="str">
        <f>IFERROR(VLOOKUP($A144,Equipment!$A$2:$AH1001,MATCH("Type",Equipment!$A$1:$AH$1,0),FALSE),"")</f>
        <v>Wand</v>
      </c>
      <c r="D144" s="18" t="str">
        <f>IFERROR(VLOOKUP($A144,Equipment!$A$2:$AH1001,MATCH("Slot",Equipment!$A$1:$AH$1,0),FALSE),"")</f>
        <v>Hand</v>
      </c>
      <c r="E144" s="20">
        <f>IFERROR(VLOOKUP($A144,Equipment!$A$2:$AH1001,MATCH("LevelReq",Equipment!$A$1:$AH$1,0),FALSE),"")</f>
        <v>1</v>
      </c>
      <c r="F144" s="18" t="str">
        <f>IFERROR(VLOOKUP($A144,Equipconvrt!$A$2:$AH1001,MATCH("Abilities",Equipconvrt!$A$1:$AH$1,0),FALSE),"")</f>
        <v> ++Calls upon a lost soul to aid you in battle. The lost soul increases your max health defence and attack by double its original for the rest of battle. +-Can only be used once per battle. +-Cannot be duplicated</v>
      </c>
      <c r="G144" s="20">
        <f>IFERROR(VLOOKUP($A144,Equipment!$A$2:$AD1001,MATCH("Price",Equipment!$A$1:$AH$1,0),FALSE),"")</f>
        <v>0</v>
      </c>
      <c r="H144" s="4" t="b">
        <v>0</v>
      </c>
      <c r="I144" s="1" t="str">
        <f>IFERROR(VLOOKUP($A144,Equipment!$A$2:$AH1001,MATCH("EquipLoc",Equipment!$A$1:$AH$1,0),FALSE),"")</f>
        <v>Abstara</v>
      </c>
      <c r="L144" s="1" t="str">
        <f>IFERROR(__xludf.DUMMYFUNCTION("""COMPUTED_VALUE"""),"Ancient Farmer's Soul In A Bottle")</f>
        <v>Ancient Farmer's Soul In A Bottle</v>
      </c>
      <c r="W144" s="1" t="str">
        <f>IFERROR(__xludf.DUMMYFUNCTION("""COMPUTED_VALUE"""),"Helmet of Waking Waters")</f>
        <v>Helmet of Waking Waters</v>
      </c>
      <c r="X144" s="1" t="str">
        <f t="shared" si="1"/>
        <v/>
      </c>
    </row>
    <row r="145">
      <c r="A145" s="1" t="s">
        <v>651</v>
      </c>
      <c r="B145" s="18" t="str">
        <f>IFERROR(VLOOKUP($A145,Equipment!$A$2:$AH1001,MATCH("Description",Equipment!$A$1:$AH$1,0),FALSE),"")</f>
        <v/>
      </c>
      <c r="C145" s="18" t="str">
        <f>IFERROR(VLOOKUP($A145,Equipment!$A$2:$AH1001,MATCH("Type",Equipment!$A$1:$AH$1,0),FALSE),"")</f>
        <v>Bow</v>
      </c>
      <c r="D145" s="18" t="str">
        <f>IFERROR(VLOOKUP($A145,Equipment!$A$2:$AH1001,MATCH("Slot",Equipment!$A$1:$AH$1,0),FALSE),"")</f>
        <v>Hand</v>
      </c>
      <c r="E145" s="20">
        <f>IFERROR(VLOOKUP($A145,Equipment!$A$2:$AH1001,MATCH("LevelReq",Equipment!$A$1:$AH$1,0),FALSE),"")</f>
        <v>400</v>
      </c>
      <c r="F145" s="18" t="str">
        <f>IFERROR(VLOOKUP($A145,Equipconvrt!$A$2:$AH1001,MATCH("Abilities",Equipconvrt!$A$1:$AH$1,0),FALSE),"")</f>
        <v>DMG: +20000 ++Skill Shot - gives the wielder X2 accuracy and X2 damage for bows.</v>
      </c>
      <c r="G145" s="20">
        <f>IFERROR(VLOOKUP($A145,Equipment!$A$2:$AD1001,MATCH("Price",Equipment!$A$1:$AH$1,0),FALSE),"")</f>
        <v>7800000</v>
      </c>
      <c r="H145" s="4" t="b">
        <v>0</v>
      </c>
      <c r="I145" s="1" t="str">
        <f>IFERROR(VLOOKUP($A145,Equipment!$A$2:$AH1001,MATCH("EquipLoc",Equipment!$A$1:$AH$1,0),FALSE),"")</f>
        <v>Land of Spira</v>
      </c>
      <c r="L145" s="1" t="str">
        <f>IFERROR(__xludf.DUMMYFUNCTION("""COMPUTED_VALUE"""),"Ancient Chef's Soul In A Bottle")</f>
        <v>Ancient Chef's Soul In A Bottle</v>
      </c>
      <c r="W145" s="1" t="str">
        <f>IFERROR(__xludf.DUMMYFUNCTION("""COMPUTED_VALUE"""),"High Range Bow")</f>
        <v>High Range Bow</v>
      </c>
      <c r="X145" s="1" t="str">
        <f t="shared" si="1"/>
        <v/>
      </c>
    </row>
    <row r="146">
      <c r="A146" s="1" t="s">
        <v>652</v>
      </c>
      <c r="B146" s="18" t="str">
        <f>IFERROR(VLOOKUP($A146,Equipment!$A$2:$AH1001,MATCH("Description",Equipment!$A$1:$AH$1,0),FALSE),"")</f>
        <v/>
      </c>
      <c r="C146" s="18" t="str">
        <f>IFERROR(VLOOKUP($A146,Equipment!$A$2:$AH1001,MATCH("Type",Equipment!$A$1:$AH$1,0),FALSE),"")</f>
        <v>Sword</v>
      </c>
      <c r="D146" s="18" t="str">
        <f>IFERROR(VLOOKUP($A146,Equipment!$A$2:$AH1001,MATCH("Slot",Equipment!$A$1:$AH$1,0),FALSE),"")</f>
        <v>Hand</v>
      </c>
      <c r="E146" s="20">
        <f>IFERROR(VLOOKUP($A146,Equipment!$A$2:$AH1001,MATCH("LevelReq",Equipment!$A$1:$AH$1,0),FALSE),"")</f>
        <v>100</v>
      </c>
      <c r="F146" s="18" t="str">
        <f>IFERROR(VLOOKUP($A146,Equipconvrt!$A$2:$AH1001,MATCH("Abilities",Equipconvrt!$A$1:$AH$1,0),FALSE),"")</f>
        <v>DMG: +2000, Water DMG: +3000 ++50% chance to freeze the target.</v>
      </c>
      <c r="G146" s="20">
        <f>IFERROR(VLOOKUP($A146,Equipment!$A$2:$AD1001,MATCH("Price",Equipment!$A$1:$AH$1,0),FALSE),"")</f>
        <v>450000</v>
      </c>
      <c r="H146" s="4" t="b">
        <v>0</v>
      </c>
      <c r="I146" s="1" t="str">
        <f>IFERROR(VLOOKUP($A146,Equipment!$A$2:$AH1001,MATCH("EquipLoc",Equipment!$A$1:$AH$1,0),FALSE),"")</f>
        <v>Land of Spira</v>
      </c>
      <c r="L146" s="1" t="str">
        <f>IFERROR(__xludf.DUMMYFUNCTION("""COMPUTED_VALUE"""),"Ancient Miner's Soul In A Bottle")</f>
        <v>Ancient Miner's Soul In A Bottle</v>
      </c>
      <c r="W146" s="1" t="str">
        <f>IFERROR(__xludf.DUMMYFUNCTION("""COMPUTED_VALUE"""),"Horn of The Forgotten")</f>
        <v>Horn of The Forgotten</v>
      </c>
      <c r="X146" s="1" t="str">
        <f t="shared" si="1"/>
        <v/>
      </c>
    </row>
    <row r="147">
      <c r="A147" s="1" t="s">
        <v>653</v>
      </c>
      <c r="B147" s="18" t="str">
        <f>IFERROR(VLOOKUP($A147,Equipment!$A$2:$AH1001,MATCH("Description",Equipment!$A$1:$AH$1,0),FALSE),"")</f>
        <v/>
      </c>
      <c r="C147" s="18" t="str">
        <f>IFERROR(VLOOKUP($A147,Equipment!$A$2:$AH1001,MATCH("Type",Equipment!$A$1:$AH$1,0),FALSE),"")</f>
        <v>Staff</v>
      </c>
      <c r="D147" s="18" t="str">
        <f>IFERROR(VLOOKUP($A147,Equipment!$A$2:$AH1001,MATCH("Slot",Equipment!$A$1:$AH$1,0),FALSE),"")</f>
        <v>Hand</v>
      </c>
      <c r="E147" s="20">
        <f>IFERROR(VLOOKUP($A147,Equipment!$A$2:$AH1001,MATCH("LevelReq",Equipment!$A$1:$AH$1,0),FALSE),"")</f>
        <v>200</v>
      </c>
      <c r="F147" s="18" t="str">
        <f>IFERROR(VLOOKUP($A147,Equipconvrt!$A$2:$AH1001,MATCH("Abilities",Equipconvrt!$A$1:$AH$1,0),FALSE),"")</f>
        <v>, Fire : +10000 ++Burn 10,000 to 1 target for 3 rounds. 100sp.</v>
      </c>
      <c r="G147" s="20">
        <f>IFERROR(VLOOKUP($A147,Equipment!$A$2:$AD1001,MATCH("Price",Equipment!$A$1:$AH$1,0),FALSE),"")</f>
        <v>1900000</v>
      </c>
      <c r="H147" s="4" t="b">
        <v>0</v>
      </c>
      <c r="I147" s="1" t="str">
        <f>IFERROR(VLOOKUP($A147,Equipment!$A$2:$AH1001,MATCH("EquipLoc",Equipment!$A$1:$AH$1,0),FALSE),"")</f>
        <v>Land of Spira</v>
      </c>
      <c r="L147" s="1" t="str">
        <f>IFERROR(__xludf.DUMMYFUNCTION("""COMPUTED_VALUE"""),"Ancient Spira Guard's Soul In A Bottle")</f>
        <v>Ancient Spira Guard's Soul In A Bottle</v>
      </c>
      <c r="W147" s="1" t="str">
        <f>IFERROR(__xludf.DUMMYFUNCTION("""COMPUTED_VALUE"""),"Houyi's Bow")</f>
        <v>Houyi's Bow</v>
      </c>
      <c r="X147" s="1" t="str">
        <f t="shared" si="1"/>
        <v/>
      </c>
    </row>
    <row r="148">
      <c r="A148" s="1" t="s">
        <v>654</v>
      </c>
      <c r="B148" s="18" t="str">
        <f>IFERROR(VLOOKUP($A148,Equipment!$A$2:$AH1001,MATCH("Description",Equipment!$A$1:$AH$1,0),FALSE),"")</f>
        <v>Halloween exclusive</v>
      </c>
      <c r="C148" s="18" t="str">
        <f>IFERROR(VLOOKUP($A148,Equipment!$A$2:$AH1001,MATCH("Type",Equipment!$A$1:$AH$1,0),FALSE),"")</f>
        <v/>
      </c>
      <c r="D148" s="18" t="str">
        <f>IFERROR(VLOOKUP($A148,Equipment!$A$2:$AH1001,MATCH("Slot",Equipment!$A$1:$AH$1,0),FALSE),"")</f>
        <v>Torso</v>
      </c>
      <c r="E148" s="20">
        <f>IFERROR(VLOOKUP($A148,Equipment!$A$2:$AH1001,MATCH("LevelReq",Equipment!$A$1:$AH$1,0),FALSE),"")</f>
        <v>20</v>
      </c>
      <c r="F148" s="18" t="str">
        <f>IFERROR(VLOOKUP($A148,Equipconvrt!$A$2:$AH1001,MATCH("Abilities",Equipconvrt!$A$1:$AH$1,0),FALSE),"")</f>
        <v>DEF: +900 ++Range Spells cost half the SP cost and all damage is doubled for ranged spells +-Archer Class Only</v>
      </c>
      <c r="G148" s="20">
        <f>IFERROR(VLOOKUP($A148,Equipment!$A$2:$AD1001,MATCH("Price",Equipment!$A$1:$AH$1,0),FALSE),"")</f>
        <v>1000</v>
      </c>
      <c r="H148" s="4" t="b">
        <v>1</v>
      </c>
      <c r="I148" s="1" t="str">
        <f>IFERROR(VLOOKUP($A148,Equipment!$A$2:$AH1001,MATCH("EquipLoc",Equipment!$A$1:$AH$1,0),FALSE),"")</f>
        <v>Halloween Kingdom</v>
      </c>
      <c r="L148" s="1" t="str">
        <f>IFERROR(__xludf.DUMMYFUNCTION("""COMPUTED_VALUE"""),"Ancient Fisherman's Soul In A Bottle")</f>
        <v>Ancient Fisherman's Soul In A Bottle</v>
      </c>
      <c r="W148" s="1" t="str">
        <f>IFERROR(__xludf.DUMMYFUNCTION("""COMPUTED_VALUE"""),"Ice Blade")</f>
        <v>Ice Blade</v>
      </c>
      <c r="X148" s="1" t="str">
        <f t="shared" si="1"/>
        <v/>
      </c>
    </row>
    <row r="149">
      <c r="A149" s="1" t="s">
        <v>655</v>
      </c>
      <c r="B149" s="18" t="str">
        <f>IFERROR(VLOOKUP($A149,Equipment!$A$2:$AH1001,MATCH("Description",Equipment!$A$1:$AH$1,0),FALSE),"")</f>
        <v>Halloween exclusive</v>
      </c>
      <c r="C149" s="18" t="str">
        <f>IFERROR(VLOOKUP($A149,Equipment!$A$2:$AH1001,MATCH("Type",Equipment!$A$1:$AH$1,0),FALSE),"")</f>
        <v/>
      </c>
      <c r="D149" s="18" t="str">
        <f>IFERROR(VLOOKUP($A149,Equipment!$A$2:$AH1001,MATCH("Slot",Equipment!$A$1:$AH$1,0),FALSE),"")</f>
        <v>Ring</v>
      </c>
      <c r="E149" s="20">
        <f>IFERROR(VLOOKUP($A149,Equipment!$A$2:$AH1001,MATCH("LevelReq",Equipment!$A$1:$AH$1,0),FALSE),"")</f>
        <v>1</v>
      </c>
      <c r="F149" s="18" t="str">
        <f>IFERROR(VLOOKUP($A149,Equipconvrt!$A$2:$AH1001,MATCH("Abilities",Equipconvrt!$A$1:$AH$1,0),FALSE),"")</f>
        <v> ++Increase all types of damage by X2. +-Cannot be forged +-Cannot be duplicated</v>
      </c>
      <c r="G149" s="20">
        <f>IFERROR(VLOOKUP($A149,Equipment!$A$2:$AD1001,MATCH("Price",Equipment!$A$1:$AH$1,0),FALSE),"")</f>
        <v>0</v>
      </c>
      <c r="H149" s="4" t="b">
        <v>1</v>
      </c>
      <c r="I149" s="1" t="str">
        <f>IFERROR(VLOOKUP($A149,Equipment!$A$2:$AH1001,MATCH("EquipLoc",Equipment!$A$1:$AH$1,0),FALSE),"")</f>
        <v>Halloween Kingdom</v>
      </c>
      <c r="L149" s="1" t="str">
        <f>IFERROR(__xludf.DUMMYFUNCTION("""COMPUTED_VALUE"""),"The Thumper")</f>
        <v>The Thumper</v>
      </c>
      <c r="W149" s="1" t="str">
        <f>IFERROR(__xludf.DUMMYFUNCTION("""COMPUTED_VALUE"""),"Inferno Staff")</f>
        <v>Inferno Staff</v>
      </c>
      <c r="X149" s="1" t="str">
        <f t="shared" si="1"/>
        <v/>
      </c>
    </row>
    <row r="150">
      <c r="A150" s="1" t="s">
        <v>656</v>
      </c>
      <c r="B150" s="18" t="str">
        <f>IFERROR(VLOOKUP($A150,Equipment!$A$2:$AH1001,MATCH("Description",Equipment!$A$1:$AH$1,0),FALSE),"")</f>
        <v>Halloween exclusive</v>
      </c>
      <c r="C150" s="18" t="str">
        <f>IFERROR(VLOOKUP($A150,Equipment!$A$2:$AH1001,MATCH("Type",Equipment!$A$1:$AH$1,0),FALSE),"")</f>
        <v>Sword</v>
      </c>
      <c r="D150" s="18" t="str">
        <f>IFERROR(VLOOKUP($A150,Equipment!$A$2:$AH1001,MATCH("Slot",Equipment!$A$1:$AH$1,0),FALSE),"")</f>
        <v>Hand</v>
      </c>
      <c r="E150" s="20">
        <f>IFERROR(VLOOKUP($A150,Equipment!$A$2:$AH1001,MATCH("LevelReq",Equipment!$A$1:$AH$1,0),FALSE),"")</f>
        <v>60</v>
      </c>
      <c r="F150" s="18" t="str">
        <f>IFERROR(VLOOKUP($A150,Equipconvrt!$A$2:$AH1001,MATCH("Abilities",Equipconvrt!$A$1:$AH$1,0),FALSE),"")</f>
        <v>DMG: +1500, Dark DMG: +600, Chaos DMG: +900 ++Vampires Lust II - Any damage dealt by this sword will give you HP and SP equal to the damage dealt. +-Cannot be duplicated</v>
      </c>
      <c r="G150" s="20">
        <f>IFERROR(VLOOKUP($A150,Equipment!$A$2:$AD1001,MATCH("Price",Equipment!$A$1:$AH$1,0),FALSE),"")</f>
        <v>150000</v>
      </c>
      <c r="H150" s="4" t="b">
        <v>1</v>
      </c>
      <c r="I150" s="1" t="str">
        <f>IFERROR(VLOOKUP($A150,Equipment!$A$2:$AH1001,MATCH("EquipLoc",Equipment!$A$1:$AH$1,0),FALSE),"")</f>
        <v>Halloween Kingdom</v>
      </c>
      <c r="L150" s="1" t="str">
        <f>IFERROR(__xludf.DUMMYFUNCTION("""COMPUTED_VALUE"""),"Undead King's Sword")</f>
        <v>Undead King's Sword</v>
      </c>
      <c r="W150" s="1" t="str">
        <f>IFERROR(__xludf.DUMMYFUNCTION("""COMPUTED_VALUE"""),"Jack's Special Archer Robe")</f>
        <v>Jack's Special Archer Robe</v>
      </c>
      <c r="X150" s="1" t="str">
        <f t="shared" si="1"/>
        <v/>
      </c>
    </row>
    <row r="151">
      <c r="A151" s="1" t="s">
        <v>657</v>
      </c>
      <c r="B151" s="18" t="str">
        <f>IFERROR(VLOOKUP($A151,Equipment!$A$2:$AH1001,MATCH("Description",Equipment!$A$1:$AH$1,0),FALSE),"")</f>
        <v>Halloween exclusive</v>
      </c>
      <c r="C151" s="18" t="str">
        <f>IFERROR(VLOOKUP($A151,Equipment!$A$2:$AH1001,MATCH("Type",Equipment!$A$1:$AH$1,0),FALSE),"")</f>
        <v/>
      </c>
      <c r="D151" s="18" t="str">
        <f>IFERROR(VLOOKUP($A151,Equipment!$A$2:$AH1001,MATCH("Slot",Equipment!$A$1:$AH$1,0),FALSE),"")</f>
        <v>Head</v>
      </c>
      <c r="E151" s="20">
        <f>IFERROR(VLOOKUP($A151,Equipment!$A$2:$AH1001,MATCH("LevelReq",Equipment!$A$1:$AH$1,0),FALSE),"")</f>
        <v>600</v>
      </c>
      <c r="F151" s="18" t="str">
        <f>IFERROR(VLOOKUP($A151,Equipconvrt!$A$2:$AH1001,MATCH("Abilities",Equipconvrt!$A$1:$AH$1,0),FALSE),"")</f>
        <v>DEF: +5000, Fire DEF: +5000, Dark DEF: +5000, Spirit DEF: +5000, Chaos DEF: +5000, Nature DEF: +5000 ++Allows you to use up to Rank 9 Nature, Fire, Dark, Chaos, and Spirit Spells, ++X2 additional Nature, Fire, Dark, Chaos, and Spirit damage.</v>
      </c>
      <c r="G151" s="20">
        <f>IFERROR(VLOOKUP($A151,Equipment!$A$2:$AD1001,MATCH("Price",Equipment!$A$1:$AH$1,0),FALSE),"")</f>
        <v>17700000</v>
      </c>
      <c r="H151" s="4" t="b">
        <v>1</v>
      </c>
      <c r="I151" s="1" t="str">
        <f>IFERROR(VLOOKUP($A151,Equipment!$A$2:$AH1001,MATCH("EquipLoc",Equipment!$A$1:$AH$1,0),FALSE),"")</f>
        <v>Halloween Kingdom</v>
      </c>
      <c r="L151" s="1" t="str">
        <f>IFERROR(__xludf.DUMMYFUNCTION("""COMPUTED_VALUE"""),"Trapper's Monocle")</f>
        <v>Trapper's Monocle</v>
      </c>
      <c r="W151" s="1" t="str">
        <f>IFERROR(__xludf.DUMMYFUNCTION("""COMPUTED_VALUE"""),"Jack's Special Ring")</f>
        <v>Jack's Special Ring</v>
      </c>
      <c r="X151" s="1" t="str">
        <f t="shared" si="1"/>
        <v/>
      </c>
    </row>
    <row r="152">
      <c r="A152" s="1" t="s">
        <v>658</v>
      </c>
      <c r="B152" s="18" t="str">
        <f>IFERROR(VLOOKUP($A152,Equipment!$A$2:$AH1001,MATCH("Description",Equipment!$A$1:$AH$1,0),FALSE),"")</f>
        <v/>
      </c>
      <c r="C152" s="18" t="str">
        <f>IFERROR(VLOOKUP($A152,Equipment!$A$2:$AH1001,MATCH("Type",Equipment!$A$1:$AH$1,0),FALSE),"")</f>
        <v>Sword</v>
      </c>
      <c r="D152" s="18" t="str">
        <f>IFERROR(VLOOKUP($A152,Equipment!$A$2:$AH1001,MATCH("Slot",Equipment!$A$1:$AH$1,0),FALSE),"")</f>
        <v>Hand</v>
      </c>
      <c r="E152" s="20">
        <f>IFERROR(VLOOKUP($A152,Equipment!$A$2:$AH1001,MATCH("LevelReq",Equipment!$A$1:$AH$1,0),FALSE),"")</f>
        <v>10</v>
      </c>
      <c r="F152" s="18" t="str">
        <f>IFERROR(VLOOKUP($A152,Equipconvrt!$A$2:$AH1001,MATCH("Abilities",Equipconvrt!$A$1:$AH$1,0),FALSE),"")</f>
        <v>DMG: +500 ++ +10% chance of the sword ability activating.</v>
      </c>
      <c r="G152" s="20">
        <f>IFERROR(VLOOKUP($A152,Equipment!$A$2:$AD1001,MATCH("Price",Equipment!$A$1:$AH$1,0),FALSE),"")</f>
        <v>1000</v>
      </c>
      <c r="H152" s="4" t="b">
        <v>0</v>
      </c>
      <c r="I152" s="1" t="str">
        <f>IFERROR(VLOOKUP($A152,Equipment!$A$2:$AH1001,MATCH("EquipLoc",Equipment!$A$1:$AH$1,0),FALSE),"")</f>
        <v>Land of Spira</v>
      </c>
      <c r="L152" s="1" t="str">
        <f>IFERROR(__xludf.DUMMYFUNCTION("""COMPUTED_VALUE"""),"Dragon's Dogma")</f>
        <v>Dragon's Dogma</v>
      </c>
      <c r="W152" s="1" t="str">
        <f>IFERROR(__xludf.DUMMYFUNCTION("""COMPUTED_VALUE"""),"Jack's Special Sword")</f>
        <v>Jack's Special Sword</v>
      </c>
      <c r="X152" s="1" t="str">
        <f t="shared" si="1"/>
        <v/>
      </c>
    </row>
    <row r="153">
      <c r="A153" s="1" t="s">
        <v>659</v>
      </c>
      <c r="B153" s="18" t="str">
        <f>IFERROR(VLOOKUP($A153,Equipment!$A$2:$AH1001,MATCH("Description",Equipment!$A$1:$AH$1,0),FALSE),"")</f>
        <v>Mob Exclusive</v>
      </c>
      <c r="C153" s="18" t="str">
        <f>IFERROR(VLOOKUP($A153,Equipment!$A$2:$AH1001,MATCH("Type",Equipment!$A$1:$AH$1,0),FALSE),"")</f>
        <v>Sword</v>
      </c>
      <c r="D153" s="18" t="str">
        <f>IFERROR(VLOOKUP($A153,Equipment!$A$2:$AH1001,MATCH("Slot",Equipment!$A$1:$AH$1,0),FALSE),"")</f>
        <v>Hand</v>
      </c>
      <c r="E153" s="20">
        <f>IFERROR(VLOOKUP($A153,Equipment!$A$2:$AH1001,MATCH("LevelReq",Equipment!$A$1:$AH$1,0),FALSE),"")</f>
        <v>3000</v>
      </c>
      <c r="F153" s="18" t="str">
        <f>IFERROR(VLOOKUP($A153,Equipconvrt!$A$2:$AH1001,MATCH("Abilities",Equipconvrt!$A$1:$AH$1,0),FALSE),"")</f>
        <v>DMG: +50000, Fire DMG: +50000, Storm DMG: +50000 ++X8 additional Fire and Storm damage. </v>
      </c>
      <c r="G153" s="20">
        <f>IFERROR(VLOOKUP($A153,Equipment!$A$2:$AD1001,MATCH("Price",Equipment!$A$1:$AH$1,0),FALSE),"")</f>
        <v>448500000</v>
      </c>
      <c r="H153" s="4" t="b">
        <v>0</v>
      </c>
      <c r="I153" s="1" t="str">
        <f>IFERROR(VLOOKUP($A153,Equipment!$A$2:$AH1001,MATCH("EquipLoc",Equipment!$A$1:$AH$1,0),FALSE),"")</f>
        <v>Land of Spira</v>
      </c>
      <c r="L153" s="1" t="str">
        <f>IFERROR(__xludf.DUMMYFUNCTION("""COMPUTED_VALUE"""),"Dragon's Dread")</f>
        <v>Dragon's Dread</v>
      </c>
      <c r="W153" s="1" t="str">
        <f>IFERROR(__xludf.DUMMYFUNCTION("""COMPUTED_VALUE"""),"Jack’o Lantern Helmet of Swampy Hallow")</f>
        <v>Jack’o Lantern Helmet of Swampy Hallow</v>
      </c>
      <c r="X153" s="1" t="str">
        <f t="shared" si="1"/>
        <v/>
      </c>
    </row>
    <row r="154">
      <c r="A154" s="1" t="s">
        <v>660</v>
      </c>
      <c r="B154" s="18" t="str">
        <f>IFERROR(VLOOKUP($A154,Equipment!$A$2:$AH1001,MATCH("Description",Equipment!$A$1:$AH$1,0),FALSE),"")</f>
        <v>Quest Item</v>
      </c>
      <c r="C154" s="18" t="str">
        <f>IFERROR(VLOOKUP($A154,Equipment!$A$2:$AH1001,MATCH("Type",Equipment!$A$1:$AH$1,0),FALSE),"")</f>
        <v>Sword</v>
      </c>
      <c r="D154" s="18" t="str">
        <f>IFERROR(VLOOKUP($A154,Equipment!$A$2:$AH1001,MATCH("Slot",Equipment!$A$1:$AH$1,0),FALSE),"")</f>
        <v>Hand</v>
      </c>
      <c r="E154" s="20">
        <f>IFERROR(VLOOKUP($A154,Equipment!$A$2:$AH1001,MATCH("LevelReq",Equipment!$A$1:$AH$1,0),FALSE),"")</f>
        <v>200</v>
      </c>
      <c r="F154" s="18" t="str">
        <f>IFERROR(VLOOKUP($A154,Equipconvrt!$A$2:$AH1001,MATCH("Abilities",Equipconvrt!$A$1:$AH$1,0),FALSE),"")</f>
        <v>DMG: +100000, Celestial DMG: +100000 ++ +5 can be added to your d20 rolls. X12 additional Celestial damage. +-Cannot be duplicated</v>
      </c>
      <c r="G154" s="20">
        <f>IFERROR(VLOOKUP($A154,Equipment!$A$2:$AD1001,MATCH("Price",Equipment!$A$1:$AH$1,0),FALSE),"")</f>
        <v>798000000</v>
      </c>
      <c r="H154" s="4" t="b">
        <v>0</v>
      </c>
      <c r="I154" s="1" t="str">
        <f>IFERROR(VLOOKUP($A154,Equipment!$A$2:$AH1001,MATCH("EquipLoc",Equipment!$A$1:$AH$1,0),FALSE),"")</f>
        <v>Land of Spira</v>
      </c>
      <c r="L154" s="1" t="str">
        <f>IFERROR(__xludf.DUMMYFUNCTION("""COMPUTED_VALUE"""),"Dragon's Dream Breaker")</f>
        <v>Dragon's Dream Breaker</v>
      </c>
      <c r="W154" s="1" t="str">
        <f>IFERROR(__xludf.DUMMYFUNCTION("""COMPUTED_VALUE"""),"Katana")</f>
        <v>Katana</v>
      </c>
      <c r="X154" s="1" t="str">
        <f t="shared" si="1"/>
        <v/>
      </c>
    </row>
    <row r="155">
      <c r="A155" s="1" t="s">
        <v>661</v>
      </c>
      <c r="B155" s="18" t="str">
        <f>IFERROR(VLOOKUP($A155,Equipment!$A$2:$AH1001,MATCH("Description",Equipment!$A$1:$AH$1,0),FALSE),"")</f>
        <v/>
      </c>
      <c r="C155" s="18" t="str">
        <f>IFERROR(VLOOKUP($A155,Equipment!$A$2:$AH1001,MATCH("Type",Equipment!$A$1:$AH$1,0),FALSE),"")</f>
        <v>Knife</v>
      </c>
      <c r="D155" s="18" t="str">
        <f>IFERROR(VLOOKUP($A155,Equipment!$A$2:$AH1001,MATCH("Slot",Equipment!$A$1:$AH$1,0),FALSE),"")</f>
        <v>Hand</v>
      </c>
      <c r="E155" s="20">
        <f>IFERROR(VLOOKUP($A155,Equipment!$A$2:$AH1001,MATCH("LevelReq",Equipment!$A$1:$AH$1,0),FALSE),"")</f>
        <v>20</v>
      </c>
      <c r="F155" s="18" t="str">
        <f>IFERROR(VLOOKUP($A155,Equipconvrt!$A$2:$AH1001,MATCH("Abilities",Equipconvrt!$A$1:$AH$1,0),FALSE),"")</f>
        <v>DMG: +1000</v>
      </c>
      <c r="G155" s="20">
        <f>IFERROR(VLOOKUP($A155,Equipment!$A$2:$AD1001,MATCH("Price",Equipment!$A$1:$AH$1,0),FALSE),"")</f>
        <v>10000</v>
      </c>
      <c r="H155" s="4" t="b">
        <v>0</v>
      </c>
      <c r="I155" s="1" t="str">
        <f>IFERROR(VLOOKUP($A155,Equipment!$A$2:$AH1001,MATCH("EquipLoc",Equipment!$A$1:$AH$1,0),FALSE),"")</f>
        <v>Land of Spira</v>
      </c>
      <c r="L155" s="1" t="str">
        <f>IFERROR(__xludf.DUMMYFUNCTION("""COMPUTED_VALUE"""),"Dragon's Draught")</f>
        <v>Dragon's Draught</v>
      </c>
      <c r="W155" s="1" t="str">
        <f>IFERROR(__xludf.DUMMYFUNCTION("""COMPUTED_VALUE"""),"King Of Mekanas Sword")</f>
        <v>King Of Mekanas Sword</v>
      </c>
      <c r="X155" s="1" t="str">
        <f t="shared" si="1"/>
        <v/>
      </c>
    </row>
    <row r="156">
      <c r="A156" s="1" t="s">
        <v>662</v>
      </c>
      <c r="B156" s="18" t="str">
        <f>IFERROR(VLOOKUP($A156,Equipment!$A$2:$AH1001,MATCH("Description",Equipment!$A$1:$AH$1,0),FALSE),"")</f>
        <v/>
      </c>
      <c r="C156" s="18" t="str">
        <f>IFERROR(VLOOKUP($A156,Equipment!$A$2:$AH1001,MATCH("Type",Equipment!$A$1:$AH$1,0),FALSE),"")</f>
        <v>Knife</v>
      </c>
      <c r="D156" s="18" t="str">
        <f>IFERROR(VLOOKUP($A156,Equipment!$A$2:$AH1001,MATCH("Slot",Equipment!$A$1:$AH$1,0),FALSE),"")</f>
        <v>Hand</v>
      </c>
      <c r="E156" s="20">
        <f>IFERROR(VLOOKUP($A156,Equipment!$A$2:$AH1001,MATCH("LevelReq",Equipment!$A$1:$AH$1,0),FALSE),"")</f>
        <v>1</v>
      </c>
      <c r="F156" s="18" t="str">
        <f>IFERROR(VLOOKUP($A156,Equipconvrt!$A$2:$AH1001,MATCH("Abilities",Equipconvrt!$A$1:$AH$1,0),FALSE),"")</f>
        <v>DMG: +10 ++ If this weapon is used against a character owned by James, This will instantly kill that character even if they are immune to instant death, otherwise this will deal 10 damage</v>
      </c>
      <c r="G156" s="20">
        <f>IFERROR(VLOOKUP($A156,Equipment!$A$2:$AD1001,MATCH("Price",Equipment!$A$1:$AH$1,0),FALSE),"")</f>
        <v>0</v>
      </c>
      <c r="H156" s="4" t="b">
        <v>0</v>
      </c>
      <c r="I156" s="1" t="str">
        <f>IFERROR(VLOOKUP($A156,Equipment!$A$2:$AH1001,MATCH("EquipLoc",Equipment!$A$1:$AH$1,0),FALSE),"")</f>
        <v>Land of Spira</v>
      </c>
      <c r="L156" s="1" t="str">
        <f>IFERROR(__xludf.DUMMYFUNCTION("""COMPUTED_VALUE"""),"Dragon's Damnation")</f>
        <v>Dragon's Damnation</v>
      </c>
      <c r="W156" s="1" t="str">
        <f>IFERROR(__xludf.DUMMYFUNCTION("""COMPUTED_VALUE"""),"King's Royal Sword")</f>
        <v>King's Royal Sword</v>
      </c>
      <c r="X156" s="1" t="str">
        <f t="shared" si="1"/>
        <v/>
      </c>
    </row>
    <row r="157">
      <c r="A157" s="1" t="s">
        <v>663</v>
      </c>
      <c r="B157" s="18" t="str">
        <f>IFERROR(VLOOKUP($A157,Equipment!$A$2:$AH1001,MATCH("Description",Equipment!$A$1:$AH$1,0),FALSE),"")</f>
        <v/>
      </c>
      <c r="C157" s="18" t="str">
        <f>IFERROR(VLOOKUP($A157,Equipment!$A$2:$AH1001,MATCH("Type",Equipment!$A$1:$AH$1,0),FALSE),"")</f>
        <v/>
      </c>
      <c r="D157" s="18" t="str">
        <f>IFERROR(VLOOKUP($A157,Equipment!$A$2:$AH1001,MATCH("Slot",Equipment!$A$1:$AH$1,0),FALSE),"")</f>
        <v>Ring</v>
      </c>
      <c r="E157" s="20">
        <f>IFERROR(VLOOKUP($A157,Equipment!$A$2:$AH1001,MATCH("LevelReq",Equipment!$A$1:$AH$1,0),FALSE),"")</f>
        <v>1</v>
      </c>
      <c r="F157" s="18" t="str">
        <f>IFERROR(VLOOKUP($A157,Equipconvrt!$A$2:$AH1001,MATCH("Abilities",Equipconvrt!$A$1:$AH$1,0),FALSE),"")</f>
        <v> ++water based attacks double in damage. ++sp cost is halved for water spells only</v>
      </c>
      <c r="G157" s="20">
        <f>IFERROR(VLOOKUP($A157,Equipment!$A$2:$AD1001,MATCH("Price",Equipment!$A$1:$AH$1,0),FALSE),"")</f>
        <v>0</v>
      </c>
      <c r="H157" s="4" t="b">
        <v>0</v>
      </c>
      <c r="I157" s="1" t="str">
        <f>IFERROR(VLOOKUP($A157,Equipment!$A$2:$AH1001,MATCH("EquipLoc",Equipment!$A$1:$AH$1,0),FALSE),"")</f>
        <v>Land of Spira</v>
      </c>
      <c r="L157" s="1" t="str">
        <f>IFERROR(__xludf.DUMMYFUNCTION("""COMPUTED_VALUE"""),"Dragon's Destruction")</f>
        <v>Dragon's Destruction</v>
      </c>
      <c r="W157" s="1" t="str">
        <f>IFERROR(__xludf.DUMMYFUNCTION("""COMPUTED_VALUE"""),"Knife")</f>
        <v>Knife</v>
      </c>
      <c r="X157" s="1" t="str">
        <f t="shared" si="1"/>
        <v/>
      </c>
    </row>
    <row r="158">
      <c r="A158" s="1" t="s">
        <v>664</v>
      </c>
      <c r="B158" s="18" t="str">
        <f>IFERROR(VLOOKUP($A158,Equipment!$A$2:$AH1001,MATCH("Description",Equipment!$A$1:$AH$1,0),FALSE),"")</f>
        <v/>
      </c>
      <c r="C158" s="18" t="str">
        <f>IFERROR(VLOOKUP($A158,Equipment!$A$2:$AH1001,MATCH("Type",Equipment!$A$1:$AH$1,0),FALSE),"")</f>
        <v/>
      </c>
      <c r="D158" s="18" t="str">
        <f>IFERROR(VLOOKUP($A158,Equipment!$A$2:$AH1001,MATCH("Slot",Equipment!$A$1:$AH$1,0),FALSE),"")</f>
        <v>Ring</v>
      </c>
      <c r="E158" s="20">
        <f>IFERROR(VLOOKUP($A158,Equipment!$A$2:$AH1001,MATCH("LevelReq",Equipment!$A$1:$AH$1,0),FALSE),"")</f>
        <v>1</v>
      </c>
      <c r="F158" s="18" t="str">
        <f>IFERROR(VLOOKUP($A158,Equipconvrt!$A$2:$AH1001,MATCH("Abilities",Equipconvrt!$A$1:$AH$1,0),FALSE),"")</f>
        <v> ++water based attacks deal x2 damage, ++sp is halved for water spells only. +-(one use per battle)</v>
      </c>
      <c r="G158" s="20">
        <f>IFERROR(VLOOKUP($A158,Equipment!$A$2:$AD1001,MATCH("Price",Equipment!$A$1:$AH$1,0),FALSE),"")</f>
        <v>0</v>
      </c>
      <c r="H158" s="4" t="b">
        <v>0</v>
      </c>
      <c r="I158" s="1" t="str">
        <f>IFERROR(VLOOKUP($A158,Equipment!$A$2:$AH1001,MATCH("EquipLoc",Equipment!$A$1:$AH$1,0),FALSE),"")</f>
        <v>Land of Spira</v>
      </c>
      <c r="L158" s="1" t="str">
        <f>IFERROR(__xludf.DUMMYFUNCTION("""COMPUTED_VALUE"""),"Confining Collar")</f>
        <v>Confining Collar</v>
      </c>
      <c r="W158" s="1" t="str">
        <f>IFERROR(__xludf.DUMMYFUNCTION("""COMPUTED_VALUE"""),"Knife of Jinx")</f>
        <v>Knife of Jinx</v>
      </c>
      <c r="X158" s="1" t="str">
        <f t="shared" si="1"/>
        <v/>
      </c>
    </row>
    <row r="159">
      <c r="A159" s="1" t="s">
        <v>665</v>
      </c>
      <c r="B159" s="18" t="str">
        <f>IFERROR(VLOOKUP($A159,Equipment!$A$2:$AH1001,MATCH("Description",Equipment!$A$1:$AH$1,0),FALSE),"")</f>
        <v/>
      </c>
      <c r="C159" s="18" t="str">
        <f>IFERROR(VLOOKUP($A159,Equipment!$A$2:$AH1001,MATCH("Type",Equipment!$A$1:$AH$1,0),FALSE),"")</f>
        <v>Sword</v>
      </c>
      <c r="D159" s="18" t="str">
        <f>IFERROR(VLOOKUP($A159,Equipment!$A$2:$AH1001,MATCH("Slot",Equipment!$A$1:$AH$1,0),FALSE),"")</f>
        <v>Hand</v>
      </c>
      <c r="E159" s="20">
        <f>IFERROR(VLOOKUP($A159,Equipment!$A$2:$AH1001,MATCH("LevelReq",Equipment!$A$1:$AH$1,0),FALSE),"")</f>
        <v>800</v>
      </c>
      <c r="F159" s="18" t="str">
        <f>IFERROR(VLOOKUP($A159,Equipconvrt!$A$2:$AH1001,MATCH("Abilities",Equipconvrt!$A$1:$AH$1,0),FALSE),"")</f>
        <v>DMG: +20000, Fire DMG: +20000 ++Burn 10,000 for 3 rounds.</v>
      </c>
      <c r="G159" s="20">
        <f>IFERROR(VLOOKUP($A159,Equipment!$A$2:$AD1001,MATCH("Price",Equipment!$A$1:$AH$1,0),FALSE),"")</f>
        <v>31600000</v>
      </c>
      <c r="H159" s="4" t="b">
        <v>0</v>
      </c>
      <c r="I159" s="1" t="str">
        <f>IFERROR(VLOOKUP($A159,Equipment!$A$2:$AH1001,MATCH("EquipLoc",Equipment!$A$1:$AH$1,0),FALSE),"")</f>
        <v>Land of Spira</v>
      </c>
      <c r="L159" s="1" t="str">
        <f>IFERROR(__xludf.DUMMYFUNCTION("""COMPUTED_VALUE"""),"Shiv")</f>
        <v>Shiv</v>
      </c>
      <c r="W159" s="1" t="str">
        <f>IFERROR(__xludf.DUMMYFUNCTION("""COMPUTED_VALUE"""),"kraken's power ring")</f>
        <v>kraken's power ring</v>
      </c>
      <c r="X159" s="1" t="str">
        <f t="shared" si="1"/>
        <v/>
      </c>
    </row>
    <row r="160">
      <c r="A160" s="1" t="s">
        <v>666</v>
      </c>
      <c r="B160" s="18" t="str">
        <f>IFERROR(VLOOKUP($A160,Equipment!$A$2:$AH1001,MATCH("Description",Equipment!$A$1:$AH$1,0),FALSE),"")</f>
        <v/>
      </c>
      <c r="C160" s="18" t="str">
        <f>IFERROR(VLOOKUP($A160,Equipment!$A$2:$AH1001,MATCH("Type",Equipment!$A$1:$AH$1,0),FALSE),"")</f>
        <v>Sword</v>
      </c>
      <c r="D160" s="18" t="str">
        <f>IFERROR(VLOOKUP($A160,Equipment!$A$2:$AH1001,MATCH("Slot",Equipment!$A$1:$AH$1,0),FALSE),"")</f>
        <v>Hand</v>
      </c>
      <c r="E160" s="20">
        <f>IFERROR(VLOOKUP($A160,Equipment!$A$2:$AH1001,MATCH("LevelReq",Equipment!$A$1:$AH$1,0),FALSE),"")</f>
        <v>600</v>
      </c>
      <c r="F160" s="18" t="str">
        <f>IFERROR(VLOOKUP($A160,Equipconvrt!$A$2:$AH1001,MATCH("Abilities",Equipconvrt!$A$1:$AH$1,0),FALSE),"")</f>
        <v>DMG: +10000, Fire DMG: +10000, Blood DMG: +10000 ++Ignores Defense. +-Cannot be duplicated.</v>
      </c>
      <c r="G160" s="20">
        <f>IFERROR(VLOOKUP($A160,Equipment!$A$2:$AD1001,MATCH("Price",Equipment!$A$1:$AH$1,0),FALSE),"")</f>
        <v>17700000</v>
      </c>
      <c r="H160" s="4" t="b">
        <v>0</v>
      </c>
      <c r="I160" s="1" t="str">
        <f>IFERROR(VLOOKUP($A160,Equipment!$A$2:$AH1001,MATCH("EquipLoc",Equipment!$A$1:$AH$1,0),FALSE),"")</f>
        <v>Land of Spira</v>
      </c>
      <c r="L160" s="1" t="str">
        <f>IFERROR(__xludf.DUMMYFUNCTION("""COMPUTED_VALUE"""),"Inmate's Cap")</f>
        <v>Inmate's Cap</v>
      </c>
      <c r="W160" s="1" t="str">
        <f>IFERROR(__xludf.DUMMYFUNCTION("""COMPUTED_VALUE"""),"Krakens Power Ring")</f>
        <v>Krakens Power Ring</v>
      </c>
      <c r="X160" s="1" t="str">
        <f t="shared" si="1"/>
        <v/>
      </c>
    </row>
    <row r="161">
      <c r="A161" s="1" t="s">
        <v>667</v>
      </c>
      <c r="B161" s="18" t="str">
        <f>IFERROR(VLOOKUP($A161,Equipment!$A$2:$AH1001,MATCH("Description",Equipment!$A$1:$AH$1,0),FALSE),"")</f>
        <v/>
      </c>
      <c r="C161" s="18" t="str">
        <f>IFERROR(VLOOKUP($A161,Equipment!$A$2:$AH1001,MATCH("Type",Equipment!$A$1:$AH$1,0),FALSE),"")</f>
        <v>Sword</v>
      </c>
      <c r="D161" s="18" t="str">
        <f>IFERROR(VLOOKUP($A161,Equipment!$A$2:$AH1001,MATCH("Slot",Equipment!$A$1:$AH$1,0),FALSE),"")</f>
        <v>Hand</v>
      </c>
      <c r="E161" s="20">
        <f>IFERROR(VLOOKUP($A161,Equipment!$A$2:$AH1001,MATCH("LevelReq",Equipment!$A$1:$AH$1,0),FALSE),"")</f>
        <v>200</v>
      </c>
      <c r="F161" s="18" t="str">
        <f>IFERROR(VLOOKUP($A161,Equipconvrt!$A$2:$AH1001,MATCH("Abilities",Equipconvrt!$A$1:$AH$1,0),FALSE),"")</f>
        <v>DMG: +20000, Fire DMG: +20000, Water DMG: +20000, Celestial DMG: +20000 ++75% chance of instant death. ++X6 additional Fire damage. ++Burn 10,000. +-Cannot be duplicated</v>
      </c>
      <c r="G161" s="20">
        <f>IFERROR(VLOOKUP($A161,Equipment!$A$2:$AD1001,MATCH("Price",Equipment!$A$1:$AH$1,0),FALSE),"")</f>
        <v>127200000</v>
      </c>
      <c r="H161" s="4" t="b">
        <v>1</v>
      </c>
      <c r="I161" s="1" t="str">
        <f>IFERROR(VLOOKUP($A161,Equipment!$A$2:$AH1001,MATCH("EquipLoc",Equipment!$A$1:$AH$1,0),FALSE),"")</f>
        <v>Land of Spira</v>
      </c>
      <c r="L161" s="1" t="str">
        <f>IFERROR(__xludf.DUMMYFUNCTION("""COMPUTED_VALUE"""),"Inmate's Shirt")</f>
        <v>Inmate's Shirt</v>
      </c>
      <c r="W161" s="1" t="str">
        <f>IFERROR(__xludf.DUMMYFUNCTION("""COMPUTED_VALUE"""),"Lava Longsword")</f>
        <v>Lava Longsword</v>
      </c>
      <c r="X161" s="1" t="str">
        <f t="shared" si="1"/>
        <v/>
      </c>
    </row>
    <row r="162">
      <c r="A162" s="1" t="s">
        <v>668</v>
      </c>
      <c r="B162" s="18" t="str">
        <f>IFERROR(VLOOKUP($A162,Equipment!$A$2:$AH1001,MATCH("Description",Equipment!$A$1:$AH$1,0),FALSE),"")</f>
        <v/>
      </c>
      <c r="C162" s="18" t="str">
        <f>IFERROR(VLOOKUP($A162,Equipment!$A$2:$AH1001,MATCH("Type",Equipment!$A$1:$AH$1,0),FALSE),"")</f>
        <v>Sword</v>
      </c>
      <c r="D162" s="18" t="str">
        <f>IFERROR(VLOOKUP($A162,Equipment!$A$2:$AH1001,MATCH("Slot",Equipment!$A$1:$AH$1,0),FALSE),"")</f>
        <v>Hand</v>
      </c>
      <c r="E162" s="20">
        <f>IFERROR(VLOOKUP($A162,Equipment!$A$2:$AH1001,MATCH("LevelReq",Equipment!$A$1:$AH$1,0),FALSE),"")</f>
        <v>200</v>
      </c>
      <c r="F162" s="18" t="str">
        <f>IFERROR(VLOOKUP($A162,Equipconvrt!$A$2:$AH1001,MATCH("Abilities",Equipconvrt!$A$1:$AH$1,0),FALSE),"")</f>
        <v>DMG: +50000, Nature DMG: +50000, Celestial DMG: +50000 ++X6 Additional Nature damage. ++20% chance of Incorporeal 2. +-Cannot be duplicated.</v>
      </c>
      <c r="G162" s="20">
        <f>IFERROR(VLOOKUP($A162,Equipment!$A$2:$AD1001,MATCH("Price",Equipment!$A$1:$AH$1,0),FALSE),"")</f>
        <v>448500000</v>
      </c>
      <c r="H162" s="4" t="b">
        <v>1</v>
      </c>
      <c r="I162" s="1" t="str">
        <f>IFERROR(VLOOKUP($A162,Equipment!$A$2:$AH1001,MATCH("EquipLoc",Equipment!$A$1:$AH$1,0),FALSE),"")</f>
        <v>Land of Spira</v>
      </c>
      <c r="L162" s="1" t="str">
        <f>IFERROR(__xludf.DUMMYFUNCTION("""COMPUTED_VALUE"""),"Inmate's Pants")</f>
        <v>Inmate's Pants</v>
      </c>
      <c r="W162" s="1" t="str">
        <f>IFERROR(__xludf.DUMMYFUNCTION("""COMPUTED_VALUE"""),"Lazer Infused Sword")</f>
        <v>Lazer Infused Sword</v>
      </c>
      <c r="X162" s="1" t="str">
        <f t="shared" si="1"/>
        <v/>
      </c>
    </row>
    <row r="163">
      <c r="A163" s="1" t="s">
        <v>669</v>
      </c>
      <c r="B163" s="18" t="str">
        <f>IFERROR(VLOOKUP($A163,Equipment!$A$2:$AH1001,MATCH("Description",Equipment!$A$1:$AH$1,0),FALSE),"")</f>
        <v/>
      </c>
      <c r="C163" s="18" t="str">
        <f>IFERROR(VLOOKUP($A163,Equipment!$A$2:$AH1001,MATCH("Type",Equipment!$A$1:$AH$1,0),FALSE),"")</f>
        <v/>
      </c>
      <c r="D163" s="18" t="str">
        <f>IFERROR(VLOOKUP($A163,Equipment!$A$2:$AH1001,MATCH("Slot",Equipment!$A$1:$AH$1,0),FALSE),"")</f>
        <v>Legs</v>
      </c>
      <c r="E163" s="20">
        <f>IFERROR(VLOOKUP($A163,Equipment!$A$2:$AH1001,MATCH("LevelReq",Equipment!$A$1:$AH$1,0),FALSE),"")</f>
        <v>400</v>
      </c>
      <c r="F163" s="18" t="str">
        <f>IFERROR(VLOOKUP($A163,Equipconvrt!$A$2:$AH1001,MATCH("Abilities",Equipconvrt!$A$1:$AH$1,0),FALSE),"")</f>
        <v>DEF: +20000 ++Waves of Entitlement - x5 additional Water damage</v>
      </c>
      <c r="G163" s="20">
        <f>IFERROR(VLOOKUP($A163,Equipment!$A$2:$AD1001,MATCH("Price",Equipment!$A$1:$AH$1,0),FALSE),"")</f>
        <v>7800000</v>
      </c>
      <c r="H163" s="4" t="b">
        <v>0</v>
      </c>
      <c r="I163" s="1" t="str">
        <f>IFERROR(VLOOKUP($A163,Equipment!$A$2:$AH1001,MATCH("EquipLoc",Equipment!$A$1:$AH$1,0),FALSE),"")</f>
        <v>Land of Spira</v>
      </c>
      <c r="L163" s="1" t="str">
        <f>IFERROR(__xludf.DUMMYFUNCTION("""COMPUTED_VALUE"""),"Warden's Cap")</f>
        <v>Warden's Cap</v>
      </c>
      <c r="W163" s="1" t="str">
        <f>IFERROR(__xludf.DUMMYFUNCTION("""COMPUTED_VALUE"""),"Legendary Sword of Heatmore")</f>
        <v>Legendary Sword of Heatmore</v>
      </c>
      <c r="X163" s="1" t="str">
        <f t="shared" si="1"/>
        <v/>
      </c>
    </row>
    <row r="164">
      <c r="A164" s="1" t="s">
        <v>670</v>
      </c>
      <c r="B164" s="18" t="str">
        <f>IFERROR(VLOOKUP($A164,Equipment!$A$2:$AH1001,MATCH("Description",Equipment!$A$1:$AH$1,0),FALSE),"")</f>
        <v/>
      </c>
      <c r="C164" s="18" t="str">
        <f>IFERROR(VLOOKUP($A164,Equipment!$A$2:$AH1001,MATCH("Type",Equipment!$A$1:$AH$1,0),FALSE),"")</f>
        <v>Spear</v>
      </c>
      <c r="D164" s="18" t="str">
        <f>IFERROR(VLOOKUP($A164,Equipment!$A$2:$AH1001,MATCH("Slot",Equipment!$A$1:$AH$1,0),FALSE),"")</f>
        <v>Hand</v>
      </c>
      <c r="E164" s="20">
        <f>IFERROR(VLOOKUP($A164,Equipment!$A$2:$AH1001,MATCH("LevelReq",Equipment!$A$1:$AH$1,0),FALSE),"")</f>
        <v>500</v>
      </c>
      <c r="F164" s="18" t="str">
        <f>IFERROR(VLOOKUP($A164,Equipconvrt!$A$2:$AH1001,MATCH("Abilities",Equipconvrt!$A$1:$AH$1,0),FALSE),"")</f>
        <v>DMG: +10000, Storm DMG: +15000 ++Stun 2</v>
      </c>
      <c r="G164" s="20">
        <f>IFERROR(VLOOKUP($A164,Equipment!$A$2:$AD1001,MATCH("Price",Equipment!$A$1:$AH$1,0),FALSE),"")</f>
        <v>12250000</v>
      </c>
      <c r="H164" s="4" t="b">
        <v>0</v>
      </c>
      <c r="I164" s="1" t="str">
        <f>IFERROR(VLOOKUP($A164,Equipment!$A$2:$AH1001,MATCH("EquipLoc",Equipment!$A$1:$AH$1,0),FALSE),"")</f>
        <v>Land of Spira</v>
      </c>
      <c r="L164" s="1" t="str">
        <f>IFERROR(__xludf.DUMMYFUNCTION("""COMPUTED_VALUE"""),"Warden's Shirt")</f>
        <v>Warden's Shirt</v>
      </c>
      <c r="W164" s="1" t="str">
        <f>IFERROR(__xludf.DUMMYFUNCTION("""COMPUTED_VALUE"""),"Legendary Tree Sword")</f>
        <v>Legendary Tree Sword</v>
      </c>
      <c r="X164" s="1" t="str">
        <f t="shared" si="1"/>
        <v/>
      </c>
    </row>
    <row r="165">
      <c r="A165" s="1" t="s">
        <v>671</v>
      </c>
      <c r="B165" s="18" t="str">
        <f>IFERROR(VLOOKUP($A165,Equipment!$A$2:$AH1001,MATCH("Description",Equipment!$A$1:$AH$1,0),FALSE),"")</f>
        <v/>
      </c>
      <c r="C165" s="18" t="str">
        <f>IFERROR(VLOOKUP($A165,Equipment!$A$2:$AH1001,MATCH("Type",Equipment!$A$1:$AH$1,0),FALSE),"")</f>
        <v>Spear</v>
      </c>
      <c r="D165" s="18" t="str">
        <f>IFERROR(VLOOKUP($A165,Equipment!$A$2:$AH1001,MATCH("Slot",Equipment!$A$1:$AH$1,0),FALSE),"")</f>
        <v>Hand</v>
      </c>
      <c r="E165" s="20">
        <f>IFERROR(VLOOKUP($A165,Equipment!$A$2:$AH1001,MATCH("LevelReq",Equipment!$A$1:$AH$1,0),FALSE),"")</f>
        <v>10</v>
      </c>
      <c r="F165" s="18" t="str">
        <f>IFERROR(VLOOKUP($A165,Equipconvrt!$A$2:$AH1001,MATCH("Abilities",Equipconvrt!$A$1:$AH$1,0),FALSE),"")</f>
        <v>DMG: +500 ++25% chance of instant death. </v>
      </c>
      <c r="G165" s="20">
        <f>IFERROR(VLOOKUP($A165,Equipment!$A$2:$AD1001,MATCH("Price",Equipment!$A$1:$AH$1,0),FALSE),"")</f>
        <v>1000</v>
      </c>
      <c r="H165" s="4" t="b">
        <v>0</v>
      </c>
      <c r="I165" s="1" t="str">
        <f>IFERROR(VLOOKUP($A165,Equipment!$A$2:$AH1001,MATCH("EquipLoc",Equipment!$A$1:$AH$1,0),FALSE),"")</f>
        <v>Land of Spira</v>
      </c>
      <c r="L165" s="1" t="str">
        <f>IFERROR(__xludf.DUMMYFUNCTION("""COMPUTED_VALUE"""),"Warden's Pants")</f>
        <v>Warden's Pants</v>
      </c>
      <c r="W165" s="1" t="str">
        <f>IFERROR(__xludf.DUMMYFUNCTION("""COMPUTED_VALUE"""),"Leggings Of Tritonoch")</f>
        <v>Leggings Of Tritonoch</v>
      </c>
      <c r="X165" s="1" t="str">
        <f t="shared" si="1"/>
        <v/>
      </c>
    </row>
    <row r="166">
      <c r="A166" s="1" t="s">
        <v>672</v>
      </c>
      <c r="B166" s="18" t="str">
        <f>IFERROR(VLOOKUP($A166,Equipment!$A$2:$AH1001,MATCH("Description",Equipment!$A$1:$AH$1,0),FALSE),"")</f>
        <v/>
      </c>
      <c r="C166" s="18" t="str">
        <f>IFERROR(VLOOKUP($A166,Equipment!$A$2:$AH1001,MATCH("Type",Equipment!$A$1:$AH$1,0),FALSE),"")</f>
        <v>Sword</v>
      </c>
      <c r="D166" s="18" t="str">
        <f>IFERROR(VLOOKUP($A166,Equipment!$A$2:$AH1001,MATCH("Slot",Equipment!$A$1:$AH$1,0),FALSE),"")</f>
        <v>Hand</v>
      </c>
      <c r="E166" s="20">
        <f>IFERROR(VLOOKUP($A166,Equipment!$A$2:$AH1001,MATCH("LevelReq",Equipment!$A$1:$AH$1,0),FALSE),"")</f>
        <v>800</v>
      </c>
      <c r="F166" s="18" t="str">
        <f>IFERROR(VLOOKUP($A166,Equipconvrt!$A$2:$AH1001,MATCH("Abilities",Equipconvrt!$A$1:$AH$1,0),FALSE),"")</f>
        <v>DMG: +20000, Dark DMG: +10000, Chaos DMG: +10000</v>
      </c>
      <c r="G166" s="20">
        <f>IFERROR(VLOOKUP($A166,Equipment!$A$2:$AD1001,MATCH("Price",Equipment!$A$1:$AH$1,0),FALSE),"")</f>
        <v>31600000</v>
      </c>
      <c r="H166" s="4" t="b">
        <v>1</v>
      </c>
      <c r="I166" s="1" t="str">
        <f>IFERROR(VLOOKUP($A166,Equipment!$A$2:$AH1001,MATCH("EquipLoc",Equipment!$A$1:$AH$1,0),FALSE),"")</f>
        <v>Land of Spira</v>
      </c>
      <c r="L166" s="1" t="str">
        <f>IFERROR(__xludf.DUMMYFUNCTION("""COMPUTED_VALUE"""),"Warden's Boots")</f>
        <v>Warden's Boots</v>
      </c>
      <c r="W166" s="1" t="str">
        <f>IFERROR(__xludf.DUMMYFUNCTION("""COMPUTED_VALUE"""),"Lightning Lance")</f>
        <v>Lightning Lance</v>
      </c>
      <c r="X166" s="1" t="str">
        <f t="shared" si="1"/>
        <v/>
      </c>
    </row>
    <row r="167">
      <c r="A167" s="1" t="s">
        <v>673</v>
      </c>
      <c r="B167" s="18" t="str">
        <f>IFERROR(VLOOKUP($A167,Equipment!$A$2:$AH1001,MATCH("Description",Equipment!$A$1:$AH$1,0),FALSE),"")</f>
        <v/>
      </c>
      <c r="C167" s="18" t="str">
        <f>IFERROR(VLOOKUP($A167,Equipment!$A$2:$AH1001,MATCH("Type",Equipment!$A$1:$AH$1,0),FALSE),"")</f>
        <v>Club</v>
      </c>
      <c r="D167" s="18" t="str">
        <f>IFERROR(VLOOKUP($A167,Equipment!$A$2:$AH1001,MATCH("Slot",Equipment!$A$1:$AH$1,0),FALSE),"")</f>
        <v>Hand</v>
      </c>
      <c r="E167" s="20">
        <f>IFERROR(VLOOKUP($A167,Equipment!$A$2:$AH1001,MATCH("LevelReq",Equipment!$A$1:$AH$1,0),FALSE),"")</f>
        <v>20</v>
      </c>
      <c r="F167" s="18" t="str">
        <f>IFERROR(VLOOKUP($A167,Equipconvrt!$A$2:$AH1001,MATCH("Abilities",Equipconvrt!$A$1:$AH$1,0),FALSE),"")</f>
        <v>DMG: +500, Fire DMG: +400 ++Will return to you each round when thrown</v>
      </c>
      <c r="G167" s="20">
        <f>IFERROR(VLOOKUP($A167,Equipment!$A$2:$AD1001,MATCH("Price",Equipment!$A$1:$AH$1,0),FALSE),"")</f>
        <v>1000</v>
      </c>
      <c r="H167" s="4" t="b">
        <v>0</v>
      </c>
      <c r="I167" s="1" t="str">
        <f>IFERROR(VLOOKUP($A167,Equipment!$A$2:$AH1001,MATCH("EquipLoc",Equipment!$A$1:$AH$1,0),FALSE),"")</f>
        <v>Land of Spira</v>
      </c>
      <c r="L167" s="1" t="str">
        <f>IFERROR(__xludf.DUMMYFUNCTION("""COMPUTED_VALUE"""),"Warden's Baton")</f>
        <v>Warden's Baton</v>
      </c>
      <c r="W167" s="1" t="str">
        <f>IFERROR(__xludf.DUMMYFUNCTION("""COMPUTED_VALUE"""),"Long Spear")</f>
        <v>Long Spear</v>
      </c>
      <c r="X167" s="1" t="str">
        <f t="shared" si="1"/>
        <v/>
      </c>
    </row>
    <row r="168">
      <c r="A168" s="1" t="s">
        <v>674</v>
      </c>
      <c r="B168" s="18" t="str">
        <f>IFERROR(VLOOKUP($A168,Equipment!$A$2:$AH1001,MATCH("Description",Equipment!$A$1:$AH$1,0),FALSE),"")</f>
        <v>A sword that turned Forest View into Ash View.</v>
      </c>
      <c r="C168" s="18" t="str">
        <f>IFERROR(VLOOKUP($A168,Equipment!$A$2:$AH1001,MATCH("Type",Equipment!$A$1:$AH$1,0),FALSE),"")</f>
        <v>Sword</v>
      </c>
      <c r="D168" s="18" t="str">
        <f>IFERROR(VLOOKUP($A168,Equipment!$A$2:$AH1001,MATCH("Slot",Equipment!$A$1:$AH$1,0),FALSE),"")</f>
        <v>Hand</v>
      </c>
      <c r="E168" s="20">
        <f>IFERROR(VLOOKUP($A168,Equipment!$A$2:$AH1001,MATCH("LevelReq",Equipment!$A$1:$AH$1,0),FALSE),"")</f>
        <v>200</v>
      </c>
      <c r="F168" s="18" t="str">
        <f>IFERROR(VLOOKUP($A168,Equipconvrt!$A$2:$AH1001,MATCH("Abilities",Equipconvrt!$A$1:$AH$1,0),FALSE),"")</f>
        <v>DMG: +50000, Fire DMG: +50000, Celestial DMG: +50000 ++X6 additional Fire damage. ++Burn 20,000 for 3 rounds. +-Cannot be duplicated</v>
      </c>
      <c r="G168" s="20">
        <f>IFERROR(VLOOKUP($A168,Equipment!$A$2:$AD1001,MATCH("Price",Equipment!$A$1:$AH$1,0),FALSE),"")</f>
        <v>448500000</v>
      </c>
      <c r="H168" s="4" t="b">
        <v>0</v>
      </c>
      <c r="I168" s="1" t="str">
        <f>IFERROR(VLOOKUP($A168,Equipment!$A$2:$AH1001,MATCH("EquipLoc",Equipment!$A$1:$AH$1,0),FALSE),"")</f>
        <v>Abstara</v>
      </c>
      <c r="L168" s="1" t="str">
        <f>IFERROR(__xludf.DUMMYFUNCTION("""COMPUTED_VALUE"""),"Gentleman's Club")</f>
        <v>Gentleman's Club</v>
      </c>
      <c r="W168" s="1" t="str">
        <f>IFERROR(__xludf.DUMMYFUNCTION("""COMPUTED_VALUE"""),"Lord Dreadfuls Sword")</f>
        <v>Lord Dreadfuls Sword</v>
      </c>
      <c r="X168" s="1" t="str">
        <f t="shared" si="1"/>
        <v/>
      </c>
    </row>
    <row r="169">
      <c r="A169" s="1" t="s">
        <v>675</v>
      </c>
      <c r="B169" s="18" t="str">
        <f>IFERROR(VLOOKUP($A169,Equipment!$A$2:$AH1001,MATCH("Description",Equipment!$A$1:$AH$1,0),FALSE),"")</f>
        <v/>
      </c>
      <c r="C169" s="18" t="str">
        <f>IFERROR(VLOOKUP($A169,Equipment!$A$2:$AH1001,MATCH("Type",Equipment!$A$1:$AH$1,0),FALSE),"")</f>
        <v/>
      </c>
      <c r="D169" s="18" t="str">
        <f>IFERROR(VLOOKUP($A169,Equipment!$A$2:$AH1001,MATCH("Slot",Equipment!$A$1:$AH$1,0),FALSE),"")</f>
        <v>Torso</v>
      </c>
      <c r="E169" s="20">
        <f>IFERROR(VLOOKUP($A169,Equipment!$A$2:$AH1001,MATCH("LevelReq",Equipment!$A$1:$AH$1,0),FALSE),"")</f>
        <v>1</v>
      </c>
      <c r="F169" s="18" t="str">
        <f>IFERROR(VLOOKUP($A169,Equipconvrt!$A$2:$AH1001,MATCH("Abilities",Equipconvrt!$A$1:$AH$1,0),FALSE),"")</f>
        <v> ++5 Evasion +-(Cannot be duplicated)</v>
      </c>
      <c r="G169" s="20">
        <f>IFERROR(VLOOKUP($A169,Equipment!$A$2:$AD1001,MATCH("Price",Equipment!$A$1:$AH$1,0),FALSE),"")</f>
        <v>0</v>
      </c>
      <c r="H169" s="4" t="b">
        <v>0</v>
      </c>
      <c r="I169" s="1" t="str">
        <f>IFERROR(VLOOKUP($A169,Equipment!$A$2:$AH1001,MATCH("EquipLoc",Equipment!$A$1:$AH$1,0),FALSE),"")</f>
        <v>Land of Spira</v>
      </c>
      <c r="L169" s="1" t="str">
        <f>IFERROR(__xludf.DUMMYFUNCTION("""COMPUTED_VALUE"""),"Honest Shirt")</f>
        <v>Honest Shirt</v>
      </c>
      <c r="W169" s="1" t="str">
        <f>IFERROR(__xludf.DUMMYFUNCTION("""COMPUTED_VALUE"""),"Magma Morningstar")</f>
        <v>Magma Morningstar</v>
      </c>
      <c r="X169" s="1" t="str">
        <f t="shared" si="1"/>
        <v/>
      </c>
    </row>
    <row r="170">
      <c r="A170" s="1" t="s">
        <v>676</v>
      </c>
      <c r="B170" s="18" t="str">
        <f>IFERROR(VLOOKUP($A170,Equipment!$A$2:$AH1001,MATCH("Description",Equipment!$A$1:$AH$1,0),FALSE),"")</f>
        <v/>
      </c>
      <c r="C170" s="18" t="str">
        <f>IFERROR(VLOOKUP($A170,Equipment!$A$2:$AH1001,MATCH("Type",Equipment!$A$1:$AH$1,0),FALSE),"")</f>
        <v>Wand</v>
      </c>
      <c r="D170" s="18" t="str">
        <f>IFERROR(VLOOKUP($A170,Equipment!$A$2:$AH1001,MATCH("Slot",Equipment!$A$1:$AH$1,0),FALSE),"")</f>
        <v>Hand</v>
      </c>
      <c r="E170" s="20">
        <f>IFERROR(VLOOKUP($A170,Equipment!$A$2:$AH1001,MATCH("LevelReq",Equipment!$A$1:$AH$1,0),FALSE),"")</f>
        <v>1</v>
      </c>
      <c r="F170" s="18" t="str">
        <f>IFERROR(VLOOKUP($A170,Equipconvrt!$A$2:$AH1001,MATCH("Abilities",Equipconvrt!$A$1:$AH$1,0),FALSE),"")</f>
        <v> ++Percentage rolls are now increased by 10% for caster that holds this item. +-Can only equip one</v>
      </c>
      <c r="G170" s="20">
        <f>IFERROR(VLOOKUP($A170,Equipment!$A$2:$AD1001,MATCH("Price",Equipment!$A$1:$AH$1,0),FALSE),"")</f>
        <v>0</v>
      </c>
      <c r="H170" s="4" t="b">
        <v>0</v>
      </c>
      <c r="I170" s="1" t="str">
        <f>IFERROR(VLOOKUP($A170,Equipment!$A$2:$AH1001,MATCH("EquipLoc",Equipment!$A$1:$AH$1,0),FALSE),"")</f>
        <v>Land of Spira</v>
      </c>
      <c r="L170" s="1" t="str">
        <f>IFERROR(__xludf.DUMMYFUNCTION("""COMPUTED_VALUE"""),"Tinfoil Hat")</f>
        <v>Tinfoil Hat</v>
      </c>
      <c r="W170" s="1" t="str">
        <f>IFERROR(__xludf.DUMMYFUNCTION("""COMPUTED_VALUE"""),"Magma Sword")</f>
        <v>Magma Sword</v>
      </c>
      <c r="X170" s="1" t="str">
        <f t="shared" si="1"/>
        <v/>
      </c>
    </row>
    <row r="171">
      <c r="A171" s="1" t="s">
        <v>677</v>
      </c>
      <c r="B171" s="18" t="str">
        <f>IFERROR(VLOOKUP($A171,Equipment!$A$2:$AH1001,MATCH("Description",Equipment!$A$1:$AH$1,0),FALSE),"")</f>
        <v/>
      </c>
      <c r="C171" s="18" t="str">
        <f>IFERROR(VLOOKUP($A171,Equipment!$A$2:$AH1001,MATCH("Type",Equipment!$A$1:$AH$1,0),FALSE),"")</f>
        <v>Wand</v>
      </c>
      <c r="D171" s="18" t="str">
        <f>IFERROR(VLOOKUP($A171,Equipment!$A$2:$AH1001,MATCH("Slot",Equipment!$A$1:$AH$1,0),FALSE),"")</f>
        <v>Hand</v>
      </c>
      <c r="E171" s="20">
        <f>IFERROR(VLOOKUP($A171,Equipment!$A$2:$AH1001,MATCH("LevelReq",Equipment!$A$1:$AH$1,0),FALSE),"")</f>
        <v>1</v>
      </c>
      <c r="F171" s="18" t="str">
        <f>IFERROR(VLOOKUP($A171,Equipconvrt!$A$2:$AH1001,MATCH("Abilities",Equipconvrt!$A$1:$AH$1,0),FALSE),"")</f>
        <v> ++half the sp cost of nature spells</v>
      </c>
      <c r="G171" s="20">
        <f>IFERROR(VLOOKUP($A171,Equipment!$A$2:$AD1001,MATCH("Price",Equipment!$A$1:$AH$1,0),FALSE),"")</f>
        <v>0</v>
      </c>
      <c r="H171" s="4" t="b">
        <v>0</v>
      </c>
      <c r="I171" s="1" t="str">
        <f>IFERROR(VLOOKUP($A171,Equipment!$A$2:$AH1001,MATCH("EquipLoc",Equipment!$A$1:$AH$1,0),FALSE),"")</f>
        <v>Land of Spira</v>
      </c>
      <c r="L171" s="1" t="str">
        <f>IFERROR(__xludf.DUMMYFUNCTION("""COMPUTED_VALUE"""),"Anti-Magic Glasses")</f>
        <v>Anti-Magic Glasses</v>
      </c>
      <c r="W171" s="1" t="str">
        <f>IFERROR(__xludf.DUMMYFUNCTION("""COMPUTED_VALUE"""),"Masking Cloak")</f>
        <v>Masking Cloak</v>
      </c>
      <c r="X171" s="1" t="str">
        <f t="shared" si="1"/>
        <v/>
      </c>
    </row>
    <row r="172">
      <c r="A172" s="1" t="s">
        <v>678</v>
      </c>
      <c r="B172" s="18" t="str">
        <f>IFERROR(VLOOKUP($A172,Equipment!$A$2:$AH1001,MATCH("Description",Equipment!$A$1:$AH$1,0),FALSE),"")</f>
        <v/>
      </c>
      <c r="C172" s="18" t="str">
        <f>IFERROR(VLOOKUP($A172,Equipment!$A$2:$AH1001,MATCH("Type",Equipment!$A$1:$AH$1,0),FALSE),"")</f>
        <v>Sword</v>
      </c>
      <c r="D172" s="18" t="str">
        <f>IFERROR(VLOOKUP($A172,Equipment!$A$2:$AH1001,MATCH("Slot",Equipment!$A$1:$AH$1,0),FALSE),"")</f>
        <v>Hand</v>
      </c>
      <c r="E172" s="20">
        <f>IFERROR(VLOOKUP($A172,Equipment!$A$2:$AH1001,MATCH("LevelReq",Equipment!$A$1:$AH$1,0),FALSE),"")</f>
        <v>40</v>
      </c>
      <c r="F172" s="18" t="str">
        <f>IFERROR(VLOOKUP($A172,Equipconvrt!$A$2:$AH1001,MATCH("Abilities",Equipconvrt!$A$1:$AH$1,0),FALSE),"")</f>
        <v>DMG: +800, Nature DMG: +800 ++Upon a successful hit, the next turn you will automatically use the spell Tree Stance.</v>
      </c>
      <c r="G172" s="20">
        <f>IFERROR(VLOOKUP($A172,Equipment!$A$2:$AD1001,MATCH("Price",Equipment!$A$1:$AH$1,0),FALSE),"")</f>
        <v>30000</v>
      </c>
      <c r="H172" s="4" t="b">
        <v>0</v>
      </c>
      <c r="I172" s="1" t="str">
        <f>IFERROR(VLOOKUP($A172,Equipment!$A$2:$AH1001,MATCH("EquipLoc",Equipment!$A$1:$AH$1,0),FALSE),"")</f>
        <v>Land of Spira</v>
      </c>
      <c r="L172" s="1" t="str">
        <f>IFERROR(__xludf.DUMMYFUNCTION("""COMPUTED_VALUE"""),"Null Ring")</f>
        <v>Null Ring</v>
      </c>
      <c r="W172" s="1" t="str">
        <f>IFERROR(__xludf.DUMMYFUNCTION("""COMPUTED_VALUE"""),"Mini Lucky Fish in a Bottle")</f>
        <v>Mini Lucky Fish in a Bottle</v>
      </c>
      <c r="X172" s="1" t="str">
        <f t="shared" si="1"/>
        <v/>
      </c>
    </row>
    <row r="173">
      <c r="A173" s="1" t="s">
        <v>679</v>
      </c>
      <c r="B173" s="18" t="str">
        <f>IFERROR(VLOOKUP($A173,Equipment!$A$2:$AH1001,MATCH("Description",Equipment!$A$1:$AH$1,0),FALSE),"")</f>
        <v/>
      </c>
      <c r="C173" s="18" t="str">
        <f>IFERROR(VLOOKUP($A173,Equipment!$A$2:$AH1001,MATCH("Type",Equipment!$A$1:$AH$1,0),FALSE),"")</f>
        <v/>
      </c>
      <c r="D173" s="18" t="str">
        <f>IFERROR(VLOOKUP($A173,Equipment!$A$2:$AH1001,MATCH("Slot",Equipment!$A$1:$AH$1,0),FALSE),"")</f>
        <v>Neck</v>
      </c>
      <c r="E173" s="20">
        <f>IFERROR(VLOOKUP($A173,Equipment!$A$2:$AH1001,MATCH("LevelReq",Equipment!$A$1:$AH$1,0),FALSE),"")</f>
        <v>1</v>
      </c>
      <c r="F173" s="18" t="str">
        <f>IFERROR(VLOOKUP($A173,Equipconvrt!$A$2:$AH1001,MATCH("Abilities",Equipconvrt!$A$1:$AH$1,0),FALSE),"")</f>
        <v> ++Decrease XHP and XSP from your character sheet and add that amount to another target.</v>
      </c>
      <c r="G173" s="20">
        <f>IFERROR(VLOOKUP($A173,Equipment!$A$2:$AD1001,MATCH("Price",Equipment!$A$1:$AH$1,0),FALSE),"")</f>
        <v>0</v>
      </c>
      <c r="H173" s="4" t="b">
        <v>0</v>
      </c>
      <c r="I173" s="1" t="str">
        <f>IFERROR(VLOOKUP($A173,Equipment!$A$2:$AH1001,MATCH("EquipLoc",Equipment!$A$1:$AH$1,0),FALSE),"")</f>
        <v>Land of Spira</v>
      </c>
      <c r="L173" s="1" t="str">
        <f>IFERROR(__xludf.DUMMYFUNCTION("""COMPUTED_VALUE"""),"Quickdraw Bow")</f>
        <v>Quickdraw Bow</v>
      </c>
      <c r="W173" s="1" t="str">
        <f>IFERROR(__xludf.DUMMYFUNCTION("""COMPUTED_VALUE"""),"Nature Faery Wand")</f>
        <v>Nature Faery Wand</v>
      </c>
      <c r="X173" s="1" t="str">
        <f t="shared" si="1"/>
        <v/>
      </c>
    </row>
    <row r="174">
      <c r="A174" s="1" t="s">
        <v>680</v>
      </c>
      <c r="B174" s="18" t="str">
        <f>IFERROR(VLOOKUP($A174,Equipment!$A$2:$AH1001,MATCH("Description",Equipment!$A$1:$AH$1,0),FALSE),"")</f>
        <v/>
      </c>
      <c r="C174" s="18" t="str">
        <f>IFERROR(VLOOKUP($A174,Equipment!$A$2:$AH1001,MATCH("Type",Equipment!$A$1:$AH$1,0),FALSE),"")</f>
        <v/>
      </c>
      <c r="D174" s="18" t="str">
        <f>IFERROR(VLOOKUP($A174,Equipment!$A$2:$AH1001,MATCH("Slot",Equipment!$A$1:$AH$1,0),FALSE),"")</f>
        <v>Neck</v>
      </c>
      <c r="E174" s="20">
        <f>IFERROR(VLOOKUP($A174,Equipment!$A$2:$AH1001,MATCH("LevelReq",Equipment!$A$1:$AH$1,0),FALSE),"")</f>
        <v>1</v>
      </c>
      <c r="F174" s="18" t="str">
        <f>IFERROR(VLOOKUP($A174,Equipconvrt!$A$2:$AH1001,MATCH("Abilities",Equipconvrt!$A$1:$AH$1,0),FALSE),"")</f>
        <v> ++Forged items now deal double in damage for the wearer, ++Forging rolls cannot fail, +-Cannot be forged +-Cannot be duplicated</v>
      </c>
      <c r="G174" s="20">
        <f>IFERROR(VLOOKUP($A174,Equipment!$A$2:$AD1001,MATCH("Price",Equipment!$A$1:$AH$1,0),FALSE),"")</f>
        <v>0</v>
      </c>
      <c r="H174" s="4" t="b">
        <v>1</v>
      </c>
      <c r="I174" s="1" t="str">
        <f>IFERROR(VLOOKUP($A174,Equipment!$A$2:$AH1001,MATCH("EquipLoc",Equipment!$A$1:$AH$1,0),FALSE),"")</f>
        <v>Land of Spira</v>
      </c>
      <c r="L174" s="1" t="str">
        <f>IFERROR(__xludf.DUMMYFUNCTION("""COMPUTED_VALUE"""),"Chaos Bow")</f>
        <v>Chaos Bow</v>
      </c>
      <c r="W174" s="1" t="str">
        <f>IFERROR(__xludf.DUMMYFUNCTION("""COMPUTED_VALUE"""),"Nature's Sword")</f>
        <v>Nature's Sword</v>
      </c>
      <c r="X174" s="1" t="str">
        <f t="shared" si="1"/>
        <v/>
      </c>
    </row>
    <row r="175">
      <c r="A175" s="1" t="s">
        <v>681</v>
      </c>
      <c r="B175" s="18" t="str">
        <f>IFERROR(VLOOKUP($A175,Equipment!$A$2:$AH1001,MATCH("Description",Equipment!$A$1:$AH$1,0),FALSE),"")</f>
        <v/>
      </c>
      <c r="C175" s="18" t="str">
        <f>IFERROR(VLOOKUP($A175,Equipment!$A$2:$AH1001,MATCH("Type",Equipment!$A$1:$AH$1,0),FALSE),"")</f>
        <v/>
      </c>
      <c r="D175" s="18" t="str">
        <f>IFERROR(VLOOKUP($A175,Equipment!$A$2:$AH1001,MATCH("Slot",Equipment!$A$1:$AH$1,0),FALSE),"")</f>
        <v>Neck</v>
      </c>
      <c r="E175" s="20">
        <f>IFERROR(VLOOKUP($A175,Equipment!$A$2:$AH1001,MATCH("LevelReq",Equipment!$A$1:$AH$1,0),FALSE),"")</f>
        <v>1</v>
      </c>
      <c r="F175" s="18" t="str">
        <f>IFERROR(VLOOKUP($A175,Equipconvrt!$A$2:$AH1001,MATCH("Abilities",Equipconvrt!$A$1:$AH$1,0),FALSE),"")</f>
        <v> ++ +2 is added to your d20 roll.</v>
      </c>
      <c r="G175" s="20">
        <f>IFERROR(VLOOKUP($A175,Equipment!$A$2:$AD1001,MATCH("Price",Equipment!$A$1:$AH$1,0),FALSE),"")</f>
        <v>0</v>
      </c>
      <c r="H175" s="4" t="b">
        <v>0</v>
      </c>
      <c r="I175" s="1" t="str">
        <f>IFERROR(VLOOKUP($A175,Equipment!$A$2:$AH1001,MATCH("EquipLoc",Equipment!$A$1:$AH$1,0),FALSE),"")</f>
        <v>Land of Spira</v>
      </c>
      <c r="L175" s="1" t="str">
        <f>IFERROR(__xludf.DUMMYFUNCTION("""COMPUTED_VALUE"""),"Crit Shot Bow")</f>
        <v>Crit Shot Bow</v>
      </c>
      <c r="W175" s="1" t="str">
        <f>IFERROR(__xludf.DUMMYFUNCTION("""COMPUTED_VALUE"""),"Necklace o' Lending")</f>
        <v>Necklace o' Lending</v>
      </c>
      <c r="X175" s="1" t="str">
        <f t="shared" si="1"/>
        <v/>
      </c>
    </row>
    <row r="176">
      <c r="A176" s="1" t="s">
        <v>682</v>
      </c>
      <c r="B176" s="18" t="str">
        <f>IFERROR(VLOOKUP($A176,Equipment!$A$2:$AH1001,MATCH("Description",Equipment!$A$1:$AH$1,0),FALSE),"")</f>
        <v/>
      </c>
      <c r="C176" s="18" t="str">
        <f>IFERROR(VLOOKUP($A176,Equipment!$A$2:$AH1001,MATCH("Type",Equipment!$A$1:$AH$1,0),FALSE),"")</f>
        <v/>
      </c>
      <c r="D176" s="18" t="str">
        <f>IFERROR(VLOOKUP($A176,Equipment!$A$2:$AH1001,MATCH("Slot",Equipment!$A$1:$AH$1,0),FALSE),"")</f>
        <v>Neck</v>
      </c>
      <c r="E176" s="20">
        <f>IFERROR(VLOOKUP($A176,Equipment!$A$2:$AH1001,MATCH("LevelReq",Equipment!$A$1:$AH$1,0),FALSE),"")</f>
        <v>1</v>
      </c>
      <c r="F176" s="18" t="str">
        <f>IFERROR(VLOOKUP($A176,Equipconvrt!$A$2:$AH1001,MATCH("Abilities",Equipconvrt!$A$1:$AH$1,0),FALSE),"")</f>
        <v> ++X6 Chaos and Dark Damage. +-Cannot be duplicated.</v>
      </c>
      <c r="G176" s="20">
        <f>IFERROR(VLOOKUP($A176,Equipment!$A$2:$AD1001,MATCH("Price",Equipment!$A$1:$AH$1,0),FALSE),"")</f>
        <v>0</v>
      </c>
      <c r="H176" s="4" t="b">
        <v>1</v>
      </c>
      <c r="I176" s="1" t="str">
        <f>IFERROR(VLOOKUP($A176,Equipment!$A$2:$AH1001,MATCH("EquipLoc",Equipment!$A$1:$AH$1,0),FALSE),"")</f>
        <v>Land of The Forgotten</v>
      </c>
      <c r="L176" s="1" t="str">
        <f>IFERROR(__xludf.DUMMYFUNCTION("""COMPUTED_VALUE"""),"Incinerating Bow")</f>
        <v>Incinerating Bow</v>
      </c>
      <c r="W176" s="1" t="str">
        <f>IFERROR(__xludf.DUMMYFUNCTION("""COMPUTED_VALUE"""),"Necklace Of Ancient Mountains")</f>
        <v>Necklace Of Ancient Mountains</v>
      </c>
      <c r="X176" s="1" t="str">
        <f t="shared" si="1"/>
        <v/>
      </c>
    </row>
    <row r="177">
      <c r="A177" s="1" t="s">
        <v>683</v>
      </c>
      <c r="B177" s="18" t="str">
        <f>IFERROR(VLOOKUP($A177,Equipment!$A$2:$AH1001,MATCH("Description",Equipment!$A$1:$AH$1,0),FALSE),"")</f>
        <v/>
      </c>
      <c r="C177" s="18" t="str">
        <f>IFERROR(VLOOKUP($A177,Equipment!$A$2:$AH1001,MATCH("Type",Equipment!$A$1:$AH$1,0),FALSE),"")</f>
        <v/>
      </c>
      <c r="D177" s="18" t="str">
        <f>IFERROR(VLOOKUP($A177,Equipment!$A$2:$AH1001,MATCH("Slot",Equipment!$A$1:$AH$1,0),FALSE),"")</f>
        <v>Neck</v>
      </c>
      <c r="E177" s="20">
        <f>IFERROR(VLOOKUP($A177,Equipment!$A$2:$AH1001,MATCH("LevelReq",Equipment!$A$1:$AH$1,0),FALSE),"")</f>
        <v>1</v>
      </c>
      <c r="F177" s="18" t="str">
        <f>IFERROR(VLOOKUP($A177,Equipconvrt!$A$2:$AH1001,MATCH("Abilities",Equipconvrt!$A$1:$AH$1,0),FALSE),"")</f>
        <v>DEF: +100 ++X2 Spirit Damage, ++Soul Enhanced II - Each soul you put into this item will increase its base defense by 100 up to 200,000.</v>
      </c>
      <c r="G177" s="20">
        <f>IFERROR(VLOOKUP($A177,Equipment!$A$2:$AD1001,MATCH("Price",Equipment!$A$1:$AH$1,0),FALSE),"")</f>
        <v>0</v>
      </c>
      <c r="H177" s="4" t="b">
        <v>0</v>
      </c>
      <c r="I177" s="1" t="str">
        <f>IFERROR(VLOOKUP($A177,Equipment!$A$2:$AH1001,MATCH("EquipLoc",Equipment!$A$1:$AH$1,0),FALSE),"")</f>
        <v>Land of Spira</v>
      </c>
      <c r="L177" s="1" t="str">
        <f>IFERROR(__xludf.DUMMYFUNCTION("""COMPUTED_VALUE"""),"Bone Bow")</f>
        <v>Bone Bow</v>
      </c>
      <c r="W177" s="1" t="str">
        <f>IFERROR(__xludf.DUMMYFUNCTION("""COMPUTED_VALUE"""),"Necklace Of Heatmore")</f>
        <v>Necklace Of Heatmore</v>
      </c>
      <c r="X177" s="1" t="str">
        <f t="shared" si="1"/>
        <v/>
      </c>
    </row>
    <row r="178">
      <c r="A178" s="1" t="s">
        <v>684</v>
      </c>
      <c r="B178" s="18" t="str">
        <f>IFERROR(VLOOKUP($A178,Equipment!$A$2:$AH1001,MATCH("Description",Equipment!$A$1:$AH$1,0),FALSE),"")</f>
        <v/>
      </c>
      <c r="C178" s="18" t="str">
        <f>IFERROR(VLOOKUP($A178,Equipment!$A$2:$AH1001,MATCH("Type",Equipment!$A$1:$AH$1,0),FALSE),"")</f>
        <v/>
      </c>
      <c r="D178" s="18" t="str">
        <f>IFERROR(VLOOKUP($A178,Equipment!$A$2:$AH1001,MATCH("Slot",Equipment!$A$1:$AH$1,0),FALSE),"")</f>
        <v>Neck</v>
      </c>
      <c r="E178" s="20">
        <f>IFERROR(VLOOKUP($A178,Equipment!$A$2:$AH1001,MATCH("LevelReq",Equipment!$A$1:$AH$1,0),FALSE),"")</f>
        <v>1</v>
      </c>
      <c r="F178" s="18" t="str">
        <f>IFERROR(VLOOKUP($A178,Equipconvrt!$A$2:$AH1001,MATCH("Abilities",Equipconvrt!$A$1:$AH$1,0),FALSE),"")</f>
        <v> ++Gives Immunity to Fire, Dark, and Nature damage</v>
      </c>
      <c r="G178" s="20">
        <f>IFERROR(VLOOKUP($A178,Equipment!$A$2:$AD1001,MATCH("Price",Equipment!$A$1:$AH$1,0),FALSE),"")</f>
        <v>0</v>
      </c>
      <c r="H178" s="4" t="b">
        <v>1</v>
      </c>
      <c r="I178" s="1" t="str">
        <f>IFERROR(VLOOKUP($A178,Equipment!$A$2:$AH1001,MATCH("EquipLoc",Equipment!$A$1:$AH$1,0),FALSE),"")</f>
        <v>Land of Spira</v>
      </c>
      <c r="L178" s="1" t="str">
        <f>IFERROR(__xludf.DUMMYFUNCTION("""COMPUTED_VALUE"""),"Assassin's Fake Harp")</f>
        <v>Assassin's Fake Harp</v>
      </c>
      <c r="W178" s="1" t="str">
        <f>IFERROR(__xludf.DUMMYFUNCTION("""COMPUTED_VALUE"""),"Necklace of Shards")</f>
        <v>Necklace of Shards</v>
      </c>
      <c r="X178" s="1" t="str">
        <f t="shared" si="1"/>
        <v/>
      </c>
    </row>
    <row r="179">
      <c r="A179" s="1" t="s">
        <v>685</v>
      </c>
      <c r="B179" s="18" t="str">
        <f>IFERROR(VLOOKUP($A179,Equipment!$A$2:$AH1001,MATCH("Description",Equipment!$A$1:$AH$1,0),FALSE),"")</f>
        <v/>
      </c>
      <c r="C179" s="18" t="str">
        <f>IFERROR(VLOOKUP($A179,Equipment!$A$2:$AH1001,MATCH("Type",Equipment!$A$1:$AH$1,0),FALSE),"")</f>
        <v/>
      </c>
      <c r="D179" s="18" t="str">
        <f>IFERROR(VLOOKUP($A179,Equipment!$A$2:$AH1001,MATCH("Slot",Equipment!$A$1:$AH$1,0),FALSE),"")</f>
        <v>Neck</v>
      </c>
      <c r="E179" s="20">
        <f>IFERROR(VLOOKUP($A179,Equipment!$A$2:$AH1001,MATCH("LevelReq",Equipment!$A$1:$AH$1,0),FALSE),"")</f>
        <v>1</v>
      </c>
      <c r="F179" s="18" t="str">
        <f>IFERROR(VLOOKUP($A179,Equipconvrt!$A$2:$AH1001,MATCH("Abilities",Equipconvrt!$A$1:$AH$1,0),FALSE),"")</f>
        <v> ++Any water attack dealt by the wearer has a 50% chance to freeze the targets it hits, ++Waves of Entitlement - x5 additional Water damage</v>
      </c>
      <c r="G179" s="20">
        <f>IFERROR(VLOOKUP($A179,Equipment!$A$2:$AD1001,MATCH("Price",Equipment!$A$1:$AH$1,0),FALSE),"")</f>
        <v>0</v>
      </c>
      <c r="H179" s="4" t="b">
        <v>0</v>
      </c>
      <c r="I179" s="1" t="str">
        <f>IFERROR(VLOOKUP($A179,Equipment!$A$2:$AH1001,MATCH("EquipLoc",Equipment!$A$1:$AH$1,0),FALSE),"")</f>
        <v>Land of Spira</v>
      </c>
      <c r="L179" s="1" t="str">
        <f>IFERROR(__xludf.DUMMYFUNCTION("""COMPUTED_VALUE"""),"Broken Bow")</f>
        <v>Broken Bow</v>
      </c>
      <c r="W179" s="1" t="str">
        <f>IFERROR(__xludf.DUMMYFUNCTION("""COMPUTED_VALUE"""),"Necklace of The Lost Soul")</f>
        <v>Necklace of The Lost Soul</v>
      </c>
      <c r="X179" s="1" t="str">
        <f t="shared" si="1"/>
        <v/>
      </c>
    </row>
    <row r="180">
      <c r="A180" s="1" t="s">
        <v>686</v>
      </c>
      <c r="B180" s="18" t="str">
        <f>IFERROR(VLOOKUP($A180,Equipment!$A$2:$AH1001,MATCH("Description",Equipment!$A$1:$AH$1,0),FALSE),"")</f>
        <v/>
      </c>
      <c r="C180" s="18" t="str">
        <f>IFERROR(VLOOKUP($A180,Equipment!$A$2:$AH1001,MATCH("Type",Equipment!$A$1:$AH$1,0),FALSE),"")</f>
        <v/>
      </c>
      <c r="D180" s="18" t="str">
        <f>IFERROR(VLOOKUP($A180,Equipment!$A$2:$AH1001,MATCH("Slot",Equipment!$A$1:$AH$1,0),FALSE),"")</f>
        <v>Neck</v>
      </c>
      <c r="E180" s="20">
        <f>IFERROR(VLOOKUP($A180,Equipment!$A$2:$AH1001,MATCH("LevelReq",Equipment!$A$1:$AH$1,0),FALSE),"")</f>
        <v>1</v>
      </c>
      <c r="F180" s="18" t="str">
        <f>IFERROR(VLOOKUP($A180,Equipconvrt!$A$2:$AH1001,MATCH("Abilities",Equipconvrt!$A$1:$AH$1,0),FALSE),"")</f>
        <v> ++Immunity to sleep. ++X4 Water damage.</v>
      </c>
      <c r="G180" s="20">
        <f>IFERROR(VLOOKUP($A180,Equipment!$A$2:$AD1001,MATCH("Price",Equipment!$A$1:$AH$1,0),FALSE),"")</f>
        <v>0</v>
      </c>
      <c r="H180" s="4" t="b">
        <v>0</v>
      </c>
      <c r="I180" s="1" t="str">
        <f>IFERROR(VLOOKUP($A180,Equipment!$A$2:$AH1001,MATCH("EquipLoc",Equipment!$A$1:$AH$1,0),FALSE),"")</f>
        <v>Land of Spira</v>
      </c>
      <c r="L180" s="1" t="str">
        <f>IFERROR(__xludf.DUMMYFUNCTION("""COMPUTED_VALUE"""),"Lizard Wizard Hat")</f>
        <v>Lizard Wizard Hat</v>
      </c>
      <c r="W180" s="1" t="str">
        <f>IFERROR(__xludf.DUMMYFUNCTION("""COMPUTED_VALUE"""),"Necklace of the Pumpkin")</f>
        <v>Necklace of the Pumpkin</v>
      </c>
      <c r="X180" s="1" t="str">
        <f t="shared" si="1"/>
        <v/>
      </c>
    </row>
    <row r="181">
      <c r="A181" s="1" t="s">
        <v>687</v>
      </c>
      <c r="B181" s="18" t="str">
        <f>IFERROR(VLOOKUP($A181,Equipment!$A$2:$AH1001,MATCH("Description",Equipment!$A$1:$AH$1,0),FALSE),"")</f>
        <v/>
      </c>
      <c r="C181" s="18" t="str">
        <f>IFERROR(VLOOKUP($A181,Equipment!$A$2:$AH1001,MATCH("Type",Equipment!$A$1:$AH$1,0),FALSE),"")</f>
        <v/>
      </c>
      <c r="D181" s="18" t="str">
        <f>IFERROR(VLOOKUP($A181,Equipment!$A$2:$AH1001,MATCH("Slot",Equipment!$A$1:$AH$1,0),FALSE),"")</f>
        <v>Neck</v>
      </c>
      <c r="E181" s="20">
        <f>IFERROR(VLOOKUP($A181,Equipment!$A$2:$AH1001,MATCH("LevelReq",Equipment!$A$1:$AH$1,0),FALSE),"")</f>
        <v>1</v>
      </c>
      <c r="F181" s="18" t="str">
        <f>IFERROR(VLOOKUP($A181,Equipconvrt!$A$2:$AH1001,MATCH("Abilities",Equipconvrt!$A$1:$AH$1,0),FALSE),"")</f>
        <v> ++Allows you to breath underwater.</v>
      </c>
      <c r="G181" s="20">
        <f>IFERROR(VLOOKUP($A181,Equipment!$A$2:$AD1001,MATCH("Price",Equipment!$A$1:$AH$1,0),FALSE),"")</f>
        <v>0</v>
      </c>
      <c r="H181" s="4" t="b">
        <v>0</v>
      </c>
      <c r="I181" s="1" t="str">
        <f>IFERROR(VLOOKUP($A181,Equipment!$A$2:$AH1001,MATCH("EquipLoc",Equipment!$A$1:$AH$1,0),FALSE),"")</f>
        <v>Land of Spira</v>
      </c>
      <c r="L181" s="1" t="str">
        <f>IFERROR(__xludf.DUMMYFUNCTION("""COMPUTED_VALUE"""),"Lizard Wizard Robes")</f>
        <v>Lizard Wizard Robes</v>
      </c>
      <c r="W181" s="1" t="str">
        <f>IFERROR(__xludf.DUMMYFUNCTION("""COMPUTED_VALUE"""),"Necklace Of Tritonoch")</f>
        <v>Necklace Of Tritonoch</v>
      </c>
      <c r="X181" s="1" t="str">
        <f t="shared" si="1"/>
        <v/>
      </c>
    </row>
    <row r="182">
      <c r="A182" s="1" t="s">
        <v>688</v>
      </c>
      <c r="B182" s="18" t="str">
        <f>IFERROR(VLOOKUP($A182,Equipment!$A$2:$AH1001,MATCH("Description",Equipment!$A$1:$AH$1,0),FALSE),"")</f>
        <v>Quest Item</v>
      </c>
      <c r="C182" s="18" t="str">
        <f>IFERROR(VLOOKUP($A182,Equipment!$A$2:$AH1001,MATCH("Type",Equipment!$A$1:$AH$1,0),FALSE),"")</f>
        <v/>
      </c>
      <c r="D182" s="18" t="str">
        <f>IFERROR(VLOOKUP($A182,Equipment!$A$2:$AH1001,MATCH("Slot",Equipment!$A$1:$AH$1,0),FALSE),"")</f>
        <v>Torso</v>
      </c>
      <c r="E182" s="20">
        <f>IFERROR(VLOOKUP($A182,Equipment!$A$2:$AH1001,MATCH("LevelReq",Equipment!$A$1:$AH$1,0),FALSE),"")</f>
        <v>4000</v>
      </c>
      <c r="F182" s="18" t="str">
        <f>IFERROR(VLOOKUP($A182,Equipconvrt!$A$2:$AH1001,MATCH("Abilities",Equipconvrt!$A$1:$AH$1,0),FALSE),"")</f>
        <v>DEF: +100000, Fire DEF: +100000 ++Fire Immunity. +-Cannot be duplicated.</v>
      </c>
      <c r="G182" s="20">
        <f>IFERROR(VLOOKUP($A182,Equipment!$A$2:$AD1001,MATCH("Price",Equipment!$A$1:$AH$1,0),FALSE),"")</f>
        <v>798000000</v>
      </c>
      <c r="H182" s="4" t="b">
        <v>0</v>
      </c>
      <c r="I182" s="1" t="str">
        <f>IFERROR(VLOOKUP($A182,Equipment!$A$2:$AH1001,MATCH("EquipLoc",Equipment!$A$1:$AH$1,0),FALSE),"")</f>
        <v>Land of Spira</v>
      </c>
      <c r="L182" s="1" t="str">
        <f>IFERROR(__xludf.DUMMYFUNCTION("""COMPUTED_VALUE"""),"Lizard Wizard Leggings")</f>
        <v>Lizard Wizard Leggings</v>
      </c>
      <c r="W182" s="1" t="str">
        <f>IFERROR(__xludf.DUMMYFUNCTION("""COMPUTED_VALUE"""),"Necklace of Waking Waters")</f>
        <v>Necklace of Waking Waters</v>
      </c>
      <c r="X182" s="1" t="str">
        <f t="shared" si="1"/>
        <v/>
      </c>
    </row>
    <row r="183">
      <c r="A183" s="1" t="s">
        <v>689</v>
      </c>
      <c r="B183" s="18" t="str">
        <f>IFERROR(VLOOKUP($A183,Equipment!$A$2:$AH1001,MATCH("Description",Equipment!$A$1:$AH$1,0),FALSE),"")</f>
        <v>An ancient relic to Zhenmay</v>
      </c>
      <c r="C183" s="18" t="str">
        <f>IFERROR(VLOOKUP($A183,Equipment!$A$2:$AH1001,MATCH("Type",Equipment!$A$1:$AH$1,0),FALSE),"")</f>
        <v/>
      </c>
      <c r="D183" s="18" t="str">
        <f>IFERROR(VLOOKUP($A183,Equipment!$A$2:$AH1001,MATCH("Slot",Equipment!$A$1:$AH$1,0),FALSE),"")</f>
        <v>Head</v>
      </c>
      <c r="E183" s="20">
        <f>IFERROR(VLOOKUP($A183,Equipment!$A$2:$AH1001,MATCH("LevelReq",Equipment!$A$1:$AH$1,0),FALSE),"")</f>
        <v>200</v>
      </c>
      <c r="F183" s="18" t="str">
        <f>IFERROR(VLOOKUP($A183,Equipconvrt!$A$2:$AH1001,MATCH("Abilities",Equipconvrt!$A$1:$AH$1,0),FALSE),"")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183" s="20">
        <f>IFERROR(VLOOKUP($A183,Equipment!$A$2:$AD1001,MATCH("Price",Equipment!$A$1:$AH$1,0),FALSE),"")</f>
        <v>510400000</v>
      </c>
      <c r="H183" s="4" t="b">
        <v>0</v>
      </c>
      <c r="I183" s="1" t="str">
        <f>IFERROR(VLOOKUP($A183,Equipment!$A$2:$AH1001,MATCH("EquipLoc",Equipment!$A$1:$AH$1,0),FALSE),"")</f>
        <v>Land of Spira</v>
      </c>
      <c r="L183" s="1" t="str">
        <f>IFERROR(__xludf.DUMMYFUNCTION("""COMPUTED_VALUE"""),"Lizard Wizard Pointed Shoes")</f>
        <v>Lizard Wizard Pointed Shoes</v>
      </c>
      <c r="W183" s="1" t="str">
        <f>IFERROR(__xludf.DUMMYFUNCTION("""COMPUTED_VALUE"""),"Necklace of Water Breathing")</f>
        <v>Necklace of Water Breathing</v>
      </c>
      <c r="X183" s="1" t="str">
        <f t="shared" si="1"/>
        <v/>
      </c>
    </row>
    <row r="184">
      <c r="A184" s="1" t="s">
        <v>690</v>
      </c>
      <c r="B184" s="18" t="str">
        <f>IFERROR(VLOOKUP($A184,Equipment!$A$2:$AH1001,MATCH("Description",Equipment!$A$1:$AH$1,0),FALSE),"")</f>
        <v/>
      </c>
      <c r="C184" s="18" t="str">
        <f>IFERROR(VLOOKUP($A184,Equipment!$A$2:$AH1001,MATCH("Type",Equipment!$A$1:$AH$1,0),FALSE),"")</f>
        <v/>
      </c>
      <c r="D184" s="18" t="str">
        <f>IFERROR(VLOOKUP($A184,Equipment!$A$2:$AH1001,MATCH("Slot",Equipment!$A$1:$AH$1,0),FALSE),"")</f>
        <v>Shoulders</v>
      </c>
      <c r="E184" s="20">
        <f>IFERROR(VLOOKUP($A184,Equipment!$A$2:$AH1001,MATCH("LevelReq",Equipment!$A$1:$AH$1,0),FALSE),"")</f>
        <v>200</v>
      </c>
      <c r="F184" s="18" t="str">
        <f>IFERROR(VLOOKUP($A184,Equipconvrt!$A$2:$AH1001,MATCH("Abilities",Equipconvrt!$A$1:$AH$1,0),FALSE),"")</f>
        <v>DEF: +5000, Water DEF: +5000 ++X4 additional water damage for self.</v>
      </c>
      <c r="G184" s="20">
        <f>IFERROR(VLOOKUP($A184,Equipment!$A$2:$AD1001,MATCH("Price",Equipment!$A$1:$AH$1,0),FALSE),"")</f>
        <v>1900000</v>
      </c>
      <c r="H184" s="4" t="b">
        <v>0</v>
      </c>
      <c r="I184" s="1" t="str">
        <f>IFERROR(VLOOKUP($A184,Equipment!$A$2:$AH1001,MATCH("EquipLoc",Equipment!$A$1:$AH$1,0),FALSE),"")</f>
        <v>Land of Spira</v>
      </c>
      <c r="L184" s="1" t="str">
        <f>IFERROR(__xludf.DUMMYFUNCTION("""COMPUTED_VALUE"""),"Lizard Wizard Staff of Corroding Blizzard")</f>
        <v>Lizard Wizard Staff of Corroding Blizzard</v>
      </c>
      <c r="W184" s="1" t="str">
        <f>IFERROR(__xludf.DUMMYFUNCTION("""COMPUTED_VALUE"""),"Obsidian Chestplate")</f>
        <v>Obsidian Chestplate</v>
      </c>
      <c r="X184" s="1" t="str">
        <f t="shared" si="1"/>
        <v/>
      </c>
    </row>
    <row r="185">
      <c r="A185" s="1" t="s">
        <v>691</v>
      </c>
      <c r="B185" s="18" t="str">
        <f>IFERROR(VLOOKUP($A185,Equipment!$A$2:$AH1001,MATCH("Description",Equipment!$A$1:$AH$1,0),FALSE),"")</f>
        <v/>
      </c>
      <c r="C185" s="18" t="str">
        <f>IFERROR(VLOOKUP($A185,Equipment!$A$2:$AH1001,MATCH("Type",Equipment!$A$1:$AH$1,0),FALSE),"")</f>
        <v/>
      </c>
      <c r="D185" s="18" t="str">
        <f>IFERROR(VLOOKUP($A185,Equipment!$A$2:$AH1001,MATCH("Slot",Equipment!$A$1:$AH$1,0),FALSE),"")</f>
        <v>Neck</v>
      </c>
      <c r="E185" s="20">
        <f>IFERROR(VLOOKUP($A185,Equipment!$A$2:$AH1001,MATCH("LevelReq",Equipment!$A$1:$AH$1,0),FALSE),"")</f>
        <v>1</v>
      </c>
      <c r="F185" s="18" t="str">
        <f>IFERROR(VLOOKUP($A185,Equipconvrt!$A$2:$AH1001,MATCH("Abilities",Equipconvrt!$A$1:$AH$1,0),FALSE),"")</f>
        <v> ++X2 Water Resistance.</v>
      </c>
      <c r="G185" s="20">
        <f>IFERROR(VLOOKUP($A185,Equipment!$A$2:$AD1001,MATCH("Price",Equipment!$A$1:$AH$1,0),FALSE),"")</f>
        <v>0</v>
      </c>
      <c r="H185" s="4" t="b">
        <v>0</v>
      </c>
      <c r="I185" s="1" t="str">
        <f>IFERROR(VLOOKUP($A185,Equipment!$A$2:$AH1001,MATCH("EquipLoc",Equipment!$A$1:$AH$1,0),FALSE),"")</f>
        <v>Land of Spira</v>
      </c>
      <c r="L185" s="1" t="str">
        <f>IFERROR(__xludf.DUMMYFUNCTION("""COMPUTED_VALUE"""),"Lizard Wizard's Prized Ring")</f>
        <v>Lizard Wizard's Prized Ring</v>
      </c>
      <c r="W185" s="1"/>
      <c r="X185" s="1" t="str">
        <f t="shared" si="1"/>
        <v/>
      </c>
    </row>
    <row r="186">
      <c r="A186" s="1" t="s">
        <v>692</v>
      </c>
      <c r="B186" s="18" t="str">
        <f>IFERROR(VLOOKUP($A186,Equipment!$A$2:$AH1001,MATCH("Description",Equipment!$A$1:$AH$1,0),FALSE),"")</f>
        <v/>
      </c>
      <c r="C186" s="18" t="str">
        <f>IFERROR(VLOOKUP($A186,Equipment!$A$2:$AH1001,MATCH("Type",Equipment!$A$1:$AH$1,0),FALSE),"")</f>
        <v/>
      </c>
      <c r="D186" s="18" t="str">
        <f>IFERROR(VLOOKUP($A186,Equipment!$A$2:$AH1001,MATCH("Slot",Equipment!$A$1:$AH$1,0),FALSE),"")</f>
        <v>Neck</v>
      </c>
      <c r="E186" s="20">
        <f>IFERROR(VLOOKUP($A186,Equipment!$A$2:$AH1001,MATCH("LevelReq",Equipment!$A$1:$AH$1,0),FALSE),"")</f>
        <v>1</v>
      </c>
      <c r="F186" s="18" t="str">
        <f>IFERROR(VLOOKUP($A186,Equipconvrt!$A$2:$AH1001,MATCH("Abilities",Equipconvrt!$A$1:$AH$1,0),FALSE),"")</f>
        <v> ++At the beginning of battle choose a target and choose two numbers between 1-40 whenever the target rolls the numbers you chose while they are attacking they attack themself (1 use per battle)</v>
      </c>
      <c r="G186" s="20">
        <f>IFERROR(VLOOKUP($A186,Equipment!$A$2:$AD1001,MATCH("Price",Equipment!$A$1:$AH$1,0),FALSE),"")</f>
        <v>0</v>
      </c>
      <c r="H186" s="4" t="b">
        <v>0</v>
      </c>
      <c r="I186" s="1" t="str">
        <f>IFERROR(VLOOKUP($A186,Equipment!$A$2:$AH1001,MATCH("EquipLoc",Equipment!$A$1:$AH$1,0),FALSE),"")</f>
        <v>Land of Spira</v>
      </c>
      <c r="L186" s="1" t="str">
        <f>IFERROR(__xludf.DUMMYFUNCTION("""COMPUTED_VALUE"""),"Lizard Thief's Bandana")</f>
        <v>Lizard Thief's Bandana</v>
      </c>
      <c r="W186" s="1" t="str">
        <f>IFERROR(__xludf.DUMMYFUNCTION("""COMPUTED_VALUE"""),"Ancient Oni Mask")</f>
        <v>Ancient Oni Mask</v>
      </c>
      <c r="X186" s="1" t="str">
        <f t="shared" si="1"/>
        <v/>
      </c>
    </row>
    <row r="187">
      <c r="A187" s="1" t="s">
        <v>693</v>
      </c>
      <c r="B187" s="18" t="str">
        <f>IFERROR(VLOOKUP($A187,Equipment!$A$2:$AH1001,MATCH("Description",Equipment!$A$1:$AH$1,0),FALSE),"")</f>
        <v/>
      </c>
      <c r="C187" s="18" t="str">
        <f>IFERROR(VLOOKUP($A187,Equipment!$A$2:$AH1001,MATCH("Type",Equipment!$A$1:$AH$1,0),FALSE),"")</f>
        <v/>
      </c>
      <c r="D187" s="18" t="str">
        <f>IFERROR(VLOOKUP($A187,Equipment!$A$2:$AH1001,MATCH("Slot",Equipment!$A$1:$AH$1,0),FALSE),"")</f>
        <v>Neck</v>
      </c>
      <c r="E187" s="20">
        <f>IFERROR(VLOOKUP($A187,Equipment!$A$2:$AH1001,MATCH("LevelReq",Equipment!$A$1:$AH$1,0),FALSE),"")</f>
        <v>1</v>
      </c>
      <c r="F187" s="18" t="str">
        <f>IFERROR(VLOOKUP($A187,Equipconvrt!$A$2:$AH1001,MATCH("Abilities",Equipconvrt!$A$1:$AH$1,0),FALSE),"")</f>
        <v> ++Plus 100 to each base Stat.</v>
      </c>
      <c r="G187" s="20">
        <f>IFERROR(VLOOKUP($A187,Equipment!$A$2:$AD1001,MATCH("Price",Equipment!$A$1:$AH$1,0),FALSE),"")</f>
        <v>0</v>
      </c>
      <c r="H187" s="4" t="b">
        <v>0</v>
      </c>
      <c r="I187" s="1" t="str">
        <f>IFERROR(VLOOKUP($A187,Equipment!$A$2:$AH1001,MATCH("EquipLoc",Equipment!$A$1:$AH$1,0),FALSE),"")</f>
        <v>Land of Spira</v>
      </c>
      <c r="L187" s="1" t="str">
        <f>IFERROR(__xludf.DUMMYFUNCTION("""COMPUTED_VALUE"""),"Lizard Thief's Leathers")</f>
        <v>Lizard Thief's Leathers</v>
      </c>
      <c r="W187" s="1" t="str">
        <f>IFERROR(__xludf.DUMMYFUNCTION("""COMPUTED_VALUE"""),"Pauldrons of Waking Waters")</f>
        <v>Pauldrons of Waking Waters</v>
      </c>
      <c r="X187" s="1" t="str">
        <f t="shared" si="1"/>
        <v/>
      </c>
    </row>
    <row r="188">
      <c r="A188" s="1" t="s">
        <v>694</v>
      </c>
      <c r="B188" s="18" t="str">
        <f>IFERROR(VLOOKUP($A188,Equipment!$A$2:$AH1001,MATCH("Description",Equipment!$A$1:$AH$1,0),FALSE),"")</f>
        <v/>
      </c>
      <c r="C188" s="18" t="str">
        <f>IFERROR(VLOOKUP($A188,Equipment!$A$2:$AH1001,MATCH("Type",Equipment!$A$1:$AH$1,0),FALSE),"")</f>
        <v>Towershield</v>
      </c>
      <c r="D188" s="18" t="str">
        <f>IFERROR(VLOOKUP($A188,Equipment!$A$2:$AH1001,MATCH("Slot",Equipment!$A$1:$AH$1,0),FALSE),"")</f>
        <v>Hand</v>
      </c>
      <c r="E188" s="20">
        <f>IFERROR(VLOOKUP($A188,Equipment!$A$2:$AH1001,MATCH("LevelReq",Equipment!$A$1:$AH$1,0),FALSE),"")</f>
        <v>200</v>
      </c>
      <c r="F188" s="18" t="str">
        <f>IFERROR(VLOOKUP($A188,Equipconvrt!$A$2:$AH1001,MATCH("Abilities",Equipconvrt!$A$1:$AH$1,0),FALSE),"")</f>
        <v>DEF: +100000, Astral DEF: +100000, Celestial DEF: +50000 ++When you sleep in a INN your dreams become reality. Roll a d20 to see what your dreams awaken. This item must be equipped for the effect to be applied. Can only be used once before each journey. Must have lower then half your max hp, sp, hunger, thirst, or energy to use.</v>
      </c>
      <c r="G188" s="20">
        <f>IFERROR(VLOOKUP($A188,Equipment!$A$2:$AD1001,MATCH("Price",Equipment!$A$1:$AH$1,0),FALSE),"")</f>
        <v>1247500000</v>
      </c>
      <c r="H188" s="4" t="b">
        <v>0</v>
      </c>
      <c r="I188" s="1" t="str">
        <f>IFERROR(VLOOKUP($A188,Equipment!$A$2:$AH1001,MATCH("EquipLoc",Equipment!$A$1:$AH$1,0),FALSE),"")</f>
        <v>Abstara</v>
      </c>
      <c r="L188" s="1" t="str">
        <f>IFERROR(__xludf.DUMMYFUNCTION("""COMPUTED_VALUE"""),"Lizard Thief's Pants")</f>
        <v>Lizard Thief's Pants</v>
      </c>
      <c r="W188" s="1" t="str">
        <f>IFERROR(__xludf.DUMMYFUNCTION("""COMPUTED_VALUE"""),"Pendent of the Sea Serpent")</f>
        <v>Pendent of the Sea Serpent</v>
      </c>
      <c r="X188" s="1" t="str">
        <f t="shared" si="1"/>
        <v/>
      </c>
    </row>
    <row r="189">
      <c r="A189" s="1" t="s">
        <v>695</v>
      </c>
      <c r="B189" s="18" t="str">
        <f>IFERROR(VLOOKUP($A189,Equipment!$A$2:$AH1001,MATCH("Description",Equipment!$A$1:$AH$1,0),FALSE),"")</f>
        <v/>
      </c>
      <c r="C189" s="18" t="str">
        <f>IFERROR(VLOOKUP($A189,Equipment!$A$2:$AH1001,MATCH("Type",Equipment!$A$1:$AH$1,0),FALSE),"")</f>
        <v>Sword</v>
      </c>
      <c r="D189" s="18" t="str">
        <f>IFERROR(VLOOKUP($A189,Equipment!$A$2:$AH1001,MATCH("Slot",Equipment!$A$1:$AH$1,0),FALSE),"")</f>
        <v>Hand</v>
      </c>
      <c r="E189" s="20">
        <f>IFERROR(VLOOKUP($A189,Equipment!$A$2:$AH1001,MATCH("LevelReq",Equipment!$A$1:$AH$1,0),FALSE),"")</f>
        <v>2000</v>
      </c>
      <c r="F189" s="18" t="str">
        <f>IFERROR(VLOOKUP($A189,Equipconvrt!$A$2:$AH1001,MATCH("Abilities",Equipconvrt!$A$1:$AH$1,0),FALSE),"")</f>
        <v>DMG: +50000, Nature DMG: +50000 ++Poison 25,000</v>
      </c>
      <c r="G189" s="20">
        <f>IFERROR(VLOOKUP($A189,Equipment!$A$2:$AD1001,MATCH("Price",Equipment!$A$1:$AH$1,0),FALSE),"")</f>
        <v>199000000</v>
      </c>
      <c r="H189" s="4" t="b">
        <v>0</v>
      </c>
      <c r="I189" s="1" t="str">
        <f>IFERROR(VLOOKUP($A189,Equipment!$A$2:$AH1001,MATCH("EquipLoc",Equipment!$A$1:$AH$1,0),FALSE),"")</f>
        <v>Land of Spira</v>
      </c>
      <c r="L189" s="1" t="str">
        <f>IFERROR(__xludf.DUMMYFUNCTION("""COMPUTED_VALUE"""),"Lizard Thief's Boots")</f>
        <v>Lizard Thief's Boots</v>
      </c>
      <c r="W189" s="1" t="str">
        <f>IFERROR(__xludf.DUMMYFUNCTION("""COMPUTED_VALUE"""),"Pendent of Confusion")</f>
        <v>Pendent of Confusion</v>
      </c>
      <c r="X189" s="1" t="str">
        <f t="shared" si="1"/>
        <v/>
      </c>
    </row>
    <row r="190">
      <c r="A190" s="1" t="s">
        <v>696</v>
      </c>
      <c r="B190" s="18" t="str">
        <f>IFERROR(VLOOKUP($A190,Equipment!$A$2:$AH1001,MATCH("Description",Equipment!$A$1:$AH$1,0),FALSE),"")</f>
        <v/>
      </c>
      <c r="C190" s="18" t="str">
        <f>IFERROR(VLOOKUP($A190,Equipment!$A$2:$AH1001,MATCH("Type",Equipment!$A$1:$AH$1,0),FALSE),"")</f>
        <v/>
      </c>
      <c r="D190" s="18" t="str">
        <f>IFERROR(VLOOKUP($A190,Equipment!$A$2:$AH1001,MATCH("Slot",Equipment!$A$1:$AH$1,0),FALSE),"")</f>
        <v>Feet</v>
      </c>
      <c r="E190" s="20">
        <f>IFERROR(VLOOKUP($A190,Equipment!$A$2:$AH1001,MATCH("LevelReq",Equipment!$A$1:$AH$1,0),FALSE),"")</f>
        <v>400</v>
      </c>
      <c r="F190" s="18" t="str">
        <f>IFERROR(VLOOKUP($A190,Equipconvrt!$A$2:$AH1001,MATCH("Abilities",Equipconvrt!$A$1:$AH$1,0),FALSE),"")</f>
        <v>DEF: +10000, Water DEF: +10000 ++X8 additional water damage for self.</v>
      </c>
      <c r="G190" s="20">
        <f>IFERROR(VLOOKUP($A190,Equipment!$A$2:$AD1001,MATCH("Price",Equipment!$A$1:$AH$1,0),FALSE),"")</f>
        <v>7800000</v>
      </c>
      <c r="H190" s="4" t="b">
        <v>1</v>
      </c>
      <c r="I190" s="1" t="str">
        <f>IFERROR(VLOOKUP($A190,Equipment!$A$2:$AH1001,MATCH("EquipLoc",Equipment!$A$1:$AH$1,0),FALSE),"")</f>
        <v>Land of Spira</v>
      </c>
      <c r="L190" s="1" t="str">
        <f>IFERROR(__xludf.DUMMYFUNCTION("""COMPUTED_VALUE"""),"Lizard Thief's Shiny Swiper")</f>
        <v>Lizard Thief's Shiny Swiper</v>
      </c>
      <c r="W190" s="1" t="str">
        <f>IFERROR(__xludf.DUMMYFUNCTION("""COMPUTED_VALUE"""),"Pendent of Luck")</f>
        <v>Pendent of Luck</v>
      </c>
      <c r="X190" s="1" t="str">
        <f t="shared" si="1"/>
        <v/>
      </c>
    </row>
    <row r="191">
      <c r="A191" s="1" t="s">
        <v>697</v>
      </c>
      <c r="B191" s="18" t="str">
        <f>IFERROR(VLOOKUP($A191,Equipment!$A$2:$AH1001,MATCH("Description",Equipment!$A$1:$AH$1,0),FALSE),"")</f>
        <v/>
      </c>
      <c r="C191" s="18" t="str">
        <f>IFERROR(VLOOKUP($A191,Equipment!$A$2:$AH1001,MATCH("Type",Equipment!$A$1:$AH$1,0),FALSE),"")</f>
        <v/>
      </c>
      <c r="D191" s="18" t="str">
        <f>IFERROR(VLOOKUP($A191,Equipment!$A$2:$AH1001,MATCH("Slot",Equipment!$A$1:$AH$1,0),FALSE),"")</f>
        <v>Torso</v>
      </c>
      <c r="E191" s="20">
        <f>IFERROR(VLOOKUP($A191,Equipment!$A$2:$AH1001,MATCH("LevelReq",Equipment!$A$1:$AH$1,0),FALSE),"")</f>
        <v>800</v>
      </c>
      <c r="F191" s="18" t="str">
        <f>IFERROR(VLOOKUP($A191,Equipconvrt!$A$2:$AH1001,MATCH("Abilities",Equipconvrt!$A$1:$AH$1,0),FALSE),"")</f>
        <v>DEF: +20000, Water DEF: +20000 ++X8 additional water damage for self. ++X10 additional water resistance and Natural Defense for self and allies if you have all Poseidon Equipment Equipped.</v>
      </c>
      <c r="G191" s="20">
        <f>IFERROR(VLOOKUP($A191,Equipment!$A$2:$AD1001,MATCH("Price",Equipment!$A$1:$AH$1,0),FALSE),"")</f>
        <v>31600000</v>
      </c>
      <c r="H191" s="4" t="b">
        <v>1</v>
      </c>
      <c r="I191" s="1" t="str">
        <f>IFERROR(VLOOKUP($A191,Equipment!$A$2:$AH1001,MATCH("EquipLoc",Equipment!$A$1:$AH$1,0),FALSE),"")</f>
        <v>Land of Spira</v>
      </c>
      <c r="L191" s="1" t="str">
        <f>IFERROR(__xludf.DUMMYFUNCTION("""COMPUTED_VALUE"""),"Wyrmstone Club")</f>
        <v>Wyrmstone Club</v>
      </c>
      <c r="W191" s="1" t="str">
        <f>IFERROR(__xludf.DUMMYFUNCTION("""COMPUTED_VALUE"""),"Pillow of Dreams")</f>
        <v>Pillow of Dreams</v>
      </c>
      <c r="X191" s="1" t="str">
        <f t="shared" si="1"/>
        <v/>
      </c>
    </row>
    <row r="192">
      <c r="A192" s="1" t="s">
        <v>698</v>
      </c>
      <c r="B192" s="18" t="str">
        <f>IFERROR(VLOOKUP($A192,Equipment!$A$2:$AH1001,MATCH("Description",Equipment!$A$1:$AH$1,0),FALSE),"")</f>
        <v/>
      </c>
      <c r="C192" s="18" t="str">
        <f>IFERROR(VLOOKUP($A192,Equipment!$A$2:$AH1001,MATCH("Type",Equipment!$A$1:$AH$1,0),FALSE),"")</f>
        <v/>
      </c>
      <c r="D192" s="18" t="str">
        <f>IFERROR(VLOOKUP($A192,Equipment!$A$2:$AH1001,MATCH("Slot",Equipment!$A$1:$AH$1,0),FALSE),"")</f>
        <v>Legs</v>
      </c>
      <c r="E192" s="20">
        <f>IFERROR(VLOOKUP($A192,Equipment!$A$2:$AH1001,MATCH("LevelReq",Equipment!$A$1:$AH$1,0),FALSE),"")</f>
        <v>400</v>
      </c>
      <c r="F192" s="18" t="str">
        <f>IFERROR(VLOOKUP($A192,Equipconvrt!$A$2:$AH1001,MATCH("Abilities",Equipconvrt!$A$1:$AH$1,0),FALSE),"")</f>
        <v>DEF: +10000, Water DEF: +10000 ++X8 additional water damage for self.</v>
      </c>
      <c r="G192" s="20">
        <f>IFERROR(VLOOKUP($A192,Equipment!$A$2:$AD1001,MATCH("Price",Equipment!$A$1:$AH$1,0),FALSE),"")</f>
        <v>7800000</v>
      </c>
      <c r="H192" s="4" t="b">
        <v>1</v>
      </c>
      <c r="I192" s="1" t="str">
        <f>IFERROR(VLOOKUP($A192,Equipment!$A$2:$AH1001,MATCH("EquipLoc",Equipment!$A$1:$AH$1,0),FALSE),"")</f>
        <v>Land of Spira</v>
      </c>
      <c r="L192" s="1" t="str">
        <f>IFERROR(__xludf.DUMMYFUNCTION("""COMPUTED_VALUE"""),"Wyrmstone Mail")</f>
        <v>Wyrmstone Mail</v>
      </c>
      <c r="W192" s="1" t="str">
        <f>IFERROR(__xludf.DUMMYFUNCTION("""COMPUTED_VALUE"""),"Poison Vine Sword")</f>
        <v>Poison Vine Sword</v>
      </c>
      <c r="X192" s="1" t="str">
        <f t="shared" si="1"/>
        <v/>
      </c>
    </row>
    <row r="193">
      <c r="A193" s="1" t="s">
        <v>699</v>
      </c>
      <c r="B193" s="18" t="str">
        <f>IFERROR(VLOOKUP($A193,Equipment!$A$2:$AH1001,MATCH("Description",Equipment!$A$1:$AH$1,0),FALSE),"")</f>
        <v/>
      </c>
      <c r="C193" s="18" t="str">
        <f>IFERROR(VLOOKUP($A193,Equipment!$A$2:$AH1001,MATCH("Type",Equipment!$A$1:$AH$1,0),FALSE),"")</f>
        <v/>
      </c>
      <c r="D193" s="18" t="str">
        <f>IFERROR(VLOOKUP($A193,Equipment!$A$2:$AH1001,MATCH("Slot",Equipment!$A$1:$AH$1,0),FALSE),"")</f>
        <v>Head</v>
      </c>
      <c r="E193" s="20">
        <f>IFERROR(VLOOKUP($A193,Equipment!$A$2:$AH1001,MATCH("LevelReq",Equipment!$A$1:$AH$1,0),FALSE),"")</f>
        <v>400</v>
      </c>
      <c r="F193" s="18" t="str">
        <f>IFERROR(VLOOKUP($A193,Equipconvrt!$A$2:$AH1001,MATCH("Abilities",Equipconvrt!$A$1:$AH$1,0),FALSE),"")</f>
        <v>DEF: +10000, Water DEF: +10000 ++X8 additional water damage for self.</v>
      </c>
      <c r="G193" s="20">
        <f>IFERROR(VLOOKUP($A193,Equipment!$A$2:$AD1001,MATCH("Price",Equipment!$A$1:$AH$1,0),FALSE),"")</f>
        <v>7800000</v>
      </c>
      <c r="H193" s="4" t="b">
        <v>1</v>
      </c>
      <c r="I193" s="1" t="str">
        <f>IFERROR(VLOOKUP($A193,Equipment!$A$2:$AH1001,MATCH("EquipLoc",Equipment!$A$1:$AH$1,0),FALSE),"")</f>
        <v>Land of Spira</v>
      </c>
      <c r="L193" s="1" t="str">
        <f>IFERROR(__xludf.DUMMYFUNCTION("""COMPUTED_VALUE"""),"Wyrmstone Helm")</f>
        <v>Wyrmstone Helm</v>
      </c>
      <c r="W193" s="1" t="str">
        <f>IFERROR(__xludf.DUMMYFUNCTION("""COMPUTED_VALUE"""),"Poseidon's Boots")</f>
        <v>Poseidon's Boots</v>
      </c>
      <c r="X193" s="1" t="str">
        <f t="shared" si="1"/>
        <v/>
      </c>
    </row>
    <row r="194">
      <c r="A194" s="1" t="s">
        <v>700</v>
      </c>
      <c r="B194" s="18" t="str">
        <f>IFERROR(VLOOKUP($A194,Equipment!$A$2:$AH1001,MATCH("Description",Equipment!$A$1:$AH$1,0),FALSE),"")</f>
        <v/>
      </c>
      <c r="C194" s="18" t="str">
        <f>IFERROR(VLOOKUP($A194,Equipment!$A$2:$AH1001,MATCH("Type",Equipment!$A$1:$AH$1,0),FALSE),"")</f>
        <v/>
      </c>
      <c r="D194" s="18" t="str">
        <f>IFERROR(VLOOKUP($A194,Equipment!$A$2:$AH1001,MATCH("Slot",Equipment!$A$1:$AH$1,0),FALSE),"")</f>
        <v>Shoulders</v>
      </c>
      <c r="E194" s="20">
        <f>IFERROR(VLOOKUP($A194,Equipment!$A$2:$AH1001,MATCH("LevelReq",Equipment!$A$1:$AH$1,0),FALSE),"")</f>
        <v>400</v>
      </c>
      <c r="F194" s="18" t="str">
        <f>IFERROR(VLOOKUP($A194,Equipconvrt!$A$2:$AH1001,MATCH("Abilities",Equipconvrt!$A$1:$AH$1,0),FALSE),"")</f>
        <v>DEF: +10000, Water DEF: +10000 ++X8 additional water damage for self.</v>
      </c>
      <c r="G194" s="20">
        <f>IFERROR(VLOOKUP($A194,Equipment!$A$2:$AD1001,MATCH("Price",Equipment!$A$1:$AH$1,0),FALSE),"")</f>
        <v>7800000</v>
      </c>
      <c r="H194" s="4" t="b">
        <v>1</v>
      </c>
      <c r="I194" s="1" t="str">
        <f>IFERROR(VLOOKUP($A194,Equipment!$A$2:$AH1001,MATCH("EquipLoc",Equipment!$A$1:$AH$1,0),FALSE),"")</f>
        <v>Land of Spira</v>
      </c>
      <c r="L194" s="1" t="str">
        <f>IFERROR(__xludf.DUMMYFUNCTION("""COMPUTED_VALUE"""),"Wyrmstone Buckler")</f>
        <v>Wyrmstone Buckler</v>
      </c>
      <c r="W194" s="1" t="str">
        <f>IFERROR(__xludf.DUMMYFUNCTION("""COMPUTED_VALUE"""),"Poseidon's Chestplate")</f>
        <v>Poseidon's Chestplate</v>
      </c>
      <c r="X194" s="1" t="str">
        <f t="shared" si="1"/>
        <v/>
      </c>
    </row>
    <row r="195">
      <c r="A195" s="1" t="s">
        <v>701</v>
      </c>
      <c r="B195" s="18" t="str">
        <f>IFERROR(VLOOKUP($A195,Equipment!$A$2:$AH1001,MATCH("Description",Equipment!$A$1:$AH$1,0),FALSE),"")</f>
        <v/>
      </c>
      <c r="C195" s="18" t="str">
        <f>IFERROR(VLOOKUP($A195,Equipment!$A$2:$AH1001,MATCH("Type",Equipment!$A$1:$AH$1,0),FALSE),"")</f>
        <v/>
      </c>
      <c r="D195" s="18" t="str">
        <f>IFERROR(VLOOKUP($A195,Equipment!$A$2:$AH1001,MATCH("Slot",Equipment!$A$1:$AH$1,0),FALSE),"")</f>
        <v>Ring</v>
      </c>
      <c r="E195" s="20">
        <f>IFERROR(VLOOKUP($A195,Equipment!$A$2:$AH1001,MATCH("LevelReq",Equipment!$A$1:$AH$1,0),FALSE),"")</f>
        <v>20</v>
      </c>
      <c r="F195" s="18" t="str">
        <f>IFERROR(VLOOKUP($A195,Equipconvrt!$A$2:$AH1001,MATCH("Abilities",Equipconvrt!$A$1:$AH$1,0),FALSE),"")</f>
        <v>DEF: +1000 ++X8 additional water damage for self. </v>
      </c>
      <c r="G195" s="20">
        <f>IFERROR(VLOOKUP($A195,Equipment!$A$2:$AD1001,MATCH("Price",Equipment!$A$1:$AH$1,0),FALSE),"")</f>
        <v>10000</v>
      </c>
      <c r="H195" s="4" t="b">
        <v>1</v>
      </c>
      <c r="I195" s="1" t="str">
        <f>IFERROR(VLOOKUP($A195,Equipment!$A$2:$AH1001,MATCH("EquipLoc",Equipment!$A$1:$AH$1,0),FALSE),"")</f>
        <v>Land of Spira</v>
      </c>
      <c r="L195" s="1" t="str">
        <f>IFERROR(__xludf.DUMMYFUNCTION("""COMPUTED_VALUE"""),"Wyrmstone Gauntlet")</f>
        <v>Wyrmstone Gauntlet</v>
      </c>
      <c r="W195" s="1" t="str">
        <f>IFERROR(__xludf.DUMMYFUNCTION("""COMPUTED_VALUE"""),"Poseidon's Greaves")</f>
        <v>Poseidon's Greaves</v>
      </c>
      <c r="X195" s="1" t="str">
        <f t="shared" si="1"/>
        <v/>
      </c>
    </row>
    <row r="196">
      <c r="A196" s="1" t="s">
        <v>702</v>
      </c>
      <c r="B196" s="18" t="str">
        <f>IFERROR(VLOOKUP($A196,Equipment!$A$2:$AH1001,MATCH("Description",Equipment!$A$1:$AH$1,0),FALSE),"")</f>
        <v/>
      </c>
      <c r="C196" s="18" t="str">
        <f>IFERROR(VLOOKUP($A196,Equipment!$A$2:$AH1001,MATCH("Type",Equipment!$A$1:$AH$1,0),FALSE),"")</f>
        <v>Sword</v>
      </c>
      <c r="D196" s="18" t="str">
        <f>IFERROR(VLOOKUP($A196,Equipment!$A$2:$AH1001,MATCH("Slot",Equipment!$A$1:$AH$1,0),FALSE),"")</f>
        <v>Hand</v>
      </c>
      <c r="E196" s="20">
        <f>IFERROR(VLOOKUP($A196,Equipment!$A$2:$AH1001,MATCH("LevelReq",Equipment!$A$1:$AH$1,0),FALSE),"")</f>
        <v>200</v>
      </c>
      <c r="F196" s="18" t="str">
        <f>IFERROR(VLOOKUP($A196,Equipconvrt!$A$2:$AH1001,MATCH("Abilities",Equipconvrt!$A$1:$AH$1,0),FALSE),"")</f>
        <v>DMG: +40000, Water DMG: +40000, Celestial DMG: +20000 ++X10 additional water damage for self. ++X12 additional water damage and Natural Defense for self and allies if you have all Poseidon Equipment Equipped. +-Cannot be forged +-Cannot be duplicated</v>
      </c>
      <c r="G196" s="20">
        <f>IFERROR(VLOOKUP($A196,Equipment!$A$2:$AD1001,MATCH("Price",Equipment!$A$1:$AH$1,0),FALSE),"")</f>
        <v>199000000</v>
      </c>
      <c r="H196" s="4" t="b">
        <v>1</v>
      </c>
      <c r="I196" s="1" t="str">
        <f>IFERROR(VLOOKUP($A196,Equipment!$A$2:$AH1001,MATCH("EquipLoc",Equipment!$A$1:$AH$1,0),FALSE),"")</f>
        <v>Land of Spira</v>
      </c>
      <c r="L196" s="1" t="str">
        <f>IFERROR(__xludf.DUMMYFUNCTION("""COMPUTED_VALUE"""),"Wyrmstone Leggings")</f>
        <v>Wyrmstone Leggings</v>
      </c>
      <c r="W196" s="1" t="str">
        <f>IFERROR(__xludf.DUMMYFUNCTION("""COMPUTED_VALUE"""),"Poseidon's Helmet")</f>
        <v>Poseidon's Helmet</v>
      </c>
      <c r="X196" s="1" t="str">
        <f t="shared" si="1"/>
        <v/>
      </c>
    </row>
    <row r="197">
      <c r="A197" s="1" t="s">
        <v>703</v>
      </c>
      <c r="B197" s="18" t="str">
        <f>IFERROR(VLOOKUP($A197,Equipment!$A$2:$AH1001,MATCH("Description",Equipment!$A$1:$AH$1,0),FALSE),"")</f>
        <v/>
      </c>
      <c r="C197" s="18" t="str">
        <f>IFERROR(VLOOKUP($A197,Equipment!$A$2:$AH1001,MATCH("Type",Equipment!$A$1:$AH$1,0),FALSE),"")</f>
        <v>Spear</v>
      </c>
      <c r="D197" s="18" t="str">
        <f>IFERROR(VLOOKUP($A197,Equipment!$A$2:$AH1001,MATCH("Slot",Equipment!$A$1:$AH$1,0),FALSE),"")</f>
        <v>Hand</v>
      </c>
      <c r="E197" s="20">
        <f>IFERROR(VLOOKUP($A197,Equipment!$A$2:$AH1001,MATCH("LevelReq",Equipment!$A$1:$AH$1,0),FALSE),"")</f>
        <v>200</v>
      </c>
      <c r="F197" s="18" t="str">
        <f>IFERROR(VLOOKUP($A197,Equipconvrt!$A$2:$AH1001,MATCH("Abilities",Equipconvrt!$A$1:$AH$1,0),FALSE),"")</f>
        <v>DMG: +50000, Water DMG: +50000, Celestial DMG: +25000 ++The user is Immune to the first attack of each battle, Ignores Defense and Water Immunity when attacking a target. +-Cannot be forged +-Cannot be duplicated</v>
      </c>
      <c r="G197" s="20">
        <f>IFERROR(VLOOKUP($A197,Equipment!$A$2:$AD1001,MATCH("Price",Equipment!$A$1:$AH$1,0),FALSE),"")</f>
        <v>311250000</v>
      </c>
      <c r="H197" s="4" t="b">
        <v>1</v>
      </c>
      <c r="I197" s="1" t="str">
        <f>IFERROR(VLOOKUP($A197,Equipment!$A$2:$AH1001,MATCH("EquipLoc",Equipment!$A$1:$AH$1,0),FALSE),"")</f>
        <v>Land of Spira</v>
      </c>
      <c r="L197" s="1" t="str">
        <f>IFERROR(__xludf.DUMMYFUNCTION("""COMPUTED_VALUE"""),"Wyrmstone Lance")</f>
        <v>Wyrmstone Lance</v>
      </c>
      <c r="W197" s="1" t="str">
        <f>IFERROR(__xludf.DUMMYFUNCTION("""COMPUTED_VALUE"""),"Poseidon's Pauldrons")</f>
        <v>Poseidon's Pauldrons</v>
      </c>
      <c r="X197" s="1" t="str">
        <f t="shared" si="1"/>
        <v/>
      </c>
    </row>
    <row r="198">
      <c r="A198" s="1" t="s">
        <v>704</v>
      </c>
      <c r="B198" s="18" t="str">
        <f>IFERROR(VLOOKUP($A198,Equipment!$A$2:$AH1001,MATCH("Description",Equipment!$A$1:$AH$1,0),FALSE),"")</f>
        <v/>
      </c>
      <c r="C198" s="18" t="str">
        <f>IFERROR(VLOOKUP($A198,Equipment!$A$2:$AH1001,MATCH("Type",Equipment!$A$1:$AH$1,0),FALSE),"")</f>
        <v/>
      </c>
      <c r="D198" s="18" t="str">
        <f>IFERROR(VLOOKUP($A198,Equipment!$A$2:$AH1001,MATCH("Slot",Equipment!$A$1:$AH$1,0),FALSE),"")</f>
        <v>Arms</v>
      </c>
      <c r="E198" s="20">
        <f>IFERROR(VLOOKUP($A198,Equipment!$A$2:$AH1001,MATCH("LevelReq",Equipment!$A$1:$AH$1,0),FALSE),"")</f>
        <v>400</v>
      </c>
      <c r="F198" s="18" t="str">
        <f>IFERROR(VLOOKUP($A198,Equipconvrt!$A$2:$AH1001,MATCH("Abilities",Equipconvrt!$A$1:$AH$1,0),FALSE),"")</f>
        <v>DEF: +10000, Water DEF: +10000 ++X8 additional water damage for self.</v>
      </c>
      <c r="G198" s="20">
        <f>IFERROR(VLOOKUP($A198,Equipment!$A$2:$AD1001,MATCH("Price",Equipment!$A$1:$AH$1,0),FALSE),"")</f>
        <v>7800000</v>
      </c>
      <c r="H198" s="4" t="b">
        <v>1</v>
      </c>
      <c r="I198" s="1" t="str">
        <f>IFERROR(VLOOKUP($A198,Equipment!$A$2:$AH1001,MATCH("EquipLoc",Equipment!$A$1:$AH$1,0),FALSE),"")</f>
        <v>Land of Spira</v>
      </c>
      <c r="L198" s="1" t="str">
        <f>IFERROR(__xludf.DUMMYFUNCTION("""COMPUTED_VALUE"""),"Wyrmstone Nails")</f>
        <v>Wyrmstone Nails</v>
      </c>
      <c r="W198" s="1" t="str">
        <f>IFERROR(__xludf.DUMMYFUNCTION("""COMPUTED_VALUE"""),"Poseidon's Ring")</f>
        <v>Poseidon's Ring</v>
      </c>
      <c r="X198" s="1" t="str">
        <f t="shared" si="1"/>
        <v/>
      </c>
    </row>
    <row r="199">
      <c r="A199" s="1" t="s">
        <v>705</v>
      </c>
      <c r="B199" s="18" t="str">
        <f>IFERROR(VLOOKUP($A199,Equipment!$A$2:$AH1001,MATCH("Description",Equipment!$A$1:$AH$1,0),FALSE),"")</f>
        <v>An ancient blade from a forgotten time</v>
      </c>
      <c r="C199" s="18" t="str">
        <f>IFERROR(VLOOKUP($A199,Equipment!$A$2:$AH1001,MATCH("Type",Equipment!$A$1:$AH$1,0),FALSE),"")</f>
        <v>Sword</v>
      </c>
      <c r="D199" s="18" t="str">
        <f>IFERROR(VLOOKUP($A199,Equipment!$A$2:$AH1001,MATCH("Slot",Equipment!$A$1:$AH$1,0),FALSE),"")</f>
        <v>Hand</v>
      </c>
      <c r="E199" s="20">
        <f>IFERROR(VLOOKUP($A199,Equipment!$A$2:$AH1001,MATCH("LevelReq",Equipment!$A$1:$AH$1,0),FALSE),"")</f>
        <v>600</v>
      </c>
      <c r="F199" s="18" t="str">
        <f>IFERROR(VLOOKUP($A199,Equipconvrt!$A$2:$AH1001,MATCH("Abilities",Equipconvrt!$A$1:$AH$1,0),FALSE),"")</f>
        <v>DMG: +10000, Chaos DMG: +10000, Nature DMG: +10000</v>
      </c>
      <c r="G199" s="20">
        <f>IFERROR(VLOOKUP($A199,Equipment!$A$2:$AD1001,MATCH("Price",Equipment!$A$1:$AH$1,0),FALSE),"")</f>
        <v>17700000</v>
      </c>
      <c r="H199" s="4" t="b">
        <v>0</v>
      </c>
      <c r="I199" s="1" t="str">
        <f>IFERROR(VLOOKUP($A199,Equipment!$A$2:$AH1001,MATCH("EquipLoc",Equipment!$A$1:$AH$1,0),FALSE),"")</f>
        <v>Solreach</v>
      </c>
      <c r="L199" s="1" t="str">
        <f>IFERROR(__xludf.DUMMYFUNCTION("""COMPUTED_VALUE"""),"Lizard Warrior's Scale Helm")</f>
        <v>Lizard Warrior's Scale Helm</v>
      </c>
      <c r="W199" s="1" t="str">
        <f>IFERROR(__xludf.DUMMYFUNCTION("""COMPUTED_VALUE"""),"Poseidon's Sword")</f>
        <v>Poseidon's Sword</v>
      </c>
      <c r="X199" s="1" t="str">
        <f t="shared" si="1"/>
        <v/>
      </c>
    </row>
    <row r="200">
      <c r="A200" s="1" t="s">
        <v>706</v>
      </c>
      <c r="B200" s="18" t="str">
        <f>IFERROR(VLOOKUP($A200,Equipment!$A$2:$AH1001,MATCH("Description",Equipment!$A$1:$AH$1,0),FALSE),"")</f>
        <v/>
      </c>
      <c r="C200" s="18" t="str">
        <f>IFERROR(VLOOKUP($A200,Equipment!$A$2:$AH1001,MATCH("Type",Equipment!$A$1:$AH$1,0),FALSE),"")</f>
        <v/>
      </c>
      <c r="D200" s="18" t="str">
        <f>IFERROR(VLOOKUP($A200,Equipment!$A$2:$AH1001,MATCH("Slot",Equipment!$A$1:$AH$1,0),FALSE),"")</f>
        <v>Ring</v>
      </c>
      <c r="E200" s="20">
        <f>IFERROR(VLOOKUP($A200,Equipment!$A$2:$AH1001,MATCH("LevelReq",Equipment!$A$1:$AH$1,0),FALSE),"")</f>
        <v>1</v>
      </c>
      <c r="F200" s="18" t="str">
        <f>IFERROR(VLOOKUP($A200,Equipconvrt!$A$2:$AH1001,MATCH("Abilities",Equipconvrt!$A$1:$AH$1,0),FALSE),"")</f>
        <v> ++Immunity to nature damage, ++increases the roll of a d20 by 2. +-Can only equip one</v>
      </c>
      <c r="G200" s="20">
        <f>IFERROR(VLOOKUP($A200,Equipment!$A$2:$AD1001,MATCH("Price",Equipment!$A$1:$AH$1,0),FALSE),"")</f>
        <v>0</v>
      </c>
      <c r="H200" s="4" t="b">
        <v>0</v>
      </c>
      <c r="I200" s="1" t="str">
        <f>IFERROR(VLOOKUP($A200,Equipment!$A$2:$AH1001,MATCH("EquipLoc",Equipment!$A$1:$AH$1,0),FALSE),"")</f>
        <v>Land of Spira</v>
      </c>
      <c r="L200" s="1" t="str">
        <f>IFERROR(__xludf.DUMMYFUNCTION("""COMPUTED_VALUE"""),"Lizard Warrior's Scaled Pauldrons")</f>
        <v>Lizard Warrior's Scaled Pauldrons</v>
      </c>
      <c r="W200" s="1" t="str">
        <f>IFERROR(__xludf.DUMMYFUNCTION("""COMPUTED_VALUE"""),"Poseidon's Trident")</f>
        <v>Poseidon's Trident</v>
      </c>
      <c r="X200" s="1" t="str">
        <f t="shared" si="1"/>
        <v/>
      </c>
    </row>
    <row r="201">
      <c r="A201" s="1" t="s">
        <v>707</v>
      </c>
      <c r="B201" s="18" t="str">
        <f>IFERROR(VLOOKUP($A201,Equipment!$A$2:$AH1001,MATCH("Description",Equipment!$A$1:$AH$1,0),FALSE),"")</f>
        <v/>
      </c>
      <c r="C201" s="18" t="str">
        <f>IFERROR(VLOOKUP($A201,Equipment!$A$2:$AH1001,MATCH("Type",Equipment!$A$1:$AH$1,0),FALSE),"")</f>
        <v/>
      </c>
      <c r="D201" s="18" t="str">
        <f>IFERROR(VLOOKUP($A201,Equipment!$A$2:$AH1001,MATCH("Slot",Equipment!$A$1:$AH$1,0),FALSE),"")</f>
        <v>Ring</v>
      </c>
      <c r="E201" s="20">
        <f>IFERROR(VLOOKUP($A201,Equipment!$A$2:$AH1001,MATCH("LevelReq",Equipment!$A$1:$AH$1,0),FALSE),"")</f>
        <v>1</v>
      </c>
      <c r="F201" s="18" t="str">
        <f>IFERROR(VLOOKUP($A201,Equipconvrt!$A$2:$AH1001,MATCH("Abilities",Equipconvrt!$A$1:$AH$1,0),FALSE),"")</f>
        <v> ++Shadow Cloud - Cloaks you in a cloud darkness - causes all enemies to miss you with any attack, including cannot avoid attacks for the rest of the round, Fail/Succeed, -200 sp.</v>
      </c>
      <c r="G201" s="20">
        <f>IFERROR(VLOOKUP($A201,Equipment!$A$2:$AD1001,MATCH("Price",Equipment!$A$1:$AH$1,0),FALSE),"")</f>
        <v>0</v>
      </c>
      <c r="H201" s="4" t="b">
        <v>0</v>
      </c>
      <c r="I201" s="1" t="str">
        <f>IFERROR(VLOOKUP($A201,Equipment!$A$2:$AH1001,MATCH("EquipLoc",Equipment!$A$1:$AH$1,0),FALSE),"")</f>
        <v>Land of Spira</v>
      </c>
      <c r="L201" s="1" t="str">
        <f>IFERROR(__xludf.DUMMYFUNCTION("""COMPUTED_VALUE"""),"Lizard Warrior's Scaled Chest")</f>
        <v>Lizard Warrior's Scaled Chest</v>
      </c>
      <c r="W201" s="1" t="str">
        <f>IFERROR(__xludf.DUMMYFUNCTION("""COMPUTED_VALUE"""),"Poseidon's Vambraces")</f>
        <v>Poseidon's Vambraces</v>
      </c>
      <c r="X201" s="1" t="str">
        <f t="shared" si="1"/>
        <v/>
      </c>
    </row>
    <row r="202">
      <c r="A202" s="1" t="s">
        <v>708</v>
      </c>
      <c r="B202" s="18" t="str">
        <f>IFERROR(VLOOKUP($A202,Equipment!$A$2:$AH1001,MATCH("Description",Equipment!$A$1:$AH$1,0),FALSE),"")</f>
        <v/>
      </c>
      <c r="C202" s="18" t="str">
        <f>IFERROR(VLOOKUP($A202,Equipment!$A$2:$AH1001,MATCH("Type",Equipment!$A$1:$AH$1,0),FALSE),"")</f>
        <v/>
      </c>
      <c r="D202" s="18" t="str">
        <f>IFERROR(VLOOKUP($A202,Equipment!$A$2:$AH1001,MATCH("Slot",Equipment!$A$1:$AH$1,0),FALSE),"")</f>
        <v>Ring</v>
      </c>
      <c r="E202" s="20">
        <f>IFERROR(VLOOKUP($A202,Equipment!$A$2:$AH1001,MATCH("LevelReq",Equipment!$A$1:$AH$1,0),FALSE),"")</f>
        <v>1</v>
      </c>
      <c r="F202" s="18" t="str">
        <f>IFERROR(VLOOKUP($A202,Equipconvrt!$A$2:$AH1001,MATCH("Abilities",Equipconvrt!$A$1:$AH$1,0),FALSE),"")</f>
        <v> ++Causes instant death with a fail/succeed roll.</v>
      </c>
      <c r="G202" s="20">
        <f>IFERROR(VLOOKUP($A202,Equipment!$A$2:$AD1001,MATCH("Price",Equipment!$A$1:$AH$1,0),FALSE),"")</f>
        <v>0</v>
      </c>
      <c r="H202" s="4" t="b">
        <v>0</v>
      </c>
      <c r="I202" s="1" t="str">
        <f>IFERROR(VLOOKUP($A202,Equipment!$A$2:$AH1001,MATCH("EquipLoc",Equipment!$A$1:$AH$1,0),FALSE),"")</f>
        <v>Land of Spira</v>
      </c>
      <c r="L202" s="1" t="str">
        <f>IFERROR(__xludf.DUMMYFUNCTION("""COMPUTED_VALUE"""),"Lizard Warrior's Scaled Arms")</f>
        <v>Lizard Warrior's Scaled Arms</v>
      </c>
      <c r="W202" s="1" t="str">
        <f>IFERROR(__xludf.DUMMYFUNCTION("""COMPUTED_VALUE"""),"Riftblade")</f>
        <v>Riftblade</v>
      </c>
      <c r="X202" s="1" t="str">
        <f t="shared" si="1"/>
        <v/>
      </c>
    </row>
    <row r="203">
      <c r="A203" s="1" t="s">
        <v>709</v>
      </c>
      <c r="B203" s="18" t="str">
        <f>IFERROR(VLOOKUP($A203,Equipment!$A$2:$AH1001,MATCH("Description",Equipment!$A$1:$AH$1,0),FALSE),"")</f>
        <v/>
      </c>
      <c r="C203" s="18" t="str">
        <f>IFERROR(VLOOKUP($A203,Equipment!$A$2:$AH1001,MATCH("Type",Equipment!$A$1:$AH$1,0),FALSE),"")</f>
        <v/>
      </c>
      <c r="D203" s="18" t="str">
        <f>IFERROR(VLOOKUP($A203,Equipment!$A$2:$AH1001,MATCH("Slot",Equipment!$A$1:$AH$1,0),FALSE),"")</f>
        <v>Ring</v>
      </c>
      <c r="E203" s="20">
        <f>IFERROR(VLOOKUP($A203,Equipment!$A$2:$AH1001,MATCH("LevelReq",Equipment!$A$1:$AH$1,0),FALSE),"")</f>
        <v>1</v>
      </c>
      <c r="F203" s="18" t="str">
        <f>IFERROR(VLOOKUP($A203,Equipconvrt!$A$2:$AH1001,MATCH("Abilities",Equipconvrt!$A$1:$AH$1,0),FALSE),"")</f>
        <v>, Fire : +  ++X2 Water and Dark damage.</v>
      </c>
      <c r="G203" s="20">
        <f>IFERROR(VLOOKUP($A203,Equipment!$A$2:$AD1001,MATCH("Price",Equipment!$A$1:$AH$1,0),FALSE),"")</f>
        <v>0</v>
      </c>
      <c r="H203" s="4" t="b">
        <v>0</v>
      </c>
      <c r="I203" s="1" t="str">
        <f>IFERROR(VLOOKUP($A203,Equipment!$A$2:$AH1001,MATCH("EquipLoc",Equipment!$A$1:$AH$1,0),FALSE),"")</f>
        <v>Land of Spira</v>
      </c>
      <c r="L203" s="1" t="str">
        <f>IFERROR(__xludf.DUMMYFUNCTION("""COMPUTED_VALUE"""),"Lizard Warrior's Bracelets")</f>
        <v>Lizard Warrior's Bracelets</v>
      </c>
      <c r="W203" s="1" t="str">
        <f>IFERROR(__xludf.DUMMYFUNCTION("""COMPUTED_VALUE"""),"Ring o’ Luck and Nature")</f>
        <v>Ring o’ Luck and Nature</v>
      </c>
      <c r="X203" s="1" t="str">
        <f t="shared" si="1"/>
        <v/>
      </c>
    </row>
    <row r="204">
      <c r="A204" s="1" t="s">
        <v>710</v>
      </c>
      <c r="B204" s="18" t="str">
        <f>IFERROR(VLOOKUP($A204,Equipment!$A$2:$AH1001,MATCH("Description",Equipment!$A$1:$AH$1,0),FALSE),"")</f>
        <v/>
      </c>
      <c r="C204" s="18" t="str">
        <f>IFERROR(VLOOKUP($A204,Equipment!$A$2:$AH1001,MATCH("Type",Equipment!$A$1:$AH$1,0),FALSE),"")</f>
        <v/>
      </c>
      <c r="D204" s="18" t="str">
        <f>IFERROR(VLOOKUP($A204,Equipment!$A$2:$AH1001,MATCH("Slot",Equipment!$A$1:$AH$1,0),FALSE),"")</f>
        <v>Ring</v>
      </c>
      <c r="E204" s="20">
        <f>IFERROR(VLOOKUP($A204,Equipment!$A$2:$AH1001,MATCH("LevelReq",Equipment!$A$1:$AH$1,0),FALSE),"")</f>
        <v>1</v>
      </c>
      <c r="F204" s="18" t="str">
        <f>IFERROR(VLOOKUP($A204,Equipconvrt!$A$2:$AH1001,MATCH("Abilities",Equipconvrt!$A$1:$AH$1,0),FALSE),"")</f>
        <v> ++0 Def ++Soul Enchanted - Every time you enchant a soul into this item increase the Def of this item by 10. </v>
      </c>
      <c r="G204" s="20">
        <f>IFERROR(VLOOKUP($A204,Equipment!$A$2:$AD1001,MATCH("Price",Equipment!$A$1:$AH$1,0),FALSE),"")</f>
        <v>0</v>
      </c>
      <c r="H204" s="4" t="b">
        <v>1</v>
      </c>
      <c r="I204" s="1" t="str">
        <f>IFERROR(VLOOKUP($A204,Equipment!$A$2:$AH1001,MATCH("EquipLoc",Equipment!$A$1:$AH$1,0),FALSE),"")</f>
        <v>Land of The Forgotten</v>
      </c>
      <c r="L204" s="1" t="str">
        <f>IFERROR(__xludf.DUMMYFUNCTION("""COMPUTED_VALUE"""),"Lizard Warrior's Scaled Legs")</f>
        <v>Lizard Warrior's Scaled Legs</v>
      </c>
      <c r="W204" s="1" t="str">
        <f>IFERROR(__xludf.DUMMYFUNCTION("""COMPUTED_VALUE"""),"Ring of Darkness")</f>
        <v>Ring of Darkness</v>
      </c>
      <c r="X204" s="1" t="str">
        <f t="shared" si="1"/>
        <v/>
      </c>
    </row>
    <row r="205">
      <c r="A205" s="1" t="s">
        <v>711</v>
      </c>
      <c r="B205" s="18" t="str">
        <f>IFERROR(VLOOKUP($A205,Equipment!$A$2:$AH1001,MATCH("Description",Equipment!$A$1:$AH$1,0),FALSE),"")</f>
        <v/>
      </c>
      <c r="C205" s="18" t="str">
        <f>IFERROR(VLOOKUP($A205,Equipment!$A$2:$AH1001,MATCH("Type",Equipment!$A$1:$AH$1,0),FALSE),"")</f>
        <v/>
      </c>
      <c r="D205" s="18" t="str">
        <f>IFERROR(VLOOKUP($A205,Equipment!$A$2:$AH1001,MATCH("Slot",Equipment!$A$1:$AH$1,0),FALSE),"")</f>
        <v>Ring</v>
      </c>
      <c r="E205" s="20">
        <f>IFERROR(VLOOKUP($A205,Equipment!$A$2:$AH1001,MATCH("LevelReq",Equipment!$A$1:$AH$1,0),FALSE),"")</f>
        <v>1</v>
      </c>
      <c r="F205" s="18" t="str">
        <f>IFERROR(VLOOKUP($A205,Equipconvrt!$A$2:$AH1001,MATCH("Abilities",Equipconvrt!$A$1:$AH$1,0),FALSE),"")</f>
        <v> ++500 hp per round.</v>
      </c>
      <c r="G205" s="20">
        <f>IFERROR(VLOOKUP($A205,Equipment!$A$2:$AD1001,MATCH("Price",Equipment!$A$1:$AH$1,0),FALSE),"")</f>
        <v>0</v>
      </c>
      <c r="H205" s="4" t="b">
        <v>0</v>
      </c>
      <c r="I205" s="1" t="str">
        <f>IFERROR(VLOOKUP($A205,Equipment!$A$2:$AH1001,MATCH("EquipLoc",Equipment!$A$1:$AH$1,0),FALSE),"")</f>
        <v>Land of Spira</v>
      </c>
      <c r="L205" s="1" t="str">
        <f>IFERROR(__xludf.DUMMYFUNCTION("""COMPUTED_VALUE"""),"Lizard Warrior's Scaled Boots")</f>
        <v>Lizard Warrior's Scaled Boots</v>
      </c>
      <c r="W205" s="1" t="str">
        <f>IFERROR(__xludf.DUMMYFUNCTION("""COMPUTED_VALUE"""),"Ring of Death")</f>
        <v>Ring of Death</v>
      </c>
      <c r="X205" s="1" t="str">
        <f t="shared" si="1"/>
        <v/>
      </c>
    </row>
    <row r="206">
      <c r="A206" s="1" t="s">
        <v>712</v>
      </c>
      <c r="B206" s="18" t="str">
        <f>IFERROR(VLOOKUP($A206,Equipment!$A$2:$AH1001,MATCH("Description",Equipment!$A$1:$AH$1,0),FALSE),"")</f>
        <v/>
      </c>
      <c r="C206" s="18" t="str">
        <f>IFERROR(VLOOKUP($A206,Equipment!$A$2:$AH1001,MATCH("Type",Equipment!$A$1:$AH$1,0),FALSE),"")</f>
        <v/>
      </c>
      <c r="D206" s="18" t="str">
        <f>IFERROR(VLOOKUP($A206,Equipment!$A$2:$AH1001,MATCH("Slot",Equipment!$A$1:$AH$1,0),FALSE),"")</f>
        <v>Ring</v>
      </c>
      <c r="E206" s="20">
        <f>IFERROR(VLOOKUP($A206,Equipment!$A$2:$AH1001,MATCH("LevelReq",Equipment!$A$1:$AH$1,0),FALSE),"")</f>
        <v>1</v>
      </c>
      <c r="F206" s="18" t="str">
        <f>IFERROR(VLOOKUP($A206,Equipconvrt!$A$2:$AH1001,MATCH("Abilities",Equipconvrt!$A$1:$AH$1,0),FALSE),"")</f>
        <v> ++Gain invulnerability to damage for the first round of battle, you are unable to inflict any non-magic damage for the first round of battle. +-Cannot be duplicated. +-Cannot be forged. </v>
      </c>
      <c r="G206" s="20">
        <f>IFERROR(VLOOKUP($A206,Equipment!$A$2:$AD1001,MATCH("Price",Equipment!$A$1:$AH$1,0),FALSE),"")</f>
        <v>0</v>
      </c>
      <c r="H206" s="4" t="b">
        <v>1</v>
      </c>
      <c r="I206" s="1" t="str">
        <f>IFERROR(VLOOKUP($A206,Equipment!$A$2:$AH1001,MATCH("EquipLoc",Equipment!$A$1:$AH$1,0),FALSE),"")</f>
        <v>Land of The Forgotten</v>
      </c>
      <c r="L206" s="1" t="str">
        <f>IFERROR(__xludf.DUMMYFUNCTION("""COMPUTED_VALUE"""),"Lizard Warrior's Claw")</f>
        <v>Lizard Warrior's Claw</v>
      </c>
      <c r="W206" s="1" t="str">
        <f>IFERROR(__xludf.DUMMYFUNCTION("""COMPUTED_VALUE"""),"Ring Of Dwelling Waters")</f>
        <v>Ring Of Dwelling Waters</v>
      </c>
      <c r="X206" s="1" t="str">
        <f t="shared" si="1"/>
        <v/>
      </c>
    </row>
    <row r="207">
      <c r="A207" s="1" t="s">
        <v>713</v>
      </c>
      <c r="B207" s="18" t="str">
        <f>IFERROR(VLOOKUP($A207,Equipment!$A$2:$AH1001,MATCH("Description",Equipment!$A$1:$AH$1,0),FALSE),"")</f>
        <v/>
      </c>
      <c r="C207" s="18" t="str">
        <f>IFERROR(VLOOKUP($A207,Equipment!$A$2:$AH1001,MATCH("Type",Equipment!$A$1:$AH$1,0),FALSE),"")</f>
        <v/>
      </c>
      <c r="D207" s="18" t="str">
        <f>IFERROR(VLOOKUP($A207,Equipment!$A$2:$AH1001,MATCH("Slot",Equipment!$A$1:$AH$1,0),FALSE),"")</f>
        <v>Ring</v>
      </c>
      <c r="E207" s="20">
        <f>IFERROR(VLOOKUP($A207,Equipment!$A$2:$AH1001,MATCH("LevelReq",Equipment!$A$1:$AH$1,0),FALSE),"")</f>
        <v>1</v>
      </c>
      <c r="F207" s="18" t="str">
        <f>IFERROR(VLOOKUP($A207,Equipconvrt!$A$2:$AH1001,MATCH("Abilities",Equipconvrt!$A$1:$AH$1,0),FALSE),"")</f>
        <v> ++X2 Chaos damage, ++ +5 Charisma and Intimidation. +-Cannot be forged +-Cannot be duplicated +-Can only equip one</v>
      </c>
      <c r="G207" s="20">
        <f>IFERROR(VLOOKUP($A207,Equipment!$A$2:$AD1001,MATCH("Price",Equipment!$A$1:$AH$1,0),FALSE),"")</f>
        <v>0</v>
      </c>
      <c r="H207" s="4" t="b">
        <v>0</v>
      </c>
      <c r="I207" s="1" t="str">
        <f>IFERROR(VLOOKUP($A207,Equipment!$A$2:$AH1001,MATCH("EquipLoc",Equipment!$A$1:$AH$1,0),FALSE),"")</f>
        <v>Abstara</v>
      </c>
      <c r="L207" s="1" t="str">
        <f>IFERROR(__xludf.DUMMYFUNCTION("""COMPUTED_VALUE"""),"Lizard Warrior Guantlet")</f>
        <v>Lizard Warrior Guantlet</v>
      </c>
      <c r="W207" s="1" t="str">
        <f>IFERROR(__xludf.DUMMYFUNCTION("""COMPUTED_VALUE"""),"Ring of Endless Souls")</f>
        <v>Ring of Endless Souls</v>
      </c>
      <c r="X207" s="1" t="str">
        <f t="shared" si="1"/>
        <v/>
      </c>
    </row>
    <row r="208">
      <c r="A208" s="1" t="s">
        <v>714</v>
      </c>
      <c r="B208" s="18" t="str">
        <f>IFERROR(VLOOKUP($A208,Equipment!$A$2:$AH1001,MATCH("Description",Equipment!$A$1:$AH$1,0),FALSE),"")</f>
        <v/>
      </c>
      <c r="C208" s="18" t="str">
        <f>IFERROR(VLOOKUP($A208,Equipment!$A$2:$AH1001,MATCH("Type",Equipment!$A$1:$AH$1,0),FALSE),"")</f>
        <v/>
      </c>
      <c r="D208" s="18" t="str">
        <f>IFERROR(VLOOKUP($A208,Equipment!$A$2:$AH1001,MATCH("Slot",Equipment!$A$1:$AH$1,0),FALSE),"")</f>
        <v>Ring</v>
      </c>
      <c r="E208" s="20">
        <f>IFERROR(VLOOKUP($A208,Equipment!$A$2:$AH1001,MATCH("LevelReq",Equipment!$A$1:$AH$1,0),FALSE),"")</f>
        <v>1</v>
      </c>
      <c r="F208" s="18" t="str">
        <f>IFERROR(VLOOKUP($A208,Equipconvrt!$A$2:$AH1001,MATCH("Abilities",Equipconvrt!$A$1:$AH$1,0),FALSE),"")</f>
        <v> ++Half the damage taken from the next attack 100SP Will Succeed.</v>
      </c>
      <c r="G208" s="20">
        <f>IFERROR(VLOOKUP($A208,Equipment!$A$2:$AD1001,MATCH("Price",Equipment!$A$1:$AH$1,0),FALSE),"")</f>
        <v>0</v>
      </c>
      <c r="H208" s="4" t="b">
        <v>0</v>
      </c>
      <c r="I208" s="1" t="str">
        <f>IFERROR(VLOOKUP($A208,Equipment!$A$2:$AH1001,MATCH("EquipLoc",Equipment!$A$1:$AH$1,0),FALSE),"")</f>
        <v>Land of Spira</v>
      </c>
      <c r="L208" s="1" t="str">
        <f>IFERROR(__xludf.DUMMYFUNCTION("""COMPUTED_VALUE"""),"Igaunian Assassin's Cowl")</f>
        <v>Igaunian Assassin's Cowl</v>
      </c>
      <c r="W208" s="1" t="str">
        <f>IFERROR(__xludf.DUMMYFUNCTION("""COMPUTED_VALUE"""),"Ring of Healing")</f>
        <v>Ring of Healing</v>
      </c>
      <c r="X208" s="1" t="str">
        <f t="shared" si="1"/>
        <v/>
      </c>
    </row>
    <row r="209">
      <c r="A209" s="1" t="s">
        <v>715</v>
      </c>
      <c r="B209" s="18" t="str">
        <f>IFERROR(VLOOKUP($A209,Equipment!$A$2:$AH1001,MATCH("Description",Equipment!$A$1:$AH$1,0),FALSE),"")</f>
        <v/>
      </c>
      <c r="C209" s="18" t="str">
        <f>IFERROR(VLOOKUP($A209,Equipment!$A$2:$AH1001,MATCH("Type",Equipment!$A$1:$AH$1,0),FALSE),"")</f>
        <v/>
      </c>
      <c r="D209" s="18" t="str">
        <f>IFERROR(VLOOKUP($A209,Equipment!$A$2:$AH1001,MATCH("Slot",Equipment!$A$1:$AH$1,0),FALSE),"")</f>
        <v>Ring</v>
      </c>
      <c r="E209" s="20">
        <f>IFERROR(VLOOKUP($A209,Equipment!$A$2:$AH1001,MATCH("LevelReq",Equipment!$A$1:$AH$1,0),FALSE),"")</f>
        <v>1</v>
      </c>
      <c r="F209" s="18" t="str">
        <f>IFERROR(VLOOKUP($A209,Equipconvrt!$A$2:$AH1001,MATCH("Abilities",Equipconvrt!$A$1:$AH$1,0),FALSE),"")</f>
        <v> ++Inflict half the damage you take back to the enemy that dealt it. +-Can only have one equipped. +-Cannot be duplicated.</v>
      </c>
      <c r="G209" s="20">
        <f>IFERROR(VLOOKUP($A209,Equipment!$A$2:$AD1001,MATCH("Price",Equipment!$A$1:$AH$1,0),FALSE),"")</f>
        <v>0</v>
      </c>
      <c r="H209" s="4" t="b">
        <v>0</v>
      </c>
      <c r="I209" s="1" t="str">
        <f>IFERROR(VLOOKUP($A209,Equipment!$A$2:$AH1001,MATCH("EquipLoc",Equipment!$A$1:$AH$1,0),FALSE),"")</f>
        <v>Land of Spira</v>
      </c>
      <c r="L209" s="1" t="str">
        <f>IFERROR(__xludf.DUMMYFUNCTION("""COMPUTED_VALUE"""),"Igaunian Assassin's Cloths")</f>
        <v>Igaunian Assassin's Cloths</v>
      </c>
      <c r="W209" s="1" t="str">
        <f>IFERROR(__xludf.DUMMYFUNCTION("""COMPUTED_VALUE"""),"Ring of Invulnerability ")</f>
        <v>Ring of Invulnerability </v>
      </c>
      <c r="X209" s="1" t="str">
        <f t="shared" si="1"/>
        <v/>
      </c>
    </row>
    <row r="210">
      <c r="A210" s="1" t="s">
        <v>716</v>
      </c>
      <c r="B210" s="18" t="str">
        <f>IFERROR(VLOOKUP($A210,Equipment!$A$2:$AH1001,MATCH("Description",Equipment!$A$1:$AH$1,0),FALSE),"")</f>
        <v/>
      </c>
      <c r="C210" s="18" t="str">
        <f>IFERROR(VLOOKUP($A210,Equipment!$A$2:$AH1001,MATCH("Type",Equipment!$A$1:$AH$1,0),FALSE),"")</f>
        <v/>
      </c>
      <c r="D210" s="18" t="str">
        <f>IFERROR(VLOOKUP($A210,Equipment!$A$2:$AH1001,MATCH("Slot",Equipment!$A$1:$AH$1,0),FALSE),"")</f>
        <v>Ring</v>
      </c>
      <c r="E210" s="20">
        <f>IFERROR(VLOOKUP($A210,Equipment!$A$2:$AH1001,MATCH("LevelReq",Equipment!$A$1:$AH$1,0),FALSE),"")</f>
        <v>1</v>
      </c>
      <c r="F210" s="18" t="str">
        <f>IFERROR(VLOOKUP($A210,Equipconvrt!$A$2:$AH1001,MATCH("Abilities",Equipconvrt!$A$1:$AH$1,0),FALSE),"")</f>
        <v> ++When you battle with any Undead target you can deal X2 more damage.</v>
      </c>
      <c r="G210" s="20">
        <f>IFERROR(VLOOKUP($A210,Equipment!$A$2:$AD1001,MATCH("Price",Equipment!$A$1:$AH$1,0),FALSE),"")</f>
        <v>0</v>
      </c>
      <c r="H210" s="4" t="b">
        <v>0</v>
      </c>
      <c r="I210" s="1" t="str">
        <f>IFERROR(VLOOKUP($A210,Equipment!$A$2:$AH1001,MATCH("EquipLoc",Equipment!$A$1:$AH$1,0),FALSE),"")</f>
        <v>Land of Spira</v>
      </c>
      <c r="L210" s="1" t="str">
        <f>IFERROR(__xludf.DUMMYFUNCTION("""COMPUTED_VALUE"""),"Iguanian Assassin's Pants")</f>
        <v>Iguanian Assassin's Pants</v>
      </c>
      <c r="W210" s="1" t="str">
        <f>IFERROR(__xludf.DUMMYFUNCTION("""COMPUTED_VALUE"""),"Ring of Pure Chaos")</f>
        <v>Ring of Pure Chaos</v>
      </c>
      <c r="X210" s="1" t="str">
        <f t="shared" si="1"/>
        <v/>
      </c>
    </row>
    <row r="211">
      <c r="A211" s="1" t="s">
        <v>717</v>
      </c>
      <c r="B211" s="18" t="str">
        <f>IFERROR(VLOOKUP($A211,Equipment!$A$2:$AH1001,MATCH("Description",Equipment!$A$1:$AH$1,0),FALSE),"")</f>
        <v/>
      </c>
      <c r="C211" s="18" t="str">
        <f>IFERROR(VLOOKUP($A211,Equipment!$A$2:$AH1001,MATCH("Type",Equipment!$A$1:$AH$1,0),FALSE),"")</f>
        <v/>
      </c>
      <c r="D211" s="18" t="str">
        <f>IFERROR(VLOOKUP($A211,Equipment!$A$2:$AH1001,MATCH("Slot",Equipment!$A$1:$AH$1,0),FALSE),"")</f>
        <v>Ring</v>
      </c>
      <c r="E211" s="20">
        <f>IFERROR(VLOOKUP($A211,Equipment!$A$2:$AH1001,MATCH("LevelReq",Equipment!$A$1:$AH$1,0),FALSE),"")</f>
        <v>1</v>
      </c>
      <c r="F211" s="18" t="str">
        <f>IFERROR(VLOOKUP($A211,Equipconvrt!$A$2:$AH1001,MATCH("Abilities",Equipconvrt!$A$1:$AH$1,0),FALSE),"")</f>
        <v> ++Make a fail/succeed roll to make a target forget they were fighting you. +-Cannot be duplicated</v>
      </c>
      <c r="G211" s="20">
        <f>IFERROR(VLOOKUP($A211,Equipment!$A$2:$AD1001,MATCH("Price",Equipment!$A$1:$AH$1,0),FALSE),"")</f>
        <v>0</v>
      </c>
      <c r="H211" s="4" t="b">
        <v>1</v>
      </c>
      <c r="I211" s="1" t="str">
        <f>IFERROR(VLOOKUP($A211,Equipment!$A$2:$AH1001,MATCH("EquipLoc",Equipment!$A$1:$AH$1,0),FALSE),"")</f>
        <v>Land of The Forgotten</v>
      </c>
      <c r="L211" s="1" t="str">
        <f>IFERROR(__xludf.DUMMYFUNCTION("""COMPUTED_VALUE"""),"Iguanian Assassin's Boots")</f>
        <v>Iguanian Assassin's Boots</v>
      </c>
      <c r="W211" s="1" t="str">
        <f>IFERROR(__xludf.DUMMYFUNCTION("""COMPUTED_VALUE"""),"Ring of Pure Defense")</f>
        <v>Ring of Pure Defense</v>
      </c>
      <c r="X211" s="1" t="str">
        <f t="shared" si="1"/>
        <v/>
      </c>
    </row>
    <row r="212">
      <c r="A212" s="1" t="s">
        <v>718</v>
      </c>
      <c r="B212" s="18" t="str">
        <f>IFERROR(VLOOKUP($A212,Equipment!$A$2:$AH1001,MATCH("Description",Equipment!$A$1:$AH$1,0),FALSE),"")</f>
        <v/>
      </c>
      <c r="C212" s="18" t="str">
        <f>IFERROR(VLOOKUP($A212,Equipment!$A$2:$AH1001,MATCH("Type",Equipment!$A$1:$AH$1,0),FALSE),"")</f>
        <v/>
      </c>
      <c r="D212" s="18" t="str">
        <f>IFERROR(VLOOKUP($A212,Equipment!$A$2:$AH1001,MATCH("Slot",Equipment!$A$1:$AH$1,0),FALSE),"")</f>
        <v>Ring</v>
      </c>
      <c r="E212" s="20">
        <f>IFERROR(VLOOKUP($A212,Equipment!$A$2:$AH1001,MATCH("LevelReq",Equipment!$A$1:$AH$1,0),FALSE),"")</f>
        <v>1</v>
      </c>
      <c r="F212" s="18" t="str">
        <f>IFERROR(VLOOKUP($A212,Equipconvrt!$A$2:$AH1001,MATCH("Abilities",Equipconvrt!$A$1:$AH$1,0),FALSE),"")</f>
        <v> ++Waves of Entitlement - x5 additional Water damage</v>
      </c>
      <c r="G212" s="20">
        <f>IFERROR(VLOOKUP($A212,Equipment!$A$2:$AD1001,MATCH("Price",Equipment!$A$1:$AH$1,0),FALSE),"")</f>
        <v>0</v>
      </c>
      <c r="H212" s="4" t="b">
        <v>0</v>
      </c>
      <c r="I212" s="1" t="str">
        <f>IFERROR(VLOOKUP($A212,Equipment!$A$2:$AH1001,MATCH("EquipLoc",Equipment!$A$1:$AH$1,0),FALSE),"")</f>
        <v>Land of Spira</v>
      </c>
      <c r="L212" s="1" t="str">
        <f>IFERROR(__xludf.DUMMYFUNCTION("""COMPUTED_VALUE"""),"Iguanian Assassin's Chakram")</f>
        <v>Iguanian Assassin's Chakram</v>
      </c>
      <c r="W212" s="1" t="str">
        <f>IFERROR(__xludf.DUMMYFUNCTION("""COMPUTED_VALUE"""),"Ring of Reflect")</f>
        <v>Ring of Reflect</v>
      </c>
      <c r="X212" s="1" t="str">
        <f t="shared" si="1"/>
        <v/>
      </c>
    </row>
    <row r="213">
      <c r="A213" s="1" t="s">
        <v>719</v>
      </c>
      <c r="B213" s="18" t="str">
        <f>IFERROR(VLOOKUP($A213,Equipment!$A$2:$AH1001,MATCH("Description",Equipment!$A$1:$AH$1,0),FALSE),"")</f>
        <v/>
      </c>
      <c r="C213" s="18" t="str">
        <f>IFERROR(VLOOKUP($A213,Equipment!$A$2:$AH1001,MATCH("Type",Equipment!$A$1:$AH$1,0),FALSE),"")</f>
        <v/>
      </c>
      <c r="D213" s="18" t="str">
        <f>IFERROR(VLOOKUP($A213,Equipment!$A$2:$AH1001,MATCH("Slot",Equipment!$A$1:$AH$1,0),FALSE),"")</f>
        <v>Ring</v>
      </c>
      <c r="E213" s="20">
        <f>IFERROR(VLOOKUP($A213,Equipment!$A$2:$AH1001,MATCH("LevelReq",Equipment!$A$1:$AH$1,0),FALSE),"")</f>
        <v>100</v>
      </c>
      <c r="F213" s="18" t="str">
        <f>IFERROR(VLOOKUP($A213,Equipconvrt!$A$2:$AH1001,MATCH("Abilities",Equipconvrt!$A$1:$AH$1,0),FALSE),"")</f>
        <v>, Water DEF: +5000 ++X4 additional water damage for self.</v>
      </c>
      <c r="G213" s="20">
        <f>IFERROR(VLOOKUP($A213,Equipment!$A$2:$AD1001,MATCH("Price",Equipment!$A$1:$AH$1,0),FALSE),"")</f>
        <v>450000</v>
      </c>
      <c r="H213" s="4" t="b">
        <v>0</v>
      </c>
      <c r="I213" s="1" t="str">
        <f>IFERROR(VLOOKUP($A213,Equipment!$A$2:$AH1001,MATCH("EquipLoc",Equipment!$A$1:$AH$1,0),FALSE),"")</f>
        <v>Land of Spira</v>
      </c>
      <c r="L213" s="1" t="str">
        <f>IFERROR(__xludf.DUMMYFUNCTION("""COMPUTED_VALUE"""),"Iguanian Assassin's Slicer")</f>
        <v>Iguanian Assassin's Slicer</v>
      </c>
      <c r="W213" s="1" t="str">
        <f>IFERROR(__xludf.DUMMYFUNCTION("""COMPUTED_VALUE"""),"Ring of the Bonded Undead")</f>
        <v>Ring of the Bonded Undead</v>
      </c>
      <c r="X213" s="1" t="str">
        <f t="shared" si="1"/>
        <v/>
      </c>
    </row>
    <row r="214">
      <c r="A214" s="1" t="s">
        <v>720</v>
      </c>
      <c r="B214" s="18" t="str">
        <f>IFERROR(VLOOKUP($A214,Equipment!$A$2:$AH1001,MATCH("Description",Equipment!$A$1:$AH$1,0),FALSE),"")</f>
        <v/>
      </c>
      <c r="C214" s="18" t="str">
        <f>IFERROR(VLOOKUP($A214,Equipment!$A$2:$AH1001,MATCH("Type",Equipment!$A$1:$AH$1,0),FALSE),"")</f>
        <v/>
      </c>
      <c r="D214" s="18" t="str">
        <f>IFERROR(VLOOKUP($A214,Equipment!$A$2:$AH1001,MATCH("Slot",Equipment!$A$1:$AH$1,0),FALSE),"")</f>
        <v>Torso</v>
      </c>
      <c r="E214" s="20">
        <f>IFERROR(VLOOKUP($A214,Equipment!$A$2:$AH1001,MATCH("LevelReq",Equipment!$A$1:$AH$1,0),FALSE),"")</f>
        <v>80</v>
      </c>
      <c r="F214" s="18" t="str">
        <f>IFERROR(VLOOKUP($A214,Equipconvrt!$A$2:$AH1001,MATCH("Abilities",Equipconvrt!$A$1:$AH$1,0),FALSE),"")</f>
        <v>DEF: +2000, Dark DEF: +2000 ++Instant Death Immunity. ++500HP +-Cannot be forged +-Cannot be duplicated</v>
      </c>
      <c r="G214" s="20">
        <f>IFERROR(VLOOKUP($A214,Equipment!$A$2:$AD1001,MATCH("Price",Equipment!$A$1:$AH$1,0),FALSE),"")</f>
        <v>280000</v>
      </c>
      <c r="H214" s="4" t="b">
        <v>0</v>
      </c>
      <c r="I214" s="1" t="str">
        <f>IFERROR(VLOOKUP($A214,Equipment!$A$2:$AH1001,MATCH("EquipLoc",Equipment!$A$1:$AH$1,0),FALSE),"")</f>
        <v>Land of Spira</v>
      </c>
      <c r="L214" s="1" t="str">
        <f>IFERROR(__xludf.DUMMYFUNCTION("""COMPUTED_VALUE"""),"Wyverntooth Smasher")</f>
        <v>Wyverntooth Smasher</v>
      </c>
      <c r="W214" s="1" t="str">
        <f>IFERROR(__xludf.DUMMYFUNCTION("""COMPUTED_VALUE"""),"Ring of the Forgotten")</f>
        <v>Ring of the Forgotten</v>
      </c>
      <c r="X214" s="1" t="str">
        <f t="shared" si="1"/>
        <v/>
      </c>
    </row>
    <row r="215">
      <c r="A215" s="1" t="s">
        <v>721</v>
      </c>
      <c r="B215" s="18" t="str">
        <f>IFERROR(VLOOKUP($A215,Equipment!$A$2:$AH1001,MATCH("Description",Equipment!$A$1:$AH$1,0),FALSE),"")</f>
        <v/>
      </c>
      <c r="C215" s="18" t="str">
        <f>IFERROR(VLOOKUP($A215,Equipment!$A$2:$AH1001,MATCH("Type",Equipment!$A$1:$AH$1,0),FALSE),"")</f>
        <v/>
      </c>
      <c r="D215" s="18" t="str">
        <f>IFERROR(VLOOKUP($A215,Equipment!$A$2:$AH1001,MATCH("Slot",Equipment!$A$1:$AH$1,0),FALSE),"")</f>
        <v>Torso</v>
      </c>
      <c r="E215" s="20">
        <f>IFERROR(VLOOKUP($A215,Equipment!$A$2:$AH1001,MATCH("LevelReq",Equipment!$A$1:$AH$1,0),FALSE),"")</f>
        <v>20</v>
      </c>
      <c r="F215" s="18" t="str">
        <f>IFERROR(VLOOKUP($A215,Equipconvrt!$A$2:$AH1001,MATCH("Abilities",Equipconvrt!$A$1:$AH$1,0),FALSE),"")</f>
        <v>DEF: +900 ++Shadow Disappear - When Equipped you are invulnerable to all damage for the first round of battle. </v>
      </c>
      <c r="G215" s="20">
        <f>IFERROR(VLOOKUP($A215,Equipment!$A$2:$AD1001,MATCH("Price",Equipment!$A$1:$AH$1,0),FALSE),"")</f>
        <v>1000</v>
      </c>
      <c r="H215" s="4" t="b">
        <v>1</v>
      </c>
      <c r="I215" s="1" t="str">
        <f>IFERROR(VLOOKUP($A215,Equipment!$A$2:$AH1001,MATCH("EquipLoc",Equipment!$A$1:$AH$1,0),FALSE),"")</f>
        <v>Land of Spira</v>
      </c>
      <c r="L215" s="1" t="str">
        <f>IFERROR(__xludf.DUMMYFUNCTION("""COMPUTED_VALUE"""),"Wyvernblade")</f>
        <v>Wyvernblade</v>
      </c>
      <c r="W215" s="1" t="str">
        <f>IFERROR(__xludf.DUMMYFUNCTION("""COMPUTED_VALUE"""),"Ring Of Tritonoch")</f>
        <v>Ring Of Tritonoch</v>
      </c>
      <c r="X215" s="1" t="str">
        <f t="shared" si="1"/>
        <v/>
      </c>
    </row>
    <row r="216">
      <c r="A216" s="1" t="s">
        <v>722</v>
      </c>
      <c r="B216" s="18" t="str">
        <f>IFERROR(VLOOKUP($A216,Equipment!$A$2:$AH1001,MATCH("Description",Equipment!$A$1:$AH$1,0),FALSE),"")</f>
        <v/>
      </c>
      <c r="C216" s="18" t="str">
        <f>IFERROR(VLOOKUP($A216,Equipment!$A$2:$AH1001,MATCH("Type",Equipment!$A$1:$AH$1,0),FALSE),"")</f>
        <v/>
      </c>
      <c r="D216" s="18" t="str">
        <f>IFERROR(VLOOKUP($A216,Equipment!$A$2:$AH1001,MATCH("Slot",Equipment!$A$1:$AH$1,0),FALSE),"")</f>
        <v>Torso</v>
      </c>
      <c r="E216" s="20">
        <f>IFERROR(VLOOKUP($A216,Equipment!$A$2:$AH1001,MATCH("LevelReq",Equipment!$A$1:$AH$1,0),FALSE),"")</f>
        <v>1</v>
      </c>
      <c r="F216" s="18" t="str">
        <f>IFERROR(VLOOKUP($A216,Equipconvrt!$A$2:$AH1001,MATCH("Abilities",Equipconvrt!$A$1:$AH$1,0),FALSE),"")</f>
        <v> ++Peaceful Blessing - Incapable of receiving or dealing damage. +-Cannot be duplicated.</v>
      </c>
      <c r="G216" s="20">
        <f>IFERROR(VLOOKUP($A216,Equipment!$A$2:$AD1001,MATCH("Price",Equipment!$A$1:$AH$1,0),FALSE),"")</f>
        <v>0</v>
      </c>
      <c r="H216" s="4" t="b">
        <v>1</v>
      </c>
      <c r="I216" s="1" t="str">
        <f>IFERROR(VLOOKUP($A216,Equipment!$A$2:$AH1001,MATCH("EquipLoc",Equipment!$A$1:$AH$1,0),FALSE),"")</f>
        <v>Land of Spira</v>
      </c>
      <c r="L216" s="1" t="str">
        <f>IFERROR(__xludf.DUMMYFUNCTION("""COMPUTED_VALUE"""),"Wyvernscale Ring")</f>
        <v>Wyvernscale Ring</v>
      </c>
      <c r="W216" s="1" t="str">
        <f>IFERROR(__xludf.DUMMYFUNCTION("""COMPUTED_VALUE"""),"Ring of Waking Waters")</f>
        <v>Ring of Waking Waters</v>
      </c>
      <c r="X216" s="1" t="str">
        <f t="shared" si="1"/>
        <v/>
      </c>
    </row>
    <row r="217">
      <c r="A217" s="1" t="s">
        <v>723</v>
      </c>
      <c r="B217" s="18" t="str">
        <f>IFERROR(VLOOKUP($A217,Equipment!$A$2:$AH1001,MATCH("Description",Equipment!$A$1:$AH$1,0),FALSE),"")</f>
        <v/>
      </c>
      <c r="C217" s="18" t="str">
        <f>IFERROR(VLOOKUP($A217,Equipment!$A$2:$AH1001,MATCH("Type",Equipment!$A$1:$AH$1,0),FALSE),"")</f>
        <v/>
      </c>
      <c r="D217" s="18" t="str">
        <f>IFERROR(VLOOKUP($A217,Equipment!$A$2:$AH1001,MATCH("Slot",Equipment!$A$1:$AH$1,0),FALSE),"")</f>
        <v>Neck</v>
      </c>
      <c r="E217" s="20">
        <f>IFERROR(VLOOKUP($A217,Equipment!$A$2:$AH1001,MATCH("LevelReq",Equipment!$A$1:$AH$1,0),FALSE),"")</f>
        <v>1</v>
      </c>
      <c r="F217" s="18" t="str">
        <f>IFERROR(VLOOKUP($A217,Equipconvrt!$A$2:$AH1001,MATCH("Abilities",Equipconvrt!$A$1:$AH$1,0),FALSE),"")</f>
        <v> ++ immune to fire dmg</v>
      </c>
      <c r="G217" s="20">
        <f>IFERROR(VLOOKUP($A217,Equipment!$A$2:$AD1001,MATCH("Price",Equipment!$A$1:$AH$1,0),FALSE),"")</f>
        <v>0</v>
      </c>
      <c r="H217" s="4" t="b">
        <v>1</v>
      </c>
      <c r="I217" s="1" t="str">
        <f>IFERROR(VLOOKUP($A217,Equipment!$A$2:$AH1001,MATCH("EquipLoc",Equipment!$A$1:$AH$1,0),FALSE),"")</f>
        <v>Land of Spira</v>
      </c>
      <c r="L217" s="1" t="str">
        <f>IFERROR(__xludf.DUMMYFUNCTION("""COMPUTED_VALUE"""),"Wyvern Hood")</f>
        <v>Wyvern Hood</v>
      </c>
      <c r="W217" s="1" t="str">
        <f>IFERROR(__xludf.DUMMYFUNCTION("""COMPUTED_VALUE"""),"Robe of The Cultist")</f>
        <v>Robe of The Cultist</v>
      </c>
      <c r="X217" s="1" t="str">
        <f t="shared" si="1"/>
        <v/>
      </c>
    </row>
    <row r="218">
      <c r="A218" s="1" t="s">
        <v>724</v>
      </c>
      <c r="B218" s="18" t="str">
        <f>IFERROR(VLOOKUP($A218,Equipment!$A$2:$AH1001,MATCH("Description",Equipment!$A$1:$AH$1,0),FALSE),"")</f>
        <v>Quest Item</v>
      </c>
      <c r="C218" s="18" t="str">
        <f>IFERROR(VLOOKUP($A218,Equipment!$A$2:$AH1001,MATCH("Type",Equipment!$A$1:$AH$1,0),FALSE),"")</f>
        <v/>
      </c>
      <c r="D218" s="18" t="str">
        <f>IFERROR(VLOOKUP($A218,Equipment!$A$2:$AH1001,MATCH("Slot",Equipment!$A$1:$AH$1,0),FALSE),"")</f>
        <v>Hand</v>
      </c>
      <c r="E218" s="20">
        <f>IFERROR(VLOOKUP($A218,Equipment!$A$2:$AH1001,MATCH("LevelReq",Equipment!$A$1:$AH$1,0),FALSE),"")</f>
        <v>200</v>
      </c>
      <c r="F218" s="18" t="str">
        <f>IFERROR(VLOOKUP($A218,Equipconvrt!$A$2:$AH1001,MATCH("Abilities",Equipconvrt!$A$1:$AH$1,0),FALSE),"")</f>
        <v>DMG: +50000, Light DMG: +50000, Celestial DMG: +50000 ++X4 additional Weapon Damage. +-Cannot be duplicated.</v>
      </c>
      <c r="G218" s="20">
        <f>IFERROR(VLOOKUP($A218,Equipment!$A$2:$AD1001,MATCH("Price",Equipment!$A$1:$AH$1,0),FALSE),"")</f>
        <v>448500000</v>
      </c>
      <c r="H218" s="4" t="b">
        <v>1</v>
      </c>
      <c r="I218" s="1" t="str">
        <f>IFERROR(VLOOKUP($A218,Equipment!$A$2:$AH1001,MATCH("EquipLoc",Equipment!$A$1:$AH$1,0),FALSE),"")</f>
        <v>Land of Spira</v>
      </c>
      <c r="L218" s="1" t="str">
        <f>IFERROR(__xludf.DUMMYFUNCTION("""COMPUTED_VALUE"""),"Wyvernarang")</f>
        <v>Wyvernarang</v>
      </c>
      <c r="W218" s="1" t="str">
        <f>IFERROR(__xludf.DUMMYFUNCTION("""COMPUTED_VALUE"""),"Robe of Vanish")</f>
        <v>Robe of Vanish</v>
      </c>
      <c r="X218" s="1" t="str">
        <f t="shared" si="1"/>
        <v/>
      </c>
    </row>
    <row r="219">
      <c r="A219" s="1" t="s">
        <v>725</v>
      </c>
      <c r="B219" s="18" t="str">
        <f>IFERROR(VLOOKUP($A219,Equipment!$A$2:$AH1001,MATCH("Description",Equipment!$A$1:$AH$1,0),FALSE),"")</f>
        <v>Quest Item</v>
      </c>
      <c r="C219" s="18" t="str">
        <f>IFERROR(VLOOKUP($A219,Equipment!$A$2:$AH1001,MATCH("Type",Equipment!$A$1:$AH$1,0),FALSE),"")</f>
        <v/>
      </c>
      <c r="D219" s="18" t="str">
        <f>IFERROR(VLOOKUP($A219,Equipment!$A$2:$AH1001,MATCH("Slot",Equipment!$A$1:$AH$1,0),FALSE),"")</f>
        <v>Head</v>
      </c>
      <c r="E219" s="20">
        <f>IFERROR(VLOOKUP($A219,Equipment!$A$2:$AH1001,MATCH("LevelReq",Equipment!$A$1:$AH$1,0),FALSE),"")</f>
        <v>200</v>
      </c>
      <c r="F219" s="18" t="str">
        <f>IFERROR(VLOOKUP($A219,Equipconvrt!$A$2:$AH1001,MATCH("Abilities",Equipconvrt!$A$1:$AH$1,0),FALSE),"")</f>
        <v>DEF: +50000, Light DEF: +50000, Celestial DEF: +50000 ++X4 Additional Weapon damage. ++X2 Additional Defense. +-Cannot be duplicated.</v>
      </c>
      <c r="G219" s="20">
        <f>IFERROR(VLOOKUP($A219,Equipment!$A$2:$AD1001,MATCH("Price",Equipment!$A$1:$AH$1,0),FALSE),"")</f>
        <v>448500000</v>
      </c>
      <c r="H219" s="4" t="b">
        <v>1</v>
      </c>
      <c r="I219" s="1" t="str">
        <f>IFERROR(VLOOKUP($A219,Equipment!$A$2:$AH1001,MATCH("EquipLoc",Equipment!$A$1:$AH$1,0),FALSE),"")</f>
        <v>Land of Spira</v>
      </c>
      <c r="L219" s="1" t="str">
        <f>IFERROR(__xludf.DUMMYFUNCTION("""COMPUTED_VALUE"""),"Iguanian Assassin's Memento")</f>
        <v>Iguanian Assassin's Memento</v>
      </c>
      <c r="W219" s="1" t="str">
        <f>IFERROR(__xludf.DUMMYFUNCTION("""COMPUTED_VALUE"""),"Robes of a Peaceful Immortal")</f>
        <v>Robes of a Peaceful Immortal</v>
      </c>
      <c r="X219" s="1" t="str">
        <f t="shared" si="1"/>
        <v/>
      </c>
    </row>
    <row r="220">
      <c r="A220" s="1" t="s">
        <v>726</v>
      </c>
      <c r="B220" s="18" t="str">
        <f>IFERROR(VLOOKUP($A220,Equipment!$A$2:$AH1001,MATCH("Description",Equipment!$A$1:$AH$1,0),FALSE),"")</f>
        <v>Quest Item</v>
      </c>
      <c r="C220" s="18" t="str">
        <f>IFERROR(VLOOKUP($A220,Equipment!$A$2:$AH1001,MATCH("Type",Equipment!$A$1:$AH$1,0),FALSE),"")</f>
        <v/>
      </c>
      <c r="D220" s="18" t="str">
        <f>IFERROR(VLOOKUP($A220,Equipment!$A$2:$AH1001,MATCH("Slot",Equipment!$A$1:$AH$1,0),FALSE),"")</f>
        <v>Torso</v>
      </c>
      <c r="E220" s="20">
        <f>IFERROR(VLOOKUP($A220,Equipment!$A$2:$AH1001,MATCH("LevelReq",Equipment!$A$1:$AH$1,0),FALSE),"")</f>
        <v>200</v>
      </c>
      <c r="F220" s="18" t="str">
        <f>IFERROR(VLOOKUP($A220,Equipconvrt!$A$2:$AH1001,MATCH("Abilities",Equipconvrt!$A$1:$AH$1,0),FALSE),"")</f>
        <v>DEF: +50000, Light DEF: +50000, Celestial DEF: +50000 ++X4 Additional Weapon damage. ++X2 Additional Defense. +-Cannot be duplicated.</v>
      </c>
      <c r="G220" s="20">
        <f>IFERROR(VLOOKUP($A220,Equipment!$A$2:$AD1001,MATCH("Price",Equipment!$A$1:$AH$1,0),FALSE),"")</f>
        <v>448500000</v>
      </c>
      <c r="H220" s="4" t="b">
        <v>1</v>
      </c>
      <c r="I220" s="1" t="str">
        <f>IFERROR(VLOOKUP($A220,Equipment!$A$2:$AH1001,MATCH("EquipLoc",Equipment!$A$1:$AH$1,0),FALSE),"")</f>
        <v>Land of Spira</v>
      </c>
      <c r="L220" s="1" t="str">
        <f>IFERROR(__xludf.DUMMYFUNCTION("""COMPUTED_VALUE"""),"Salamander Boots")</f>
        <v>Salamander Boots</v>
      </c>
      <c r="W220" s="1" t="str">
        <f>IFERROR(__xludf.DUMMYFUNCTION("""COMPUTED_VALUE"""),"Royal Amulet Of Heatmore")</f>
        <v>Royal Amulet Of Heatmore</v>
      </c>
      <c r="X220" s="1" t="str">
        <f t="shared" si="1"/>
        <v/>
      </c>
    </row>
    <row r="221">
      <c r="A221" s="1" t="s">
        <v>727</v>
      </c>
      <c r="B221" s="18" t="str">
        <f>IFERROR(VLOOKUP($A221,Equipment!$A$2:$AH1001,MATCH("Description",Equipment!$A$1:$AH$1,0),FALSE),"")</f>
        <v>Quest Item</v>
      </c>
      <c r="C221" s="18" t="str">
        <f>IFERROR(VLOOKUP($A221,Equipment!$A$2:$AH1001,MATCH("Type",Equipment!$A$1:$AH$1,0),FALSE),"")</f>
        <v/>
      </c>
      <c r="D221" s="18" t="str">
        <f>IFERROR(VLOOKUP($A221,Equipment!$A$2:$AH1001,MATCH("Slot",Equipment!$A$1:$AH$1,0),FALSE),"")</f>
        <v>Feet</v>
      </c>
      <c r="E221" s="20">
        <f>IFERROR(VLOOKUP($A221,Equipment!$A$2:$AH1001,MATCH("LevelReq",Equipment!$A$1:$AH$1,0),FALSE),"")</f>
        <v>200</v>
      </c>
      <c r="F221" s="18" t="str">
        <f>IFERROR(VLOOKUP($A221,Equipconvrt!$A$2:$AH1001,MATCH("Abilities",Equipconvrt!$A$1:$AH$1,0),FALSE),"")</f>
        <v>DEF: +50000, Light DEF: +50000, Celestial DEF: +50000 ++X4 Additional Weapon damage. ++X2 Additional Defense. +-Cannot be duplicated.</v>
      </c>
      <c r="G221" s="20">
        <f>IFERROR(VLOOKUP($A221,Equipment!$A$2:$AD1001,MATCH("Price",Equipment!$A$1:$AH$1,0),FALSE),"")</f>
        <v>448500000</v>
      </c>
      <c r="H221" s="4" t="b">
        <v>1</v>
      </c>
      <c r="I221" s="1" t="str">
        <f>IFERROR(VLOOKUP($A221,Equipment!$A$2:$AH1001,MATCH("EquipLoc",Equipment!$A$1:$AH$1,0),FALSE),"")</f>
        <v>Land of Spira</v>
      </c>
      <c r="L221" s="1" t="str">
        <f>IFERROR(__xludf.DUMMYFUNCTION("""COMPUTED_VALUE"""),"Salamanderscale Chainmail")</f>
        <v>Salamanderscale Chainmail</v>
      </c>
      <c r="W221" s="1" t="str">
        <f>IFERROR(__xludf.DUMMYFUNCTION("""COMPUTED_VALUE"""),"Royal Guard Axe")</f>
        <v>Royal Guard Axe</v>
      </c>
      <c r="X221" s="1" t="str">
        <f t="shared" si="1"/>
        <v/>
      </c>
    </row>
    <row r="222">
      <c r="A222" s="1" t="s">
        <v>728</v>
      </c>
      <c r="B222" s="18" t="str">
        <f>IFERROR(VLOOKUP($A222,Equipment!$A$2:$AH1001,MATCH("Description",Equipment!$A$1:$AH$1,0),FALSE),"")</f>
        <v>Quest Item</v>
      </c>
      <c r="C222" s="18" t="str">
        <f>IFERROR(VLOOKUP($A222,Equipment!$A$2:$AH1001,MATCH("Type",Equipment!$A$1:$AH$1,0),FALSE),"")</f>
        <v/>
      </c>
      <c r="D222" s="18" t="str">
        <f>IFERROR(VLOOKUP($A222,Equipment!$A$2:$AH1001,MATCH("Slot",Equipment!$A$1:$AH$1,0),FALSE),"")</f>
        <v>Legs</v>
      </c>
      <c r="E222" s="20">
        <f>IFERROR(VLOOKUP($A222,Equipment!$A$2:$AH1001,MATCH("LevelReq",Equipment!$A$1:$AH$1,0),FALSE),"")</f>
        <v>200</v>
      </c>
      <c r="F222" s="18" t="str">
        <f>IFERROR(VLOOKUP($A222,Equipconvrt!$A$2:$AH1001,MATCH("Abilities",Equipconvrt!$A$1:$AH$1,0),FALSE),"")</f>
        <v>DEF: +50000, Light DEF: +50000, Celestial DEF: +50000 ++X4 Additional Weapon damage. ++X2 Additional Defense. +-Cannot be duplicated.</v>
      </c>
      <c r="G222" s="20">
        <f>IFERROR(VLOOKUP($A222,Equipment!$A$2:$AD1001,MATCH("Price",Equipment!$A$1:$AH$1,0),FALSE),"")</f>
        <v>448500000</v>
      </c>
      <c r="H222" s="4" t="b">
        <v>1</v>
      </c>
      <c r="I222" s="1" t="str">
        <f>IFERROR(VLOOKUP($A222,Equipment!$A$2:$AH1001,MATCH("EquipLoc",Equipment!$A$1:$AH$1,0),FALSE),"")</f>
        <v>Land of Spira</v>
      </c>
      <c r="L222" s="1" t="str">
        <f>IFERROR(__xludf.DUMMYFUNCTION("""COMPUTED_VALUE"""),"Iguanian Brawler's Headband")</f>
        <v>Iguanian Brawler's Headband</v>
      </c>
      <c r="W222" s="1" t="str">
        <f>IFERROR(__xludf.DUMMYFUNCTION("""COMPUTED_VALUE"""),"Royal Guard Helmet")</f>
        <v>Royal Guard Helmet</v>
      </c>
      <c r="X222" s="1" t="str">
        <f t="shared" si="1"/>
        <v/>
      </c>
    </row>
    <row r="223">
      <c r="A223" s="1" t="s">
        <v>729</v>
      </c>
      <c r="B223" s="18" t="str">
        <f>IFERROR(VLOOKUP($A223,Equipment!$A$2:$AH1001,MATCH("Description",Equipment!$A$1:$AH$1,0),FALSE),"")</f>
        <v/>
      </c>
      <c r="C223" s="18" t="str">
        <f>IFERROR(VLOOKUP($A223,Equipment!$A$2:$AH1001,MATCH("Type",Equipment!$A$1:$AH$1,0),FALSE),"")</f>
        <v>Towershield</v>
      </c>
      <c r="D223" s="18" t="str">
        <f>IFERROR(VLOOKUP($A223,Equipment!$A$2:$AH1001,MATCH("Slot",Equipment!$A$1:$AH$1,0),FALSE),"")</f>
        <v>Hand</v>
      </c>
      <c r="E223" s="20">
        <f>IFERROR(VLOOKUP($A223,Equipment!$A$2:$AH1001,MATCH("LevelReq",Equipment!$A$1:$AH$1,0),FALSE),"")</f>
        <v>20</v>
      </c>
      <c r="F223" s="18" t="str">
        <f>IFERROR(VLOOKUP($A223,Equipconvrt!$A$2:$AH1001,MATCH("Abilities",Equipconvrt!$A$1:$AH$1,0),FALSE),"")</f>
        <v>DEF: +1000 ++Royal Block - Gan invulnerability to all damage for 3 rounds of battle. 5000SP Will Succeed.</v>
      </c>
      <c r="G223" s="20">
        <f>IFERROR(VLOOKUP($A223,Equipment!$A$2:$AD1001,MATCH("Price",Equipment!$A$1:$AH$1,0),FALSE),"")</f>
        <v>10000</v>
      </c>
      <c r="H223" s="4" t="b">
        <v>0</v>
      </c>
      <c r="I223" s="1" t="str">
        <f>IFERROR(VLOOKUP($A223,Equipment!$A$2:$AH1001,MATCH("EquipLoc",Equipment!$A$1:$AH$1,0),FALSE),"")</f>
        <v>Land of Spira</v>
      </c>
      <c r="L223" s="1" t="str">
        <f>IFERROR(__xludf.DUMMYFUNCTION("""COMPUTED_VALUE"""),"Iguanian Brawler's Cape")</f>
        <v>Iguanian Brawler's Cape</v>
      </c>
      <c r="W223" s="1" t="str">
        <f>IFERROR(__xludf.DUMMYFUNCTION("""COMPUTED_VALUE"""),"Royal Guard Chestplate")</f>
        <v>Royal Guard Chestplate</v>
      </c>
      <c r="X223" s="1" t="str">
        <f t="shared" si="1"/>
        <v/>
      </c>
    </row>
    <row r="224">
      <c r="A224" s="1" t="s">
        <v>730</v>
      </c>
      <c r="B224" s="18" t="str">
        <f>IFERROR(VLOOKUP($A224,Equipment!$A$2:$AH1001,MATCH("Description",Equipment!$A$1:$AH$1,0),FALSE),"")</f>
        <v/>
      </c>
      <c r="C224" s="18" t="str">
        <f>IFERROR(VLOOKUP($A224,Equipment!$A$2:$AH1001,MATCH("Type",Equipment!$A$1:$AH$1,0),FALSE),"")</f>
        <v>Spear</v>
      </c>
      <c r="D224" s="18" t="str">
        <f>IFERROR(VLOOKUP($A224,Equipment!$A$2:$AH1001,MATCH("Slot",Equipment!$A$1:$AH$1,0),FALSE),"")</f>
        <v>Hand</v>
      </c>
      <c r="E224" s="20">
        <f>IFERROR(VLOOKUP($A224,Equipment!$A$2:$AH1001,MATCH("LevelReq",Equipment!$A$1:$AH$1,0),FALSE),"")</f>
        <v>400</v>
      </c>
      <c r="F224" s="18" t="str">
        <f>IFERROR(VLOOKUP($A224,Equipconvrt!$A$2:$AH1001,MATCH("Abilities",Equipconvrt!$A$1:$AH$1,0),FALSE),"")</f>
        <v>DMG: +10000, Fire DMG: +10000 ++Royal Stance -  Shuttering 1 for the first round of battle.</v>
      </c>
      <c r="G224" s="20">
        <f>IFERROR(VLOOKUP($A224,Equipment!$A$2:$AD1001,MATCH("Price",Equipment!$A$1:$AH$1,0),FALSE),"")</f>
        <v>7800000</v>
      </c>
      <c r="H224" s="4" t="b">
        <v>0</v>
      </c>
      <c r="I224" s="1" t="str">
        <f>IFERROR(VLOOKUP($A224,Equipment!$A$2:$AH1001,MATCH("EquipLoc",Equipment!$A$1:$AH$1,0),FALSE),"")</f>
        <v>Land of Spira</v>
      </c>
      <c r="L224" s="1" t="str">
        <f>IFERROR(__xludf.DUMMYFUNCTION("""COMPUTED_VALUE"""),"Iguanian Brawler's Sash")</f>
        <v>Iguanian Brawler's Sash</v>
      </c>
      <c r="W224" s="1" t="str">
        <f>IFERROR(__xludf.DUMMYFUNCTION("""COMPUTED_VALUE"""),"Royal Guard Boots")</f>
        <v>Royal Guard Boots</v>
      </c>
      <c r="X224" s="1" t="str">
        <f t="shared" si="1"/>
        <v/>
      </c>
    </row>
    <row r="225">
      <c r="A225" s="1" t="s">
        <v>731</v>
      </c>
      <c r="B225" s="18" t="str">
        <f>IFERROR(VLOOKUP($A225,Equipment!$A$2:$AH1001,MATCH("Description",Equipment!$A$1:$AH$1,0),FALSE),"")</f>
        <v/>
      </c>
      <c r="C225" s="18" t="str">
        <f>IFERROR(VLOOKUP($A225,Equipment!$A$2:$AH1001,MATCH("Type",Equipment!$A$1:$AH$1,0),FALSE),"")</f>
        <v>Sword</v>
      </c>
      <c r="D225" s="18" t="str">
        <f>IFERROR(VLOOKUP($A225,Equipment!$A$2:$AH1001,MATCH("Slot",Equipment!$A$1:$AH$1,0),FALSE),"")</f>
        <v>Hand</v>
      </c>
      <c r="E225" s="20">
        <f>IFERROR(VLOOKUP($A225,Equipment!$A$2:$AH1001,MATCH("LevelReq",Equipment!$A$1:$AH$1,0),FALSE),"")</f>
        <v>900</v>
      </c>
      <c r="F225" s="18" t="str">
        <f>IFERROR(VLOOKUP($A225,Equipconvrt!$A$2:$AH1001,MATCH("Abilities",Equipconvrt!$A$1:$AH$1,0),FALSE),"")</f>
        <v>DMG: +15000, Dark DMG: +15000, Chaos DMG: +15000 ++Dark and Chaos Weapons and Spells deal an additional X2 damage while this item is equipped.. +-Cannot be duplicated.</v>
      </c>
      <c r="G225" s="20">
        <f>IFERROR(VLOOKUP($A225,Equipment!$A$2:$AD1001,MATCH("Price",Equipment!$A$1:$AH$1,0),FALSE),"")</f>
        <v>40050000</v>
      </c>
      <c r="H225" s="4" t="b">
        <v>0</v>
      </c>
      <c r="I225" s="1" t="str">
        <f>IFERROR(VLOOKUP($A225,Equipment!$A$2:$AH1001,MATCH("EquipLoc",Equipment!$A$1:$AH$1,0),FALSE),"")</f>
        <v>Land of Spira</v>
      </c>
      <c r="L225" s="1" t="str">
        <f>IFERROR(__xludf.DUMMYFUNCTION("""COMPUTED_VALUE"""),"Iguanian Brawler's Arm Wraps")</f>
        <v>Iguanian Brawler's Arm Wraps</v>
      </c>
      <c r="W225" s="1" t="str">
        <f>IFERROR(__xludf.DUMMYFUNCTION("""COMPUTED_VALUE"""),"Royal Guard Greaves")</f>
        <v>Royal Guard Greaves</v>
      </c>
      <c r="X225" s="1" t="str">
        <f t="shared" si="1"/>
        <v/>
      </c>
    </row>
    <row r="226">
      <c r="A226" s="1" t="s">
        <v>732</v>
      </c>
      <c r="B226" s="18" t="str">
        <f>IFERROR(VLOOKUP($A226,Equipment!$A$2:$AH1001,MATCH("Description",Equipment!$A$1:$AH$1,0),FALSE),"")</f>
        <v/>
      </c>
      <c r="C226" s="18" t="str">
        <f>IFERROR(VLOOKUP($A226,Equipment!$A$2:$AH1001,MATCH("Type",Equipment!$A$1:$AH$1,0),FALSE),"")</f>
        <v>Sword</v>
      </c>
      <c r="D226" s="18" t="str">
        <f>IFERROR(VLOOKUP($A226,Equipment!$A$2:$AH1001,MATCH("Slot",Equipment!$A$1:$AH$1,0),FALSE),"")</f>
        <v>Hand</v>
      </c>
      <c r="E226" s="20">
        <f>IFERROR(VLOOKUP($A226,Equipment!$A$2:$AH1001,MATCH("LevelReq",Equipment!$A$1:$AH$1,0),FALSE),"")</f>
        <v>1</v>
      </c>
      <c r="F226" s="18" t="str">
        <f>IFERROR(VLOOKUP($A226,Equipconvrt!$A$2:$AH1001,MATCH("Abilities",Equipconvrt!$A$1:$AH$1,0),FALSE),"")</f>
        <v>DMG: +60 ++25% chance to break with each use</v>
      </c>
      <c r="G226" s="20">
        <f>IFERROR(VLOOKUP($A226,Equipment!$A$2:$AD1001,MATCH("Price",Equipment!$A$1:$AH$1,0),FALSE),"")</f>
        <v>0</v>
      </c>
      <c r="H226" s="4" t="b">
        <v>0</v>
      </c>
      <c r="I226" s="1" t="str">
        <f>IFERROR(VLOOKUP($A226,Equipment!$A$2:$AH1001,MATCH("EquipLoc",Equipment!$A$1:$AH$1,0),FALSE),"")</f>
        <v>Land of Spira</v>
      </c>
      <c r="L226" s="1" t="str">
        <f>IFERROR(__xludf.DUMMYFUNCTION("""COMPUTED_VALUE"""),"Iguanian Brawler's Shorts")</f>
        <v>Iguanian Brawler's Shorts</v>
      </c>
      <c r="W226" s="1" t="str">
        <f>IFERROR(__xludf.DUMMYFUNCTION("""COMPUTED_VALUE"""),"Royal Keeper Shield")</f>
        <v>Royal Keeper Shield</v>
      </c>
      <c r="X226" s="1" t="str">
        <f t="shared" si="1"/>
        <v/>
      </c>
    </row>
    <row r="227">
      <c r="A227" s="1" t="s">
        <v>733</v>
      </c>
      <c r="B227" s="18" t="str">
        <f>IFERROR(VLOOKUP($A227,Equipment!$A$2:$AH1001,MATCH("Description",Equipment!$A$1:$AH$1,0),FALSE),"")</f>
        <v>A sword crafted from the teeth of a saber toothed cat.</v>
      </c>
      <c r="C227" s="18" t="str">
        <f>IFERROR(VLOOKUP($A227,Equipment!$A$2:$AH1001,MATCH("Type",Equipment!$A$1:$AH$1,0),FALSE),"")</f>
        <v>Sword</v>
      </c>
      <c r="D227" s="18" t="str">
        <f>IFERROR(VLOOKUP($A227,Equipment!$A$2:$AH1001,MATCH("Slot",Equipment!$A$1:$AH$1,0),FALSE),"")</f>
        <v>Hand</v>
      </c>
      <c r="E227" s="20">
        <f>IFERROR(VLOOKUP($A227,Equipment!$A$2:$AH1001,MATCH("LevelReq",Equipment!$A$1:$AH$1,0),FALSE),"")</f>
        <v>2200</v>
      </c>
      <c r="F227" s="18" t="str">
        <f>IFERROR(VLOOKUP($A227,Equipconvrt!$A$2:$AH1001,MATCH("Abilities",Equipconvrt!$A$1:$AH$1,0),FALSE),"")</f>
        <v>DMG: +60000, Blood DMG: +50000 ++X2 additional blood damage.</v>
      </c>
      <c r="G227" s="20">
        <f>IFERROR(VLOOKUP($A227,Equipment!$A$2:$AD1001,MATCH("Price",Equipment!$A$1:$AH$1,0),FALSE),"")</f>
        <v>240900000</v>
      </c>
      <c r="H227" s="4" t="b">
        <v>0</v>
      </c>
      <c r="I227" s="1" t="str">
        <f>IFERROR(VLOOKUP($A227,Equipment!$A$2:$AH1001,MATCH("EquipLoc",Equipment!$A$1:$AH$1,0),FALSE),"")</f>
        <v>Abstara</v>
      </c>
      <c r="L227" s="1" t="str">
        <f>IFERROR(__xludf.DUMMYFUNCTION("""COMPUTED_VALUE"""),"Iguanian Brawler's Sandals")</f>
        <v>Iguanian Brawler's Sandals</v>
      </c>
      <c r="W227" s="1" t="str">
        <f>IFERROR(__xludf.DUMMYFUNCTION("""COMPUTED_VALUE"""),"Royal Keeper Spear")</f>
        <v>Royal Keeper Spear</v>
      </c>
      <c r="X227" s="1" t="str">
        <f t="shared" si="1"/>
        <v/>
      </c>
    </row>
    <row r="228">
      <c r="A228" s="1" t="s">
        <v>734</v>
      </c>
      <c r="B228" s="18" t="str">
        <f>IFERROR(VLOOKUP($A228,Equipment!$A$2:$AH1001,MATCH("Description",Equipment!$A$1:$AH$1,0),FALSE),"")</f>
        <v>An ancient relic to Zhenmay</v>
      </c>
      <c r="C228" s="18" t="str">
        <f>IFERROR(VLOOKUP($A228,Equipment!$A$2:$AH1001,MATCH("Type",Equipment!$A$1:$AH$1,0),FALSE),"")</f>
        <v/>
      </c>
      <c r="D228" s="18" t="str">
        <f>IFERROR(VLOOKUP($A228,Equipment!$A$2:$AH1001,MATCH("Slot",Equipment!$A$1:$AH$1,0),FALSE),"")</f>
        <v>Torso</v>
      </c>
      <c r="E228" s="20">
        <f>IFERROR(VLOOKUP($A228,Equipment!$A$2:$AH1001,MATCH("LevelReq",Equipment!$A$1:$AH$1,0),FALSE),"")</f>
        <v>200</v>
      </c>
      <c r="F228" s="18" t="str">
        <f>IFERROR(VLOOKUP($A228,Equipconvrt!$A$2:$AH1001,MATCH("Abilities",Equipconvrt!$A$1:$AH$1,0),FALSE),"")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duplicated or forged.</v>
      </c>
      <c r="G228" s="20">
        <f>IFERROR(VLOOKUP($A228,Equipment!$A$2:$AD1001,MATCH("Price",Equipment!$A$1:$AH$1,0),FALSE),"")</f>
        <v>510400000</v>
      </c>
      <c r="H228" s="4" t="b">
        <v>0</v>
      </c>
      <c r="I228" s="1" t="str">
        <f>IFERROR(VLOOKUP($A228,Equipment!$A$2:$AH1001,MATCH("EquipLoc",Equipment!$A$1:$AH$1,0),FALSE),"")</f>
        <v>Land of Spira</v>
      </c>
      <c r="L228" s="1" t="str">
        <f>IFERROR(__xludf.DUMMYFUNCTION("""COMPUTED_VALUE"""),"Iguanian Brawler's Knuckles")</f>
        <v>Iguanian Brawler's Knuckles</v>
      </c>
      <c r="W228" s="1" t="str">
        <f>IFERROR(__xludf.DUMMYFUNCTION("""COMPUTED_VALUE"""),"Royal Sword of Chaotic Shadows")</f>
        <v>Royal Sword of Chaotic Shadows</v>
      </c>
      <c r="X228" s="1" t="str">
        <f t="shared" si="1"/>
        <v/>
      </c>
    </row>
    <row r="229">
      <c r="A229" s="4" t="s">
        <v>735</v>
      </c>
      <c r="B229" s="18" t="str">
        <f>IFERROR(VLOOKUP($A229,Equipment!$A$2:$AH1001,MATCH("Description",Equipment!$A$1:$AH$1,0),FALSE),"")</f>
        <v/>
      </c>
      <c r="C229" s="18" t="str">
        <f>IFERROR(VLOOKUP($A229,Equipment!$A$2:$AH1001,MATCH("Type",Equipment!$A$1:$AH$1,0),FALSE),"")</f>
        <v>Scythe</v>
      </c>
      <c r="D229" s="18" t="str">
        <f>IFERROR(VLOOKUP($A229,Equipment!$A$2:$AH1001,MATCH("Slot",Equipment!$A$1:$AH$1,0),FALSE),"")</f>
        <v>Hand</v>
      </c>
      <c r="E229" s="20">
        <f>IFERROR(VLOOKUP($A229,Equipment!$A$2:$AH1001,MATCH("LevelReq",Equipment!$A$1:$AH$1,0),FALSE),"")</f>
        <v>200</v>
      </c>
      <c r="F229" s="18" t="str">
        <f>IFERROR(VLOOKUP($A229,Equipconvrt!$A$2:$AH1001,MATCH("Abilities",Equipconvrt!$A$1:$AH$1,0),FALSE),"")</f>
        <v>DMG: +5000, Fire DMG: +5000, Dark DMG: +5000, Spirit DMG: +5000, Chaos DMG: +5000, Stasis DMG: +5000, Twilight DMG: +5000, Voodoo DMG: +5000, Blood DMG: +5000, Celestial DMG: +10000 ++Enemies deduct 2 from their rolls when targeting you. +-Cannot be duplicated</v>
      </c>
      <c r="G229" s="20">
        <f>IFERROR(VLOOKUP($A229,Equipment!$A$2:$AD1001,MATCH("Price",Equipment!$A$1:$AH$1,0),FALSE),"")</f>
        <v>59950000</v>
      </c>
      <c r="H229" s="4" t="b">
        <v>0</v>
      </c>
      <c r="I229" s="1" t="str">
        <f>IFERROR(VLOOKUP($A229,Equipment!$A$2:$AH1001,MATCH("EquipLoc",Equipment!$A$1:$AH$1,0),FALSE),"")</f>
        <v>Land of Spira</v>
      </c>
      <c r="L229" s="1" t="str">
        <f>IFERROR(__xludf.DUMMYFUNCTION("""COMPUTED_VALUE"""),"Iguanian Brawler's Ring")</f>
        <v>Iguanian Brawler's Ring</v>
      </c>
      <c r="W229" s="1" t="str">
        <f>IFERROR(__xludf.DUMMYFUNCTION("""COMPUTED_VALUE"""),"Rusty sword")</f>
        <v>Rusty sword</v>
      </c>
      <c r="X229" s="1" t="str">
        <f t="shared" si="1"/>
        <v/>
      </c>
    </row>
    <row r="230">
      <c r="A230" s="1" t="s">
        <v>736</v>
      </c>
      <c r="B230" s="18" t="str">
        <f>IFERROR(VLOOKUP($A230,Equipment!$A$2:$AH1001,MATCH("Description",Equipment!$A$1:$AH$1,0),FALSE),"")</f>
        <v/>
      </c>
      <c r="C230" s="18" t="str">
        <f>IFERROR(VLOOKUP($A230,Equipment!$A$2:$AH1001,MATCH("Type",Equipment!$A$1:$AH$1,0),FALSE),"")</f>
        <v/>
      </c>
      <c r="D230" s="18" t="str">
        <f>IFERROR(VLOOKUP($A230,Equipment!$A$2:$AH1001,MATCH("Slot",Equipment!$A$1:$AH$1,0),FALSE),"")</f>
        <v>Feet</v>
      </c>
      <c r="E230" s="20">
        <f>IFERROR(VLOOKUP($A230,Equipment!$A$2:$AH1001,MATCH("LevelReq",Equipment!$A$1:$AH$1,0),FALSE),"")</f>
        <v>100</v>
      </c>
      <c r="F230" s="18" t="str">
        <f>IFERROR(VLOOKUP($A230,Equipconvrt!$A$2:$AH1001,MATCH("Abilities",Equipconvrt!$A$1:$AH$1,0),FALSE),"")</f>
        <v>DEF: +2500, Water DEF: +2500 ++X2 additional water damage for self.</v>
      </c>
      <c r="G230" s="20">
        <f>IFERROR(VLOOKUP($A230,Equipment!$A$2:$AD1001,MATCH("Price",Equipment!$A$1:$AH$1,0),FALSE),"")</f>
        <v>450000</v>
      </c>
      <c r="H230" s="4" t="b">
        <v>0</v>
      </c>
      <c r="I230" s="1" t="str">
        <f>IFERROR(VLOOKUP($A230,Equipment!$A$2:$AH1001,MATCH("EquipLoc",Equipment!$A$1:$AH$1,0),FALSE),"")</f>
        <v/>
      </c>
      <c r="L230" s="1" t="str">
        <f>IFERROR(__xludf.DUMMYFUNCTION("""COMPUTED_VALUE"""),"Cursed Ring of Sudden Death")</f>
        <v>Cursed Ring of Sudden Death</v>
      </c>
      <c r="W230" s="1" t="str">
        <f>IFERROR(__xludf.DUMMYFUNCTION("""COMPUTED_VALUE"""),"Saber Toothed Sword")</f>
        <v>Saber Toothed Sword</v>
      </c>
      <c r="X230" s="1" t="str">
        <f t="shared" si="1"/>
        <v/>
      </c>
    </row>
    <row r="231">
      <c r="A231" s="1" t="s">
        <v>737</v>
      </c>
      <c r="B231" s="18" t="str">
        <f>IFERROR(VLOOKUP($A231,Equipment!$A$2:$AH1001,MATCH("Description",Equipment!$A$1:$AH$1,0),FALSE),"")</f>
        <v/>
      </c>
      <c r="C231" s="18" t="str">
        <f>IFERROR(VLOOKUP($A231,Equipment!$A$2:$AH1001,MATCH("Type",Equipment!$A$1:$AH$1,0),FALSE),"")</f>
        <v/>
      </c>
      <c r="D231" s="18" t="str">
        <f>IFERROR(VLOOKUP($A231,Equipment!$A$2:$AH1001,MATCH("Slot",Equipment!$A$1:$AH$1,0),FALSE),"")</f>
        <v>Shoulders</v>
      </c>
      <c r="E231" s="20">
        <f>IFERROR(VLOOKUP($A231,Equipment!$A$2:$AH1001,MATCH("LevelReq",Equipment!$A$1:$AH$1,0),FALSE),"")</f>
        <v>100</v>
      </c>
      <c r="F231" s="18" t="str">
        <f>IFERROR(VLOOKUP($A231,Equipconvrt!$A$2:$AH1001,MATCH("Abilities",Equipconvrt!$A$1:$AH$1,0),FALSE),"")</f>
        <v>DEF: +2500, Water DEF: +2500 ++X2 additional water damage for self.</v>
      </c>
      <c r="G231" s="20">
        <f>IFERROR(VLOOKUP($A231,Equipment!$A$2:$AD1001,MATCH("Price",Equipment!$A$1:$AH$1,0),FALSE),"")</f>
        <v>450000</v>
      </c>
      <c r="H231" s="4" t="b">
        <v>0</v>
      </c>
      <c r="I231" s="1" t="str">
        <f>IFERROR(VLOOKUP($A231,Equipment!$A$2:$AH1001,MATCH("EquipLoc",Equipment!$A$1:$AH$1,0),FALSE),"")</f>
        <v/>
      </c>
      <c r="L231" s="1" t="str">
        <f>IFERROR(__xludf.DUMMYFUNCTION("""COMPUTED_VALUE"""),"Ring of Action")</f>
        <v>Ring of Action</v>
      </c>
      <c r="W231" s="1" t="str">
        <f>IFERROR(__xludf.DUMMYFUNCTION("""COMPUTED_VALUE"""),"Ancient Oni Chestplate")</f>
        <v>Ancient Oni Chestplate</v>
      </c>
      <c r="X231" s="1" t="str">
        <f t="shared" si="1"/>
        <v/>
      </c>
    </row>
    <row r="232">
      <c r="A232" s="1" t="s">
        <v>738</v>
      </c>
      <c r="B232" s="18" t="str">
        <f>IFERROR(VLOOKUP($A232,Equipment!$A$2:$AH1001,MATCH("Description",Equipment!$A$1:$AH$1,0),FALSE),"")</f>
        <v/>
      </c>
      <c r="C232" s="18" t="str">
        <f>IFERROR(VLOOKUP($A232,Equipment!$A$2:$AH1001,MATCH("Type",Equipment!$A$1:$AH$1,0),FALSE),"")</f>
        <v/>
      </c>
      <c r="D232" s="18" t="str">
        <f>IFERROR(VLOOKUP($A232,Equipment!$A$2:$AH1001,MATCH("Slot",Equipment!$A$1:$AH$1,0),FALSE),"")</f>
        <v>Arms</v>
      </c>
      <c r="E232" s="20">
        <f>IFERROR(VLOOKUP($A232,Equipment!$A$2:$AH1001,MATCH("LevelReq",Equipment!$A$1:$AH$1,0),FALSE),"")</f>
        <v>100</v>
      </c>
      <c r="F232" s="18" t="str">
        <f>IFERROR(VLOOKUP($A232,Equipconvrt!$A$2:$AH1001,MATCH("Abilities",Equipconvrt!$A$1:$AH$1,0),FALSE),"")</f>
        <v>DEF: +2500, Water DEF: +2500 ++X2 additional water damage for self.</v>
      </c>
      <c r="G232" s="20">
        <f>IFERROR(VLOOKUP($A232,Equipment!$A$2:$AD1001,MATCH("Price",Equipment!$A$1:$AH$1,0),FALSE),"")</f>
        <v>450000</v>
      </c>
      <c r="H232" s="4" t="b">
        <v>0</v>
      </c>
      <c r="I232" s="1" t="str">
        <f>IFERROR(VLOOKUP($A232,Equipment!$A$2:$AH1001,MATCH("EquipLoc",Equipment!$A$1:$AH$1,0),FALSE),"")</f>
        <v/>
      </c>
      <c r="L232" s="1" t="str">
        <f>IFERROR(__xludf.DUMMYFUNCTION("""COMPUTED_VALUE"""),"Iguanian Mage Hat")</f>
        <v>Iguanian Mage Hat</v>
      </c>
      <c r="W232" s="1" t="str">
        <f>IFERROR(__xludf.DUMMYFUNCTION("""COMPUTED_VALUE"""),"Scythe of Mischief ")</f>
        <v>Scythe of Mischief </v>
      </c>
      <c r="X232" s="1" t="str">
        <f t="shared" si="1"/>
        <v/>
      </c>
    </row>
    <row r="233">
      <c r="A233" s="1" t="s">
        <v>739</v>
      </c>
      <c r="B233" s="18" t="str">
        <f>IFERROR(VLOOKUP($A233,Equipment!$A$2:$AH1001,MATCH("Description",Equipment!$A$1:$AH$1,0),FALSE),"")</f>
        <v/>
      </c>
      <c r="C233" s="18" t="str">
        <f>IFERROR(VLOOKUP($A233,Equipment!$A$2:$AH1001,MATCH("Type",Equipment!$A$1:$AH$1,0),FALSE),"")</f>
        <v/>
      </c>
      <c r="D233" s="18" t="str">
        <f>IFERROR(VLOOKUP($A233,Equipment!$A$2:$AH1001,MATCH("Slot",Equipment!$A$1:$AH$1,0),FALSE),"")</f>
        <v>Torso</v>
      </c>
      <c r="E233" s="20">
        <f>IFERROR(VLOOKUP($A233,Equipment!$A$2:$AH1001,MATCH("LevelReq",Equipment!$A$1:$AH$1,0),FALSE),"")</f>
        <v>200</v>
      </c>
      <c r="F233" s="18" t="str">
        <f>IFERROR(VLOOKUP($A233,Equipconvrt!$A$2:$AH1001,MATCH("Abilities",Equipconvrt!$A$1:$AH$1,0),FALSE),"")</f>
        <v>DEF: +5000, Water DEF: +5000 ++X2 additional water damage for self. ++X4 Water damage for self and allies if you have all Sea Serpent Equipment Equipped.</v>
      </c>
      <c r="G233" s="20">
        <f>IFERROR(VLOOKUP($A233,Equipment!$A$2:$AD1001,MATCH("Price",Equipment!$A$1:$AH$1,0),FALSE),"")</f>
        <v>1900000</v>
      </c>
      <c r="H233" s="4" t="b">
        <v>0</v>
      </c>
      <c r="I233" s="1" t="str">
        <f>IFERROR(VLOOKUP($A233,Equipment!$A$2:$AH1001,MATCH("EquipLoc",Equipment!$A$1:$AH$1,0),FALSE),"")</f>
        <v/>
      </c>
      <c r="L233" s="1" t="str">
        <f>IFERROR(__xludf.DUMMYFUNCTION("""COMPUTED_VALUE"""),"Iguanian Mage Robes")</f>
        <v>Iguanian Mage Robes</v>
      </c>
      <c r="W233" s="1" t="str">
        <f>IFERROR(__xludf.DUMMYFUNCTION("""COMPUTED_VALUE"""),"Sea Serpent Boots")</f>
        <v>Sea Serpent Boots</v>
      </c>
      <c r="X233" s="1" t="str">
        <f t="shared" si="1"/>
        <v/>
      </c>
    </row>
    <row r="234">
      <c r="A234" s="1" t="s">
        <v>740</v>
      </c>
      <c r="B234" s="18" t="str">
        <f>IFERROR(VLOOKUP($A234,Equipment!$A$2:$AH1001,MATCH("Description",Equipment!$A$1:$AH$1,0),FALSE),"")</f>
        <v/>
      </c>
      <c r="C234" s="18" t="str">
        <f>IFERROR(VLOOKUP($A234,Equipment!$A$2:$AH1001,MATCH("Type",Equipment!$A$1:$AH$1,0),FALSE),"")</f>
        <v/>
      </c>
      <c r="D234" s="18" t="str">
        <f>IFERROR(VLOOKUP($A234,Equipment!$A$2:$AH1001,MATCH("Slot",Equipment!$A$1:$AH$1,0),FALSE),"")</f>
        <v>Hand</v>
      </c>
      <c r="E234" s="20">
        <f>IFERROR(VLOOKUP($A234,Equipment!$A$2:$AH1001,MATCH("LevelReq",Equipment!$A$1:$AH$1,0),FALSE),"")</f>
        <v>1</v>
      </c>
      <c r="F234" s="18" t="str">
        <f>IFERROR(VLOOKUP($A234,Equipconvrt!$A$2:$AH1001,MATCH("Abilities",Equipconvrt!$A$1:$AH$1,0),FALSE),"")</f>
        <v> ++Can summon a chaotic shadow gnome to battle.</v>
      </c>
      <c r="G234" s="20">
        <f>IFERROR(VLOOKUP($A234,Equipment!$A$2:$AD1001,MATCH("Price",Equipment!$A$1:$AH$1,0),FALSE),"")</f>
        <v>0</v>
      </c>
      <c r="H234" s="4" t="b">
        <v>0</v>
      </c>
      <c r="I234" s="1" t="str">
        <f>IFERROR(VLOOKUP($A234,Equipment!$A$2:$AH1001,MATCH("EquipLoc",Equipment!$A$1:$AH$1,0),FALSE),"")</f>
        <v>Land of Spira</v>
      </c>
      <c r="L234" s="1" t="str">
        <f>IFERROR(__xludf.DUMMYFUNCTION("""COMPUTED_VALUE"""),"Iguanian Mage Leggings")</f>
        <v>Iguanian Mage Leggings</v>
      </c>
      <c r="W234" s="1" t="str">
        <f>IFERROR(__xludf.DUMMYFUNCTION("""COMPUTED_VALUE"""),"Sea Serpent Pauldrons")</f>
        <v>Sea Serpent Pauldrons</v>
      </c>
      <c r="X234" s="1" t="str">
        <f t="shared" si="1"/>
        <v/>
      </c>
    </row>
    <row r="235">
      <c r="A235" s="1" t="s">
        <v>741</v>
      </c>
      <c r="B235" s="18" t="str">
        <f>IFERROR(VLOOKUP($A235,Equipment!$A$2:$AH1001,MATCH("Description",Equipment!$A$1:$AH$1,0),FALSE),"")</f>
        <v/>
      </c>
      <c r="C235" s="18" t="str">
        <f>IFERROR(VLOOKUP($A235,Equipment!$A$2:$AH1001,MATCH("Type",Equipment!$A$1:$AH$1,0),FALSE),"")</f>
        <v>Sword</v>
      </c>
      <c r="D235" s="18" t="str">
        <f>IFERROR(VLOOKUP($A235,Equipment!$A$2:$AH1001,MATCH("Slot",Equipment!$A$1:$AH$1,0),FALSE),"")</f>
        <v>Hand</v>
      </c>
      <c r="E235" s="20">
        <f>IFERROR(VLOOKUP($A235,Equipment!$A$2:$AH1001,MATCH("LevelReq",Equipment!$A$1:$AH$1,0),FALSE),"")</f>
        <v>400</v>
      </c>
      <c r="F235" s="18" t="str">
        <f>IFERROR(VLOOKUP($A235,Equipconvrt!$A$2:$AH1001,MATCH("Abilities",Equipconvrt!$A$1:$AH$1,0),FALSE),"")</f>
        <v>DMG: +10000, Dark DMG: +5000, Chaos DMG: +5000</v>
      </c>
      <c r="G235" s="20">
        <f>IFERROR(VLOOKUP($A235,Equipment!$A$2:$AD1001,MATCH("Price",Equipment!$A$1:$AH$1,0),FALSE),"")</f>
        <v>7800000</v>
      </c>
      <c r="H235" s="4" t="b">
        <v>1</v>
      </c>
      <c r="I235" s="1" t="str">
        <f>IFERROR(VLOOKUP($A235,Equipment!$A$2:$AH1001,MATCH("EquipLoc",Equipment!$A$1:$AH$1,0),FALSE),"")</f>
        <v>Land of Spira</v>
      </c>
      <c r="L235" s="1" t="str">
        <f>IFERROR(__xludf.DUMMYFUNCTION("""COMPUTED_VALUE"""),"Iguanian Mage Pointed Shoes")</f>
        <v>Iguanian Mage Pointed Shoes</v>
      </c>
      <c r="W235" s="1" t="str">
        <f>IFERROR(__xludf.DUMMYFUNCTION("""COMPUTED_VALUE"""),"Sea Serpent Vambrace")</f>
        <v>Sea Serpent Vambrace</v>
      </c>
      <c r="X235" s="1" t="str">
        <f t="shared" si="1"/>
        <v/>
      </c>
    </row>
    <row r="236">
      <c r="A236" s="1" t="s">
        <v>742</v>
      </c>
      <c r="B236" s="18" t="str">
        <f>IFERROR(VLOOKUP($A236,Equipment!$A$2:$AH1001,MATCH("Description",Equipment!$A$1:$AH$1,0),FALSE),"")</f>
        <v/>
      </c>
      <c r="C236" s="18" t="str">
        <f>IFERROR(VLOOKUP($A236,Equipment!$A$2:$AH1001,MATCH("Type",Equipment!$A$1:$AH$1,0),FALSE),"")</f>
        <v>Towershield</v>
      </c>
      <c r="D236" s="18" t="str">
        <f>IFERROR(VLOOKUP($A236,Equipment!$A$2:$AH1001,MATCH("Slot",Equipment!$A$1:$AH$1,0),FALSE),"")</f>
        <v>Hand</v>
      </c>
      <c r="E236" s="20">
        <f>IFERROR(VLOOKUP($A236,Equipment!$A$2:$AH1001,MATCH("LevelReq",Equipment!$A$1:$AH$1,0),FALSE),"")</f>
        <v>2000</v>
      </c>
      <c r="F236" s="18" t="str">
        <f>IFERROR(VLOOKUP($A236,Equipconvrt!$A$2:$AH1001,MATCH("Abilities",Equipconvrt!$A$1:$AH$1,0),FALSE),"")</f>
        <v>DEF: +100000 ++75% chance to melt an enemies weapon that dealt damage to you. +-Cannot be duplicated</v>
      </c>
      <c r="G236" s="20">
        <f>IFERROR(VLOOKUP($A236,Equipment!$A$2:$AD1001,MATCH("Price",Equipment!$A$1:$AH$1,0),FALSE),"")</f>
        <v>199000000</v>
      </c>
      <c r="H236" s="4" t="b">
        <v>0</v>
      </c>
      <c r="I236" s="1" t="str">
        <f>IFERROR(VLOOKUP($A236,Equipment!$A$2:$AH1001,MATCH("EquipLoc",Equipment!$A$1:$AH$1,0),FALSE),"")</f>
        <v>Abstara</v>
      </c>
      <c r="L236" s="1" t="str">
        <f>IFERROR(__xludf.DUMMYFUNCTION("""COMPUTED_VALUE"""),"Iguanian Mage Staff of Hail")</f>
        <v>Iguanian Mage Staff of Hail</v>
      </c>
      <c r="W236" s="1" t="str">
        <f>IFERROR(__xludf.DUMMYFUNCTION("""COMPUTED_VALUE"""),"Sea Serpents Mythical Chestplate")</f>
        <v>Sea Serpents Mythical Chestplate</v>
      </c>
      <c r="X236" s="1" t="str">
        <f t="shared" si="1"/>
        <v/>
      </c>
    </row>
    <row r="237">
      <c r="A237" s="1" t="s">
        <v>743</v>
      </c>
      <c r="B237" s="18" t="str">
        <f>IFERROR(VLOOKUP($A237,Equipment!$A$2:$AH1001,MATCH("Description",Equipment!$A$1:$AH$1,0),FALSE),"")</f>
        <v/>
      </c>
      <c r="C237" s="18" t="str">
        <f>IFERROR(VLOOKUP($A237,Equipment!$A$2:$AH1001,MATCH("Type",Equipment!$A$1:$AH$1,0),FALSE),"")</f>
        <v>Buckler</v>
      </c>
      <c r="D237" s="18" t="str">
        <f>IFERROR(VLOOKUP($A237,Equipment!$A$2:$AH1001,MATCH("Slot",Equipment!$A$1:$AH$1,0),FALSE),"")</f>
        <v>Hand</v>
      </c>
      <c r="E237" s="20">
        <f>IFERROR(VLOOKUP($A237,Equipment!$A$2:$AH1001,MATCH("LevelReq",Equipment!$A$1:$AH$1,0),FALSE),"")</f>
        <v>20</v>
      </c>
      <c r="F237" s="18" t="str">
        <f>IFERROR(VLOOKUP($A237,Equipconvrt!$A$2:$AH1001,MATCH("Abilities",Equipconvrt!$A$1:$AH$1,0),FALSE),"")</f>
        <v>DEF: +1000 ++Target me you B**** - enemies will automatically target you no matter, Use intimidation for this item effect.</v>
      </c>
      <c r="G237" s="20">
        <f>IFERROR(VLOOKUP($A237,Equipment!$A$2:$AD1001,MATCH("Price",Equipment!$A$1:$AH$1,0),FALSE),"")</f>
        <v>10000</v>
      </c>
      <c r="H237" s="4" t="b">
        <v>0</v>
      </c>
      <c r="I237" s="1" t="str">
        <f>IFERROR(VLOOKUP($A237,Equipment!$A$2:$AH1001,MATCH("EquipLoc",Equipment!$A$1:$AH$1,0),FALSE),"")</f>
        <v>Land of Spira</v>
      </c>
      <c r="L237" s="1" t="str">
        <f>IFERROR(__xludf.DUMMYFUNCTION("""COMPUTED_VALUE"""),"Blood Finger Ring")</f>
        <v>Blood Finger Ring</v>
      </c>
      <c r="W237" s="1" t="str">
        <f>IFERROR(__xludf.DUMMYFUNCTION("""COMPUTED_VALUE"""),"Shadow Flute")</f>
        <v>Shadow Flute</v>
      </c>
      <c r="X237" s="1" t="str">
        <f t="shared" si="1"/>
        <v/>
      </c>
    </row>
    <row r="238">
      <c r="A238" s="1" t="s">
        <v>744</v>
      </c>
      <c r="B238" s="18" t="str">
        <f>IFERROR(VLOOKUP($A238,Equipment!$A$2:$AH1001,MATCH("Description",Equipment!$A$1:$AH$1,0),FALSE),"")</f>
        <v/>
      </c>
      <c r="C238" s="18" t="str">
        <f>IFERROR(VLOOKUP($A238,Equipment!$A$2:$AH1001,MATCH("Type",Equipment!$A$1:$AH$1,0),FALSE),"")</f>
        <v/>
      </c>
      <c r="D238" s="18" t="str">
        <f>IFERROR(VLOOKUP($A238,Equipment!$A$2:$AH1001,MATCH("Slot",Equipment!$A$1:$AH$1,0),FALSE),"")</f>
        <v>Hand</v>
      </c>
      <c r="E238" s="20">
        <f>IFERROR(VLOOKUP($A238,Equipment!$A$2:$AH1001,MATCH("LevelReq",Equipment!$A$1:$AH$1,0),FALSE),"")</f>
        <v>200</v>
      </c>
      <c r="F238" s="18" t="str">
        <f>IFERROR(VLOOKUP($A238,Equipconvrt!$A$2:$AH1001,MATCH("Abilities",Equipconvrt!$A$1:$AH$1,0),FALSE),"")</f>
        <v>DMG: +10000 ++++500 bleeding damage p/r.</v>
      </c>
      <c r="G238" s="20">
        <f>IFERROR(VLOOKUP($A238,Equipment!$A$2:$AD1001,MATCH("Price",Equipment!$A$1:$AH$1,0),FALSE),"")</f>
        <v>1900000</v>
      </c>
      <c r="H238" s="4" t="b">
        <v>0</v>
      </c>
      <c r="I238" s="1" t="str">
        <f>IFERROR(VLOOKUP($A238,Equipment!$A$2:$AH1001,MATCH("EquipLoc",Equipment!$A$1:$AH$1,0),FALSE),"")</f>
        <v>Land of Spira</v>
      </c>
      <c r="L238" s="1" t="str">
        <f>IFERROR(__xludf.DUMMYFUNCTION("""COMPUTED_VALUE"""),"Finger Food Ring")</f>
        <v>Finger Food Ring</v>
      </c>
      <c r="W238" s="1" t="str">
        <f>IFERROR(__xludf.DUMMYFUNCTION("""COMPUTED_VALUE"""),"Shadow Kings Sword")</f>
        <v>Shadow Kings Sword</v>
      </c>
      <c r="X238" s="1" t="str">
        <f t="shared" si="1"/>
        <v/>
      </c>
    </row>
    <row r="239">
      <c r="A239" s="1" t="s">
        <v>745</v>
      </c>
      <c r="B239" s="18" t="str">
        <f>IFERROR(VLOOKUP($A239,Equipment!$A$2:$AH1001,MATCH("Description",Equipment!$A$1:$AH$1,0),FALSE),"")</f>
        <v/>
      </c>
      <c r="C239" s="18" t="str">
        <f>IFERROR(VLOOKUP($A239,Equipment!$A$2:$AH1001,MATCH("Type",Equipment!$A$1:$AH$1,0),FALSE),"")</f>
        <v/>
      </c>
      <c r="D239" s="18" t="str">
        <f>IFERROR(VLOOKUP($A239,Equipment!$A$2:$AH1001,MATCH("Slot",Equipment!$A$1:$AH$1,0),FALSE),"")</f>
        <v>Feet</v>
      </c>
      <c r="E239" s="20">
        <f>IFERROR(VLOOKUP($A239,Equipment!$A$2:$AH1001,MATCH("LevelReq",Equipment!$A$1:$AH$1,0),FALSE),"")</f>
        <v>200</v>
      </c>
      <c r="F239" s="18" t="str">
        <f>IFERROR(VLOOKUP($A239,Equipconvrt!$A$2:$AH1001,MATCH("Abilities",Equipconvrt!$A$1:$AH$1,0),FALSE),"")</f>
        <v>DEF: +10000 ++When dealing damage with an instrument you will regain hp equal to the damage you caused.</v>
      </c>
      <c r="G239" s="20">
        <f>IFERROR(VLOOKUP($A239,Equipment!$A$2:$AD1001,MATCH("Price",Equipment!$A$1:$AH$1,0),FALSE),"")</f>
        <v>1900000</v>
      </c>
      <c r="H239" s="4" t="b">
        <v>0</v>
      </c>
      <c r="I239" s="1" t="str">
        <f>IFERROR(VLOOKUP($A239,Equipment!$A$2:$AH1001,MATCH("EquipLoc",Equipment!$A$1:$AH$1,0),FALSE),"")</f>
        <v>Land of Spira</v>
      </c>
      <c r="L239" s="1" t="str">
        <f>IFERROR(__xludf.DUMMYFUNCTION("""COMPUTED_VALUE"""),"Ring of Power")</f>
        <v>Ring of Power</v>
      </c>
      <c r="W239" s="1" t="str">
        <f>IFERROR(__xludf.DUMMYFUNCTION("""COMPUTED_VALUE"""),"Shield of Guarding Smite")</f>
        <v>Shield of Guarding Smite</v>
      </c>
      <c r="X239" s="1" t="str">
        <f t="shared" si="1"/>
        <v/>
      </c>
    </row>
    <row r="240">
      <c r="A240" s="1" t="s">
        <v>746</v>
      </c>
      <c r="B240" s="18" t="str">
        <f>IFERROR(VLOOKUP($A240,Equipment!$A$2:$AH1001,MATCH("Description",Equipment!$A$1:$AH$1,0),FALSE),"")</f>
        <v/>
      </c>
      <c r="C240" s="18" t="str">
        <f>IFERROR(VLOOKUP($A240,Equipment!$A$2:$AH1001,MATCH("Type",Equipment!$A$1:$AH$1,0),FALSE),"")</f>
        <v/>
      </c>
      <c r="D240" s="18" t="str">
        <f>IFERROR(VLOOKUP($A240,Equipment!$A$2:$AH1001,MATCH("Slot",Equipment!$A$1:$AH$1,0),FALSE),"")</f>
        <v>Feet</v>
      </c>
      <c r="E240" s="20">
        <f>IFERROR(VLOOKUP($A240,Equipment!$A$2:$AH1001,MATCH("LevelReq",Equipment!$A$1:$AH$1,0),FALSE),"")</f>
        <v>200</v>
      </c>
      <c r="F240" s="18" t="str">
        <f>IFERROR(VLOOKUP($A240,Equipconvrt!$A$2:$AH1001,MATCH("Abilities",Equipconvrt!$A$1:$AH$1,0),FALSE),"")</f>
        <v>DEF: +5000, Water DEF: +5000 ++All water damage can now be any Element of choosing (this will still be counted as water damage for additional buffs).</v>
      </c>
      <c r="G240" s="20">
        <f>IFERROR(VLOOKUP($A240,Equipment!$A$2:$AD1001,MATCH("Price",Equipment!$A$1:$AH$1,0),FALSE),"")</f>
        <v>1900000</v>
      </c>
      <c r="H240" s="4" t="b">
        <v>0</v>
      </c>
      <c r="I240" s="1" t="str">
        <f>IFERROR(VLOOKUP($A240,Equipment!$A$2:$AH1001,MATCH("EquipLoc",Equipment!$A$1:$AH$1,0),FALSE),"")</f>
        <v>Land of Spira</v>
      </c>
      <c r="L240" s="1" t="str">
        <f>IFERROR(__xludf.DUMMYFUNCTION("""COMPUTED_VALUE"""),"Axe of Red")</f>
        <v>Axe of Red</v>
      </c>
      <c r="W240" s="1" t="str">
        <f>IFERROR(__xludf.DUMMYFUNCTION("""COMPUTED_VALUE"""),"Shield of Targeting")</f>
        <v>Shield of Targeting</v>
      </c>
      <c r="X240" s="1" t="str">
        <f t="shared" si="1"/>
        <v/>
      </c>
    </row>
    <row r="241">
      <c r="A241" s="1" t="s">
        <v>747</v>
      </c>
      <c r="B241" s="18" t="str">
        <f>IFERROR(VLOOKUP($A241,Equipment!$A$2:$AH1001,MATCH("Description",Equipment!$A$1:$AH$1,0),FALSE),"")</f>
        <v/>
      </c>
      <c r="C241" s="18" t="str">
        <f>IFERROR(VLOOKUP($A241,Equipment!$A$2:$AH1001,MATCH("Type",Equipment!$A$1:$AH$1,0),FALSE),"")</f>
        <v>Spear</v>
      </c>
      <c r="D241" s="18" t="str">
        <f>IFERROR(VLOOKUP($A241,Equipment!$A$2:$AH1001,MATCH("Slot",Equipment!$A$1:$AH$1,0),FALSE),"")</f>
        <v>Hand</v>
      </c>
      <c r="E241" s="20">
        <f>IFERROR(VLOOKUP($A241,Equipment!$A$2:$AH1001,MATCH("LevelReq",Equipment!$A$1:$AH$1,0),FALSE),"")</f>
        <v>1</v>
      </c>
      <c r="F241" s="18" t="str">
        <f>IFERROR(VLOOKUP($A241,Equipconvrt!$A$2:$AH1001,MATCH("Abilities",Equipconvrt!$A$1:$AH$1,0),FALSE),"")</f>
        <v>DMG: +250</v>
      </c>
      <c r="G241" s="20">
        <f>IFERROR(VLOOKUP($A241,Equipment!$A$2:$AD1001,MATCH("Price",Equipment!$A$1:$AH$1,0),FALSE),"")</f>
        <v>0</v>
      </c>
      <c r="H241" s="4" t="b">
        <v>0</v>
      </c>
      <c r="I241" s="1" t="str">
        <f>IFERROR(VLOOKUP($A241,Equipment!$A$2:$AH1001,MATCH("EquipLoc",Equipment!$A$1:$AH$1,0),FALSE),"")</f>
        <v>Land of Spira</v>
      </c>
      <c r="L241" s="1" t="str">
        <f>IFERROR(__xludf.DUMMYFUNCTION("""COMPUTED_VALUE"""),"Wyrmscale Staff")</f>
        <v>Wyrmscale Staff</v>
      </c>
      <c r="W241" s="1" t="str">
        <f>IFERROR(__xludf.DUMMYFUNCTION("""COMPUTED_VALUE"""),"Shining Katana")</f>
        <v>Shining Katana</v>
      </c>
      <c r="X241" s="1" t="str">
        <f t="shared" si="1"/>
        <v/>
      </c>
    </row>
    <row r="242">
      <c r="A242" s="1" t="s">
        <v>748</v>
      </c>
      <c r="B242" s="18" t="str">
        <f>IFERROR(VLOOKUP($A242,Equipment!$A$2:$AH1001,MATCH("Description",Equipment!$A$1:$AH$1,0),FALSE),"")</f>
        <v/>
      </c>
      <c r="C242" s="18" t="str">
        <f>IFERROR(VLOOKUP($A242,Equipment!$A$2:$AH1001,MATCH("Type",Equipment!$A$1:$AH$1,0),FALSE),"")</f>
        <v>Boomerang</v>
      </c>
      <c r="D242" s="18" t="str">
        <f>IFERROR(VLOOKUP($A242,Equipment!$A$2:$AH1001,MATCH("Slot",Equipment!$A$1:$AH$1,0),FALSE),"")</f>
        <v>Hand</v>
      </c>
      <c r="E242" s="20">
        <f>IFERROR(VLOOKUP($A242,Equipment!$A$2:$AH1001,MATCH("LevelReq",Equipment!$A$1:$AH$1,0),FALSE),"")</f>
        <v>200</v>
      </c>
      <c r="F242" s="18" t="str">
        <f>IFERROR(VLOOKUP($A242,Equipconvrt!$A$2:$AH1001,MATCH("Abilities",Equipconvrt!$A$1:$AH$1,0),FALSE),"")</f>
        <v>DMG: +5000, Blood DMG: +5000 ++Will return to you when thrown.</v>
      </c>
      <c r="G242" s="20">
        <f>IFERROR(VLOOKUP($A242,Equipment!$A$2:$AD1001,MATCH("Price",Equipment!$A$1:$AH$1,0),FALSE),"")</f>
        <v>1900000</v>
      </c>
      <c r="H242" s="4" t="b">
        <v>0</v>
      </c>
      <c r="I242" s="1" t="str">
        <f>IFERROR(VLOOKUP($A242,Equipment!$A$2:$AH1001,MATCH("EquipLoc",Equipment!$A$1:$AH$1,0),FALSE),"")</f>
        <v>Land of Spira</v>
      </c>
      <c r="L242" s="1" t="str">
        <f>IFERROR(__xludf.DUMMYFUNCTION("""COMPUTED_VALUE"""),"Wyrmscale Wand")</f>
        <v>Wyrmscale Wand</v>
      </c>
      <c r="W242" s="1" t="str">
        <f>IFERROR(__xludf.DUMMYFUNCTION("""COMPUTED_VALUE"""),"Shoes of Metal Harmony's")</f>
        <v>Shoes of Metal Harmony's</v>
      </c>
      <c r="X242" s="1" t="str">
        <f t="shared" si="1"/>
        <v/>
      </c>
    </row>
    <row r="243">
      <c r="A243" s="1" t="s">
        <v>749</v>
      </c>
      <c r="B243" s="18" t="str">
        <f>IFERROR(VLOOKUP($A243,Equipment!$A$2:$AH1001,MATCH("Description",Equipment!$A$1:$AH$1,0),FALSE),"")</f>
        <v/>
      </c>
      <c r="C243" s="18" t="str">
        <f>IFERROR(VLOOKUP($A243,Equipment!$A$2:$AH1001,MATCH("Type",Equipment!$A$1:$AH$1,0),FALSE),"")</f>
        <v/>
      </c>
      <c r="D243" s="18" t="str">
        <f>IFERROR(VLOOKUP($A243,Equipment!$A$2:$AH1001,MATCH("Slot",Equipment!$A$1:$AH$1,0),FALSE),"")</f>
        <v>Torso</v>
      </c>
      <c r="E243" s="20">
        <f>IFERROR(VLOOKUP($A243,Equipment!$A$2:$AH1001,MATCH("LevelReq",Equipment!$A$1:$AH$1,0),FALSE),"")</f>
        <v>1</v>
      </c>
      <c r="F243" s="18" t="str">
        <f>IFERROR(VLOOKUP($A243,Equipconvrt!$A$2:$AH1001,MATCH("Abilities",Equipconvrt!$A$1:$AH$1,0),FALSE),"")</f>
        <v> ++Plus 10 Evasion and Mobility, +-You Cannot be unaffected by spells or attacks. +-Can only equip one</v>
      </c>
      <c r="G243" s="20">
        <f>IFERROR(VLOOKUP($A243,Equipment!$A$2:$AD1001,MATCH("Price",Equipment!$A$1:$AH$1,0),FALSE),"")</f>
        <v>0</v>
      </c>
      <c r="H243" s="4" t="b">
        <v>1</v>
      </c>
      <c r="I243" s="1" t="str">
        <f>IFERROR(VLOOKUP($A243,Equipment!$A$2:$AH1001,MATCH("EquipLoc",Equipment!$A$1:$AH$1,0),FALSE),"")</f>
        <v>Land of The Forgotten</v>
      </c>
      <c r="W243" s="1" t="str">
        <f>IFERROR(__xludf.DUMMYFUNCTION("""COMPUTED_VALUE"""),"Shoes of Water Walking")</f>
        <v>Shoes of Water Walking</v>
      </c>
      <c r="X243" s="1" t="str">
        <f t="shared" si="1"/>
        <v/>
      </c>
    </row>
    <row r="244">
      <c r="A244" s="1" t="s">
        <v>750</v>
      </c>
      <c r="B244" s="18" t="str">
        <f>IFERROR(VLOOKUP($A244,Equipment!$A$2:$AH1001,MATCH("Description",Equipment!$A$1:$AH$1,0),FALSE),"")</f>
        <v/>
      </c>
      <c r="C244" s="18" t="str">
        <f>IFERROR(VLOOKUP($A244,Equipment!$A$2:$AH1001,MATCH("Type",Equipment!$A$1:$AH$1,0),FALSE),"")</f>
        <v/>
      </c>
      <c r="D244" s="18" t="str">
        <f>IFERROR(VLOOKUP($A244,Equipment!$A$2:$AH1001,MATCH("Slot",Equipment!$A$1:$AH$1,0),FALSE),"")</f>
        <v>Torso</v>
      </c>
      <c r="E244" s="20">
        <f>IFERROR(VLOOKUP($A244,Equipment!$A$2:$AH1001,MATCH("LevelReq",Equipment!$A$1:$AH$1,0),FALSE),"")</f>
        <v>1</v>
      </c>
      <c r="F244" s="18" t="str">
        <f>IFERROR(VLOOKUP($A244,Equipconvrt!$A$2:$AH1001,MATCH("Abilities",Equipconvrt!$A$1:$AH$1,0),FALSE),"")</f>
        <v>DEF: +30</v>
      </c>
      <c r="G244" s="20">
        <f>IFERROR(VLOOKUP($A244,Equipment!$A$2:$AD1001,MATCH("Price",Equipment!$A$1:$AH$1,0),FALSE),"")</f>
        <v>0</v>
      </c>
      <c r="H244" s="4" t="b">
        <v>0</v>
      </c>
      <c r="I244" s="1" t="str">
        <f>IFERROR(VLOOKUP($A244,Equipment!$A$2:$AH1001,MATCH("EquipLoc",Equipment!$A$1:$AH$1,0),FALSE),"")</f>
        <v>Land of Spira</v>
      </c>
      <c r="W244" s="1" t="str">
        <f>IFERROR(__xludf.DUMMYFUNCTION("""COMPUTED_VALUE"""),"Short Spear")</f>
        <v>Short Spear</v>
      </c>
      <c r="X244" s="1" t="str">
        <f t="shared" si="1"/>
        <v/>
      </c>
    </row>
    <row r="245">
      <c r="A245" s="1" t="s">
        <v>751</v>
      </c>
      <c r="B245" s="18" t="str">
        <f>IFERROR(VLOOKUP($A245,Equipment!$A$2:$AH1001,MATCH("Description",Equipment!$A$1:$AH$1,0),FALSE),"")</f>
        <v/>
      </c>
      <c r="C245" s="18" t="str">
        <f>IFERROR(VLOOKUP($A245,Equipment!$A$2:$AH1001,MATCH("Type",Equipment!$A$1:$AH$1,0),FALSE),"")</f>
        <v>Sword</v>
      </c>
      <c r="D245" s="18" t="str">
        <f>IFERROR(VLOOKUP($A245,Equipment!$A$2:$AH1001,MATCH("Slot",Equipment!$A$1:$AH$1,0),FALSE),"")</f>
        <v>Hand</v>
      </c>
      <c r="E245" s="20">
        <f>IFERROR(VLOOKUP($A245,Equipment!$A$2:$AH1001,MATCH("LevelReq",Equipment!$A$1:$AH$1,0),FALSE),"")</f>
        <v>200</v>
      </c>
      <c r="F245" s="18" t="str">
        <f>IFERROR(VLOOKUP($A245,Equipconvrt!$A$2:$AH1001,MATCH("Abilities",Equipconvrt!$A$1:$AH$1,0),FALSE),"")</f>
        <v>DMG: +10000 ++Causes Blindness 3</v>
      </c>
      <c r="G245" s="20">
        <f>IFERROR(VLOOKUP($A245,Equipment!$A$2:$AD1001,MATCH("Price",Equipment!$A$1:$AH$1,0),FALSE),"")</f>
        <v>1900000</v>
      </c>
      <c r="H245" s="4" t="b">
        <v>0</v>
      </c>
      <c r="I245" s="1" t="str">
        <f>IFERROR(VLOOKUP($A245,Equipment!$A$2:$AH1001,MATCH("EquipLoc",Equipment!$A$1:$AH$1,0),FALSE),"")</f>
        <v>Land of Spira</v>
      </c>
      <c r="W245" s="1" t="str">
        <f>IFERROR(__xludf.DUMMYFUNCTION("""COMPUTED_VALUE"""),"Shuriken")</f>
        <v>Shuriken</v>
      </c>
      <c r="X245" s="1" t="str">
        <f t="shared" si="1"/>
        <v/>
      </c>
    </row>
    <row r="246">
      <c r="A246" s="1" t="s">
        <v>752</v>
      </c>
      <c r="B246" s="18" t="str">
        <f>IFERROR(VLOOKUP($A246,Equipment!$A$2:$AH1001,MATCH("Description",Equipment!$A$1:$AH$1,0),FALSE),"")</f>
        <v/>
      </c>
      <c r="C246" s="18" t="str">
        <f>IFERROR(VLOOKUP($A246,Equipment!$A$2:$AH1001,MATCH("Type",Equipment!$A$1:$AH$1,0),FALSE),"")</f>
        <v>Knife</v>
      </c>
      <c r="D246" s="18" t="str">
        <f>IFERROR(VLOOKUP($A246,Equipment!$A$2:$AH1001,MATCH("Slot",Equipment!$A$1:$AH$1,0),FALSE),"")</f>
        <v>Hand</v>
      </c>
      <c r="E246" s="20">
        <f>IFERROR(VLOOKUP($A246,Equipment!$A$2:$AH1001,MATCH("LevelReq",Equipment!$A$1:$AH$1,0),FALSE),"")</f>
        <v>200</v>
      </c>
      <c r="F246" s="18" t="str">
        <f>IFERROR(VLOOKUP($A246,Equipconvrt!$A$2:$AH1001,MATCH("Abilities",Equipconvrt!$A$1:$AH$1,0),FALSE),"")</f>
        <v>DMG: +10000</v>
      </c>
      <c r="G246" s="20">
        <f>IFERROR(VLOOKUP($A246,Equipment!$A$2:$AD1001,MATCH("Price",Equipment!$A$1:$AH$1,0),FALSE),"")</f>
        <v>1900000</v>
      </c>
      <c r="H246" s="4" t="b">
        <v>0</v>
      </c>
      <c r="I246" s="1" t="str">
        <f>IFERROR(VLOOKUP($A246,Equipment!$A$2:$AH1001,MATCH("EquipLoc",Equipment!$A$1:$AH$1,0),FALSE),"")</f>
        <v>Land of Spira</v>
      </c>
      <c r="W246" s="1" t="str">
        <f>IFERROR(__xludf.DUMMYFUNCTION("""COMPUTED_VALUE"""),"Shuttering Cloak")</f>
        <v>Shuttering Cloak</v>
      </c>
      <c r="X246" s="1" t="str">
        <f t="shared" si="1"/>
        <v/>
      </c>
    </row>
    <row r="247">
      <c r="A247" s="1" t="s">
        <v>753</v>
      </c>
      <c r="B247" s="18" t="str">
        <f>IFERROR(VLOOKUP($A247,Equipment!$A$2:$AH1001,MATCH("Description",Equipment!$A$1:$AH$1,0),FALSE),"")</f>
        <v/>
      </c>
      <c r="C247" s="18" t="str">
        <f>IFERROR(VLOOKUP($A247,Equipment!$A$2:$AH1001,MATCH("Type",Equipment!$A$1:$AH$1,0),FALSE),"")</f>
        <v>Sword</v>
      </c>
      <c r="D247" s="18" t="str">
        <f>IFERROR(VLOOKUP($A247,Equipment!$A$2:$AH1001,MATCH("Slot",Equipment!$A$1:$AH$1,0),FALSE),"")</f>
        <v>Hand</v>
      </c>
      <c r="E247" s="20">
        <f>IFERROR(VLOOKUP($A247,Equipment!$A$2:$AH1001,MATCH("LevelReq",Equipment!$A$1:$AH$1,0),FALSE),"")</f>
        <v>1000</v>
      </c>
      <c r="F247" s="18" t="str">
        <f>IFERROR(VLOOKUP($A247,Equipconvrt!$A$2:$AH1001,MATCH("Abilities",Equipconvrt!$A$1:$AH$1,0),FALSE),"")</f>
        <v>DMG: +30000, Dark DMG: +20000 ++75% Chance of instant death.</v>
      </c>
      <c r="G247" s="20">
        <f>IFERROR(VLOOKUP($A247,Equipment!$A$2:$AD1001,MATCH("Price",Equipment!$A$1:$AH$1,0),FALSE),"")</f>
        <v>49500000</v>
      </c>
      <c r="H247" s="4" t="b">
        <v>0</v>
      </c>
      <c r="I247" s="1" t="str">
        <f>IFERROR(VLOOKUP($A247,Equipment!$A$2:$AH1001,MATCH("EquipLoc",Equipment!$A$1:$AH$1,0),FALSE),"")</f>
        <v>Abstara</v>
      </c>
      <c r="W247" s="1" t="str">
        <f>IFERROR(__xludf.DUMMYFUNCTION("""COMPUTED_VALUE"""),"Silver Armor")</f>
        <v>Silver Armor</v>
      </c>
      <c r="X247" s="1" t="str">
        <f t="shared" si="1"/>
        <v/>
      </c>
    </row>
    <row r="248">
      <c r="A248" s="1" t="s">
        <v>754</v>
      </c>
      <c r="B248" s="18" t="str">
        <f>IFERROR(VLOOKUP($A248,Equipment!$A$2:$AH1001,MATCH("Description",Equipment!$A$1:$AH$1,0),FALSE),"")</f>
        <v/>
      </c>
      <c r="C248" s="18" t="str">
        <f>IFERROR(VLOOKUP($A248,Equipment!$A$2:$AH1001,MATCH("Type",Equipment!$A$1:$AH$1,0),FALSE),"")</f>
        <v/>
      </c>
      <c r="D248" s="18" t="str">
        <f>IFERROR(VLOOKUP($A248,Equipment!$A$2:$AH1001,MATCH("Slot",Equipment!$A$1:$AH$1,0),FALSE),"")</f>
        <v>Head</v>
      </c>
      <c r="E248" s="20">
        <f>IFERROR(VLOOKUP($A248,Equipment!$A$2:$AH1001,MATCH("LevelReq",Equipment!$A$1:$AH$1,0),FALSE),"")</f>
        <v>1</v>
      </c>
      <c r="F248" s="18" t="str">
        <f>IFERROR(VLOOKUP($A248,Equipconvrt!$A$2:$AH1001,MATCH("Abilities",Equipconvrt!$A$1:$AH$1,0),FALSE),"")</f>
        <v>DEF: +300 ++Immunity to all dark damage</v>
      </c>
      <c r="G248" s="20">
        <f>IFERROR(VLOOKUP($A248,Equipment!$A$2:$AD1001,MATCH("Price",Equipment!$A$1:$AH$1,0),FALSE),"")</f>
        <v>0</v>
      </c>
      <c r="H248" s="4" t="b">
        <v>0</v>
      </c>
      <c r="I248" s="1" t="str">
        <f>IFERROR(VLOOKUP($A248,Equipment!$A$2:$AH1001,MATCH("EquipLoc",Equipment!$A$1:$AH$1,0),FALSE),"")</f>
        <v>Land of Spira</v>
      </c>
      <c r="W248" s="1" t="str">
        <f>IFERROR(__xludf.DUMMYFUNCTION("""COMPUTED_VALUE"""),"Silver Katana")</f>
        <v>Silver Katana</v>
      </c>
      <c r="X248" s="1" t="str">
        <f t="shared" si="1"/>
        <v/>
      </c>
    </row>
    <row r="249">
      <c r="A249" s="1" t="s">
        <v>755</v>
      </c>
      <c r="B249" s="18" t="str">
        <f>IFERROR(VLOOKUP($A249,Equipment!$A$2:$AH1001,MATCH("Description",Equipment!$A$1:$AH$1,0),FALSE),"")</f>
        <v/>
      </c>
      <c r="C249" s="18" t="str">
        <f>IFERROR(VLOOKUP($A249,Equipment!$A$2:$AH1001,MATCH("Type",Equipment!$A$1:$AH$1,0),FALSE),"")</f>
        <v/>
      </c>
      <c r="D249" s="18" t="str">
        <f>IFERROR(VLOOKUP($A249,Equipment!$A$2:$AH1001,MATCH("Slot",Equipment!$A$1:$AH$1,0),FALSE),"")</f>
        <v>Ring</v>
      </c>
      <c r="E249" s="20">
        <f>IFERROR(VLOOKUP($A249,Equipment!$A$2:$AH1001,MATCH("LevelReq",Equipment!$A$1:$AH$1,0),FALSE),"")</f>
        <v>1</v>
      </c>
      <c r="F249" s="18" t="str">
        <f>IFERROR(VLOOKUP($A249,Equipconvrt!$A$2:$AH1001,MATCH("Abilities",Equipconvrt!$A$1:$AH$1,0),FALSE),"")</f>
        <v> ++Increase damage of all dark spells and weapons by X2</v>
      </c>
      <c r="G249" s="20">
        <f>IFERROR(VLOOKUP($A249,Equipment!$A$2:$AD1001,MATCH("Price",Equipment!$A$1:$AH$1,0),FALSE),"")</f>
        <v>0</v>
      </c>
      <c r="H249" s="4" t="b">
        <v>0</v>
      </c>
      <c r="I249" s="1" t="str">
        <f>IFERROR(VLOOKUP($A249,Equipment!$A$2:$AH1001,MATCH("EquipLoc",Equipment!$A$1:$AH$1,0),FALSE),"")</f>
        <v>Land of Spira</v>
      </c>
      <c r="W249" s="1" t="str">
        <f>IFERROR(__xludf.DUMMYFUNCTION("""COMPUTED_VALUE"""),"Silver Knife")</f>
        <v>Silver Knife</v>
      </c>
      <c r="X249" s="1" t="str">
        <f t="shared" si="1"/>
        <v/>
      </c>
    </row>
    <row r="250">
      <c r="A250" s="1" t="s">
        <v>756</v>
      </c>
      <c r="B250" s="18" t="str">
        <f>IFERROR(VLOOKUP($A250,Equipment!$A$2:$AH1001,MATCH("Description",Equipment!$A$1:$AH$1,0),FALSE),"")</f>
        <v/>
      </c>
      <c r="C250" s="18" t="str">
        <f>IFERROR(VLOOKUP($A250,Equipment!$A$2:$AH1001,MATCH("Type",Equipment!$A$1:$AH$1,0),FALSE),"")</f>
        <v>Spear</v>
      </c>
      <c r="D250" s="18" t="str">
        <f>IFERROR(VLOOKUP($A250,Equipment!$A$2:$AH1001,MATCH("Slot",Equipment!$A$1:$AH$1,0),FALSE),"")</f>
        <v>Hand</v>
      </c>
      <c r="E250" s="20">
        <f>IFERROR(VLOOKUP($A250,Equipment!$A$2:$AH1001,MATCH("LevelReq",Equipment!$A$1:$AH$1,0),FALSE),"")</f>
        <v>1</v>
      </c>
      <c r="F250" s="18" t="str">
        <f>IFERROR(VLOOKUP($A250,Equipconvrt!$A$2:$AH1001,MATCH("Abilities",Equipconvrt!$A$1:$AH$1,0),FALSE),"")</f>
        <v>DMG: +100</v>
      </c>
      <c r="G250" s="20">
        <f>IFERROR(VLOOKUP($A250,Equipment!$A$2:$AD1001,MATCH("Price",Equipment!$A$1:$AH$1,0),FALSE),"")</f>
        <v>0</v>
      </c>
      <c r="H250" s="4" t="b">
        <v>0</v>
      </c>
      <c r="I250" s="1" t="str">
        <f>IFERROR(VLOOKUP($A250,Equipment!$A$2:$AH1001,MATCH("EquipLoc",Equipment!$A$1:$AH$1,0),FALSE),"")</f>
        <v>Land of Spira</v>
      </c>
      <c r="W250" s="1" t="str">
        <f>IFERROR(__xludf.DUMMYFUNCTION("""COMPUTED_VALUE"""),"Skull Cleaver")</f>
        <v>Skull Cleaver</v>
      </c>
      <c r="X250" s="1" t="str">
        <f t="shared" si="1"/>
        <v/>
      </c>
    </row>
    <row r="251">
      <c r="A251" s="1" t="s">
        <v>757</v>
      </c>
      <c r="B251" s="18" t="str">
        <f>IFERROR(VLOOKUP($A251,Equipment!$A$2:$AH1001,MATCH("Description",Equipment!$A$1:$AH$1,0),FALSE),"")</f>
        <v>(Event Exclusive) Lugh's Spear he weilded in battle. The spear will always find its mark when the incantation Ibar is spoken by the user. </v>
      </c>
      <c r="C251" s="18" t="str">
        <f>IFERROR(VLOOKUP($A251,Equipment!$A$2:$AH1001,MATCH("Type",Equipment!$A$1:$AH$1,0),FALSE),"")</f>
        <v>Spear</v>
      </c>
      <c r="D251" s="18" t="str">
        <f>IFERROR(VLOOKUP($A251,Equipment!$A$2:$AH1001,MATCH("Slot",Equipment!$A$1:$AH$1,0),FALSE),"")</f>
        <v>Hand</v>
      </c>
      <c r="E251" s="20">
        <f>IFERROR(VLOOKUP($A251,Equipment!$A$2:$AH1001,MATCH("LevelReq",Equipment!$A$1:$AH$1,0),FALSE),"")</f>
        <v>200</v>
      </c>
      <c r="F251" s="18" t="str">
        <f>IFERROR(VLOOKUP($A251,Equipconvrt!$A$2:$AH1001,MATCH("Abilities",Equipconvrt!$A$1:$AH$1,0),FALSE),"")</f>
        <v>DMG: +50000, Fire DMG: +50000, Celestial DMG: +50000 ++12,000 celestial and fire damage for 3 rounds. +-Cannot be forged +-Cannot be duplicated +-Cannot be confiscated. ++Ignores evasion, ++Will always return when thrown.</v>
      </c>
      <c r="G251" s="20">
        <f>IFERROR(VLOOKUP($A251,Equipment!$A$2:$AD1001,MATCH("Price",Equipment!$A$1:$AH$1,0),FALSE),"")</f>
        <v>448500000</v>
      </c>
      <c r="H251" s="4" t="b">
        <v>1</v>
      </c>
      <c r="I251" s="1" t="str">
        <f>IFERROR(VLOOKUP($A251,Equipment!$A$2:$AH1001,MATCH("EquipLoc",Equipment!$A$1:$AH$1,0),FALSE),"")</f>
        <v>Land of Spira</v>
      </c>
      <c r="W251" s="1" t="str">
        <f>IFERROR(__xludf.DUMMYFUNCTION("""COMPUTED_VALUE"""),"Skull of the many Kings")</f>
        <v>Skull of the many Kings</v>
      </c>
      <c r="X251" s="1" t="str">
        <f t="shared" si="1"/>
        <v/>
      </c>
    </row>
    <row r="252">
      <c r="A252" s="1" t="s">
        <v>758</v>
      </c>
      <c r="B252" s="18" t="str">
        <f>IFERROR(VLOOKUP($A252,Equipment!$A$2:$AH1001,MATCH("Description",Equipment!$A$1:$AH$1,0),FALSE),"")</f>
        <v/>
      </c>
      <c r="C252" s="18" t="str">
        <f>IFERROR(VLOOKUP($A252,Equipment!$A$2:$AH1001,MATCH("Type",Equipment!$A$1:$AH$1,0),FALSE),"")</f>
        <v/>
      </c>
      <c r="D252" s="18" t="str">
        <f>IFERROR(VLOOKUP($A252,Equipment!$A$2:$AH1001,MATCH("Slot",Equipment!$A$1:$AH$1,0),FALSE),"")</f>
        <v>Torso</v>
      </c>
      <c r="E252" s="20">
        <f>IFERROR(VLOOKUP($A252,Equipment!$A$2:$AH1001,MATCH("LevelReq",Equipment!$A$1:$AH$1,0),FALSE),"")</f>
        <v>1</v>
      </c>
      <c r="F252" s="18" t="str">
        <f>IFERROR(VLOOKUP($A252,Equipconvrt!$A$2:$AH1001,MATCH("Abilities",Equipconvrt!$A$1:$AH$1,0),FALSE),"")</f>
        <v>DEF: +100 ++Used for both offense and defense. ++Enemies take half the damage they caused, when they attack you.</v>
      </c>
      <c r="G252" s="20">
        <f>IFERROR(VLOOKUP($A252,Equipment!$A$2:$AD1001,MATCH("Price",Equipment!$A$1:$AH$1,0),FALSE),"")</f>
        <v>0</v>
      </c>
      <c r="H252" s="4" t="b">
        <v>0</v>
      </c>
      <c r="I252" s="1" t="str">
        <f>IFERROR(VLOOKUP($A252,Equipment!$A$2:$AH1001,MATCH("EquipLoc",Equipment!$A$1:$AH$1,0),FALSE),"")</f>
        <v>Land of Spira</v>
      </c>
      <c r="W252" s="1" t="str">
        <f>IFERROR(__xludf.DUMMYFUNCTION("""COMPUTED_VALUE"""),"Skull Ring")</f>
        <v>Skull Ring</v>
      </c>
      <c r="X252" s="1" t="str">
        <f t="shared" si="1"/>
        <v/>
      </c>
    </row>
    <row r="253">
      <c r="A253" s="1" t="s">
        <v>759</v>
      </c>
      <c r="B253" s="18" t="str">
        <f>IFERROR(VLOOKUP($A253,Equipment!$A$2:$AH1001,MATCH("Description",Equipment!$A$1:$AH$1,0),FALSE),"")</f>
        <v/>
      </c>
      <c r="C253" s="18" t="str">
        <f>IFERROR(VLOOKUP($A253,Equipment!$A$2:$AH1001,MATCH("Type",Equipment!$A$1:$AH$1,0),FALSE),"")</f>
        <v>Buckler</v>
      </c>
      <c r="D253" s="18" t="str">
        <f>IFERROR(VLOOKUP($A253,Equipment!$A$2:$AH1001,MATCH("Slot",Equipment!$A$1:$AH$1,0),FALSE),"")</f>
        <v>Hand</v>
      </c>
      <c r="E253" s="20">
        <f>IFERROR(VLOOKUP($A253,Equipment!$A$2:$AH1001,MATCH("LevelReq",Equipment!$A$1:$AH$1,0),FALSE),"")</f>
        <v>1</v>
      </c>
      <c r="F253" s="18" t="str">
        <f>IFERROR(VLOOKUP($A253,Equipconvrt!$A$2:$AH1001,MATCH("Abilities",Equipconvrt!$A$1:$AH$1,0),FALSE),"")</f>
        <v>DEF: +170</v>
      </c>
      <c r="G253" s="20">
        <f>IFERROR(VLOOKUP($A253,Equipment!$A$2:$AD1001,MATCH("Price",Equipment!$A$1:$AH$1,0),FALSE),"")</f>
        <v>0</v>
      </c>
      <c r="H253" s="4" t="b">
        <v>0</v>
      </c>
      <c r="I253" s="1" t="str">
        <f>IFERROR(VLOOKUP($A253,Equipment!$A$2:$AH1001,MATCH("EquipLoc",Equipment!$A$1:$AH$1,0),FALSE),"")</f>
        <v>Land of Spira</v>
      </c>
      <c r="W253" s="1" t="str">
        <f>IFERROR(__xludf.DUMMYFUNCTION("""COMPUTED_VALUE"""),"Spear")</f>
        <v>Spear</v>
      </c>
      <c r="X253" s="1" t="str">
        <f t="shared" si="1"/>
        <v/>
      </c>
    </row>
    <row r="254">
      <c r="A254" s="1" t="s">
        <v>760</v>
      </c>
      <c r="B254" s="18" t="str">
        <f>IFERROR(VLOOKUP($A254,Equipment!$A$2:$AH1001,MATCH("Description",Equipment!$A$1:$AH$1,0),FALSE),"")</f>
        <v>Halloween Exclusive</v>
      </c>
      <c r="C254" s="18" t="str">
        <f>IFERROR(VLOOKUP($A254,Equipment!$A$2:$AH1001,MATCH("Type",Equipment!$A$1:$AH$1,0),FALSE),"")</f>
        <v/>
      </c>
      <c r="D254" s="18" t="str">
        <f>IFERROR(VLOOKUP($A254,Equipment!$A$2:$AH1001,MATCH("Slot",Equipment!$A$1:$AH$1,0),FALSE),"")</f>
        <v>Ring</v>
      </c>
      <c r="E254" s="20">
        <f>IFERROR(VLOOKUP($A254,Equipment!$A$2:$AH1001,MATCH("LevelReq",Equipment!$A$1:$AH$1,0),FALSE),"")</f>
        <v>1</v>
      </c>
      <c r="F254" s="18" t="str">
        <f>IFERROR(VLOOKUP($A254,Equipconvrt!$A$2:$AH1001,MATCH("Abilities",Equipconvrt!$A$1:$AH$1,0),FALSE),"")</f>
        <v> ++Increase fire and dark damage by X2.</v>
      </c>
      <c r="G254" s="20">
        <f>IFERROR(VLOOKUP($A254,Equipment!$A$2:$AD1001,MATCH("Price",Equipment!$A$1:$AH$1,0),FALSE),"")</f>
        <v>0</v>
      </c>
      <c r="H254" s="4" t="b">
        <v>1</v>
      </c>
      <c r="I254" s="1" t="str">
        <f>IFERROR(VLOOKUP($A254,Equipment!$A$2:$AH1001,MATCH("EquipLoc",Equipment!$A$1:$AH$1,0),FALSE),"")</f>
        <v>Halloween Kingdom</v>
      </c>
      <c r="W254" s="1" t="str">
        <f>IFERROR(__xludf.DUMMYFUNCTION("""COMPUTED_VALUE"""),"Spear Of Assal ")</f>
        <v>Spear Of Assal </v>
      </c>
      <c r="X254" s="1" t="str">
        <f t="shared" si="1"/>
        <v/>
      </c>
    </row>
    <row r="255">
      <c r="A255" s="1" t="s">
        <v>761</v>
      </c>
      <c r="B255" s="18" t="str">
        <f>IFERROR(VLOOKUP($A255,Equipment!$A$2:$AH1001,MATCH("Description",Equipment!$A$1:$AH$1,0),FALSE),"")</f>
        <v/>
      </c>
      <c r="C255" s="18" t="str">
        <f>IFERROR(VLOOKUP($A255,Equipment!$A$2:$AH1001,MATCH("Type",Equipment!$A$1:$AH$1,0),FALSE),"")</f>
        <v>Staff</v>
      </c>
      <c r="D255" s="18" t="str">
        <f>IFERROR(VLOOKUP($A255,Equipment!$A$2:$AH1001,MATCH("Slot",Equipment!$A$1:$AH$1,0),FALSE),"")</f>
        <v>Hand</v>
      </c>
      <c r="E255" s="20">
        <f>IFERROR(VLOOKUP($A255,Equipment!$A$2:$AH1001,MATCH("LevelReq",Equipment!$A$1:$AH$1,0),FALSE),"")</f>
        <v>1200</v>
      </c>
      <c r="F255" s="18" t="str">
        <f>IFERROR(VLOOKUP($A255,Equipconvrt!$A$2:$AH1001,MATCH("Abilities",Equipconvrt!$A$1:$AH$1,0),FALSE),"")</f>
        <v>, Fire DMG: +20000, Dark DMG: +20000, Chaos DMG: +20000 ++damages all enemies. +-Cannot be forged.</v>
      </c>
      <c r="G255" s="20">
        <f>IFERROR(VLOOKUP($A255,Equipment!$A$2:$AD1001,MATCH("Price",Equipment!$A$1:$AH$1,0),FALSE),"")</f>
        <v>71400000</v>
      </c>
      <c r="H255" s="4" t="b">
        <v>0</v>
      </c>
      <c r="I255" s="1" t="str">
        <f>IFERROR(VLOOKUP($A255,Equipment!$A$2:$AH1001,MATCH("EquipLoc",Equipment!$A$1:$AH$1,0),FALSE),"")</f>
        <v>Land of Spira</v>
      </c>
      <c r="W255" s="1" t="str">
        <f>IFERROR(__xludf.DUMMYFUNCTION("""COMPUTED_VALUE"""),"Spiked Armor")</f>
        <v>Spiked Armor</v>
      </c>
      <c r="X255" s="1" t="str">
        <f t="shared" si="1"/>
        <v/>
      </c>
    </row>
    <row r="256">
      <c r="A256" s="1" t="s">
        <v>762</v>
      </c>
      <c r="B256" s="18" t="str">
        <f>IFERROR(VLOOKUP($A256,Equipment!$A$2:$AH1001,MATCH("Description",Equipment!$A$1:$AH$1,0),FALSE),"")</f>
        <v/>
      </c>
      <c r="C256" s="18" t="str">
        <f>IFERROR(VLOOKUP($A256,Equipment!$A$2:$AH1001,MATCH("Type",Equipment!$A$1:$AH$1,0),FALSE),"")</f>
        <v>Staff</v>
      </c>
      <c r="D256" s="18" t="str">
        <f>IFERROR(VLOOKUP($A256,Equipment!$A$2:$AH1001,MATCH("Slot",Equipment!$A$1:$AH$1,0),FALSE),"")</f>
        <v>Hand</v>
      </c>
      <c r="E256" s="20">
        <f>IFERROR(VLOOKUP($A256,Equipment!$A$2:$AH1001,MATCH("LevelReq",Equipment!$A$1:$AH$1,0),FALSE),"")</f>
        <v>400</v>
      </c>
      <c r="F256" s="18" t="str">
        <f>IFERROR(VLOOKUP($A256,Equipconvrt!$A$2:$AH1001,MATCH("Abilities",Equipconvrt!$A$1:$AH$1,0),FALSE),"")</f>
        <v>, Earth DMG: +20000 ++When Equipped any damage dealt by a Crystal or Gem related weapon is X4. +-Cannot be duplicated.</v>
      </c>
      <c r="G256" s="20">
        <f>IFERROR(VLOOKUP($A256,Equipment!$A$2:$AD1001,MATCH("Price",Equipment!$A$1:$AH$1,0),FALSE),"")</f>
        <v>7800000</v>
      </c>
      <c r="H256" s="4" t="b">
        <v>0</v>
      </c>
      <c r="I256" s="1" t="str">
        <f>IFERROR(VLOOKUP($A256,Equipment!$A$2:$AH1001,MATCH("EquipLoc",Equipment!$A$1:$AH$1,0),FALSE),"")</f>
        <v>Land of Spira</v>
      </c>
      <c r="W256" s="1" t="str">
        <f>IFERROR(__xludf.DUMMYFUNCTION("""COMPUTED_VALUE"""),"Spiny Shield")</f>
        <v>Spiny Shield</v>
      </c>
      <c r="X256" s="1" t="str">
        <f t="shared" si="1"/>
        <v/>
      </c>
    </row>
    <row r="257">
      <c r="A257" s="1" t="s">
        <v>763</v>
      </c>
      <c r="B257" s="18" t="str">
        <f>IFERROR(VLOOKUP($A257,Equipment!$A$2:$AH1001,MATCH("Description",Equipment!$A$1:$AH$1,0),FALSE),"")</f>
        <v/>
      </c>
      <c r="C257" s="18" t="str">
        <f>IFERROR(VLOOKUP($A257,Equipment!$A$2:$AH1001,MATCH("Type",Equipment!$A$1:$AH$1,0),FALSE),"")</f>
        <v>Staff</v>
      </c>
      <c r="D257" s="18" t="str">
        <f>IFERROR(VLOOKUP($A257,Equipment!$A$2:$AH1001,MATCH("Slot",Equipment!$A$1:$AH$1,0),FALSE),"")</f>
        <v>Hand</v>
      </c>
      <c r="E257" s="20">
        <f>IFERROR(VLOOKUP($A257,Equipment!$A$2:$AH1001,MATCH("LevelReq",Equipment!$A$1:$AH$1,0),FALSE),"")</f>
        <v>1</v>
      </c>
      <c r="F257" s="18" t="str">
        <f>IFERROR(VLOOKUP($A257,Equipconvrt!$A$2:$AH1001,MATCH("Abilities",Equipconvrt!$A$1:$AH$1,0),FALSE),"")</f>
        <v> ++20,000 fire damage to all enemies, cannot avoid. 10,000sp</v>
      </c>
      <c r="G257" s="20">
        <f>IFERROR(VLOOKUP($A257,Equipment!$A$2:$AD1001,MATCH("Price",Equipment!$A$1:$AH$1,0),FALSE),"")</f>
        <v>0</v>
      </c>
      <c r="H257" s="4" t="b">
        <v>0</v>
      </c>
      <c r="I257" s="1" t="str">
        <f>IFERROR(VLOOKUP($A257,Equipment!$A$2:$AH1001,MATCH("EquipLoc",Equipment!$A$1:$AH$1,0),FALSE),"")</f>
        <v>Land of Spira</v>
      </c>
      <c r="W257" s="1" t="str">
        <f>IFERROR(__xludf.DUMMYFUNCTION("""COMPUTED_VALUE"""),"Spooky Branch Ring")</f>
        <v>Spooky Branch Ring</v>
      </c>
      <c r="X257" s="1" t="str">
        <f t="shared" si="1"/>
        <v/>
      </c>
    </row>
    <row r="258">
      <c r="A258" s="1" t="s">
        <v>764</v>
      </c>
      <c r="B258" s="18" t="str">
        <f>IFERROR(VLOOKUP($A258,Equipment!$A$2:$AH1001,MATCH("Description",Equipment!$A$1:$AH$1,0),FALSE),"")</f>
        <v/>
      </c>
      <c r="C258" s="18" t="str">
        <f>IFERROR(VLOOKUP($A258,Equipment!$A$2:$AH1001,MATCH("Type",Equipment!$A$1:$AH$1,0),FALSE),"")</f>
        <v>Staff</v>
      </c>
      <c r="D258" s="18" t="str">
        <f>IFERROR(VLOOKUP($A258,Equipment!$A$2:$AH1001,MATCH("Slot",Equipment!$A$1:$AH$1,0),FALSE),"")</f>
        <v>Hand</v>
      </c>
      <c r="E258" s="20">
        <f>IFERROR(VLOOKUP($A258,Equipment!$A$2:$AH1001,MATCH("LevelReq",Equipment!$A$1:$AH$1,0),FALSE),"")</f>
        <v>1</v>
      </c>
      <c r="F258" s="18" t="str">
        <f>IFERROR(VLOOKUP($A258,Equipconvrt!$A$2:$AH1001,MATCH("Abilities",Equipconvrt!$A$1:$AH$1,0),FALSE),"")</f>
        <v> ++You are invisible and silent so long as you don't attack. You cannot be attacked while invisible. 200SP</v>
      </c>
      <c r="G258" s="20">
        <f>IFERROR(VLOOKUP($A258,Equipment!$A$2:$AD1001,MATCH("Price",Equipment!$A$1:$AH$1,0),FALSE),"")</f>
        <v>0</v>
      </c>
      <c r="H258" s="4" t="b">
        <v>0</v>
      </c>
      <c r="I258" s="1" t="str">
        <f>IFERROR(VLOOKUP($A258,Equipment!$A$2:$AH1001,MATCH("EquipLoc",Equipment!$A$1:$AH$1,0),FALSE),"")</f>
        <v>Land of Spira</v>
      </c>
      <c r="W258" s="1" t="str">
        <f>IFERROR(__xludf.DUMMYFUNCTION("""COMPUTED_VALUE"""),"Staff of Chaotic Shadows")</f>
        <v>Staff of Chaotic Shadows</v>
      </c>
      <c r="X258" s="1" t="str">
        <f t="shared" si="1"/>
        <v/>
      </c>
    </row>
    <row r="259">
      <c r="A259" s="1" t="s">
        <v>765</v>
      </c>
      <c r="B259" s="18" t="str">
        <f>IFERROR(VLOOKUP($A259,Equipment!$A$2:$AH1001,MATCH("Description",Equipment!$A$1:$AH$1,0),FALSE),"")</f>
        <v/>
      </c>
      <c r="C259" s="18" t="str">
        <f>IFERROR(VLOOKUP($A259,Equipment!$A$2:$AH1001,MATCH("Type",Equipment!$A$1:$AH$1,0),FALSE),"")</f>
        <v>Staff</v>
      </c>
      <c r="D259" s="18" t="str">
        <f>IFERROR(VLOOKUP($A259,Equipment!$A$2:$AH1001,MATCH("Slot",Equipment!$A$1:$AH$1,0),FALSE),"")</f>
        <v>Hand</v>
      </c>
      <c r="E259" s="20">
        <f>IFERROR(VLOOKUP($A259,Equipment!$A$2:$AH1001,MATCH("LevelReq",Equipment!$A$1:$AH$1,0),FALSE),"")</f>
        <v>1</v>
      </c>
      <c r="F259" s="18" t="str">
        <f>IFERROR(VLOOKUP($A259,Equipconvrt!$A$2:$AH1001,MATCH("Abilities",Equipconvrt!$A$1:$AH$1,0),FALSE),"")</f>
        <v> ++Casts a chaotic aura around 1 target dealing 1000 unblockable damage to them each time they cast a spell.</v>
      </c>
      <c r="G259" s="20">
        <f>IFERROR(VLOOKUP($A259,Equipment!$A$2:$AD1001,MATCH("Price",Equipment!$A$1:$AH$1,0),FALSE),"")</f>
        <v>0</v>
      </c>
      <c r="H259" s="4" t="b">
        <v>0</v>
      </c>
      <c r="I259" s="1" t="str">
        <f>IFERROR(VLOOKUP($A259,Equipment!$A$2:$AH1001,MATCH("EquipLoc",Equipment!$A$1:$AH$1,0),FALSE),"")</f>
        <v>Land of Spira</v>
      </c>
      <c r="W259" s="1" t="str">
        <f>IFERROR(__xludf.DUMMYFUNCTION("""COMPUTED_VALUE"""),"Staff of Crystals")</f>
        <v>Staff of Crystals</v>
      </c>
      <c r="X259" s="1" t="str">
        <f t="shared" si="1"/>
        <v/>
      </c>
    </row>
    <row r="260">
      <c r="A260" s="1" t="s">
        <v>766</v>
      </c>
      <c r="B260" s="18" t="str">
        <f>IFERROR(VLOOKUP($A260,Equipment!$A$2:$AH1001,MATCH("Description",Equipment!$A$1:$AH$1,0),FALSE),"")</f>
        <v/>
      </c>
      <c r="C260" s="18" t="str">
        <f>IFERROR(VLOOKUP($A260,Equipment!$A$2:$AH1001,MATCH("Type",Equipment!$A$1:$AH$1,0),FALSE),"")</f>
        <v>Staff</v>
      </c>
      <c r="D260" s="18" t="str">
        <f>IFERROR(VLOOKUP($A260,Equipment!$A$2:$AH1001,MATCH("Slot",Equipment!$A$1:$AH$1,0),FALSE),"")</f>
        <v>Hand</v>
      </c>
      <c r="E260" s="20">
        <f>IFERROR(VLOOKUP($A260,Equipment!$A$2:$AH1001,MATCH("LevelReq",Equipment!$A$1:$AH$1,0),FALSE),"")</f>
        <v>1</v>
      </c>
      <c r="F260" s="18" t="str">
        <f>IFERROR(VLOOKUP($A260,Equipconvrt!$A$2:$AH1001,MATCH("Abilities",Equipconvrt!$A$1:$AH$1,0),FALSE),"")</f>
        <v> ++When you complain about getting targeted this staff will deal Unblockable 1,000,000 dmg to every player in the battle. +-Cannot resist or be immune to.</v>
      </c>
      <c r="G260" s="20">
        <f>IFERROR(VLOOKUP($A260,Equipment!$A$2:$AD1001,MATCH("Price",Equipment!$A$1:$AH$1,0),FALSE),"")</f>
        <v>0</v>
      </c>
      <c r="H260" s="4" t="b">
        <v>0</v>
      </c>
      <c r="I260" s="1" t="str">
        <f>IFERROR(VLOOKUP($A260,Equipment!$A$2:$AH1001,MATCH("EquipLoc",Equipment!$A$1:$AH$1,0),FALSE),"")</f>
        <v>Land of The Forgotten</v>
      </c>
      <c r="W260" s="1" t="str">
        <f>IFERROR(__xludf.DUMMYFUNCTION("""COMPUTED_VALUE"""),"Staff Of Heatmore")</f>
        <v>Staff Of Heatmore</v>
      </c>
      <c r="X260" s="1" t="str">
        <f t="shared" si="1"/>
        <v/>
      </c>
    </row>
    <row r="261">
      <c r="A261" s="1" t="s">
        <v>767</v>
      </c>
      <c r="B261" s="18" t="str">
        <f>IFERROR(VLOOKUP($A261,Equipment!$A$2:$AH1001,MATCH("Description",Equipment!$A$1:$AH$1,0),FALSE),"")</f>
        <v/>
      </c>
      <c r="C261" s="18" t="str">
        <f>IFERROR(VLOOKUP($A261,Equipment!$A$2:$AH1001,MATCH("Type",Equipment!$A$1:$AH$1,0),FALSE),"")</f>
        <v>Staff</v>
      </c>
      <c r="D261" s="18" t="str">
        <f>IFERROR(VLOOKUP($A261,Equipment!$A$2:$AH1001,MATCH("Slot",Equipment!$A$1:$AH$1,0),FALSE),"")</f>
        <v>Hand</v>
      </c>
      <c r="E261" s="20">
        <f>IFERROR(VLOOKUP($A261,Equipment!$A$2:$AH1001,MATCH("LevelReq",Equipment!$A$1:$AH$1,0),FALSE),"")</f>
        <v>1</v>
      </c>
      <c r="F261" s="18" t="str">
        <f>IFERROR(VLOOKUP($A261,Equipconvrt!$A$2:$AH1001,MATCH("Abilities",Equipconvrt!$A$1:$AH$1,0),FALSE),"")</f>
        <v> ++Casts the Spell Tsunami as if you would know it.</v>
      </c>
      <c r="G261" s="20">
        <f>IFERROR(VLOOKUP($A261,Equipment!$A$2:$AD1001,MATCH("Price",Equipment!$A$1:$AH$1,0),FALSE),"")</f>
        <v>0</v>
      </c>
      <c r="H261" s="4" t="b">
        <v>0</v>
      </c>
      <c r="I261" s="1" t="str">
        <f>IFERROR(VLOOKUP($A261,Equipment!$A$2:$AH1001,MATCH("EquipLoc",Equipment!$A$1:$AH$1,0),FALSE),"")</f>
        <v>Land of Spira</v>
      </c>
      <c r="W261" s="1" t="str">
        <f>IFERROR(__xludf.DUMMYFUNCTION("""COMPUTED_VALUE"""),"Staff of Shadows")</f>
        <v>Staff of Shadows</v>
      </c>
      <c r="X261" s="1" t="str">
        <f t="shared" si="1"/>
        <v/>
      </c>
    </row>
    <row r="262">
      <c r="A262" s="1" t="s">
        <v>768</v>
      </c>
      <c r="B262" s="18" t="str">
        <f>IFERROR(VLOOKUP($A262,Equipment!$A$2:$AH1001,MATCH("Description",Equipment!$A$1:$AH$1,0),FALSE),"")</f>
        <v>Quest Item</v>
      </c>
      <c r="C262" s="18" t="str">
        <f>IFERROR(VLOOKUP($A262,Equipment!$A$2:$AH1001,MATCH("Type",Equipment!$A$1:$AH$1,0),FALSE),"")</f>
        <v/>
      </c>
      <c r="D262" s="18" t="str">
        <f>IFERROR(VLOOKUP($A262,Equipment!$A$2:$AH1001,MATCH("Slot",Equipment!$A$1:$AH$1,0),FALSE),"")</f>
        <v>Head</v>
      </c>
      <c r="E262" s="20">
        <f>IFERROR(VLOOKUP($A262,Equipment!$A$2:$AH1001,MATCH("LevelReq",Equipment!$A$1:$AH$1,0),FALSE),"")</f>
        <v>200</v>
      </c>
      <c r="F262" s="18" t="str">
        <f>IFERROR(VLOOKUP($A262,Equipconvrt!$A$2:$AH1001,MATCH("Abilities",Equipconvrt!$A$1:$AH$1,0),FALSE),"")</f>
        <v>DEF: +25000, Light DEF: +25000, Celestial DEF: +25000</v>
      </c>
      <c r="G262" s="20">
        <f>IFERROR(VLOOKUP($A262,Equipment!$A$2:$AD1001,MATCH("Price",Equipment!$A$1:$AH$1,0),FALSE),"")</f>
        <v>111750000</v>
      </c>
      <c r="H262" s="4" t="b">
        <v>1</v>
      </c>
      <c r="I262" s="1" t="str">
        <f>IFERROR(VLOOKUP($A262,Equipment!$A$2:$AH1001,MATCH("EquipLoc",Equipment!$A$1:$AH$1,0),FALSE),"")</f>
        <v>Land of Spira</v>
      </c>
      <c r="W262" s="1" t="str">
        <f>IFERROR(__xludf.DUMMYFUNCTION("""COMPUTED_VALUE"""),"Staff Of Suffering")</f>
        <v>Staff Of Suffering</v>
      </c>
      <c r="X262" s="1" t="str">
        <f t="shared" si="1"/>
        <v/>
      </c>
    </row>
    <row r="263">
      <c r="A263" s="1" t="s">
        <v>769</v>
      </c>
      <c r="B263" s="18" t="str">
        <f>IFERROR(VLOOKUP($A263,Equipment!$A$2:$AH1001,MATCH("Description",Equipment!$A$1:$AH$1,0),FALSE),"")</f>
        <v>Quest Item</v>
      </c>
      <c r="C263" s="18" t="str">
        <f>IFERROR(VLOOKUP($A263,Equipment!$A$2:$AH1001,MATCH("Type",Equipment!$A$1:$AH$1,0),FALSE),"")</f>
        <v>Towershield</v>
      </c>
      <c r="D263" s="18" t="str">
        <f>IFERROR(VLOOKUP($A263,Equipment!$A$2:$AH1001,MATCH("Slot",Equipment!$A$1:$AH$1,0),FALSE),"")</f>
        <v>Hand</v>
      </c>
      <c r="E263" s="20">
        <f>IFERROR(VLOOKUP($A263,Equipment!$A$2:$AH1001,MATCH("LevelReq",Equipment!$A$1:$AH$1,0),FALSE),"")</f>
        <v>200</v>
      </c>
      <c r="F263" s="18" t="str">
        <f>IFERROR(VLOOKUP($A263,Equipconvrt!$A$2:$AH1001,MATCH("Abilities",Equipconvrt!$A$1:$AH$1,0),FALSE),"")</f>
        <v>DEF: +25000, Light DEF: +25000, Celestial DEF: +25000</v>
      </c>
      <c r="G263" s="20">
        <f>IFERROR(VLOOKUP($A263,Equipment!$A$2:$AD1001,MATCH("Price",Equipment!$A$1:$AH$1,0),FALSE),"")</f>
        <v>111750000</v>
      </c>
      <c r="H263" s="4" t="b">
        <v>1</v>
      </c>
      <c r="I263" s="1" t="str">
        <f>IFERROR(VLOOKUP($A263,Equipment!$A$2:$AH1001,MATCH("EquipLoc",Equipment!$A$1:$AH$1,0),FALSE),"")</f>
        <v>Land of Spira</v>
      </c>
      <c r="W263" s="1" t="str">
        <f>IFERROR(__xludf.DUMMYFUNCTION("""COMPUTED_VALUE"""),"Staff of Targeting")</f>
        <v>Staff of Targeting</v>
      </c>
      <c r="X263" s="1" t="str">
        <f t="shared" si="1"/>
        <v/>
      </c>
    </row>
    <row r="264">
      <c r="A264" s="1" t="s">
        <v>770</v>
      </c>
      <c r="B264" s="18" t="str">
        <f>IFERROR(VLOOKUP($A264,Equipment!$A$2:$AH1001,MATCH("Description",Equipment!$A$1:$AH$1,0),FALSE),"")</f>
        <v>Quest Item</v>
      </c>
      <c r="C264" s="18" t="str">
        <f>IFERROR(VLOOKUP($A264,Equipment!$A$2:$AH1001,MATCH("Type",Equipment!$A$1:$AH$1,0),FALSE),"")</f>
        <v>Sword</v>
      </c>
      <c r="D264" s="18" t="str">
        <f>IFERROR(VLOOKUP($A264,Equipment!$A$2:$AH1001,MATCH("Slot",Equipment!$A$1:$AH$1,0),FALSE),"")</f>
        <v>Hand</v>
      </c>
      <c r="E264" s="20">
        <f>IFERROR(VLOOKUP($A264,Equipment!$A$2:$AH1001,MATCH("LevelReq",Equipment!$A$1:$AH$1,0),FALSE),"")</f>
        <v>200</v>
      </c>
      <c r="F264" s="18" t="str">
        <f>IFERROR(VLOOKUP($A264,Equipconvrt!$A$2:$AH1001,MATCH("Abilities",Equipconvrt!$A$1:$AH$1,0),FALSE),"")</f>
        <v>DMG: +25000, Light DMG: +25000, Celestial DMG: +25000</v>
      </c>
      <c r="G264" s="20">
        <f>IFERROR(VLOOKUP($A264,Equipment!$A$2:$AD1001,MATCH("Price",Equipment!$A$1:$AH$1,0),FALSE),"")</f>
        <v>111750000</v>
      </c>
      <c r="H264" s="4" t="b">
        <v>1</v>
      </c>
      <c r="I264" s="1" t="str">
        <f>IFERROR(VLOOKUP($A264,Equipment!$A$2:$AH1001,MATCH("EquipLoc",Equipment!$A$1:$AH$1,0),FALSE),"")</f>
        <v>Land of Spira</v>
      </c>
      <c r="W264" s="1" t="str">
        <f>IFERROR(__xludf.DUMMYFUNCTION("""COMPUTED_VALUE"""),"Staff of Waves")</f>
        <v>Staff of Waves</v>
      </c>
      <c r="X264" s="1" t="str">
        <f t="shared" si="1"/>
        <v/>
      </c>
    </row>
    <row r="265">
      <c r="A265" s="1" t="s">
        <v>771</v>
      </c>
      <c r="B265" s="18" t="str">
        <f>IFERROR(VLOOKUP($A265,Equipment!$A$2:$AH1001,MATCH("Description",Equipment!$A$1:$AH$1,0),FALSE),"")</f>
        <v/>
      </c>
      <c r="C265" s="18" t="str">
        <f>IFERROR(VLOOKUP($A265,Equipment!$A$2:$AH1001,MATCH("Type",Equipment!$A$1:$AH$1,0),FALSE),"")</f>
        <v/>
      </c>
      <c r="D265" s="18" t="str">
        <f>IFERROR(VLOOKUP($A265,Equipment!$A$2:$AH1001,MATCH("Slot",Equipment!$A$1:$AH$1,0),FALSE),"")</f>
        <v>Torso</v>
      </c>
      <c r="E265" s="20">
        <f>IFERROR(VLOOKUP($A265,Equipment!$A$2:$AH1001,MATCH("LevelReq",Equipment!$A$1:$AH$1,0),FALSE),"")</f>
        <v>1</v>
      </c>
      <c r="F265" s="18" t="str">
        <f>IFERROR(VLOOKUP($A265,Equipconvrt!$A$2:$AH1001,MATCH("Abilities",Equipconvrt!$A$1:$AH$1,0),FALSE),"")</f>
        <v>DEF: +20</v>
      </c>
      <c r="G265" s="20">
        <f>IFERROR(VLOOKUP($A265,Equipment!$A$2:$AD1001,MATCH("Price",Equipment!$A$1:$AH$1,0),FALSE),"")</f>
        <v>0</v>
      </c>
      <c r="H265" s="4" t="b">
        <v>0</v>
      </c>
      <c r="I265" s="1" t="str">
        <f>IFERROR(VLOOKUP($A265,Equipment!$A$2:$AH1001,MATCH("EquipLoc",Equipment!$A$1:$AH$1,0),FALSE),"")</f>
        <v>Land of Spira</v>
      </c>
      <c r="W265" s="1" t="str">
        <f>IFERROR(__xludf.DUMMYFUNCTION("""COMPUTED_VALUE"""),"Guard Helmet")</f>
        <v>Guard Helmet</v>
      </c>
      <c r="X265" s="1" t="str">
        <f t="shared" si="1"/>
        <v/>
      </c>
    </row>
    <row r="266">
      <c r="A266" s="1" t="s">
        <v>772</v>
      </c>
      <c r="B266" s="18" t="str">
        <f>IFERROR(VLOOKUP($A266,Equipment!$A$2:$AH1001,MATCH("Description",Equipment!$A$1:$AH$1,0),FALSE),"")</f>
        <v/>
      </c>
      <c r="C266" s="18" t="str">
        <f>IFERROR(VLOOKUP($A266,Equipment!$A$2:$AH1001,MATCH("Type",Equipment!$A$1:$AH$1,0),FALSE),"")</f>
        <v>Sword</v>
      </c>
      <c r="D266" s="18" t="str">
        <f>IFERROR(VLOOKUP($A266,Equipment!$A$2:$AH1001,MATCH("Slot",Equipment!$A$1:$AH$1,0),FALSE),"")</f>
        <v>Hand</v>
      </c>
      <c r="E266" s="20">
        <f>IFERROR(VLOOKUP($A266,Equipment!$A$2:$AH1001,MATCH("LevelReq",Equipment!$A$1:$AH$1,0),FALSE),"")</f>
        <v>40</v>
      </c>
      <c r="F266" s="18" t="str">
        <f>IFERROR(VLOOKUP($A266,Equipconvrt!$A$2:$AH1001,MATCH("Abilities",Equipconvrt!$A$1:$AH$1,0),FALSE),"")</f>
        <v>DMG: +2000</v>
      </c>
      <c r="G266" s="20">
        <f>IFERROR(VLOOKUP($A266,Equipment!$A$2:$AD1001,MATCH("Price",Equipment!$A$1:$AH$1,0),FALSE),"")</f>
        <v>60000</v>
      </c>
      <c r="H266" s="4" t="b">
        <v>0</v>
      </c>
      <c r="I266" s="1" t="str">
        <f>IFERROR(VLOOKUP($A266,Equipment!$A$2:$AH1001,MATCH("EquipLoc",Equipment!$A$1:$AH$1,0),FALSE),"")</f>
        <v>Land of Spira</v>
      </c>
      <c r="W266" s="1" t="str">
        <f>IFERROR(__xludf.DUMMYFUNCTION("""COMPUTED_VALUE"""),"Guard Shield")</f>
        <v>Guard Shield</v>
      </c>
      <c r="X266" s="1" t="str">
        <f t="shared" si="1"/>
        <v/>
      </c>
    </row>
    <row r="267">
      <c r="A267" s="1" t="s">
        <v>773</v>
      </c>
      <c r="B267" s="18" t="str">
        <f>IFERROR(VLOOKUP($A267,Equipment!$A$2:$AH1001,MATCH("Description",Equipment!$A$1:$AH$1,0),FALSE),"")</f>
        <v/>
      </c>
      <c r="C267" s="18" t="str">
        <f>IFERROR(VLOOKUP($A267,Equipment!$A$2:$AH1001,MATCH("Type",Equipment!$A$1:$AH$1,0),FALSE),"")</f>
        <v>Sword</v>
      </c>
      <c r="D267" s="18" t="str">
        <f>IFERROR(VLOOKUP($A267,Equipment!$A$2:$AH1001,MATCH("Slot",Equipment!$A$1:$AH$1,0),FALSE),"")</f>
        <v>Hand</v>
      </c>
      <c r="E267" s="20">
        <f>IFERROR(VLOOKUP($A267,Equipment!$A$2:$AH1001,MATCH("LevelReq",Equipment!$A$1:$AH$1,0),FALSE),"")</f>
        <v>10</v>
      </c>
      <c r="F267" s="18" t="str">
        <f>IFERROR(VLOOKUP($A267,Equipconvrt!$A$2:$AH1001,MATCH("Abilities",Equipconvrt!$A$1:$AH$1,0),FALSE),"")</f>
        <v>DMG: +500</v>
      </c>
      <c r="G267" s="20">
        <f>IFERROR(VLOOKUP($A267,Equipment!$A$2:$AD1001,MATCH("Price",Equipment!$A$1:$AH$1,0),FALSE),"")</f>
        <v>1000</v>
      </c>
      <c r="H267" s="4" t="b">
        <v>0</v>
      </c>
      <c r="I267" s="1" t="str">
        <f>IFERROR(VLOOKUP($A267,Equipment!$A$2:$AH1001,MATCH("EquipLoc",Equipment!$A$1:$AH$1,0),FALSE),"")</f>
        <v>Land of Spira</v>
      </c>
      <c r="W267" s="1" t="str">
        <f>IFERROR(__xludf.DUMMYFUNCTION("""COMPUTED_VALUE"""),"Guard Sword")</f>
        <v>Guard Sword</v>
      </c>
      <c r="X267" s="1" t="str">
        <f t="shared" si="1"/>
        <v/>
      </c>
    </row>
    <row r="268">
      <c r="A268" s="1" t="s">
        <v>774</v>
      </c>
      <c r="B268" s="18" t="str">
        <f>IFERROR(VLOOKUP($A268,Equipment!$A$2:$AH1001,MATCH("Description",Equipment!$A$1:$AH$1,0),FALSE),"")</f>
        <v>Those who doubt the stick's power will suffer the stick's wrath</v>
      </c>
      <c r="C268" s="18" t="str">
        <f>IFERROR(VLOOKUP($A268,Equipment!$A$2:$AH1001,MATCH("Type",Equipment!$A$1:$AH$1,0),FALSE),"")</f>
        <v>Wand</v>
      </c>
      <c r="D268" s="18" t="str">
        <f>IFERROR(VLOOKUP($A268,Equipment!$A$2:$AH1001,MATCH("Slot",Equipment!$A$1:$AH$1,0),FALSE),"")</f>
        <v>Hand</v>
      </c>
      <c r="E268" s="20">
        <f>IFERROR(VLOOKUP($A268,Equipment!$A$2:$AH1001,MATCH("LevelReq",Equipment!$A$1:$AH$1,0),FALSE),"")</f>
        <v>1</v>
      </c>
      <c r="F268" s="18" t="str">
        <f>IFERROR(VLOOKUP($A268,Equipconvrt!$A$2:$AH1001,MATCH("Abilities",Equipconvrt!$A$1:$AH$1,0),FALSE),"")</f>
        <v> ++roll a d20 to see what it does :)</v>
      </c>
      <c r="G268" s="20">
        <f>IFERROR(VLOOKUP($A268,Equipment!$A$2:$AD1001,MATCH("Price",Equipment!$A$1:$AH$1,0),FALSE),"")</f>
        <v>0</v>
      </c>
      <c r="H268" s="4" t="b">
        <v>0</v>
      </c>
      <c r="I268" s="1" t="str">
        <f>IFERROR(VLOOKUP($A268,Equipment!$A$2:$AH1001,MATCH("EquipLoc",Equipment!$A$1:$AH$1,0),FALSE),"")</f>
        <v>Land of Spira</v>
      </c>
      <c r="W268" s="1" t="str">
        <f>IFERROR(__xludf.DUMMYFUNCTION("""COMPUTED_VALUE"""),"Steel Armor")</f>
        <v>Steel Armor</v>
      </c>
      <c r="X268" s="1" t="str">
        <f t="shared" si="1"/>
        <v/>
      </c>
    </row>
    <row r="269">
      <c r="A269" s="1" t="s">
        <v>775</v>
      </c>
      <c r="B269" s="18" t="str">
        <f>IFERROR(VLOOKUP($A269,Equipment!$A$2:$AH1001,MATCH("Description",Equipment!$A$1:$AH$1,0),FALSE),"")</f>
        <v/>
      </c>
      <c r="C269" s="18" t="str">
        <f>IFERROR(VLOOKUP($A269,Equipment!$A$2:$AH1001,MATCH("Type",Equipment!$A$1:$AH$1,0),FALSE),"")</f>
        <v>Sword</v>
      </c>
      <c r="D269" s="18" t="str">
        <f>IFERROR(VLOOKUP($A269,Equipment!$A$2:$AH1001,MATCH("Slot",Equipment!$A$1:$AH$1,0),FALSE),"")</f>
        <v>Hand</v>
      </c>
      <c r="E269" s="20">
        <f>IFERROR(VLOOKUP($A269,Equipment!$A$2:$AH1001,MATCH("LevelReq",Equipment!$A$1:$AH$1,0),FALSE),"")</f>
        <v>20</v>
      </c>
      <c r="F269" s="18" t="str">
        <f>IFERROR(VLOOKUP($A269,Equipconvrt!$A$2:$AH1001,MATCH("Abilities",Equipconvrt!$A$1:$AH$1,0),FALSE),"")</f>
        <v>DMG: +500, Dark DMG: +200</v>
      </c>
      <c r="G269" s="20">
        <f>IFERROR(VLOOKUP($A269,Equipment!$A$2:$AD1001,MATCH("Price",Equipment!$A$1:$AH$1,0),FALSE),"")</f>
        <v>1000</v>
      </c>
      <c r="H269" s="4" t="b">
        <v>0</v>
      </c>
      <c r="I269" s="1" t="str">
        <f>IFERROR(VLOOKUP($A269,Equipment!$A$2:$AH1001,MATCH("EquipLoc",Equipment!$A$1:$AH$1,0),FALSE),"")</f>
        <v>Land of Spira</v>
      </c>
      <c r="W269" s="1" t="str">
        <f>IFERROR(__xludf.DUMMYFUNCTION("""COMPUTED_VALUE"""),"Steel Broadsword")</f>
        <v>Steel Broadsword</v>
      </c>
      <c r="X269" s="1" t="str">
        <f t="shared" si="1"/>
        <v/>
      </c>
    </row>
    <row r="270">
      <c r="A270" s="1" t="s">
        <v>776</v>
      </c>
      <c r="B270" s="18" t="str">
        <f>IFERROR(VLOOKUP($A270,Equipment!$A$2:$AH1001,MATCH("Description",Equipment!$A$1:$AH$1,0),FALSE),"")</f>
        <v/>
      </c>
      <c r="C270" s="18" t="str">
        <f>IFERROR(VLOOKUP($A270,Equipment!$A$2:$AH1001,MATCH("Type",Equipment!$A$1:$AH$1,0),FALSE),"")</f>
        <v>Club</v>
      </c>
      <c r="D270" s="18" t="str">
        <f>IFERROR(VLOOKUP($A270,Equipment!$A$2:$AH1001,MATCH("Slot",Equipment!$A$1:$AH$1,0),FALSE),"")</f>
        <v>Hand</v>
      </c>
      <c r="E270" s="20">
        <f>IFERROR(VLOOKUP($A270,Equipment!$A$2:$AH1001,MATCH("LevelReq",Equipment!$A$1:$AH$1,0),FALSE),"")</f>
        <v>20</v>
      </c>
      <c r="F270" s="18" t="str">
        <f>IFERROR(VLOOKUP($A270,Equipconvrt!$A$2:$AH1001,MATCH("Abilities",Equipconvrt!$A$1:$AH$1,0),FALSE),"")</f>
        <v>DMG: +400, Earth DMG: +200</v>
      </c>
      <c r="G270" s="20">
        <f>IFERROR(VLOOKUP($A270,Equipment!$A$2:$AD1001,MATCH("Price",Equipment!$A$1:$AH$1,0),FALSE),"")</f>
        <v>1000</v>
      </c>
      <c r="H270" s="4" t="b">
        <v>0</v>
      </c>
      <c r="I270" s="1" t="str">
        <f>IFERROR(VLOOKUP($A270,Equipment!$A$2:$AH1001,MATCH("EquipLoc",Equipment!$A$1:$AH$1,0),FALSE),"")</f>
        <v>Land of Spira</v>
      </c>
      <c r="W270" s="1" t="str">
        <f>IFERROR(__xludf.DUMMYFUNCTION("""COMPUTED_VALUE"""),"Steel Sword")</f>
        <v>Steel Sword</v>
      </c>
      <c r="X270" s="1" t="str">
        <f t="shared" si="1"/>
        <v/>
      </c>
    </row>
    <row r="271">
      <c r="A271" s="1" t="s">
        <v>777</v>
      </c>
      <c r="B271" s="18" t="str">
        <f>IFERROR(VLOOKUP($A271,Equipment!$A$2:$AH1001,MATCH("Description",Equipment!$A$1:$AH$1,0),FALSE),"")</f>
        <v/>
      </c>
      <c r="C271" s="18" t="str">
        <f>IFERROR(VLOOKUP($A271,Equipment!$A$2:$AH1001,MATCH("Type",Equipment!$A$1:$AH$1,0),FALSE),"")</f>
        <v>Buckler</v>
      </c>
      <c r="D271" s="18" t="str">
        <f>IFERROR(VLOOKUP($A271,Equipment!$A$2:$AH1001,MATCH("Slot",Equipment!$A$1:$AH$1,0),FALSE),"")</f>
        <v>Hand</v>
      </c>
      <c r="E271" s="20">
        <f>IFERROR(VLOOKUP($A271,Equipment!$A$2:$AH1001,MATCH("LevelReq",Equipment!$A$1:$AH$1,0),FALSE),"")</f>
        <v>1</v>
      </c>
      <c r="F271" s="18" t="str">
        <f>IFERROR(VLOOKUP($A271,Equipconvrt!$A$2:$AH1001,MATCH("Abilities",Equipconvrt!$A$1:$AH$1,0),FALSE),"")</f>
        <v>DEF: +100</v>
      </c>
      <c r="G271" s="20">
        <f>IFERROR(VLOOKUP($A271,Equipment!$A$2:$AD1001,MATCH("Price",Equipment!$A$1:$AH$1,0),FALSE),"")</f>
        <v>0</v>
      </c>
      <c r="H271" s="4" t="b">
        <v>0</v>
      </c>
      <c r="I271" s="1" t="str">
        <f>IFERROR(VLOOKUP($A271,Equipment!$A$2:$AH1001,MATCH("EquipLoc",Equipment!$A$1:$AH$1,0),FALSE),"")</f>
        <v>Land of Spira</v>
      </c>
      <c r="W271" s="1" t="str">
        <f>IFERROR(__xludf.DUMMYFUNCTION("""COMPUTED_VALUE"""),"Stick of Mystery ")</f>
        <v>Stick of Mystery </v>
      </c>
      <c r="X271" s="1" t="str">
        <f t="shared" si="1"/>
        <v/>
      </c>
    </row>
    <row r="272">
      <c r="A272" s="1" t="s">
        <v>778</v>
      </c>
      <c r="B272" s="18" t="str">
        <f>IFERROR(VLOOKUP($A272,Equipment!$A$2:$AH1001,MATCH("Description",Equipment!$A$1:$AH$1,0),FALSE),"")</f>
        <v/>
      </c>
      <c r="C272" s="18" t="str">
        <f>IFERROR(VLOOKUP($A272,Equipment!$A$2:$AH1001,MATCH("Type",Equipment!$A$1:$AH$1,0),FALSE),"")</f>
        <v>Towershield</v>
      </c>
      <c r="D272" s="18" t="str">
        <f>IFERROR(VLOOKUP($A272,Equipment!$A$2:$AH1001,MATCH("Slot",Equipment!$A$1:$AH$1,0),FALSE),"")</f>
        <v>Hand</v>
      </c>
      <c r="E272" s="20">
        <f>IFERROR(VLOOKUP($A272,Equipment!$A$2:$AH1001,MATCH("LevelReq",Equipment!$A$1:$AH$1,0),FALSE),"")</f>
        <v>10</v>
      </c>
      <c r="F272" s="18" t="str">
        <f>IFERROR(VLOOKUP($A272,Equipconvrt!$A$2:$AH1001,MATCH("Abilities",Equipconvrt!$A$1:$AH$1,0),FALSE),"")</f>
        <v>DEF: +500 ++Immunity to earth</v>
      </c>
      <c r="G272" s="20">
        <f>IFERROR(VLOOKUP($A272,Equipment!$A$2:$AD1001,MATCH("Price",Equipment!$A$1:$AH$1,0),FALSE),"")</f>
        <v>1000</v>
      </c>
      <c r="H272" s="4" t="b">
        <v>0</v>
      </c>
      <c r="I272" s="1" t="str">
        <f>IFERROR(VLOOKUP($A272,Equipment!$A$2:$AH1001,MATCH("EquipLoc",Equipment!$A$1:$AH$1,0),FALSE),"")</f>
        <v>Land of Spira</v>
      </c>
      <c r="W272" s="1" t="str">
        <f>IFERROR(__xludf.DUMMYFUNCTION("""COMPUTED_VALUE"""),"Stone Arming Sword")</f>
        <v>Stone Arming Sword</v>
      </c>
      <c r="X272" s="1" t="str">
        <f t="shared" si="1"/>
        <v/>
      </c>
    </row>
    <row r="273">
      <c r="A273" s="1" t="s">
        <v>779</v>
      </c>
      <c r="B273" s="18" t="str">
        <f>IFERROR(VLOOKUP($A273,Equipment!$A$2:$AH1001,MATCH("Description",Equipment!$A$1:$AH$1,0),FALSE),"")</f>
        <v>A wooden shield</v>
      </c>
      <c r="C273" s="18" t="str">
        <f>IFERROR(VLOOKUP($A273,Equipment!$A$2:$AH1001,MATCH("Type",Equipment!$A$1:$AH$1,0),FALSE),"")</f>
        <v>Towershield</v>
      </c>
      <c r="D273" s="18" t="str">
        <f>IFERROR(VLOOKUP($A273,Equipment!$A$2:$AH1001,MATCH("Slot",Equipment!$A$1:$AH$1,0),FALSE),"")</f>
        <v>Hand</v>
      </c>
      <c r="E273" s="20">
        <f>IFERROR(VLOOKUP($A273,Equipment!$A$2:$AH1001,MATCH("LevelReq",Equipment!$A$1:$AH$1,0),FALSE),"")</f>
        <v>1</v>
      </c>
      <c r="F273" s="18" t="str">
        <f>IFERROR(VLOOKUP($A273,Equipconvrt!$A$2:$AH1001,MATCH("Abilities",Equipconvrt!$A$1:$AH$1,0),FALSE),"")</f>
        <v>DEF: +50</v>
      </c>
      <c r="G273" s="20">
        <f>IFERROR(VLOOKUP($A273,Equipment!$A$2:$AD1001,MATCH("Price",Equipment!$A$1:$AH$1,0),FALSE),"")</f>
        <v>0</v>
      </c>
      <c r="H273" s="4" t="b">
        <v>0</v>
      </c>
      <c r="I273" s="1" t="str">
        <f>IFERROR(VLOOKUP($A273,Equipment!$A$2:$AH1001,MATCH("EquipLoc",Equipment!$A$1:$AH$1,0),FALSE),"")</f>
        <v>Land of Spira</v>
      </c>
      <c r="W273" s="1" t="str">
        <f>IFERROR(__xludf.DUMMYFUNCTION("""COMPUTED_VALUE"""),"Stone Sledgehammer")</f>
        <v>Stone Sledgehammer</v>
      </c>
      <c r="X273" s="1" t="str">
        <f t="shared" si="1"/>
        <v/>
      </c>
    </row>
    <row r="274">
      <c r="A274" s="1" t="s">
        <v>780</v>
      </c>
      <c r="B274" s="18" t="str">
        <f>IFERROR(VLOOKUP($A274,Equipment!$A$2:$AH1001,MATCH("Description",Equipment!$A$1:$AH$1,0),FALSE),"")</f>
        <v/>
      </c>
      <c r="C274" s="18" t="str">
        <f>IFERROR(VLOOKUP($A274,Equipment!$A$2:$AH1001,MATCH("Type",Equipment!$A$1:$AH$1,0),FALSE),"")</f>
        <v>Knife</v>
      </c>
      <c r="D274" s="18" t="str">
        <f>IFERROR(VLOOKUP($A274,Equipment!$A$2:$AH1001,MATCH("Slot",Equipment!$A$1:$AH$1,0),FALSE),"")</f>
        <v>Hand</v>
      </c>
      <c r="E274" s="20">
        <f>IFERROR(VLOOKUP($A274,Equipment!$A$2:$AH1001,MATCH("LevelReq",Equipment!$A$1:$AH$1,0),FALSE),"")</f>
        <v>400</v>
      </c>
      <c r="F274" s="18" t="str">
        <f>IFERROR(VLOOKUP($A274,Equipconvrt!$A$2:$AH1001,MATCH("Abilities",Equipconvrt!$A$1:$AH$1,0),FALSE),"")</f>
        <v>DMG: +10000, Nature DMG: +10000 ++Poison 5000 for 3 rounds.</v>
      </c>
      <c r="G274" s="20">
        <f>IFERROR(VLOOKUP($A274,Equipment!$A$2:$AD1001,MATCH("Price",Equipment!$A$1:$AH$1,0),FALSE),"")</f>
        <v>7800000</v>
      </c>
      <c r="H274" s="4" t="b">
        <v>0</v>
      </c>
      <c r="I274" s="1" t="str">
        <f>IFERROR(VLOOKUP($A274,Equipment!$A$2:$AH1001,MATCH("EquipLoc",Equipment!$A$1:$AH$1,0),FALSE),"")</f>
        <v>Land of Spira</v>
      </c>
      <c r="W274" s="1" t="str">
        <f>IFERROR(__xludf.DUMMYFUNCTION("""COMPUTED_VALUE"""),"Stone Small Shield")</f>
        <v>Stone Small Shield</v>
      </c>
      <c r="X274" s="1" t="str">
        <f t="shared" si="1"/>
        <v/>
      </c>
    </row>
    <row r="275">
      <c r="A275" s="1" t="s">
        <v>781</v>
      </c>
      <c r="B275" s="18" t="str">
        <f>IFERROR(VLOOKUP($A275,Equipment!$A$2:$AH1001,MATCH("Description",Equipment!$A$1:$AH$1,0),FALSE),"")</f>
        <v/>
      </c>
      <c r="C275" s="18" t="str">
        <f>IFERROR(VLOOKUP($A275,Equipment!$A$2:$AH1001,MATCH("Type",Equipment!$A$1:$AH$1,0),FALSE),"")</f>
        <v>Sword</v>
      </c>
      <c r="D275" s="18" t="str">
        <f>IFERROR(VLOOKUP($A275,Equipment!$A$2:$AH1001,MATCH("Slot",Equipment!$A$1:$AH$1,0),FALSE),"")</f>
        <v>Hand</v>
      </c>
      <c r="E275" s="20">
        <f>IFERROR(VLOOKUP($A275,Equipment!$A$2:$AH1001,MATCH("LevelReq",Equipment!$A$1:$AH$1,0),FALSE),"")</f>
        <v>600</v>
      </c>
      <c r="F275" s="18" t="str">
        <f>IFERROR(VLOOKUP($A275,Equipconvrt!$A$2:$AH1001,MATCH("Abilities",Equipconvrt!$A$1:$AH$1,0),FALSE),"")</f>
        <v>DMG: +30000 ++GSteal - Steal X amount of gilders equal to the amount of damage caused with this weapon.</v>
      </c>
      <c r="G275" s="20">
        <f>IFERROR(VLOOKUP($A275,Equipment!$A$2:$AD1001,MATCH("Price",Equipment!$A$1:$AH$1,0),FALSE),"")</f>
        <v>17700000</v>
      </c>
      <c r="H275" s="4" t="b">
        <v>0</v>
      </c>
      <c r="I275" s="1" t="str">
        <f>IFERROR(VLOOKUP($A275,Equipment!$A$2:$AH1001,MATCH("EquipLoc",Equipment!$A$1:$AH$1,0),FALSE),"")</f>
        <v>Land of The Forgotten</v>
      </c>
      <c r="W275" s="1" t="str">
        <f>IFERROR(__xludf.DUMMYFUNCTION("""COMPUTED_VALUE"""),"Stonewall Shield")</f>
        <v>Stonewall Shield</v>
      </c>
      <c r="X275" s="1" t="str">
        <f t="shared" si="1"/>
        <v/>
      </c>
    </row>
    <row r="276">
      <c r="A276" s="1" t="s">
        <v>782</v>
      </c>
      <c r="B276" s="18" t="str">
        <f>IFERROR(VLOOKUP($A276,Equipment!$A$2:$AH1001,MATCH("Description",Equipment!$A$1:$AH$1,0),FALSE),"")</f>
        <v/>
      </c>
      <c r="C276" s="18" t="str">
        <f>IFERROR(VLOOKUP($A276,Equipment!$A$2:$AH1001,MATCH("Type",Equipment!$A$1:$AH$1,0),FALSE),"")</f>
        <v>Sword</v>
      </c>
      <c r="D276" s="18" t="str">
        <f>IFERROR(VLOOKUP($A276,Equipment!$A$2:$AH1001,MATCH("Slot",Equipment!$A$1:$AH$1,0),FALSE),"")</f>
        <v>Hand</v>
      </c>
      <c r="E276" s="20">
        <f>IFERROR(VLOOKUP($A276,Equipment!$A$2:$AH1001,MATCH("LevelReq",Equipment!$A$1:$AH$1,0),FALSE),"")</f>
        <v>600</v>
      </c>
      <c r="F276" s="18" t="str">
        <f>IFERROR(VLOOKUP($A276,Equipconvrt!$A$2:$AH1001,MATCH("Abilities",Equipconvrt!$A$1:$AH$1,0),FALSE),"")</f>
        <v>DMG: +10000, Dark DMG: +10000, Chaos DMG: +10000</v>
      </c>
      <c r="G276" s="20">
        <f>IFERROR(VLOOKUP($A276,Equipment!$A$2:$AD1001,MATCH("Price",Equipment!$A$1:$AH$1,0),FALSE),"")</f>
        <v>17700000</v>
      </c>
      <c r="H276" s="4" t="b">
        <v>0</v>
      </c>
      <c r="I276" s="1" t="str">
        <f>IFERROR(VLOOKUP($A276,Equipment!$A$2:$AH1001,MATCH("EquipLoc",Equipment!$A$1:$AH$1,0),FALSE),"")</f>
        <v>Land of Spira</v>
      </c>
      <c r="W276" s="1" t="str">
        <f>IFERROR(__xludf.DUMMYFUNCTION("""COMPUTED_VALUE"""),"Sturdy Wooden Shield")</f>
        <v>Sturdy Wooden Shield</v>
      </c>
      <c r="X276" s="1" t="str">
        <f t="shared" si="1"/>
        <v/>
      </c>
    </row>
    <row r="277">
      <c r="A277" s="1" t="s">
        <v>783</v>
      </c>
      <c r="B277" s="18" t="str">
        <f>IFERROR(VLOOKUP($A277,Equipment!$A$2:$AH1001,MATCH("Description",Equipment!$A$1:$AH$1,0),FALSE),"")</f>
        <v/>
      </c>
      <c r="C277" s="18" t="str">
        <f>IFERROR(VLOOKUP($A277,Equipment!$A$2:$AH1001,MATCH("Type",Equipment!$A$1:$AH$1,0),FALSE),"")</f>
        <v>Sword</v>
      </c>
      <c r="D277" s="18" t="str">
        <f>IFERROR(VLOOKUP($A277,Equipment!$A$2:$AH1001,MATCH("Slot",Equipment!$A$1:$AH$1,0),FALSE),"")</f>
        <v>Hand</v>
      </c>
      <c r="E277" s="20">
        <f>IFERROR(VLOOKUP($A277,Equipment!$A$2:$AH1001,MATCH("LevelReq",Equipment!$A$1:$AH$1,0),FALSE),"")</f>
        <v>20</v>
      </c>
      <c r="F277" s="18" t="str">
        <f>IFERROR(VLOOKUP($A277,Equipconvrt!$A$2:$AH1001,MATCH("Abilities",Equipconvrt!$A$1:$AH$1,0),FALSE),"")</f>
        <v>DMG: +500, Dark DMG: +200</v>
      </c>
      <c r="G277" s="20">
        <f>IFERROR(VLOOKUP($A277,Equipment!$A$2:$AD1001,MATCH("Price",Equipment!$A$1:$AH$1,0),FALSE),"")</f>
        <v>1000</v>
      </c>
      <c r="H277" s="4" t="b">
        <v>0</v>
      </c>
      <c r="I277" s="1" t="str">
        <f>IFERROR(VLOOKUP($A277,Equipment!$A$2:$AH1001,MATCH("EquipLoc",Equipment!$A$1:$AH$1,0),FALSE),"")</f>
        <v>Land of Spira</v>
      </c>
      <c r="W277" s="1" t="str">
        <f>IFERROR(__xludf.DUMMYFUNCTION("""COMPUTED_VALUE"""),"Swampville Dagger")</f>
        <v>Swampville Dagger</v>
      </c>
      <c r="X277" s="1" t="str">
        <f t="shared" si="1"/>
        <v/>
      </c>
    </row>
    <row r="278">
      <c r="A278" s="1" t="s">
        <v>784</v>
      </c>
      <c r="B278" s="18" t="str">
        <f>IFERROR(VLOOKUP($A278,Equipment!$A$2:$AH1001,MATCH("Description",Equipment!$A$1:$AH$1,0),FALSE),"")</f>
        <v/>
      </c>
      <c r="C278" s="18" t="str">
        <f>IFERROR(VLOOKUP($A278,Equipment!$A$2:$AH1001,MATCH("Type",Equipment!$A$1:$AH$1,0),FALSE),"")</f>
        <v>Sword</v>
      </c>
      <c r="D278" s="18" t="str">
        <f>IFERROR(VLOOKUP($A278,Equipment!$A$2:$AH1001,MATCH("Slot",Equipment!$A$1:$AH$1,0),FALSE),"")</f>
        <v>Hand</v>
      </c>
      <c r="E278" s="20">
        <f>IFERROR(VLOOKUP($A278,Equipment!$A$2:$AH1001,MATCH("LevelReq",Equipment!$A$1:$AH$1,0),FALSE),"")</f>
        <v>1</v>
      </c>
      <c r="F278" s="18" t="str">
        <f>IFERROR(VLOOKUP($A278,Equipconvrt!$A$2:$AH1001,MATCH("Abilities",Equipconvrt!$A$1:$AH$1,0),FALSE),"")</f>
        <v> ++Make a fail or succeed roll while attacking to determine the effect. Fail = 1 damage. Succeed = 50,000 Chaos damage.
</v>
      </c>
      <c r="G278" s="20">
        <f>IFERROR(VLOOKUP($A278,Equipment!$A$2:$AD1001,MATCH("Price",Equipment!$A$1:$AH$1,0),FALSE),"")</f>
        <v>0</v>
      </c>
      <c r="H278" s="4" t="b">
        <v>0</v>
      </c>
      <c r="I278" s="1" t="str">
        <f>IFERROR(VLOOKUP($A278,Equipment!$A$2:$AH1001,MATCH("EquipLoc",Equipment!$A$1:$AH$1,0),FALSE),"")</f>
        <v>Land of Spira</v>
      </c>
      <c r="W278" s="1" t="str">
        <f>IFERROR(__xludf.DUMMYFUNCTION("""COMPUTED_VALUE"""),"Sword of Bad Luck")</f>
        <v>Sword of Bad Luck</v>
      </c>
      <c r="X278" s="1" t="str">
        <f t="shared" si="1"/>
        <v/>
      </c>
    </row>
    <row r="279">
      <c r="A279" s="1" t="s">
        <v>785</v>
      </c>
      <c r="B279" s="18" t="str">
        <f>IFERROR(VLOOKUP($A279,Equipment!$A$2:$AH1001,MATCH("Description",Equipment!$A$1:$AH$1,0),FALSE),"")</f>
        <v/>
      </c>
      <c r="C279" s="18" t="str">
        <f>IFERROR(VLOOKUP($A279,Equipment!$A$2:$AH1001,MATCH("Type",Equipment!$A$1:$AH$1,0),FALSE),"")</f>
        <v>Sword</v>
      </c>
      <c r="D279" s="18" t="str">
        <f>IFERROR(VLOOKUP($A279,Equipment!$A$2:$AH1001,MATCH("Slot",Equipment!$A$1:$AH$1,0),FALSE),"")</f>
        <v>Hand</v>
      </c>
      <c r="E279" s="20">
        <f>IFERROR(VLOOKUP($A279,Equipment!$A$2:$AH1001,MATCH("LevelReq",Equipment!$A$1:$AH$1,0),FALSE),"")</f>
        <v>300</v>
      </c>
      <c r="F279" s="18" t="str">
        <f>IFERROR(VLOOKUP($A279,Equipconvrt!$A$2:$AH1001,MATCH("Abilities",Equipconvrt!$A$1:$AH$1,0),FALSE),"")</f>
        <v>DMG: +10000, Fire DMG: +5000 ++Divine Flame - Fire spells and weapons will deal an additional X2 damage while this weapon is equipped</v>
      </c>
      <c r="G279" s="20">
        <f>IFERROR(VLOOKUP($A279,Equipment!$A$2:$AD1001,MATCH("Price",Equipment!$A$1:$AH$1,0),FALSE),"")</f>
        <v>4350000</v>
      </c>
      <c r="H279" s="4" t="b">
        <v>0</v>
      </c>
      <c r="I279" s="1" t="str">
        <f>IFERROR(VLOOKUP($A279,Equipment!$A$2:$AH1001,MATCH("EquipLoc",Equipment!$A$1:$AH$1,0),FALSE),"")</f>
        <v>Land of Spira</v>
      </c>
      <c r="W279" s="1" t="str">
        <f>IFERROR(__xludf.DUMMYFUNCTION("""COMPUTED_VALUE"""),"Sword of Chaotic Shadows")</f>
        <v>Sword of Chaotic Shadows</v>
      </c>
      <c r="X279" s="1" t="str">
        <f t="shared" si="1"/>
        <v/>
      </c>
    </row>
    <row r="280">
      <c r="A280" s="1" t="s">
        <v>786</v>
      </c>
      <c r="B280" s="18" t="str">
        <f>IFERROR(VLOOKUP($A280,Equipment!$A$2:$AH1001,MATCH("Description",Equipment!$A$1:$AH$1,0),FALSE),"")</f>
        <v/>
      </c>
      <c r="C280" s="18" t="str">
        <f>IFERROR(VLOOKUP($A280,Equipment!$A$2:$AH1001,MATCH("Type",Equipment!$A$1:$AH$1,0),FALSE),"")</f>
        <v>Sword</v>
      </c>
      <c r="D280" s="18" t="str">
        <f>IFERROR(VLOOKUP($A280,Equipment!$A$2:$AH1001,MATCH("Slot",Equipment!$A$1:$AH$1,0),FALSE),"")</f>
        <v>Hand</v>
      </c>
      <c r="E280" s="20">
        <f>IFERROR(VLOOKUP($A280,Equipment!$A$2:$AH1001,MATCH("LevelReq",Equipment!$A$1:$AH$1,0),FALSE),"")</f>
        <v>30</v>
      </c>
      <c r="F280" s="18" t="str">
        <f>IFERROR(VLOOKUP($A280,Equipconvrt!$A$2:$AH1001,MATCH("Abilities",Equipconvrt!$A$1:$AH$1,0),FALSE),"")</f>
        <v>DMG: +500, Dark DMG: +600</v>
      </c>
      <c r="G280" s="20">
        <f>IFERROR(VLOOKUP($A280,Equipment!$A$2:$AD1001,MATCH("Price",Equipment!$A$1:$AH$1,0),FALSE),"")</f>
        <v>10000</v>
      </c>
      <c r="H280" s="4" t="b">
        <v>0</v>
      </c>
      <c r="I280" s="1" t="str">
        <f>IFERROR(VLOOKUP($A280,Equipment!$A$2:$AH1001,MATCH("EquipLoc",Equipment!$A$1:$AH$1,0),FALSE),"")</f>
        <v>Land of Spira</v>
      </c>
      <c r="W280" s="1" t="str">
        <f>IFERROR(__xludf.DUMMYFUNCTION("""COMPUTED_VALUE"""),"Sword Of Darkness")</f>
        <v>Sword Of Darkness</v>
      </c>
      <c r="X280" s="1" t="str">
        <f t="shared" si="1"/>
        <v/>
      </c>
    </row>
    <row r="281">
      <c r="A281" s="1" t="s">
        <v>787</v>
      </c>
      <c r="B281" s="18" t="str">
        <f>IFERROR(VLOOKUP($A281,Equipment!$A$2:$AH1001,MATCH("Description",Equipment!$A$1:$AH$1,0),FALSE),"")</f>
        <v/>
      </c>
      <c r="C281" s="18" t="str">
        <f>IFERROR(VLOOKUP($A281,Equipment!$A$2:$AH1001,MATCH("Type",Equipment!$A$1:$AH$1,0),FALSE),"")</f>
        <v/>
      </c>
      <c r="D281" s="18" t="str">
        <f>IFERROR(VLOOKUP($A281,Equipment!$A$2:$AH1001,MATCH("Slot",Equipment!$A$1:$AH$1,0),FALSE),"")</f>
        <v/>
      </c>
      <c r="E281" s="20" t="str">
        <f>IFERROR(VLOOKUP($A281,Equipment!$A$2:$AH1001,MATCH("LevelReq",Equipment!$A$1:$AH$1,0),FALSE),"")</f>
        <v/>
      </c>
      <c r="F281" s="18" t="str">
        <f>IFERROR(VLOOKUP($A281,Equipconvrt!$A$2:$AH1001,MATCH("Abilities",Equipconvrt!$A$1:$AH$1,0),FALSE),"")</f>
        <v/>
      </c>
      <c r="G281" s="20" t="str">
        <f>IFERROR(VLOOKUP($A281,Equipment!$A$2:$AD1001,MATCH("Price",Equipment!$A$1:$AH$1,0),FALSE),"")</f>
        <v/>
      </c>
      <c r="H281" s="4" t="b">
        <v>1</v>
      </c>
      <c r="I281" s="1" t="str">
        <f>IFERROR(VLOOKUP($A281,Equipment!$A$2:$AH1001,MATCH("EquipLoc",Equipment!$A$1:$AH$1,0),FALSE),"")</f>
        <v/>
      </c>
      <c r="W281" s="1" t="str">
        <f>IFERROR(__xludf.DUMMYFUNCTION("""COMPUTED_VALUE"""),"Sword of Disorder")</f>
        <v>Sword of Disorder</v>
      </c>
      <c r="X281" s="1" t="str">
        <f t="shared" si="1"/>
        <v/>
      </c>
    </row>
    <row r="282">
      <c r="A282" s="1" t="s">
        <v>788</v>
      </c>
      <c r="B282" s="18" t="str">
        <f>IFERROR(VLOOKUP($A282,Equipment!$A$2:$AH1001,MATCH("Description",Equipment!$A$1:$AH$1,0),FALSE),"")</f>
        <v/>
      </c>
      <c r="C282" s="18" t="str">
        <f>IFERROR(VLOOKUP($A282,Equipment!$A$2:$AH1001,MATCH("Type",Equipment!$A$1:$AH$1,0),FALSE),"")</f>
        <v>Sword</v>
      </c>
      <c r="D282" s="18" t="str">
        <f>IFERROR(VLOOKUP($A282,Equipment!$A$2:$AH1001,MATCH("Slot",Equipment!$A$1:$AH$1,0),FALSE),"")</f>
        <v>Hand</v>
      </c>
      <c r="E282" s="20">
        <f>IFERROR(VLOOKUP($A282,Equipment!$A$2:$AH1001,MATCH("LevelReq",Equipment!$A$1:$AH$1,0),FALSE),"")</f>
        <v>160</v>
      </c>
      <c r="F282" s="18" t="str">
        <f>IFERROR(VLOOKUP($A282,Equipconvrt!$A$2:$AH1001,MATCH("Abilities",Equipconvrt!$A$1:$AH$1,0),FALSE),"")</f>
        <v>DMG: +4000, Nature DMG: +4000 ++Nature's Power - any damage dealt by this weapon gives HP back to the user equal to the damage dealt.</v>
      </c>
      <c r="G282" s="20">
        <f>IFERROR(VLOOKUP($A282,Equipment!$A$2:$AD1001,MATCH("Price",Equipment!$A$1:$AH$1,0),FALSE),"")</f>
        <v>1200000</v>
      </c>
      <c r="H282" s="4" t="b">
        <v>0</v>
      </c>
      <c r="I282" s="1" t="str">
        <f>IFERROR(VLOOKUP($A282,Equipment!$A$2:$AH1001,MATCH("EquipLoc",Equipment!$A$1:$AH$1,0),FALSE),"")</f>
        <v>Land of Spira</v>
      </c>
      <c r="W282" s="1" t="str">
        <f>IFERROR(__xludf.DUMMYFUNCTION("""COMPUTED_VALUE"""),"Sword Of Divine Flames")</f>
        <v>Sword Of Divine Flames</v>
      </c>
      <c r="X282" s="1" t="str">
        <f t="shared" si="1"/>
        <v/>
      </c>
    </row>
    <row r="283">
      <c r="A283" s="1" t="s">
        <v>789</v>
      </c>
      <c r="B283" s="18" t="str">
        <f>IFERROR(VLOOKUP($A283,Equipment!$A$2:$AH1001,MATCH("Description",Equipment!$A$1:$AH$1,0),FALSE),"")</f>
        <v/>
      </c>
      <c r="C283" s="18" t="str">
        <f>IFERROR(VLOOKUP($A283,Equipment!$A$2:$AH1001,MATCH("Type",Equipment!$A$1:$AH$1,0),FALSE),"")</f>
        <v>Sword</v>
      </c>
      <c r="D283" s="18" t="str">
        <f>IFERROR(VLOOKUP($A283,Equipment!$A$2:$AH1001,MATCH("Slot",Equipment!$A$1:$AH$1,0),FALSE),"")</f>
        <v>Hand</v>
      </c>
      <c r="E283" s="20">
        <f>IFERROR(VLOOKUP($A283,Equipment!$A$2:$AH1001,MATCH("LevelReq",Equipment!$A$1:$AH$1,0),FALSE),"")</f>
        <v>30</v>
      </c>
      <c r="F283" s="18" t="str">
        <f>IFERROR(VLOOKUP($A283,Equipconvrt!$A$2:$AH1001,MATCH("Abilities",Equipconvrt!$A$1:$AH$1,0),FALSE),"")</f>
        <v>DMG: +1000, Dark DMG: +500</v>
      </c>
      <c r="G283" s="20">
        <f>IFERROR(VLOOKUP($A283,Equipment!$A$2:$AD1001,MATCH("Price",Equipment!$A$1:$AH$1,0),FALSE),"")</f>
        <v>30000</v>
      </c>
      <c r="H283" s="4" t="b">
        <v>0</v>
      </c>
      <c r="I283" s="1" t="str">
        <f>IFERROR(VLOOKUP($A283,Equipment!$A$2:$AH1001,MATCH("EquipLoc",Equipment!$A$1:$AH$1,0),FALSE),"")</f>
        <v>Land of Spira</v>
      </c>
      <c r="W283" s="1" t="str">
        <f>IFERROR(__xludf.DUMMYFUNCTION("""COMPUTED_VALUE"""),"Sword of Eternal darkness")</f>
        <v>Sword of Eternal darkness</v>
      </c>
      <c r="X283" s="1" t="str">
        <f t="shared" si="1"/>
        <v/>
      </c>
    </row>
    <row r="284">
      <c r="A284" s="1" t="s">
        <v>790</v>
      </c>
      <c r="B284" s="18" t="str">
        <f>IFERROR(VLOOKUP($A284,Equipment!$A$2:$AH1001,MATCH("Description",Equipment!$A$1:$AH$1,0),FALSE),"")</f>
        <v/>
      </c>
      <c r="C284" s="18" t="str">
        <f>IFERROR(VLOOKUP($A284,Equipment!$A$2:$AH1001,MATCH("Type",Equipment!$A$1:$AH$1,0),FALSE),"")</f>
        <v>Sword</v>
      </c>
      <c r="D284" s="18" t="str">
        <f>IFERROR(VLOOKUP($A284,Equipment!$A$2:$AH1001,MATCH("Slot",Equipment!$A$1:$AH$1,0),FALSE),"")</f>
        <v>Hand</v>
      </c>
      <c r="E284" s="20">
        <f>IFERROR(VLOOKUP($A284,Equipment!$A$2:$AH1001,MATCH("LevelReq",Equipment!$A$1:$AH$1,0),FALSE),"")</f>
        <v>1</v>
      </c>
      <c r="F284" s="18" t="str">
        <f>IFERROR(VLOOKUP($A284,Equipconvrt!$A$2:$AH1001,MATCH("Abilities",Equipconvrt!$A$1:$AH$1,0),FALSE),"")</f>
        <v>DMG: +300</v>
      </c>
      <c r="G284" s="20">
        <f>IFERROR(VLOOKUP($A284,Equipment!$A$2:$AD1001,MATCH("Price",Equipment!$A$1:$AH$1,0),FALSE),"")</f>
        <v>0</v>
      </c>
      <c r="H284" s="4" t="b">
        <v>0</v>
      </c>
      <c r="I284" s="1" t="str">
        <f>IFERROR(VLOOKUP($A284,Equipment!$A$2:$AH1001,MATCH("EquipLoc",Equipment!$A$1:$AH$1,0),FALSE),"")</f>
        <v>Land of Spira</v>
      </c>
      <c r="W284" s="1" t="str">
        <f>IFERROR(__xludf.DUMMYFUNCTION("""COMPUTED_VALUE"""),"Hela's Death Scythe")</f>
        <v>Hela's Death Scythe</v>
      </c>
      <c r="X284" s="1" t="str">
        <f t="shared" si="1"/>
        <v>Hela's Death Scythe</v>
      </c>
    </row>
    <row r="285">
      <c r="A285" s="1" t="s">
        <v>791</v>
      </c>
      <c r="B285" s="18" t="str">
        <f>IFERROR(VLOOKUP($A285,Equipment!$A$2:$AH1001,MATCH("Description",Equipment!$A$1:$AH$1,0),FALSE),"")</f>
        <v/>
      </c>
      <c r="C285" s="18" t="str">
        <f>IFERROR(VLOOKUP($A285,Equipment!$A$2:$AH1001,MATCH("Type",Equipment!$A$1:$AH$1,0),FALSE),"")</f>
        <v>Sword</v>
      </c>
      <c r="D285" s="18" t="str">
        <f>IFERROR(VLOOKUP($A285,Equipment!$A$2:$AH1001,MATCH("Slot",Equipment!$A$1:$AH$1,0),FALSE),"")</f>
        <v>Hand</v>
      </c>
      <c r="E285" s="20">
        <f>IFERROR(VLOOKUP($A285,Equipment!$A$2:$AH1001,MATCH("LevelReq",Equipment!$A$1:$AH$1,0),FALSE),"")</f>
        <v>260</v>
      </c>
      <c r="F285" s="18" t="str">
        <f>IFERROR(VLOOKUP($A285,Equipconvrt!$A$2:$AH1001,MATCH("Abilities",Equipconvrt!$A$1:$AH$1,0),FALSE),"")</f>
        <v>DMG: +8000, Dark DMG: +5000 ++Abyss Embodiment - dark damage is increased by X2 for the user.</v>
      </c>
      <c r="G285" s="20">
        <f>IFERROR(VLOOKUP($A285,Equipment!$A$2:$AD1001,MATCH("Price",Equipment!$A$1:$AH$1,0),FALSE),"")</f>
        <v>3250000</v>
      </c>
      <c r="H285" s="4" t="b">
        <v>0</v>
      </c>
      <c r="I285" s="1" t="str">
        <f>IFERROR(VLOOKUP($A285,Equipment!$A$2:$AH1001,MATCH("EquipLoc",Equipment!$A$1:$AH$1,0),FALSE),"")</f>
        <v>Land of Spira</v>
      </c>
      <c r="W285" s="1" t="str">
        <f>IFERROR(__xludf.DUMMYFUNCTION("""COMPUTED_VALUE"""),"Sword of Nature’s Love")</f>
        <v>Sword of Nature’s Love</v>
      </c>
      <c r="X285" s="1" t="str">
        <f t="shared" si="1"/>
        <v/>
      </c>
    </row>
    <row r="286">
      <c r="A286" s="1" t="s">
        <v>792</v>
      </c>
      <c r="B286" s="18" t="str">
        <f>IFERROR(VLOOKUP($A286,Equipment!$A$2:$AH1001,MATCH("Description",Equipment!$A$1:$AH$1,0),FALSE),"")</f>
        <v/>
      </c>
      <c r="C286" s="18" t="str">
        <f>IFERROR(VLOOKUP($A286,Equipment!$A$2:$AH1001,MATCH("Type",Equipment!$A$1:$AH$1,0),FALSE),"")</f>
        <v>Sword</v>
      </c>
      <c r="D286" s="18" t="str">
        <f>IFERROR(VLOOKUP($A286,Equipment!$A$2:$AH1001,MATCH("Slot",Equipment!$A$1:$AH$1,0),FALSE),"")</f>
        <v>Hand</v>
      </c>
      <c r="E286" s="20">
        <f>IFERROR(VLOOKUP($A286,Equipment!$A$2:$AH1001,MATCH("LevelReq",Equipment!$A$1:$AH$1,0),FALSE),"")</f>
        <v>2000</v>
      </c>
      <c r="F286" s="18" t="str">
        <f>IFERROR(VLOOKUP($A286,Equipconvrt!$A$2:$AH1001,MATCH("Abilities",Equipconvrt!$A$1:$AH$1,0),FALSE),"")</f>
        <v>DMG: +50000, Fire DMG: +50000 ++ Burn 50,000. ++Serpents Luck - +5 can be added to the users d20 rolls. +-Cannot be duplicated.</v>
      </c>
      <c r="G286" s="20">
        <f>IFERROR(VLOOKUP($A286,Equipment!$A$2:$AD1001,MATCH("Price",Equipment!$A$1:$AH$1,0),FALSE),"")</f>
        <v>199000000</v>
      </c>
      <c r="H286" s="4" t="b">
        <v>0</v>
      </c>
      <c r="I286" s="1" t="str">
        <f>IFERROR(VLOOKUP($A286,Equipment!$A$2:$AH1001,MATCH("EquipLoc",Equipment!$A$1:$AH$1,0),FALSE),"")</f>
        <v>Land of Spira</v>
      </c>
      <c r="W286" s="1" t="str">
        <f>IFERROR(__xludf.DUMMYFUNCTION("""COMPUTED_VALUE"""),"Sword of Shadows")</f>
        <v>Sword of Shadows</v>
      </c>
      <c r="X286" s="1" t="str">
        <f t="shared" si="1"/>
        <v/>
      </c>
    </row>
    <row r="287">
      <c r="A287" s="1" t="s">
        <v>793</v>
      </c>
      <c r="B287" s="18" t="str">
        <f>IFERROR(VLOOKUP($A287,Equipment!$A$2:$AH1001,MATCH("Description",Equipment!$A$1:$AH$1,0),FALSE),"")</f>
        <v>A sword forged by mekana to obliterate natural environments.</v>
      </c>
      <c r="C287" s="18" t="str">
        <f>IFERROR(VLOOKUP($A287,Equipment!$A$2:$AH1001,MATCH("Type",Equipment!$A$1:$AH$1,0),FALSE),"")</f>
        <v>Sword</v>
      </c>
      <c r="D287" s="18" t="str">
        <f>IFERROR(VLOOKUP($A287,Equipment!$A$2:$AH1001,MATCH("Slot",Equipment!$A$1:$AH$1,0),FALSE),"")</f>
        <v>Hand</v>
      </c>
      <c r="E287" s="20">
        <f>IFERROR(VLOOKUP($A287,Equipment!$A$2:$AH1001,MATCH("LevelReq",Equipment!$A$1:$AH$1,0),FALSE),"")</f>
        <v>600</v>
      </c>
      <c r="F287" s="18" t="str">
        <f>IFERROR(VLOOKUP($A287,Equipconvrt!$A$2:$AH1001,MATCH("Abilities",Equipconvrt!$A$1:$AH$1,0),FALSE),"")</f>
        <v>DMG: +20000, Fire DMG: +10000 ++Forest Fire- Burn 10,000, x4 fire damage while in a natural environment.</v>
      </c>
      <c r="G287" s="20">
        <f>IFERROR(VLOOKUP($A287,Equipment!$A$2:$AD1001,MATCH("Price",Equipment!$A$1:$AH$1,0),FALSE),"")</f>
        <v>17700000</v>
      </c>
      <c r="H287" s="4" t="b">
        <v>0</v>
      </c>
      <c r="I287" s="1" t="str">
        <f>IFERROR(VLOOKUP($A287,Equipment!$A$2:$AH1001,MATCH("EquipLoc",Equipment!$A$1:$AH$1,0),FALSE),"")</f>
        <v>Land of Spira</v>
      </c>
      <c r="W287" s="1" t="str">
        <f>IFERROR(__xludf.DUMMYFUNCTION("""COMPUTED_VALUE"""),"Sword of Steel")</f>
        <v>Sword of Steel</v>
      </c>
      <c r="X287" s="1" t="str">
        <f t="shared" si="1"/>
        <v/>
      </c>
    </row>
    <row r="288">
      <c r="A288" s="1" t="s">
        <v>794</v>
      </c>
      <c r="B288" s="18" t="str">
        <f>IFERROR(VLOOKUP($A288,Equipment!$A$2:$AH1001,MATCH("Description",Equipment!$A$1:$AH$1,0),FALSE),"")</f>
        <v/>
      </c>
      <c r="C288" s="18" t="str">
        <f>IFERROR(VLOOKUP($A288,Equipment!$A$2:$AH1001,MATCH("Type",Equipment!$A$1:$AH$1,0),FALSE),"")</f>
        <v>Sword</v>
      </c>
      <c r="D288" s="18" t="str">
        <f>IFERROR(VLOOKUP($A288,Equipment!$A$2:$AH1001,MATCH("Slot",Equipment!$A$1:$AH$1,0),FALSE),"")</f>
        <v>Hand</v>
      </c>
      <c r="E288" s="20">
        <f>IFERROR(VLOOKUP($A288,Equipment!$A$2:$AH1001,MATCH("LevelReq",Equipment!$A$1:$AH$1,0),FALSE),"")</f>
        <v>400</v>
      </c>
      <c r="F288" s="18" t="str">
        <f>IFERROR(VLOOKUP($A288,Equipconvrt!$A$2:$AH1001,MATCH("Abilities",Equipconvrt!$A$1:$AH$1,0),FALSE),"")</f>
        <v>DMG: +10000, Earth DMG: +10000 ++The Chosen Crystal - When Equipped any damage dealt by a Crystal or Gem related weapon is X4. +-Cannot be duplicated.</v>
      </c>
      <c r="G288" s="20">
        <f>IFERROR(VLOOKUP($A288,Equipment!$A$2:$AD1001,MATCH("Price",Equipment!$A$1:$AH$1,0),FALSE),"")</f>
        <v>7800000</v>
      </c>
      <c r="H288" s="4" t="b">
        <v>0</v>
      </c>
      <c r="I288" s="1" t="str">
        <f>IFERROR(VLOOKUP($A288,Equipment!$A$2:$AH1001,MATCH("EquipLoc",Equipment!$A$1:$AH$1,0),FALSE),"")</f>
        <v>Land of Spira</v>
      </c>
      <c r="W288" s="1" t="str">
        <f>IFERROR(__xludf.DUMMYFUNCTION("""COMPUTED_VALUE"""),"Sword of The Abyss")</f>
        <v>Sword of The Abyss</v>
      </c>
      <c r="X288" s="1" t="str">
        <f t="shared" si="1"/>
        <v/>
      </c>
    </row>
    <row r="289">
      <c r="A289" s="1" t="s">
        <v>795</v>
      </c>
      <c r="B289" s="18" t="str">
        <f>IFERROR(VLOOKUP($A289,Equipment!$A$2:$AH1001,MATCH("Description",Equipment!$A$1:$AH$1,0),FALSE),"")</f>
        <v/>
      </c>
      <c r="C289" s="18" t="str">
        <f>IFERROR(VLOOKUP($A289,Equipment!$A$2:$AH1001,MATCH("Type",Equipment!$A$1:$AH$1,0),FALSE),"")</f>
        <v>Sword</v>
      </c>
      <c r="D289" s="18" t="str">
        <f>IFERROR(VLOOKUP($A289,Equipment!$A$2:$AH1001,MATCH("Slot",Equipment!$A$1:$AH$1,0),FALSE),"")</f>
        <v>Hand</v>
      </c>
      <c r="E289" s="20">
        <f>IFERROR(VLOOKUP($A289,Equipment!$A$2:$AH1001,MATCH("LevelReq",Equipment!$A$1:$AH$1,0),FALSE),"")</f>
        <v>200</v>
      </c>
      <c r="F289" s="18" t="str">
        <f>IFERROR(VLOOKUP($A289,Equipconvrt!$A$2:$AH1001,MATCH("Abilities",Equipconvrt!$A$1:$AH$1,0),FALSE),"")</f>
        <v>DMG: +10000, Earth DMG: +50000, Blood DMG: +50000, Celestial DMG: +10000 ++Earth Charmer - Earth attacks will deal an additional X4 damage while this weapon is equipped.
++Poison Charmer - Poison 50,000 p/r.</v>
      </c>
      <c r="G289" s="20">
        <f>IFERROR(VLOOKUP($A289,Equipment!$A$2:$AD1001,MATCH("Price",Equipment!$A$1:$AH$1,0),FALSE),"")</f>
        <v>286800000</v>
      </c>
      <c r="H289" s="4" t="b">
        <v>1</v>
      </c>
      <c r="I289" s="1" t="str">
        <f>IFERROR(VLOOKUP($A289,Equipment!$A$2:$AH1001,MATCH("EquipLoc",Equipment!$A$1:$AH$1,0),FALSE),"")</f>
        <v>Land of Spira</v>
      </c>
      <c r="W289" s="1" t="str">
        <f>IFERROR(__xludf.DUMMYFUNCTION("""COMPUTED_VALUE"""),"Sword of The Ancient Fire Serpent")</f>
        <v>Sword of The Ancient Fire Serpent</v>
      </c>
      <c r="X289" s="1" t="str">
        <f t="shared" si="1"/>
        <v/>
      </c>
    </row>
    <row r="290">
      <c r="A290" s="1" t="s">
        <v>796</v>
      </c>
      <c r="B290" s="18" t="str">
        <f>IFERROR(VLOOKUP($A290,Equipment!$A$2:$AH1001,MATCH("Description",Equipment!$A$1:$AH$1,0),FALSE),"")</f>
        <v/>
      </c>
      <c r="C290" s="18" t="str">
        <f>IFERROR(VLOOKUP($A290,Equipment!$A$2:$AH1001,MATCH("Type",Equipment!$A$1:$AH$1,0),FALSE),"")</f>
        <v>Sword</v>
      </c>
      <c r="D290" s="18" t="str">
        <f>IFERROR(VLOOKUP($A290,Equipment!$A$2:$AH1001,MATCH("Slot",Equipment!$A$1:$AH$1,0),FALSE),"")</f>
        <v>Hand</v>
      </c>
      <c r="E290" s="20">
        <f>IFERROR(VLOOKUP($A290,Equipment!$A$2:$AH1001,MATCH("LevelReq",Equipment!$A$1:$AH$1,0),FALSE),"")</f>
        <v>1500</v>
      </c>
      <c r="F290" s="18" t="str">
        <f>IFERROR(VLOOKUP($A290,Equipconvrt!$A$2:$AH1001,MATCH("Abilities",Equipconvrt!$A$1:$AH$1,0),FALSE),"")</f>
        <v>DMG: +50000, Blood DMG: +25000 ++Burning Blood: Upon a successful hit; 5000 bleed and burn until the enemy dies.</v>
      </c>
      <c r="G290" s="20">
        <f>IFERROR(VLOOKUP($A290,Equipment!$A$2:$AD1001,MATCH("Price",Equipment!$A$1:$AH$1,0),FALSE),"")</f>
        <v>111750000</v>
      </c>
      <c r="H290" s="4" t="b">
        <v>1</v>
      </c>
      <c r="I290" s="1" t="str">
        <f>IFERROR(VLOOKUP($A290,Equipment!$A$2:$AH1001,MATCH("EquipLoc",Equipment!$A$1:$AH$1,0),FALSE),"")</f>
        <v>Land of Spira</v>
      </c>
      <c r="W290" s="1" t="str">
        <f>IFERROR(__xludf.DUMMYFUNCTION("""COMPUTED_VALUE"""),"Sword of The Burning Forest")</f>
        <v>Sword of The Burning Forest</v>
      </c>
      <c r="X290" s="1" t="str">
        <f t="shared" si="1"/>
        <v/>
      </c>
    </row>
    <row r="291">
      <c r="A291" s="1" t="s">
        <v>797</v>
      </c>
      <c r="B291" s="18" t="str">
        <f>IFERROR(VLOOKUP($A291,Equipment!$A$2:$AH1001,MATCH("Description",Equipment!$A$1:$AH$1,0),FALSE),"")</f>
        <v>Halloween exclusive</v>
      </c>
      <c r="C291" s="18" t="str">
        <f>IFERROR(VLOOKUP($A291,Equipment!$A$2:$AH1001,MATCH("Type",Equipment!$A$1:$AH$1,0),FALSE),"")</f>
        <v>Sword</v>
      </c>
      <c r="D291" s="18" t="str">
        <f>IFERROR(VLOOKUP($A291,Equipment!$A$2:$AH1001,MATCH("Slot",Equipment!$A$1:$AH$1,0),FALSE),"")</f>
        <v>Hand</v>
      </c>
      <c r="E291" s="20">
        <f>IFERROR(VLOOKUP($A291,Equipment!$A$2:$AH1001,MATCH("LevelReq",Equipment!$A$1:$AH$1,0),FALSE),"")</f>
        <v>200</v>
      </c>
      <c r="F291" s="18" t="str">
        <f>IFERROR(VLOOKUP($A291,Equipconvrt!$A$2:$AH1001,MATCH("Abilities",Equipconvrt!$A$1:$AH$1,0),FALSE),"")</f>
        <v>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+-Cannot be duplicated</v>
      </c>
      <c r="G291" s="20">
        <f>IFERROR(VLOOKUP($A291,Equipment!$A$2:$AD1001,MATCH("Price",Equipment!$A$1:$AH$1,0),FALSE),"")</f>
        <v>199000000</v>
      </c>
      <c r="H291" s="4" t="b">
        <v>1</v>
      </c>
      <c r="I291" s="1" t="str">
        <f>IFERROR(VLOOKUP($A291,Equipment!$A$2:$AH1001,MATCH("EquipLoc",Equipment!$A$1:$AH$1,0),FALSE),"")</f>
        <v>Halloween Kingdom</v>
      </c>
      <c r="W291" s="1" t="str">
        <f>IFERROR(__xludf.DUMMYFUNCTION("""COMPUTED_VALUE"""),"Sword of The Crystal Chosen")</f>
        <v>Sword of The Crystal Chosen</v>
      </c>
      <c r="X291" s="1" t="str">
        <f t="shared" si="1"/>
        <v/>
      </c>
    </row>
    <row r="292">
      <c r="A292" s="1" t="s">
        <v>798</v>
      </c>
      <c r="B292" s="18" t="str">
        <f>IFERROR(VLOOKUP($A292,Equipment!$A$2:$AH1001,MATCH("Description",Equipment!$A$1:$AH$1,0),FALSE),"")</f>
        <v/>
      </c>
      <c r="C292" s="18" t="str">
        <f>IFERROR(VLOOKUP($A292,Equipment!$A$2:$AH1001,MATCH("Type",Equipment!$A$1:$AH$1,0),FALSE),"")</f>
        <v>Sword</v>
      </c>
      <c r="D292" s="18" t="str">
        <f>IFERROR(VLOOKUP($A292,Equipment!$A$2:$AH1001,MATCH("Slot",Equipment!$A$1:$AH$1,0),FALSE),"")</f>
        <v>Hand</v>
      </c>
      <c r="E292" s="20">
        <f>IFERROR(VLOOKUP($A292,Equipment!$A$2:$AH1001,MATCH("LevelReq",Equipment!$A$1:$AH$1,0),FALSE),"")</f>
        <v>400</v>
      </c>
      <c r="F292" s="18" t="str">
        <f>IFERROR(VLOOKUP($A292,Equipconvrt!$A$2:$AH1001,MATCH("Abilities",Equipconvrt!$A$1:$AH$1,0),FALSE),"")</f>
        <v>DMG: +10000, Light DMG: +5000, Order DMG: +5000</v>
      </c>
      <c r="G292" s="20">
        <f>IFERROR(VLOOKUP($A292,Equipment!$A$2:$AD1001,MATCH("Price",Equipment!$A$1:$AH$1,0),FALSE),"")</f>
        <v>7800000</v>
      </c>
      <c r="H292" s="4" t="b">
        <v>0</v>
      </c>
      <c r="I292" s="1" t="str">
        <f>IFERROR(VLOOKUP($A292,Equipment!$A$2:$AH1001,MATCH("EquipLoc",Equipment!$A$1:$AH$1,0),FALSE),"")</f>
        <v>Land of Spira</v>
      </c>
      <c r="W292" s="1" t="str">
        <f>IFERROR(__xludf.DUMMYFUNCTION("""COMPUTED_VALUE"""),"Sword Of The Cursed Naga")</f>
        <v>Sword Of The Cursed Naga</v>
      </c>
      <c r="X292" s="1" t="str">
        <f t="shared" si="1"/>
        <v/>
      </c>
    </row>
    <row r="293">
      <c r="A293" s="1" t="s">
        <v>799</v>
      </c>
      <c r="B293" s="18" t="str">
        <f>IFERROR(VLOOKUP($A293,Equipment!$A$2:$AH1001,MATCH("Description",Equipment!$A$1:$AH$1,0),FALSE),"")</f>
        <v/>
      </c>
      <c r="C293" s="18" t="str">
        <f>IFERROR(VLOOKUP($A293,Equipment!$A$2:$AH1001,MATCH("Type",Equipment!$A$1:$AH$1,0),FALSE),"")</f>
        <v>Sword</v>
      </c>
      <c r="D293" s="18" t="str">
        <f>IFERROR(VLOOKUP($A293,Equipment!$A$2:$AH1001,MATCH("Slot",Equipment!$A$1:$AH$1,0),FALSE),"")</f>
        <v>Hand</v>
      </c>
      <c r="E293" s="20">
        <f>IFERROR(VLOOKUP($A293,Equipment!$A$2:$AH1001,MATCH("LevelReq",Equipment!$A$1:$AH$1,0),FALSE),"")</f>
        <v>200</v>
      </c>
      <c r="F293" s="18" t="str">
        <f>IFERROR(VLOOKUP($A293,Equipconvrt!$A$2:$AH1001,MATCH("Abilities",Equipconvrt!$A$1:$AH$1,0),FALSE),"")</f>
        <v>DMG: +20000, Earth DMG: +20000, Celestial DMG: +10000 ++Crystal Kings Power - Damage dealt by this weapon gives you SP back equal to the damage you deal. ++ Crystal Embodyment - When Equipped any damage dealt by a Crystal or Gem related weapon is X8 for the user. +-Cannot be duplicated.</v>
      </c>
      <c r="G293" s="20">
        <f>IFERROR(VLOOKUP($A293,Equipment!$A$2:$AD1001,MATCH("Price",Equipment!$A$1:$AH$1,0),FALSE),"")</f>
        <v>49500000</v>
      </c>
      <c r="H293" s="4" t="b">
        <v>1</v>
      </c>
      <c r="I293" s="1" t="str">
        <f>IFERROR(VLOOKUP($A293,Equipment!$A$2:$AH1001,MATCH("EquipLoc",Equipment!$A$1:$AH$1,0),FALSE),"")</f>
        <v>Land of Spira</v>
      </c>
      <c r="W293" s="1" t="str">
        <f>IFERROR(__xludf.DUMMYFUNCTION("""COMPUTED_VALUE"""),"Sword Of The Dragons Blood")</f>
        <v>Sword Of The Dragons Blood</v>
      </c>
      <c r="X293" s="1" t="str">
        <f t="shared" si="1"/>
        <v/>
      </c>
    </row>
    <row r="294">
      <c r="A294" s="1" t="s">
        <v>800</v>
      </c>
      <c r="B294" s="18" t="str">
        <f>IFERROR(VLOOKUP($A294,Equipment!$A$2:$AH1001,MATCH("Description",Equipment!$A$1:$AH$1,0),FALSE),"")</f>
        <v/>
      </c>
      <c r="C294" s="18" t="str">
        <f>IFERROR(VLOOKUP($A294,Equipment!$A$2:$AH1001,MATCH("Type",Equipment!$A$1:$AH$1,0),FALSE),"")</f>
        <v>Sword</v>
      </c>
      <c r="D294" s="18" t="str">
        <f>IFERROR(VLOOKUP($A294,Equipment!$A$2:$AH1001,MATCH("Slot",Equipment!$A$1:$AH$1,0),FALSE),"")</f>
        <v>Hand</v>
      </c>
      <c r="E294" s="20">
        <f>IFERROR(VLOOKUP($A294,Equipment!$A$2:$AH1001,MATCH("LevelReq",Equipment!$A$1:$AH$1,0),FALSE),"")</f>
        <v>200</v>
      </c>
      <c r="F294" s="18" t="str">
        <f>IFERROR(VLOOKUP($A294,Equipconvrt!$A$2:$AH1001,MATCH("Abilities",Equipconvrt!$A$1:$AH$1,0),FALSE),"")</f>
        <v>DMG: +100000, Celestial DMG: +500000 ++While you have this sword equipped and you have 4+ party members among your party, You and your allies deal X4 additional damage with weapons only. +-Cannot be duplicated</v>
      </c>
      <c r="G294" s="20">
        <f>IFERROR(VLOOKUP($A294,Equipment!$A$2:$AD1001,MATCH("Price",Equipment!$A$1:$AH$1,0),FALSE),"")</f>
        <v>7194000000</v>
      </c>
      <c r="H294" s="4" t="b">
        <v>1</v>
      </c>
      <c r="I294" s="1" t="str">
        <f>IFERROR(VLOOKUP($A294,Equipment!$A$2:$AH1001,MATCH("EquipLoc",Equipment!$A$1:$AH$1,0),FALSE),"")</f>
        <v>Abstara</v>
      </c>
      <c r="W294" s="1" t="str">
        <f>IFERROR(__xludf.DUMMYFUNCTION("""COMPUTED_VALUE"""),"Sword of The Haunted Mansion")</f>
        <v>Sword of The Haunted Mansion</v>
      </c>
      <c r="X294" s="1" t="str">
        <f t="shared" si="1"/>
        <v/>
      </c>
    </row>
    <row r="295">
      <c r="A295" s="1" t="s">
        <v>801</v>
      </c>
      <c r="B295" s="18" t="str">
        <f>IFERROR(VLOOKUP($A295,Equipment!$A$2:$AH1001,MATCH("Description",Equipment!$A$1:$AH$1,0),FALSE),"")</f>
        <v/>
      </c>
      <c r="C295" s="18" t="str">
        <f>IFERROR(VLOOKUP($A295,Equipment!$A$2:$AH1001,MATCH("Type",Equipment!$A$1:$AH$1,0),FALSE),"")</f>
        <v>Sword</v>
      </c>
      <c r="D295" s="18" t="str">
        <f>IFERROR(VLOOKUP($A295,Equipment!$A$2:$AH1001,MATCH("Slot",Equipment!$A$1:$AH$1,0),FALSE),"")</f>
        <v>Hand</v>
      </c>
      <c r="E295" s="20">
        <f>IFERROR(VLOOKUP($A295,Equipment!$A$2:$AH1001,MATCH("LevelReq",Equipment!$A$1:$AH$1,0),FALSE),"")</f>
        <v>200</v>
      </c>
      <c r="F295" s="18" t="str">
        <f>IFERROR(VLOOKUP($A295,Equipconvrt!$A$2:$AH1001,MATCH("Abilities",Equipconvrt!$A$1:$AH$1,0),FALSE),"")</f>
        <v>DMG: +5000, Celestial DMG: +1000 ++Stop Targeting Me! - When targeted for an attack the base damage of this weapon will be increased by 1000 damage for the battle only.</v>
      </c>
      <c r="G295" s="20">
        <f>IFERROR(VLOOKUP($A295,Equipment!$A$2:$AD1001,MATCH("Price",Equipment!$A$1:$AH$1,0),FALSE),"")</f>
        <v>660000</v>
      </c>
      <c r="H295" s="4" t="b">
        <v>1</v>
      </c>
      <c r="I295" s="1" t="str">
        <f>IFERROR(VLOOKUP($A295,Equipment!$A$2:$AH1001,MATCH("EquipLoc",Equipment!$A$1:$AH$1,0),FALSE),"")</f>
        <v>Land of Spira</v>
      </c>
      <c r="W295" s="1" t="str">
        <f>IFERROR(__xludf.DUMMYFUNCTION("""COMPUTED_VALUE"""),"Sword Of The Honorable Samurai")</f>
        <v>Sword Of The Honorable Samurai</v>
      </c>
      <c r="X295" s="1" t="str">
        <f t="shared" si="1"/>
        <v/>
      </c>
    </row>
    <row r="296">
      <c r="A296" s="1" t="s">
        <v>802</v>
      </c>
      <c r="B296" s="18" t="str">
        <f>IFERROR(VLOOKUP($A296,Equipment!$A$2:$AH1001,MATCH("Description",Equipment!$A$1:$AH$1,0),FALSE),"")</f>
        <v/>
      </c>
      <c r="C296" s="18" t="str">
        <f>IFERROR(VLOOKUP($A296,Equipment!$A$2:$AH1001,MATCH("Type",Equipment!$A$1:$AH$1,0),FALSE),"")</f>
        <v>Sword</v>
      </c>
      <c r="D296" s="18" t="str">
        <f>IFERROR(VLOOKUP($A296,Equipment!$A$2:$AH1001,MATCH("Slot",Equipment!$A$1:$AH$1,0),FALSE),"")</f>
        <v>Hand</v>
      </c>
      <c r="E296" s="20">
        <f>IFERROR(VLOOKUP($A296,Equipment!$A$2:$AH1001,MATCH("LevelReq",Equipment!$A$1:$AH$1,0),FALSE),"")</f>
        <v>400</v>
      </c>
      <c r="F296" s="18" t="str">
        <f>IFERROR(VLOOKUP($A296,Equipconvrt!$A$2:$AH1001,MATCH("Abilities",Equipconvrt!$A$1:$AH$1,0),FALSE),"")</f>
        <v>DMG: +10000, Water DMG: +10000 ++X2 Additional water damage for self, ++Sea Serpents Call: Upon a succesful hit there will be a 50% chance of summoning a sea serpent to aid you in battle if the battle is in water.</v>
      </c>
      <c r="G296" s="20">
        <f>IFERROR(VLOOKUP($A296,Equipment!$A$2:$AD1001,MATCH("Price",Equipment!$A$1:$AH$1,0),FALSE),"")</f>
        <v>7800000</v>
      </c>
      <c r="H296" s="4" t="b">
        <v>0</v>
      </c>
      <c r="I296" s="1" t="str">
        <f>IFERROR(VLOOKUP($A296,Equipment!$A$2:$AH1001,MATCH("EquipLoc",Equipment!$A$1:$AH$1,0),FALSE),"")</f>
        <v>Land of Spira</v>
      </c>
      <c r="W296" s="1" t="str">
        <f>IFERROR(__xludf.DUMMYFUNCTION("""COMPUTED_VALUE"""),"Sword of The Crystal King")</f>
        <v>Sword of The Crystal King</v>
      </c>
      <c r="X296" s="1" t="str">
        <f t="shared" si="1"/>
        <v/>
      </c>
    </row>
    <row r="297">
      <c r="A297" s="1" t="s">
        <v>803</v>
      </c>
      <c r="B297" s="18" t="str">
        <f>IFERROR(VLOOKUP($A297,Equipment!$A$2:$AH1001,MATCH("Description",Equipment!$A$1:$AH$1,0),FALSE),"")</f>
        <v/>
      </c>
      <c r="C297" s="18" t="str">
        <f>IFERROR(VLOOKUP($A297,Equipment!$A$2:$AH1001,MATCH("Type",Equipment!$A$1:$AH$1,0),FALSE),"")</f>
        <v>Sword</v>
      </c>
      <c r="D297" s="18" t="str">
        <f>IFERROR(VLOOKUP($A297,Equipment!$A$2:$AH1001,MATCH("Slot",Equipment!$A$1:$AH$1,0),FALSE),"")</f>
        <v>Hand</v>
      </c>
      <c r="E297" s="20">
        <f>IFERROR(VLOOKUP($A297,Equipment!$A$2:$AH1001,MATCH("LevelReq",Equipment!$A$1:$AH$1,0),FALSE),"")</f>
        <v>800</v>
      </c>
      <c r="F297" s="18" t="str">
        <f>IFERROR(VLOOKUP($A297,Equipconvrt!$A$2:$AH1001,MATCH("Abilities",Equipconvrt!$A$1:$AH$1,0),FALSE),"")</f>
        <v>DMG: +10000, Fire DMG: +10000, Dark DMG: +10000, Spirit DMG: +5000, Chaos DMG: +5000 ++Damage dealt by this weapon gives you hp back equal to the damage you deal</v>
      </c>
      <c r="G297" s="20">
        <f>IFERROR(VLOOKUP($A297,Equipment!$A$2:$AD1001,MATCH("Price",Equipment!$A$1:$AH$1,0),FALSE),"")</f>
        <v>31600000</v>
      </c>
      <c r="H297" s="4" t="b">
        <v>0</v>
      </c>
      <c r="I297" s="1" t="str">
        <f>IFERROR(VLOOKUP($A297,Equipment!$A$2:$AH1001,MATCH("EquipLoc",Equipment!$A$1:$AH$1,0),FALSE),"")</f>
        <v>Land of Spira</v>
      </c>
      <c r="W297" s="1" t="str">
        <f>IFERROR(__xludf.DUMMYFUNCTION("""COMPUTED_VALUE"""),"Sword of The Many Heroes")</f>
        <v>Sword of The Many Heroes</v>
      </c>
      <c r="X297" s="1" t="str">
        <f t="shared" si="1"/>
        <v/>
      </c>
    </row>
    <row r="298">
      <c r="A298" s="1" t="s">
        <v>804</v>
      </c>
      <c r="B298" s="18" t="str">
        <f>IFERROR(VLOOKUP($A298,Equipment!$A$2:$AH1001,MATCH("Description",Equipment!$A$1:$AH$1,0),FALSE),"")</f>
        <v/>
      </c>
      <c r="C298" s="18" t="str">
        <f>IFERROR(VLOOKUP($A298,Equipment!$A$2:$AH1001,MATCH("Type",Equipment!$A$1:$AH$1,0),FALSE),"")</f>
        <v>Sword</v>
      </c>
      <c r="D298" s="18" t="str">
        <f>IFERROR(VLOOKUP($A298,Equipment!$A$2:$AH1001,MATCH("Slot",Equipment!$A$1:$AH$1,0),FALSE),"")</f>
        <v>Hand</v>
      </c>
      <c r="E298" s="20">
        <f>IFERROR(VLOOKUP($A298,Equipment!$A$2:$AH1001,MATCH("LevelReq",Equipment!$A$1:$AH$1,0),FALSE),"")</f>
        <v>800</v>
      </c>
      <c r="F298" s="18" t="str">
        <f>IFERROR(VLOOKUP($A298,Equipconvrt!$A$2:$AH1001,MATCH("Abilities",Equipconvrt!$A$1:$AH$1,0),FALSE),"")</f>
        <v>DMG: +20000, Water DMG: +20000 ++X4 additional Water damage for this weapon only. ++Waking Waters: When the battle is in water and you are attacking with this weapon your d20 roll becomes double. +-Cannot be duplicated</v>
      </c>
      <c r="G298" s="20">
        <f>IFERROR(VLOOKUP($A298,Equipment!$A$2:$AD1001,MATCH("Price",Equipment!$A$1:$AH$1,0),FALSE),"")</f>
        <v>31600000</v>
      </c>
      <c r="H298" s="4" t="b">
        <v>0</v>
      </c>
      <c r="I298" s="1" t="str">
        <f>IFERROR(VLOOKUP($A298,Equipment!$A$2:$AH1001,MATCH("EquipLoc",Equipment!$A$1:$AH$1,0),FALSE),"")</f>
        <v>Land of Spira</v>
      </c>
      <c r="W298" s="1" t="str">
        <f>IFERROR(__xludf.DUMMYFUNCTION("""COMPUTED_VALUE"""),"Sword Of The Reaper")</f>
        <v>Sword Of The Reaper</v>
      </c>
      <c r="X298" s="1" t="str">
        <f t="shared" si="1"/>
        <v/>
      </c>
    </row>
    <row r="299">
      <c r="A299" s="1" t="s">
        <v>805</v>
      </c>
      <c r="B299" s="18" t="str">
        <f>IFERROR(VLOOKUP($A299,Equipment!$A$2:$AH1001,MATCH("Description",Equipment!$A$1:$AH$1,0),FALSE),"")</f>
        <v/>
      </c>
      <c r="C299" s="18" t="str">
        <f>IFERROR(VLOOKUP($A299,Equipment!$A$2:$AH1001,MATCH("Type",Equipment!$A$1:$AH$1,0),FALSE),"")</f>
        <v>Sword</v>
      </c>
      <c r="D299" s="18" t="str">
        <f>IFERROR(VLOOKUP($A299,Equipment!$A$2:$AH1001,MATCH("Slot",Equipment!$A$1:$AH$1,0),FALSE),"")</f>
        <v>Hand</v>
      </c>
      <c r="E299" s="20">
        <f>IFERROR(VLOOKUP($A299,Equipment!$A$2:$AH1001,MATCH("LevelReq",Equipment!$A$1:$AH$1,0),FALSE),"")</f>
        <v>50</v>
      </c>
      <c r="F299" s="18" t="str">
        <f>IFERROR(VLOOKUP($A299,Equipconvrt!$A$2:$AH1001,MATCH("Abilities",Equipconvrt!$A$1:$AH$1,0),FALSE),"")</f>
        <v>DMG: +700, Dark DMG: +900, Chaos DMG: +900</v>
      </c>
      <c r="G299" s="20">
        <f>IFERROR(VLOOKUP($A299,Equipment!$A$2:$AD1001,MATCH("Price",Equipment!$A$1:$AH$1,0),FALSE),"")</f>
        <v>100000</v>
      </c>
      <c r="H299" s="4" t="b">
        <v>0</v>
      </c>
      <c r="I299" s="1" t="str">
        <f>IFERROR(VLOOKUP($A299,Equipment!$A$2:$AH1001,MATCH("EquipLoc",Equipment!$A$1:$AH$1,0),FALSE),"")</f>
        <v>Land of Spira</v>
      </c>
      <c r="W299" s="1" t="str">
        <f>IFERROR(__xludf.DUMMYFUNCTION("""COMPUTED_VALUE"""),"Sword of The Sea Serpent")</f>
        <v>Sword of The Sea Serpent</v>
      </c>
      <c r="X299" s="1" t="str">
        <f t="shared" si="1"/>
        <v/>
      </c>
    </row>
    <row r="300">
      <c r="A300" s="1" t="s">
        <v>806</v>
      </c>
      <c r="B300" s="18" t="str">
        <f>IFERROR(VLOOKUP($A300,Equipment!$A$2:$AH1001,MATCH("Description",Equipment!$A$1:$AH$1,0),FALSE),"")</f>
        <v/>
      </c>
      <c r="C300" s="18" t="str">
        <f>IFERROR(VLOOKUP($A300,Equipment!$A$2:$AH1001,MATCH("Type",Equipment!$A$1:$AH$1,0),FALSE),"")</f>
        <v>Sword</v>
      </c>
      <c r="D300" s="18" t="str">
        <f>IFERROR(VLOOKUP($A300,Equipment!$A$2:$AH1001,MATCH("Slot",Equipment!$A$1:$AH$1,0),FALSE),"")</f>
        <v>Hand</v>
      </c>
      <c r="E300" s="20">
        <f>IFERROR(VLOOKUP($A300,Equipment!$A$2:$AH1001,MATCH("LevelReq",Equipment!$A$1:$AH$1,0),FALSE),"")</f>
        <v>800</v>
      </c>
      <c r="F300" s="18" t="str">
        <f>IFERROR(VLOOKUP($A300,Equipconvrt!$A$2:$AH1001,MATCH("Abilities",Equipconvrt!$A$1:$AH$1,0),FALSE),"")</f>
        <v>DMG: +20000, Water DMG: +20000 ++Order of Atlanteans - +2 to your d20 roll, +5 charisma, ++Waves of Entitlement - x5 additional Water damage. +-Cannot be duplicated.</v>
      </c>
      <c r="G300" s="20">
        <f>IFERROR(VLOOKUP($A300,Equipment!$A$2:$AD1001,MATCH("Price",Equipment!$A$1:$AH$1,0),FALSE),"")</f>
        <v>31600000</v>
      </c>
      <c r="H300" s="4" t="b">
        <v>0</v>
      </c>
      <c r="I300" s="1" t="str">
        <f>IFERROR(VLOOKUP($A300,Equipment!$A$2:$AH1001,MATCH("EquipLoc",Equipment!$A$1:$AH$1,0),FALSE),"")</f>
        <v>Land of Spira</v>
      </c>
      <c r="W300" s="1" t="str">
        <f>IFERROR(__xludf.DUMMYFUNCTION("""COMPUTED_VALUE"""),"Sword of the Vampire’s Lust")</f>
        <v>Sword of the Vampire’s Lust</v>
      </c>
      <c r="X300" s="1" t="str">
        <f t="shared" si="1"/>
        <v/>
      </c>
    </row>
    <row r="301">
      <c r="A301" s="1" t="s">
        <v>807</v>
      </c>
      <c r="B301" s="18" t="str">
        <f>IFERROR(VLOOKUP($A301,Equipment!$A$2:$AH1001,MATCH("Description",Equipment!$A$1:$AH$1,0),FALSE),"")</f>
        <v/>
      </c>
      <c r="C301" s="18" t="str">
        <f>IFERROR(VLOOKUP($A301,Equipment!$A$2:$AH1001,MATCH("Type",Equipment!$A$1:$AH$1,0),FALSE),"")</f>
        <v>Claw</v>
      </c>
      <c r="D301" s="18" t="str">
        <f>IFERROR(VLOOKUP($A301,Equipment!$A$2:$AH1001,MATCH("Slot",Equipment!$A$1:$AH$1,0),FALSE),"")</f>
        <v>Hand</v>
      </c>
      <c r="E301" s="20">
        <f>IFERROR(VLOOKUP($A301,Equipment!$A$2:$AH1001,MATCH("LevelReq",Equipment!$A$1:$AH$1,0),FALSE),"")</f>
        <v>30</v>
      </c>
      <c r="F301" s="18" t="str">
        <f>IFERROR(VLOOKUP($A301,Equipconvrt!$A$2:$AH1001,MATCH("Abilities",Equipconvrt!$A$1:$AH$1,0),FALSE),"")</f>
        <v>DMG: +1000, Water DMG: +500 ++10% chance to remove target from battle</v>
      </c>
      <c r="G301" s="20">
        <f>IFERROR(VLOOKUP($A301,Equipment!$A$2:$AD1001,MATCH("Price",Equipment!$A$1:$AH$1,0),FALSE),"")</f>
        <v>30000</v>
      </c>
      <c r="H301" s="4" t="b">
        <v>0</v>
      </c>
      <c r="I301" s="1" t="str">
        <f>IFERROR(VLOOKUP($A301,Equipment!$A$2:$AH1001,MATCH("EquipLoc",Equipment!$A$1:$AH$1,0),FALSE),"")</f>
        <v>Land of Spira</v>
      </c>
      <c r="W301" s="1" t="str">
        <f>IFERROR(__xludf.DUMMYFUNCTION("""COMPUTED_VALUE"""),"Sword of The Waking Waters")</f>
        <v>Sword of The Waking Waters</v>
      </c>
      <c r="X301" s="1" t="str">
        <f t="shared" si="1"/>
        <v/>
      </c>
    </row>
    <row r="302">
      <c r="A302" s="1" t="s">
        <v>808</v>
      </c>
      <c r="B302" s="18" t="str">
        <f>IFERROR(VLOOKUP($A302,Equipment!$A$2:$AH1001,MATCH("Description",Equipment!$A$1:$AH$1,0),FALSE),"")</f>
        <v/>
      </c>
      <c r="C302" s="18" t="str">
        <f>IFERROR(VLOOKUP($A302,Equipment!$A$2:$AH1001,MATCH("Type",Equipment!$A$1:$AH$1,0),FALSE),"")</f>
        <v>Claw</v>
      </c>
      <c r="D302" s="18" t="str">
        <f>IFERROR(VLOOKUP($A302,Equipment!$A$2:$AH1001,MATCH("Slot",Equipment!$A$1:$AH$1,0),FALSE),"")</f>
        <v>Hand</v>
      </c>
      <c r="E302" s="20">
        <f>IFERROR(VLOOKUP($A302,Equipment!$A$2:$AH1001,MATCH("LevelReq",Equipment!$A$1:$AH$1,0),FALSE),"")</f>
        <v>2500</v>
      </c>
      <c r="F302" s="18" t="str">
        <f>IFERROR(VLOOKUP($A302,Equipconvrt!$A$2:$AH1001,MATCH("Abilities",Equipconvrt!$A$1:$AH$1,0),FALSE),"")</f>
        <v>DMG: +50000, Dark DMG: +50000, Blood DMG: +25000 ++Increases blood and dark damage by X4 for the wielder of this claw, ++Decreases the HP cost of spells by half. ++35% chance to remove an enemy from battle</v>
      </c>
      <c r="G302" s="20">
        <f>IFERROR(VLOOKUP($A302,Equipment!$A$2:$AD1001,MATCH("Price",Equipment!$A$1:$AH$1,0),FALSE),"")</f>
        <v>311250000</v>
      </c>
      <c r="H302" s="4" t="b">
        <v>0</v>
      </c>
      <c r="I302" s="1" t="str">
        <f>IFERROR(VLOOKUP($A302,Equipment!$A$2:$AH1001,MATCH("EquipLoc",Equipment!$A$1:$AH$1,0),FALSE),"")</f>
        <v>Abstara</v>
      </c>
      <c r="W302" s="1" t="str">
        <f>IFERROR(__xludf.DUMMYFUNCTION("""COMPUTED_VALUE"""),"Sword of the Wicked")</f>
        <v>Sword of the Wicked</v>
      </c>
      <c r="X302" s="1" t="str">
        <f t="shared" si="1"/>
        <v/>
      </c>
    </row>
    <row r="303">
      <c r="A303" s="1" t="s">
        <v>809</v>
      </c>
      <c r="B303" s="18" t="str">
        <f>IFERROR(VLOOKUP($A303,Equipment!$A$2:$AH1001,MATCH("Description",Equipment!$A$1:$AH$1,0),FALSE),"")</f>
        <v/>
      </c>
      <c r="C303" s="18" t="str">
        <f>IFERROR(VLOOKUP($A303,Equipment!$A$2:$AH1001,MATCH("Type",Equipment!$A$1:$AH$1,0),FALSE),"")</f>
        <v>Sword</v>
      </c>
      <c r="D303" s="18" t="str">
        <f>IFERROR(VLOOKUP($A303,Equipment!$A$2:$AH1001,MATCH("Slot",Equipment!$A$1:$AH$1,0),FALSE),"")</f>
        <v>Hand</v>
      </c>
      <c r="E303" s="20">
        <f>IFERROR(VLOOKUP($A303,Equipment!$A$2:$AH1001,MATCH("LevelReq",Equipment!$A$1:$AH$1,0),FALSE),"")</f>
        <v>1000</v>
      </c>
      <c r="F303" s="18" t="str">
        <f>IFERROR(VLOOKUP($A303,Equipconvrt!$A$2:$AH1001,MATCH("Abilities",Equipconvrt!$A$1:$AH$1,0),FALSE),"")</f>
        <v>DMG: +10000, Fire DMG: +10000, Order DMG: +10000, Nature DMG: +10000, Blood DMG: +10000 ++Roll a d20 at the beginning of battle, 11 or higher = double the users defense and damage dealt for the current battle, 10 or lower = half the users defense and damage dealt for the current battle.</v>
      </c>
      <c r="G303" s="20">
        <f>IFERROR(VLOOKUP($A303,Equipment!$A$2:$AD1001,MATCH("Price",Equipment!$A$1:$AH$1,0),FALSE),"")</f>
        <v>49500000</v>
      </c>
      <c r="H303" s="4" t="b">
        <v>0</v>
      </c>
      <c r="I303" s="1" t="str">
        <f>IFERROR(VLOOKUP($A303,Equipment!$A$2:$AH1001,MATCH("EquipLoc",Equipment!$A$1:$AH$1,0),FALSE),"")</f>
        <v>Land of Spira</v>
      </c>
      <c r="W303" s="1" t="str">
        <f>IFERROR(__xludf.DUMMYFUNCTION("""COMPUTED_VALUE"""),"Sword Of Tritonoch")</f>
        <v>Sword Of Tritonoch</v>
      </c>
      <c r="X303" s="1" t="str">
        <f t="shared" si="1"/>
        <v/>
      </c>
    </row>
    <row r="304">
      <c r="A304" s="1" t="s">
        <v>810</v>
      </c>
      <c r="B304" s="18" t="str">
        <f>IFERROR(VLOOKUP($A304,Equipment!$A$2:$AH1001,MATCH("Description",Equipment!$A$1:$AH$1,0),FALSE),"")</f>
        <v/>
      </c>
      <c r="C304" s="18" t="str">
        <f>IFERROR(VLOOKUP($A304,Equipment!$A$2:$AH1001,MATCH("Type",Equipment!$A$1:$AH$1,0),FALSE),"")</f>
        <v>Bow</v>
      </c>
      <c r="D304" s="18" t="str">
        <f>IFERROR(VLOOKUP($A304,Equipment!$A$2:$AH1001,MATCH("Slot",Equipment!$A$1:$AH$1,0),FALSE),"")</f>
        <v>Hand</v>
      </c>
      <c r="E304" s="20">
        <f>IFERROR(VLOOKUP($A304,Equipment!$A$2:$AH1001,MATCH("LevelReq",Equipment!$A$1:$AH$1,0),FALSE),"")</f>
        <v>100</v>
      </c>
      <c r="F304" s="18" t="str">
        <f>IFERROR(VLOOKUP($A304,Equipconvrt!$A$2:$AH1001,MATCH("Abilities",Equipconvrt!$A$1:$AH$1,0),FALSE),"")</f>
        <v>DMG: +5000 ++Dashing Arrows - You can use up to 6 arrows when attacking with this bow. </v>
      </c>
      <c r="G304" s="20">
        <f>IFERROR(VLOOKUP($A304,Equipment!$A$2:$AD1001,MATCH("Price",Equipment!$A$1:$AH$1,0),FALSE),"")</f>
        <v>450000</v>
      </c>
      <c r="H304" s="4" t="b">
        <v>0</v>
      </c>
      <c r="I304" s="1" t="str">
        <f>IFERROR(VLOOKUP($A304,Equipment!$A$2:$AH1001,MATCH("EquipLoc",Equipment!$A$1:$AH$1,0),FALSE),"")</f>
        <v>Land of Spira</v>
      </c>
      <c r="W304" s="1" t="str">
        <f>IFERROR(__xludf.DUMMYFUNCTION("""COMPUTED_VALUE"""),"Tentacle")</f>
        <v>Tentacle</v>
      </c>
      <c r="X304" s="1" t="str">
        <f t="shared" si="1"/>
        <v/>
      </c>
    </row>
    <row r="305">
      <c r="A305" s="1" t="s">
        <v>811</v>
      </c>
      <c r="B305" s="18" t="str">
        <f>IFERROR(VLOOKUP($A305,Equipment!$A$2:$AH1001,MATCH("Description",Equipment!$A$1:$AH$1,0),FALSE),"")</f>
        <v>Halloween exclusive</v>
      </c>
      <c r="C305" s="18" t="str">
        <f>IFERROR(VLOOKUP($A305,Equipment!$A$2:$AH1001,MATCH("Type",Equipment!$A$1:$AH$1,0),FALSE),"")</f>
        <v>Bow</v>
      </c>
      <c r="D305" s="18" t="str">
        <f>IFERROR(VLOOKUP($A305,Equipment!$A$2:$AH1001,MATCH("Slot",Equipment!$A$1:$AH$1,0),FALSE),"")</f>
        <v>Hand</v>
      </c>
      <c r="E305" s="20">
        <f>IFERROR(VLOOKUP($A305,Equipment!$A$2:$AH1001,MATCH("LevelReq",Equipment!$A$1:$AH$1,0),FALSE),"")</f>
        <v>620</v>
      </c>
      <c r="F305" s="18" t="str">
        <f>IFERROR(VLOOKUP($A305,Equipconvrt!$A$2:$AH1001,MATCH("Abilities",Equipconvrt!$A$1:$AH$1,0),FALSE),"")</f>
        <v>DMG: +1000, Fire DMG: +10000, Dark DMG: +10000, Chaos DMG: +10000 ++You can use d20 arrows when attacking with this bow, rolls to see how many. Dark and Chaos damage is doubled when attacking with this bow.</v>
      </c>
      <c r="G305" s="20">
        <f>IFERROR(VLOOKUP($A305,Equipment!$A$2:$AD1001,MATCH("Price",Equipment!$A$1:$AH$1,0),FALSE),"")</f>
        <v>18910000</v>
      </c>
      <c r="H305" s="4" t="b">
        <v>1</v>
      </c>
      <c r="I305" s="1" t="str">
        <f>IFERROR(VLOOKUP($A305,Equipment!$A$2:$AH1001,MATCH("EquipLoc",Equipment!$A$1:$AH$1,0),FALSE),"")</f>
        <v>Halloween Kingdom</v>
      </c>
      <c r="W305" s="1" t="str">
        <f>IFERROR(__xludf.DUMMYFUNCTION("""COMPUTED_VALUE"""),"The Black Hook")</f>
        <v>The Black Hook</v>
      </c>
      <c r="X305" s="1" t="str">
        <f t="shared" si="1"/>
        <v/>
      </c>
    </row>
    <row r="306">
      <c r="A306" s="1" t="s">
        <v>812</v>
      </c>
      <c r="B306" s="18" t="str">
        <f>IFERROR(VLOOKUP($A306,Equipment!$A$2:$AH1001,MATCH("Description",Equipment!$A$1:$AH$1,0),FALSE),"")</f>
        <v/>
      </c>
      <c r="C306" s="18" t="str">
        <f>IFERROR(VLOOKUP($A306,Equipment!$A$2:$AH1001,MATCH("Type",Equipment!$A$1:$AH$1,0),FALSE),"")</f>
        <v>Bow</v>
      </c>
      <c r="D306" s="18" t="str">
        <f>IFERROR(VLOOKUP($A306,Equipment!$A$2:$AH1001,MATCH("Slot",Equipment!$A$1:$AH$1,0),FALSE),"")</f>
        <v>Hand</v>
      </c>
      <c r="E306" s="20">
        <f>IFERROR(VLOOKUP($A306,Equipment!$A$2:$AH1001,MATCH("LevelReq",Equipment!$A$1:$AH$1,0),FALSE),"")</f>
        <v>40</v>
      </c>
      <c r="F306" s="18" t="str">
        <f>IFERROR(VLOOKUP($A306,Equipconvrt!$A$2:$AH1001,MATCH("Abilities",Equipconvrt!$A$1:$AH$1,0),FALSE),"")</f>
        <v>DMG: +2000 ++Half the Arrow - Ranged Spells cost half the sp cost, Ranger Enrage - All Ranged Attacks. do double in damage. </v>
      </c>
      <c r="G306" s="20">
        <f>IFERROR(VLOOKUP($A306,Equipment!$A$2:$AD1001,MATCH("Price",Equipment!$A$1:$AH$1,0),FALSE),"")</f>
        <v>60000</v>
      </c>
      <c r="H306" s="4" t="b">
        <v>0</v>
      </c>
      <c r="I306" s="1" t="str">
        <f>IFERROR(VLOOKUP($A306,Equipment!$A$2:$AH1001,MATCH("EquipLoc",Equipment!$A$1:$AH$1,0),FALSE),"")</f>
        <v>Land of Spira</v>
      </c>
      <c r="W306" s="1" t="str">
        <f>IFERROR(__xludf.DUMMYFUNCTION("""COMPUTED_VALUE"""),"The Blade of the Chosen")</f>
        <v>The Blade of the Chosen</v>
      </c>
      <c r="X306" s="1" t="str">
        <f t="shared" si="1"/>
        <v/>
      </c>
    </row>
    <row r="307">
      <c r="A307" s="1" t="s">
        <v>813</v>
      </c>
      <c r="B307" s="18" t="str">
        <f>IFERROR(VLOOKUP($A307,Equipment!$A$2:$AH1001,MATCH("Description",Equipment!$A$1:$AH$1,0),FALSE),"")</f>
        <v/>
      </c>
      <c r="C307" s="18" t="str">
        <f>IFERROR(VLOOKUP($A307,Equipment!$A$2:$AH1001,MATCH("Type",Equipment!$A$1:$AH$1,0),FALSE),"")</f>
        <v>Sword</v>
      </c>
      <c r="D307" s="18" t="str">
        <f>IFERROR(VLOOKUP($A307,Equipment!$A$2:$AH1001,MATCH("Slot",Equipment!$A$1:$AH$1,0),FALSE),"")</f>
        <v>Hand</v>
      </c>
      <c r="E307" s="20">
        <f>IFERROR(VLOOKUP($A307,Equipment!$A$2:$AH1001,MATCH("LevelReq",Equipment!$A$1:$AH$1,0),FALSE),"")</f>
        <v>400</v>
      </c>
      <c r="F307" s="18" t="str">
        <f>IFERROR(VLOOKUP($A307,Equipconvrt!$A$2:$AH1001,MATCH("Abilities",Equipconvrt!$A$1:$AH$1,0),FALSE),"")</f>
        <v>DMG: +20000</v>
      </c>
      <c r="G307" s="20">
        <f>IFERROR(VLOOKUP($A307,Equipment!$A$2:$AD1001,MATCH("Price",Equipment!$A$1:$AH$1,0),FALSE),"")</f>
        <v>7800000</v>
      </c>
      <c r="H307" s="4" t="b">
        <v>0</v>
      </c>
      <c r="I307" s="1" t="str">
        <f>IFERROR(VLOOKUP($A307,Equipment!$A$2:$AH1001,MATCH("EquipLoc",Equipment!$A$1:$AH$1,0),FALSE),"")</f>
        <v>Land of Spira</v>
      </c>
      <c r="W307" s="1" t="str">
        <f>IFERROR(__xludf.DUMMYFUNCTION("""COMPUTED_VALUE"""),"The Bow of the Fallen Hero")</f>
        <v>The Bow of the Fallen Hero</v>
      </c>
      <c r="X307" s="1" t="str">
        <f t="shared" si="1"/>
        <v/>
      </c>
    </row>
    <row r="308">
      <c r="A308" s="1" t="s">
        <v>814</v>
      </c>
      <c r="B308" s="18" t="str">
        <f>IFERROR(VLOOKUP($A308,Equipment!$A$2:$AH1001,MATCH("Description",Equipment!$A$1:$AH$1,0),FALSE),"")</f>
        <v/>
      </c>
      <c r="C308" s="18" t="str">
        <f>IFERROR(VLOOKUP($A308,Equipment!$A$2:$AH1001,MATCH("Type",Equipment!$A$1:$AH$1,0),FALSE),"")</f>
        <v>Sword</v>
      </c>
      <c r="D308" s="18" t="str">
        <f>IFERROR(VLOOKUP($A308,Equipment!$A$2:$AH1001,MATCH("Slot",Equipment!$A$1:$AH$1,0),FALSE),"")</f>
        <v>Hand</v>
      </c>
      <c r="E308" s="20">
        <f>IFERROR(VLOOKUP($A308,Equipment!$A$2:$AH1001,MATCH("LevelReq",Equipment!$A$1:$AH$1,0),FALSE),"")</f>
        <v>200</v>
      </c>
      <c r="F308" s="18" t="str">
        <f>IFERROR(VLOOKUP($A308,Equipconvrt!$A$2:$AH1001,MATCH("Abilities",Equipconvrt!$A$1:$AH$1,0),FALSE),"")</f>
        <v>DMG: +50000, Fire DMG: +50000, Dark DMG: +50000, Celestial DMG: +50000 ++50% Chance to put the target to sleep.</v>
      </c>
      <c r="G308" s="20">
        <f>IFERROR(VLOOKUP($A308,Equipment!$A$2:$AD1001,MATCH("Price",Equipment!$A$1:$AH$1,0),FALSE),"")</f>
        <v>798000000</v>
      </c>
      <c r="H308" s="4" t="b">
        <v>0</v>
      </c>
      <c r="I308" s="1" t="str">
        <f>IFERROR(VLOOKUP($A308,Equipment!$A$2:$AH1001,MATCH("EquipLoc",Equipment!$A$1:$AH$1,0),FALSE),"")</f>
        <v>Abstara</v>
      </c>
      <c r="W308" s="1" t="str">
        <f>IFERROR(__xludf.DUMMYFUNCTION("""COMPUTED_VALUE"""),"The Bow of the Haunted")</f>
        <v>The Bow of the Haunted</v>
      </c>
      <c r="X308" s="1" t="str">
        <f t="shared" si="1"/>
        <v/>
      </c>
    </row>
    <row r="309">
      <c r="A309" s="1" t="s">
        <v>815</v>
      </c>
      <c r="B309" s="18" t="str">
        <f>IFERROR(VLOOKUP($A309,Equipment!$A$2:$AH1001,MATCH("Description",Equipment!$A$1:$AH$1,0),FALSE),"")</f>
        <v/>
      </c>
      <c r="C309" s="18" t="str">
        <f>IFERROR(VLOOKUP($A309,Equipment!$A$2:$AH1001,MATCH("Type",Equipment!$A$1:$AH$1,0),FALSE),"")</f>
        <v/>
      </c>
      <c r="D309" s="18" t="str">
        <f>IFERROR(VLOOKUP($A309,Equipment!$A$2:$AH1001,MATCH("Slot",Equipment!$A$1:$AH$1,0),FALSE),"")</f>
        <v>Head</v>
      </c>
      <c r="E309" s="20">
        <f>IFERROR(VLOOKUP($A309,Equipment!$A$2:$AH1001,MATCH("LevelReq",Equipment!$A$1:$AH$1,0),FALSE),"")</f>
        <v>400</v>
      </c>
      <c r="F309" s="18" t="str">
        <f>IFERROR(VLOOKUP($A309,Equipconvrt!$A$2:$AH1001,MATCH("Abilities",Equipconvrt!$A$1:$AH$1,0),FALSE),"")</f>
        <v>DEF: +20000 ++Immunity to damage from Natural Attacks...</v>
      </c>
      <c r="G309" s="20">
        <f>IFERROR(VLOOKUP($A309,Equipment!$A$2:$AD1001,MATCH("Price",Equipment!$A$1:$AH$1,0),FALSE),"")</f>
        <v>7800000</v>
      </c>
      <c r="H309" s="4" t="b">
        <v>0</v>
      </c>
      <c r="I309" s="1" t="str">
        <f>IFERROR(VLOOKUP($A309,Equipment!$A$2:$AH1001,MATCH("EquipLoc",Equipment!$A$1:$AH$1,0),FALSE),"")</f>
        <v>Land of Spira</v>
      </c>
      <c r="W309" s="1" t="str">
        <f>IFERROR(__xludf.DUMMYFUNCTION("""COMPUTED_VALUE"""),"The Bow of the Pandarian")</f>
        <v>The Bow of the Pandarian</v>
      </c>
      <c r="X309" s="1" t="str">
        <f t="shared" si="1"/>
        <v/>
      </c>
    </row>
    <row r="310">
      <c r="A310" s="1" t="s">
        <v>816</v>
      </c>
      <c r="B310" s="18" t="str">
        <f>IFERROR(VLOOKUP($A310,Equipment!$A$2:$AH1001,MATCH("Description",Equipment!$A$1:$AH$1,0),FALSE),"")</f>
        <v/>
      </c>
      <c r="C310" s="18" t="str">
        <f>IFERROR(VLOOKUP($A310,Equipment!$A$2:$AH1001,MATCH("Type",Equipment!$A$1:$AH$1,0),FALSE),"")</f>
        <v>Sword</v>
      </c>
      <c r="D310" s="18" t="str">
        <f>IFERROR(VLOOKUP($A310,Equipment!$A$2:$AH1001,MATCH("Slot",Equipment!$A$1:$AH$1,0),FALSE),"")</f>
        <v>Hand</v>
      </c>
      <c r="E310" s="20">
        <f>IFERROR(VLOOKUP($A310,Equipment!$A$2:$AH1001,MATCH("LevelReq",Equipment!$A$1:$AH$1,0),FALSE),"")</f>
        <v>600</v>
      </c>
      <c r="F310" s="18" t="str">
        <f>IFERROR(VLOOKUP($A310,Equipconvrt!$A$2:$AH1001,MATCH("Abilities",Equipconvrt!$A$1:$AH$1,0),FALSE),"")</f>
        <v>DMG: +15000, Dark DMG: +5000, Spirit DMG: +5000, Chaos DMG: +5000</v>
      </c>
      <c r="G310" s="20">
        <f>IFERROR(VLOOKUP($A310,Equipment!$A$2:$AD1001,MATCH("Price",Equipment!$A$1:$AH$1,0),FALSE),"")</f>
        <v>17700000</v>
      </c>
      <c r="H310" s="4" t="b">
        <v>0</v>
      </c>
      <c r="I310" s="1" t="str">
        <f>IFERROR(VLOOKUP($A310,Equipment!$A$2:$AH1001,MATCH("EquipLoc",Equipment!$A$1:$AH$1,0),FALSE),"")</f>
        <v>Land of Spira</v>
      </c>
      <c r="W310" s="1" t="str">
        <f>IFERROR(__xludf.DUMMYFUNCTION("""COMPUTED_VALUE"""),"The Buster")</f>
        <v>The Buster</v>
      </c>
      <c r="X310" s="1" t="str">
        <f t="shared" si="1"/>
        <v/>
      </c>
    </row>
    <row r="311">
      <c r="A311" s="1" t="s">
        <v>817</v>
      </c>
      <c r="B311" s="18" t="str">
        <f>IFERROR(VLOOKUP($A311,Equipment!$A$2:$AH1001,MATCH("Description",Equipment!$A$1:$AH$1,0),FALSE),"")</f>
        <v/>
      </c>
      <c r="C311" s="18" t="str">
        <f>IFERROR(VLOOKUP($A311,Equipment!$A$2:$AH1001,MATCH("Type",Equipment!$A$1:$AH$1,0),FALSE),"")</f>
        <v/>
      </c>
      <c r="D311" s="18" t="str">
        <f>IFERROR(VLOOKUP($A311,Equipment!$A$2:$AH1001,MATCH("Slot",Equipment!$A$1:$AH$1,0),FALSE),"")</f>
        <v>Head</v>
      </c>
      <c r="E311" s="20">
        <f>IFERROR(VLOOKUP($A311,Equipment!$A$2:$AH1001,MATCH("LevelReq",Equipment!$A$1:$AH$1,0),FALSE),"")</f>
        <v>200</v>
      </c>
      <c r="F311" s="18" t="str">
        <f>IFERROR(VLOOKUP($A311,Equipconvrt!$A$2:$AH1001,MATCH("Abilities",Equipconvrt!$A$1:$AH$1,0),FALSE),"")</f>
        <v>DEF: +5000, Nature DEF: +5000 (Foul Night Set) ++X2 Nature and Poison damage. ++Poison Immunity. </v>
      </c>
      <c r="G311" s="20">
        <f>IFERROR(VLOOKUP($A311,Equipment!$A$2:$AD1001,MATCH("Price",Equipment!$A$1:$AH$1,0),FALSE),"")</f>
        <v>1900000</v>
      </c>
      <c r="H311" s="4" t="b">
        <v>0</v>
      </c>
      <c r="I311" s="1" t="str">
        <f>IFERROR(VLOOKUP($A311,Equipment!$A$2:$AH1001,MATCH("EquipLoc",Equipment!$A$1:$AH$1,0),FALSE),"")</f>
        <v>Land of Spira</v>
      </c>
      <c r="W311" s="1" t="str">
        <f>IFERROR(__xludf.DUMMYFUNCTION("""COMPUTED_VALUE"""),"The Dawn Splitter")</f>
        <v>The Dawn Splitter</v>
      </c>
      <c r="X311" s="1" t="str">
        <f t="shared" si="1"/>
        <v/>
      </c>
    </row>
    <row r="312">
      <c r="A312" s="1" t="s">
        <v>818</v>
      </c>
      <c r="B312" s="18" t="str">
        <f>IFERROR(VLOOKUP($A312,Equipment!$A$2:$AH1001,MATCH("Description",Equipment!$A$1:$AH$1,0),FALSE),"")</f>
        <v/>
      </c>
      <c r="C312" s="18" t="str">
        <f>IFERROR(VLOOKUP($A312,Equipment!$A$2:$AH1001,MATCH("Type",Equipment!$A$1:$AH$1,0),FALSE),"")</f>
        <v>Spear</v>
      </c>
      <c r="D312" s="18" t="str">
        <f>IFERROR(VLOOKUP($A312,Equipment!$A$2:$AH1001,MATCH("Slot",Equipment!$A$1:$AH$1,0),FALSE),"")</f>
        <v>Hand</v>
      </c>
      <c r="E312" s="20">
        <f>IFERROR(VLOOKUP($A312,Equipment!$A$2:$AH1001,MATCH("LevelReq",Equipment!$A$1:$AH$1,0),FALSE),"")</f>
        <v>1</v>
      </c>
      <c r="F312" s="18" t="str">
        <f>IFERROR(VLOOKUP($A312,Equipconvrt!$A$2:$AH1001,MATCH("Abilities",Equipconvrt!$A$1:$AH$1,0),FALSE),"")</f>
        <v>DMG: +200 ++ignores evasion</v>
      </c>
      <c r="G312" s="20">
        <f>IFERROR(VLOOKUP($A312,Equipment!$A$2:$AD1001,MATCH("Price",Equipment!$A$1:$AH$1,0),FALSE),"")</f>
        <v>0</v>
      </c>
      <c r="H312" s="4" t="b">
        <v>0</v>
      </c>
      <c r="I312" s="1" t="str">
        <f>IFERROR(VLOOKUP($A312,Equipment!$A$2:$AH1001,MATCH("EquipLoc",Equipment!$A$1:$AH$1,0),FALSE),"")</f>
        <v>Land of Spira</v>
      </c>
      <c r="W312" s="1" t="str">
        <f>IFERROR(__xludf.DUMMYFUNCTION("""COMPUTED_VALUE"""),"The Dragon King's Crown")</f>
        <v>The Dragon King's Crown</v>
      </c>
      <c r="X312" s="1" t="str">
        <f t="shared" si="1"/>
        <v/>
      </c>
    </row>
    <row r="313">
      <c r="A313" s="1" t="s">
        <v>819</v>
      </c>
      <c r="B313" s="18" t="str">
        <f>IFERROR(VLOOKUP($A313,Equipment!$A$2:$AH1001,MATCH("Description",Equipment!$A$1:$AH$1,0),FALSE),"")</f>
        <v/>
      </c>
      <c r="C313" s="18" t="str">
        <f>IFERROR(VLOOKUP($A313,Equipment!$A$2:$AH1001,MATCH("Type",Equipment!$A$1:$AH$1,0),FALSE),"")</f>
        <v>Towershield</v>
      </c>
      <c r="D313" s="18" t="str">
        <f>IFERROR(VLOOKUP($A313,Equipment!$A$2:$AH1001,MATCH("Slot",Equipment!$A$1:$AH$1,0),FALSE),"")</f>
        <v>Hand</v>
      </c>
      <c r="E313" s="20">
        <f>IFERROR(VLOOKUP($A313,Equipment!$A$2:$AH1001,MATCH("LevelReq",Equipment!$A$1:$AH$1,0),FALSE),"")</f>
        <v>1</v>
      </c>
      <c r="F313" s="18" t="str">
        <f>IFERROR(VLOOKUP($A313,Equipconvrt!$A$2:$AH1001,MATCH("Abilities",Equipconvrt!$A$1:$AH$1,0),FALSE),"")</f>
        <v> ++When the user would take damage from an enemy the damage is reflected back at all enemies instead, or you can choose to have the mirror absorb all damage taken from the first 2 attacks to add that damage on to your next attack, you may only choose up to 5 targets for the damage to be reflected back at. The mirrors effect only lasts for your first 2 turns. +-Cannot be forged +-Cannot be duplicated</v>
      </c>
      <c r="G313" s="20">
        <f>IFERROR(VLOOKUP($A313,Equipment!$A$2:$AD1001,MATCH("Price",Equipment!$A$1:$AH$1,0),FALSE),"")</f>
        <v>0</v>
      </c>
      <c r="H313" s="4" t="b">
        <v>1</v>
      </c>
      <c r="I313" s="1" t="str">
        <f>IFERROR(VLOOKUP($A313,Equipment!$A$2:$AH1001,MATCH("EquipLoc",Equipment!$A$1:$AH$1,0),FALSE),"")</f>
        <v>Land of The Forgotten</v>
      </c>
      <c r="W313" s="1" t="str">
        <f>IFERROR(__xludf.DUMMYFUNCTION("""COMPUTED_VALUE"""),"The Guardian Of Death's Sword")</f>
        <v>The Guardian Of Death's Sword</v>
      </c>
      <c r="X313" s="1" t="str">
        <f t="shared" si="1"/>
        <v/>
      </c>
    </row>
    <row r="314">
      <c r="A314" s="1" t="s">
        <v>820</v>
      </c>
      <c r="B314" s="18" t="str">
        <f>IFERROR(VLOOKUP($A314,Equipment!$A$2:$AH1001,MATCH("Description",Equipment!$A$1:$AH$1,0),FALSE),"")</f>
        <v/>
      </c>
      <c r="C314" s="18" t="str">
        <f>IFERROR(VLOOKUP($A314,Equipment!$A$2:$AH1001,MATCH("Type",Equipment!$A$1:$AH$1,0),FALSE),"")</f>
        <v/>
      </c>
      <c r="D314" s="18" t="str">
        <f>IFERROR(VLOOKUP($A314,Equipment!$A$2:$AH1001,MATCH("Slot",Equipment!$A$1:$AH$1,0),FALSE),"")</f>
        <v>Neck</v>
      </c>
      <c r="E314" s="20">
        <f>IFERROR(VLOOKUP($A314,Equipment!$A$2:$AH1001,MATCH("LevelReq",Equipment!$A$1:$AH$1,0),FALSE),"")</f>
        <v>1</v>
      </c>
      <c r="F314" s="18" t="str">
        <f>IFERROR(VLOOKUP($A314,Equipconvrt!$A$2:$AH1001,MATCH("Abilities",Equipconvrt!$A$1:$AH$1,0),FALSE),"")</f>
        <v> ++Immune to possession.  +-Cannot be duplicated.</v>
      </c>
      <c r="G314" s="20">
        <f>IFERROR(VLOOKUP($A314,Equipment!$A$2:$AD1001,MATCH("Price",Equipment!$A$1:$AH$1,0),FALSE),"")</f>
        <v>0</v>
      </c>
      <c r="H314" s="4" t="b">
        <v>1</v>
      </c>
      <c r="I314" s="1" t="str">
        <f>IFERROR(VLOOKUP($A314,Equipment!$A$2:$AH1001,MATCH("EquipLoc",Equipment!$A$1:$AH$1,0),FALSE),"")</f>
        <v>Land of The Forgotten</v>
      </c>
      <c r="W314" s="1" t="str">
        <f>IFERROR(__xludf.DUMMYFUNCTION("""COMPUTED_VALUE"""),"The Helm of Foul Night")</f>
        <v>The Helm of Foul Night</v>
      </c>
      <c r="X314" s="1" t="str">
        <f t="shared" si="1"/>
        <v/>
      </c>
    </row>
    <row r="315">
      <c r="A315" s="1" t="s">
        <v>821</v>
      </c>
      <c r="B315" s="18" t="str">
        <f>IFERROR(VLOOKUP($A315,Equipment!$A$2:$AH1001,MATCH("Description",Equipment!$A$1:$AH$1,0),FALSE),"")</f>
        <v/>
      </c>
      <c r="C315" s="18" t="str">
        <f>IFERROR(VLOOKUP($A315,Equipment!$A$2:$AH1001,MATCH("Type",Equipment!$A$1:$AH$1,0),FALSE),"")</f>
        <v/>
      </c>
      <c r="D315" s="18" t="str">
        <f>IFERROR(VLOOKUP($A315,Equipment!$A$2:$AH1001,MATCH("Slot",Equipment!$A$1:$AH$1,0),FALSE),"")</f>
        <v>Torso</v>
      </c>
      <c r="E315" s="20">
        <f>IFERROR(VLOOKUP($A315,Equipment!$A$2:$AH1001,MATCH("LevelReq",Equipment!$A$1:$AH$1,0),FALSE),"")</f>
        <v>1</v>
      </c>
      <c r="F315" s="18" t="str">
        <f>IFERROR(VLOOKUP($A315,Equipconvrt!$A$2:$AH1001,MATCH("Abilities",Equipconvrt!$A$1:$AH$1,0),FALSE),"")</f>
        <v> ++User and allies gain immunity to chaos and dark damage while in the party. +-Cannot be duplicated</v>
      </c>
      <c r="G315" s="20">
        <f>IFERROR(VLOOKUP($A315,Equipment!$A$2:$AD1001,MATCH("Price",Equipment!$A$1:$AH$1,0),FALSE),"")</f>
        <v>0</v>
      </c>
      <c r="H315" s="4" t="b">
        <v>1</v>
      </c>
      <c r="I315" s="1" t="str">
        <f>IFERROR(VLOOKUP($A315,Equipment!$A$2:$AH1001,MATCH("EquipLoc",Equipment!$A$1:$AH$1,0),FALSE),"")</f>
        <v>Land of The Forgotten</v>
      </c>
      <c r="W315" s="1" t="str">
        <f>IFERROR(__xludf.DUMMYFUNCTION("""COMPUTED_VALUE"""),"The Invisible Spear")</f>
        <v>The Invisible Spear</v>
      </c>
      <c r="X315" s="1" t="str">
        <f t="shared" si="1"/>
        <v/>
      </c>
    </row>
    <row r="316">
      <c r="A316" s="1" t="s">
        <v>822</v>
      </c>
      <c r="B316" s="18" t="str">
        <f>IFERROR(VLOOKUP($A316,Equipment!$A$2:$AH1001,MATCH("Description",Equipment!$A$1:$AH$1,0),FALSE),"")</f>
        <v/>
      </c>
      <c r="C316" s="18" t="str">
        <f>IFERROR(VLOOKUP($A316,Equipment!$A$2:$AH1001,MATCH("Type",Equipment!$A$1:$AH$1,0),FALSE),"")</f>
        <v/>
      </c>
      <c r="D316" s="18" t="str">
        <f>IFERROR(VLOOKUP($A316,Equipment!$A$2:$AH1001,MATCH("Slot",Equipment!$A$1:$AH$1,0),FALSE),"")</f>
        <v>Ring</v>
      </c>
      <c r="E316" s="20">
        <f>IFERROR(VLOOKUP($A316,Equipment!$A$2:$AH1001,MATCH("LevelReq",Equipment!$A$1:$AH$1,0),FALSE),"")</f>
        <v>1</v>
      </c>
      <c r="F316" s="18" t="str">
        <f>IFERROR(VLOOKUP($A316,Equipconvrt!$A$2:$AH1001,MATCH("Abilities",Equipconvrt!$A$1:$AH$1,0),FALSE),"")</f>
        <v> ++Take control of a target of choice. Fail/Succeed roll, (This effect counts as a possession)  +-Cannot be duplicated.</v>
      </c>
      <c r="G316" s="20">
        <f>IFERROR(VLOOKUP($A316,Equipment!$A$2:$AD1001,MATCH("Price",Equipment!$A$1:$AH$1,0),FALSE),"")</f>
        <v>0</v>
      </c>
      <c r="H316" s="4" t="b">
        <v>1</v>
      </c>
      <c r="I316" s="1" t="str">
        <f>IFERROR(VLOOKUP($A316,Equipment!$A$2:$AH1001,MATCH("EquipLoc",Equipment!$A$1:$AH$1,0),FALSE),"")</f>
        <v>Land of The Forgotten</v>
      </c>
      <c r="W316" s="1" t="str">
        <f>IFERROR(__xludf.DUMMYFUNCTION("""COMPUTED_VALUE"""),"The Mysterious Mirror")</f>
        <v>The Mysterious Mirror</v>
      </c>
      <c r="X316" s="1" t="str">
        <f t="shared" si="1"/>
        <v/>
      </c>
    </row>
    <row r="317">
      <c r="A317" s="1" t="s">
        <v>823</v>
      </c>
      <c r="B317" s="18" t="str">
        <f>IFERROR(VLOOKUP($A317,Equipment!$A$2:$AH1001,MATCH("Description",Equipment!$A$1:$AH$1,0),FALSE),"")</f>
        <v>A Sword that was made of Vampire’s Blood</v>
      </c>
      <c r="C317" s="18" t="str">
        <f>IFERROR(VLOOKUP($A317,Equipment!$A$2:$AH1001,MATCH("Type",Equipment!$A$1:$AH$1,0),FALSE),"")</f>
        <v>Sword</v>
      </c>
      <c r="D317" s="18" t="str">
        <f>IFERROR(VLOOKUP($A317,Equipment!$A$2:$AH1001,MATCH("Slot",Equipment!$A$1:$AH$1,0),FALSE),"")</f>
        <v>Hand</v>
      </c>
      <c r="E317" s="20">
        <f>IFERROR(VLOOKUP($A317,Equipment!$A$2:$AH1001,MATCH("LevelReq",Equipment!$A$1:$AH$1,0),FALSE),"")</f>
        <v>1</v>
      </c>
      <c r="F317" s="18" t="str">
        <f>IFERROR(VLOOKUP($A317,Equipconvrt!$A$2:$AH1001,MATCH("Abilities",Equipconvrt!$A$1:$AH$1,0),FALSE),"")</f>
        <v>DMG: +300</v>
      </c>
      <c r="G317" s="20">
        <f>IFERROR(VLOOKUP($A317,Equipment!$A$2:$AD1001,MATCH("Price",Equipment!$A$1:$AH$1,0),FALSE),"")</f>
        <v>0</v>
      </c>
      <c r="H317" s="4" t="b">
        <v>0</v>
      </c>
      <c r="I317" s="1" t="str">
        <f>IFERROR(VLOOKUP($A317,Equipment!$A$2:$AH1001,MATCH("EquipLoc",Equipment!$A$1:$AH$1,0),FALSE),"")</f>
        <v>Land of Spira</v>
      </c>
      <c r="W317" s="1" t="str">
        <f>IFERROR(__xludf.DUMMYFUNCTION("""COMPUTED_VALUE"""),"The Puppet Masters Amulet")</f>
        <v>The Puppet Masters Amulet</v>
      </c>
      <c r="X317" s="1" t="str">
        <f t="shared" si="1"/>
        <v/>
      </c>
    </row>
    <row r="318">
      <c r="A318" s="1" t="s">
        <v>824</v>
      </c>
      <c r="B318" s="18" t="str">
        <f>IFERROR(VLOOKUP($A318,Equipment!$A$2:$AH1001,MATCH("Description",Equipment!$A$1:$AH$1,0),FALSE),"")</f>
        <v/>
      </c>
      <c r="C318" s="18" t="str">
        <f>IFERROR(VLOOKUP($A318,Equipment!$A$2:$AH1001,MATCH("Type",Equipment!$A$1:$AH$1,0),FALSE),"")</f>
        <v>Sword</v>
      </c>
      <c r="D318" s="18" t="str">
        <f>IFERROR(VLOOKUP($A318,Equipment!$A$2:$AH1001,MATCH("Slot",Equipment!$A$1:$AH$1,0),FALSE),"")</f>
        <v>Hand</v>
      </c>
      <c r="E318" s="20">
        <f>IFERROR(VLOOKUP($A318,Equipment!$A$2:$AH1001,MATCH("LevelReq",Equipment!$A$1:$AH$1,0),FALSE),"")</f>
        <v>600</v>
      </c>
      <c r="F318" s="18" t="str">
        <f>IFERROR(VLOOKUP($A318,Equipconvrt!$A$2:$AH1001,MATCH("Abilities",Equipconvrt!$A$1:$AH$1,0),FALSE),"")</f>
        <v>DMG: +20000, Chaos DMG: +10000</v>
      </c>
      <c r="G318" s="20">
        <f>IFERROR(VLOOKUP($A318,Equipment!$A$2:$AD1001,MATCH("Price",Equipment!$A$1:$AH$1,0),FALSE),"")</f>
        <v>17700000</v>
      </c>
      <c r="H318" s="4" t="b">
        <v>0</v>
      </c>
      <c r="I318" s="1" t="str">
        <f>IFERROR(VLOOKUP($A318,Equipment!$A$2:$AH1001,MATCH("EquipLoc",Equipment!$A$1:$AH$1,0),FALSE),"")</f>
        <v/>
      </c>
      <c r="W318" s="1" t="str">
        <f>IFERROR(__xludf.DUMMYFUNCTION("""COMPUTED_VALUE"""),"The Puppet Masters Cloak")</f>
        <v>The Puppet Masters Cloak</v>
      </c>
      <c r="X318" s="1" t="str">
        <f t="shared" si="1"/>
        <v/>
      </c>
    </row>
    <row r="319">
      <c r="A319" s="1" t="s">
        <v>825</v>
      </c>
      <c r="B319" s="18" t="str">
        <f>IFERROR(VLOOKUP($A319,Equipment!$A$2:$AH1001,MATCH("Description",Equipment!$A$1:$AH$1,0),FALSE),"")</f>
        <v/>
      </c>
      <c r="C319" s="18" t="str">
        <f>IFERROR(VLOOKUP($A319,Equipment!$A$2:$AH1001,MATCH("Type",Equipment!$A$1:$AH$1,0),FALSE),"")</f>
        <v>Buckler</v>
      </c>
      <c r="D319" s="18" t="str">
        <f>IFERROR(VLOOKUP($A319,Equipment!$A$2:$AH1001,MATCH("Slot",Equipment!$A$1:$AH$1,0),FALSE),"")</f>
        <v>Hand</v>
      </c>
      <c r="E319" s="20">
        <f>IFERROR(VLOOKUP($A319,Equipment!$A$2:$AH1001,MATCH("LevelReq",Equipment!$A$1:$AH$1,0),FALSE),"")</f>
        <v>200</v>
      </c>
      <c r="F319" s="18" t="str">
        <f>IFERROR(VLOOKUP($A319,Equipconvrt!$A$2:$AH1001,MATCH("Abilities",Equipconvrt!$A$1:$AH$1,0),FALSE),"")</f>
        <v>DEF: +5000, Nature DEF: +5000 (Foul Night Set) ++Nature Immunity, Poison Immunity</v>
      </c>
      <c r="G319" s="20">
        <f>IFERROR(VLOOKUP($A319,Equipment!$A$2:$AD1001,MATCH("Price",Equipment!$A$1:$AH$1,0),FALSE),"")</f>
        <v>1900000</v>
      </c>
      <c r="H319" s="4" t="b">
        <v>0</v>
      </c>
      <c r="I319" s="1" t="str">
        <f>IFERROR(VLOOKUP($A319,Equipment!$A$2:$AH1001,MATCH("EquipLoc",Equipment!$A$1:$AH$1,0),FALSE),"")</f>
        <v>Land of Spira</v>
      </c>
      <c r="W319" s="1" t="str">
        <f>IFERROR(__xludf.DUMMYFUNCTION("""COMPUTED_VALUE"""),"The Puppet Masters Ring")</f>
        <v>The Puppet Masters Ring</v>
      </c>
      <c r="X319" s="1" t="str">
        <f t="shared" si="1"/>
        <v/>
      </c>
    </row>
    <row r="320">
      <c r="A320" s="1" t="s">
        <v>826</v>
      </c>
      <c r="B320" s="18" t="str">
        <f>IFERROR(VLOOKUP($A320,Equipment!$A$2:$AH1001,MATCH("Description",Equipment!$A$1:$AH$1,0),FALSE),"")</f>
        <v>Halloween exclusive</v>
      </c>
      <c r="C320" s="18" t="str">
        <f>IFERROR(VLOOKUP($A320,Equipment!$A$2:$AH1001,MATCH("Type",Equipment!$A$1:$AH$1,0),FALSE),"")</f>
        <v>Staff</v>
      </c>
      <c r="D320" s="18" t="str">
        <f>IFERROR(VLOOKUP($A320,Equipment!$A$2:$AH1001,MATCH("Slot",Equipment!$A$1:$AH$1,0),FALSE),"")</f>
        <v>Hand</v>
      </c>
      <c r="E320" s="20">
        <f>IFERROR(VLOOKUP($A320,Equipment!$A$2:$AH1001,MATCH("LevelReq",Equipment!$A$1:$AH$1,0),FALSE),"")</f>
        <v>1</v>
      </c>
      <c r="F320" s="18" t="str">
        <f>IFERROR(VLOOKUP($A320,Equipconvrt!$A$2:$AH1001,MATCH("Abilities",Equipconvrt!$A$1:$AH$1,0),FALSE),"")</f>
        <v> X2 additional Dark, Chaos, and Spirit damage.</v>
      </c>
      <c r="G320" s="20">
        <f>IFERROR(VLOOKUP($A320,Equipment!$A$2:$AD1001,MATCH("Price",Equipment!$A$1:$AH$1,0),FALSE),"")</f>
        <v>0</v>
      </c>
      <c r="H320" s="4" t="b">
        <v>1</v>
      </c>
      <c r="I320" s="1" t="str">
        <f>IFERROR(VLOOKUP($A320,Equipment!$A$2:$AH1001,MATCH("EquipLoc",Equipment!$A$1:$AH$1,0),FALSE),"")</f>
        <v>Halloween Kingdom</v>
      </c>
      <c r="W320" s="1" t="str">
        <f>IFERROR(__xludf.DUMMYFUNCTION("""COMPUTED_VALUE"""),"The Red Sword")</f>
        <v>The Red Sword</v>
      </c>
      <c r="X320" s="1" t="str">
        <f t="shared" si="1"/>
        <v/>
      </c>
    </row>
    <row r="321">
      <c r="A321" s="1" t="s">
        <v>827</v>
      </c>
      <c r="B321" s="18" t="str">
        <f>IFERROR(VLOOKUP($A321,Equipment!$A$2:$AH1001,MATCH("Description",Equipment!$A$1:$AH$1,0),FALSE),"")</f>
        <v/>
      </c>
      <c r="C321" s="18" t="str">
        <f>IFERROR(VLOOKUP($A321,Equipment!$A$2:$AH1001,MATCH("Type",Equipment!$A$1:$AH$1,0),FALSE),"")</f>
        <v>Staff</v>
      </c>
      <c r="D321" s="18" t="str">
        <f>IFERROR(VLOOKUP($A321,Equipment!$A$2:$AH1001,MATCH("Slot",Equipment!$A$1:$AH$1,0),FALSE),"")</f>
        <v>Hand</v>
      </c>
      <c r="E321" s="20">
        <f>IFERROR(VLOOKUP($A321,Equipment!$A$2:$AH1001,MATCH("LevelReq",Equipment!$A$1:$AH$1,0),FALSE),"")</f>
        <v>1</v>
      </c>
      <c r="F321" s="18" t="str">
        <f>IFERROR(VLOOKUP($A321,Equipconvrt!$A$2:$AH1001,MATCH("Abilities",Equipconvrt!$A$1:$AH$1,0),FALSE),"")</f>
        <v> ++All Water Spells Deal x3 damage and cost half sp to use.</v>
      </c>
      <c r="G321" s="20">
        <f>IFERROR(VLOOKUP($A321,Equipment!$A$2:$AD1001,MATCH("Price",Equipment!$A$1:$AH$1,0),FALSE),"")</f>
        <v>0</v>
      </c>
      <c r="H321" s="4" t="b">
        <v>0</v>
      </c>
      <c r="I321" s="1" t="str">
        <f>IFERROR(VLOOKUP($A321,Equipment!$A$2:$AH1001,MATCH("EquipLoc",Equipment!$A$1:$AH$1,0),FALSE),"")</f>
        <v>Land of Spira</v>
      </c>
      <c r="W321" s="1" t="str">
        <f>IFERROR(__xludf.DUMMYFUNCTION("""COMPUTED_VALUE"""),"The Servants Sword")</f>
        <v>The Servants Sword</v>
      </c>
      <c r="X321" s="1" t="str">
        <f t="shared" si="1"/>
        <v/>
      </c>
    </row>
    <row r="322">
      <c r="A322" s="1" t="s">
        <v>828</v>
      </c>
      <c r="B322" s="18" t="str">
        <f>IFERROR(VLOOKUP($A322,Equipment!$A$2:$AH1001,MATCH("Description",Equipment!$A$1:$AH$1,0),FALSE),"")</f>
        <v/>
      </c>
      <c r="C322" s="18" t="str">
        <f>IFERROR(VLOOKUP($A322,Equipment!$A$2:$AH1001,MATCH("Type",Equipment!$A$1:$AH$1,0),FALSE),"")</f>
        <v>Staff</v>
      </c>
      <c r="D322" s="18" t="str">
        <f>IFERROR(VLOOKUP($A322,Equipment!$A$2:$AH1001,MATCH("Slot",Equipment!$A$1:$AH$1,0),FALSE),"")</f>
        <v>Hand</v>
      </c>
      <c r="E322" s="20">
        <f>IFERROR(VLOOKUP($A322,Equipment!$A$2:$AH1001,MATCH("LevelReq",Equipment!$A$1:$AH$1,0),FALSE),"")</f>
        <v>1</v>
      </c>
      <c r="F322" s="18" t="str">
        <f>IFERROR(VLOOKUP($A322,Equipconvrt!$A$2:$AH1001,MATCH("Abilities",Equipconvrt!$A$1:$AH$1,0),FALSE),"")</f>
        <v> ++ Select a target, Any Fire Nature and Dark damage the target deals halved, Fail/Succeed.</v>
      </c>
      <c r="G322" s="20">
        <f>IFERROR(VLOOKUP($A322,Equipment!$A$2:$AD1001,MATCH("Price",Equipment!$A$1:$AH$1,0),FALSE),"")</f>
        <v>0</v>
      </c>
      <c r="H322" s="4" t="b">
        <v>1</v>
      </c>
      <c r="I322" s="1" t="str">
        <f>IFERROR(VLOOKUP($A322,Equipment!$A$2:$AH1001,MATCH("EquipLoc",Equipment!$A$1:$AH$1,0),FALSE),"")</f>
        <v>Land of Spira</v>
      </c>
      <c r="W322" s="1" t="str">
        <f>IFERROR(__xludf.DUMMYFUNCTION("""COMPUTED_VALUE"""),"The Shield of Foul Night")</f>
        <v>The Shield of Foul Night</v>
      </c>
      <c r="X322" s="1" t="str">
        <f t="shared" si="1"/>
        <v/>
      </c>
    </row>
    <row r="323">
      <c r="A323" s="1" t="s">
        <v>829</v>
      </c>
      <c r="B323" s="18" t="str">
        <f>IFERROR(VLOOKUP($A323,Equipment!$A$2:$AH1001,MATCH("Description",Equipment!$A$1:$AH$1,0),FALSE),"")</f>
        <v/>
      </c>
      <c r="C323" s="18" t="str">
        <f>IFERROR(VLOOKUP($A323,Equipment!$A$2:$AH1001,MATCH("Type",Equipment!$A$1:$AH$1,0),FALSE),"")</f>
        <v>Club</v>
      </c>
      <c r="D323" s="18" t="str">
        <f>IFERROR(VLOOKUP($A323,Equipment!$A$2:$AH1001,MATCH("Slot",Equipment!$A$1:$AH$1,0),FALSE),"")</f>
        <v>Hand</v>
      </c>
      <c r="E323" s="20">
        <f>IFERROR(VLOOKUP($A323,Equipment!$A$2:$AH1001,MATCH("LevelReq",Equipment!$A$1:$AH$1,0),FALSE),"")</f>
        <v>400</v>
      </c>
      <c r="F323" s="18" t="str">
        <f>IFERROR(VLOOKUP($A323,Equipconvrt!$A$2:$AH1001,MATCH("Abilities",Equipconvrt!$A$1:$AH$1,0),FALSE),"")</f>
        <v>DMG: +10000, Nature DMG: +10000 ++When you find an herb you get 2 of the herb found instead of 1. +-Cannot be duplicated</v>
      </c>
      <c r="G323" s="20">
        <f>IFERROR(VLOOKUP($A323,Equipment!$A$2:$AD1001,MATCH("Price",Equipment!$A$1:$AH$1,0),FALSE),"")</f>
        <v>7800000</v>
      </c>
      <c r="H323" s="4" t="b">
        <v>0</v>
      </c>
      <c r="I323" s="1" t="str">
        <f>IFERROR(VLOOKUP($A323,Equipment!$A$2:$AH1001,MATCH("EquipLoc",Equipment!$A$1:$AH$1,0),FALSE),"")</f>
        <v>Land of Spira</v>
      </c>
      <c r="W323" s="1" t="str">
        <f>IFERROR(__xludf.DUMMYFUNCTION("""COMPUTED_VALUE"""),"The Staff of  Haunted Bones")</f>
        <v>The Staff of  Haunted Bones</v>
      </c>
      <c r="X323" s="1" t="str">
        <f t="shared" si="1"/>
        <v/>
      </c>
    </row>
    <row r="324">
      <c r="A324" s="1" t="s">
        <v>830</v>
      </c>
      <c r="B324" s="18" t="str">
        <f>IFERROR(VLOOKUP($A324,Equipment!$A$2:$AH1001,MATCH("Description",Equipment!$A$1:$AH$1,0),FALSE),"")</f>
        <v/>
      </c>
      <c r="C324" s="18" t="str">
        <f>IFERROR(VLOOKUP($A324,Equipment!$A$2:$AH1001,MATCH("Type",Equipment!$A$1:$AH$1,0),FALSE),"")</f>
        <v>Sword</v>
      </c>
      <c r="D324" s="18" t="str">
        <f>IFERROR(VLOOKUP($A324,Equipment!$A$2:$AH1001,MATCH("Slot",Equipment!$A$1:$AH$1,0),FALSE),"")</f>
        <v>Hand</v>
      </c>
      <c r="E324" s="20">
        <f>IFERROR(VLOOKUP($A324,Equipment!$A$2:$AH1001,MATCH("LevelReq",Equipment!$A$1:$AH$1,0),FALSE),"")</f>
        <v>1</v>
      </c>
      <c r="F324" s="18" t="str">
        <f>IFERROR(VLOOKUP($A324,Equipconvrt!$A$2:$AH1001,MATCH("Abilities",Equipconvrt!$A$1:$AH$1,0),FALSE),"")</f>
        <v>DMG: +250</v>
      </c>
      <c r="G324" s="20">
        <f>IFERROR(VLOOKUP($A324,Equipment!$A$2:$AD1001,MATCH("Price",Equipment!$A$1:$AH$1,0),FALSE),"")</f>
        <v>0</v>
      </c>
      <c r="H324" s="4" t="b">
        <v>0</v>
      </c>
      <c r="I324" s="1" t="str">
        <f>IFERROR(VLOOKUP($A324,Equipment!$A$2:$AH1001,MATCH("EquipLoc",Equipment!$A$1:$AH$1,0),FALSE),"")</f>
        <v>Land of Spira</v>
      </c>
      <c r="W324" s="1" t="str">
        <f>IFERROR(__xludf.DUMMYFUNCTION("""COMPUTED_VALUE"""),"The Staff of the Aquas")</f>
        <v>The Staff of the Aquas</v>
      </c>
      <c r="X324" s="1" t="str">
        <f t="shared" si="1"/>
        <v/>
      </c>
    </row>
    <row r="325">
      <c r="A325" s="1" t="s">
        <v>831</v>
      </c>
      <c r="B325" s="18" t="str">
        <f>IFERROR(VLOOKUP($A325,Equipment!$A$2:$AH1001,MATCH("Description",Equipment!$A$1:$AH$1,0),FALSE),"")</f>
        <v/>
      </c>
      <c r="C325" s="18" t="str">
        <f>IFERROR(VLOOKUP($A325,Equipment!$A$2:$AH1001,MATCH("Type",Equipment!$A$1:$AH$1,0),FALSE),"")</f>
        <v>Sword</v>
      </c>
      <c r="D325" s="18" t="str">
        <f>IFERROR(VLOOKUP($A325,Equipment!$A$2:$AH1001,MATCH("Slot",Equipment!$A$1:$AH$1,0),FALSE),"")</f>
        <v>Hand</v>
      </c>
      <c r="E325" s="20">
        <f>IFERROR(VLOOKUP($A325,Equipment!$A$2:$AH1001,MATCH("LevelReq",Equipment!$A$1:$AH$1,0),FALSE),"")</f>
        <v>200</v>
      </c>
      <c r="F325" s="18" t="str">
        <f>IFERROR(VLOOKUP($A325,Equipconvrt!$A$2:$AH1001,MATCH("Abilities",Equipconvrt!$A$1:$AH$1,0),FALSE),"")</f>
        <v>, Nature DMG: +10000, Celestial DMG: +10000 ++Doubles all elemental damage when held, ++2 on all rolls while in battle, +-Cannot be forged +-Cannot be duplicated</v>
      </c>
      <c r="G325" s="20">
        <f>IFERROR(VLOOKUP($A325,Equipment!$A$2:$AD1001,MATCH("Price",Equipment!$A$1:$AH$1,0),FALSE),"")</f>
        <v>7800000</v>
      </c>
      <c r="H325" s="4" t="b">
        <v>0</v>
      </c>
      <c r="I325" s="1" t="str">
        <f>IFERROR(VLOOKUP($A325,Equipment!$A$2:$AH1001,MATCH("EquipLoc",Equipment!$A$1:$AH$1,0),FALSE),"")</f>
        <v>Land of Spira</v>
      </c>
      <c r="W325" s="1" t="str">
        <f>IFERROR(__xludf.DUMMYFUNCTION("""COMPUTED_VALUE"""),"The Staff of The Pumpkin’s Curse")</f>
        <v>The Staff of The Pumpkin’s Curse</v>
      </c>
      <c r="X325" s="1" t="str">
        <f t="shared" si="1"/>
        <v/>
      </c>
    </row>
    <row r="326">
      <c r="A326" s="1" t="s">
        <v>832</v>
      </c>
      <c r="B326" s="18" t="str">
        <f>IFERROR(VLOOKUP($A326,Equipment!$A$2:$AH1001,MATCH("Description",Equipment!$A$1:$AH$1,0),FALSE),"")</f>
        <v>Lugh's Sword he wielded in battle</v>
      </c>
      <c r="C326" s="18" t="str">
        <f>IFERROR(VLOOKUP($A326,Equipment!$A$2:$AH1001,MATCH("Type",Equipment!$A$1:$AH$1,0),FALSE),"")</f>
        <v>Sword</v>
      </c>
      <c r="D326" s="18" t="str">
        <f>IFERROR(VLOOKUP($A326,Equipment!$A$2:$AH1001,MATCH("Slot",Equipment!$A$1:$AH$1,0),FALSE),"")</f>
        <v>Hand</v>
      </c>
      <c r="E326" s="20">
        <f>IFERROR(VLOOKUP($A326,Equipment!$A$2:$AH1001,MATCH("LevelReq",Equipment!$A$1:$AH$1,0),FALSE),"")</f>
        <v>200</v>
      </c>
      <c r="F326" s="18" t="str">
        <f>IFERROR(VLOOKUP($A326,Equipconvrt!$A$2:$AH1001,MATCH("Abilities",Equipconvrt!$A$1:$AH$1,0),FALSE),"")</f>
        <v>DMG: +75000, Celestial DMG: +75000 ++Intimidation and Charisma stat is double while equipped</v>
      </c>
      <c r="G326" s="20">
        <f>IFERROR(VLOOKUP($A326,Equipment!$A$2:$AD1001,MATCH("Price",Equipment!$A$1:$AH$1,0),FALSE),"")</f>
        <v>448500000</v>
      </c>
      <c r="H326" s="4" t="b">
        <v>0</v>
      </c>
      <c r="I326" s="1" t="str">
        <f>IFERROR(VLOOKUP($A326,Equipment!$A$2:$AH1001,MATCH("EquipLoc",Equipment!$A$1:$AH$1,0),FALSE),"")</f>
        <v>Land of Spira</v>
      </c>
      <c r="W326" s="1" t="str">
        <f>IFERROR(__xludf.DUMMYFUNCTION("""COMPUTED_VALUE"""),"The Stick of the Panda")</f>
        <v>The Stick of the Panda</v>
      </c>
      <c r="X326" s="1" t="str">
        <f t="shared" si="1"/>
        <v/>
      </c>
    </row>
    <row r="327">
      <c r="A327" s="1" t="s">
        <v>833</v>
      </c>
      <c r="B327" s="18" t="str">
        <f>IFERROR(VLOOKUP($A327,Equipment!$A$2:$AH1001,MATCH("Description",Equipment!$A$1:$AH$1,0),FALSE),"")</f>
        <v/>
      </c>
      <c r="C327" s="18" t="str">
        <f>IFERROR(VLOOKUP($A327,Equipment!$A$2:$AH1001,MATCH("Type",Equipment!$A$1:$AH$1,0),FALSE),"")</f>
        <v/>
      </c>
      <c r="D327" s="18" t="str">
        <f>IFERROR(VLOOKUP($A327,Equipment!$A$2:$AH1001,MATCH("Slot",Equipment!$A$1:$AH$1,0),FALSE),"")</f>
        <v>Neck</v>
      </c>
      <c r="E327" s="20">
        <f>IFERROR(VLOOKUP($A327,Equipment!$A$2:$AH1001,MATCH("LevelReq",Equipment!$A$1:$AH$1,0),FALSE),"")</f>
        <v>1</v>
      </c>
      <c r="F327" s="18" t="str">
        <f>IFERROR(VLOOKUP($A327,Equipconvrt!$A$2:$AH1001,MATCH("Abilities",Equipconvrt!$A$1:$AH$1,0),FALSE),"")</f>
        <v> ++When attacked with a fire spell or fire weapon you may absorb the damage you take from that 1 attack and add the damage you would have taken to your next attack as additional fire damage, This effect can only be used once per battle. +-Cannot be duplicated.</v>
      </c>
      <c r="G327" s="20">
        <f>IFERROR(VLOOKUP($A327,Equipment!$A$2:$AD1001,MATCH("Price",Equipment!$A$1:$AH$1,0),FALSE),"")</f>
        <v>0</v>
      </c>
      <c r="H327" s="4" t="b">
        <v>0</v>
      </c>
      <c r="I327" s="1" t="str">
        <f>IFERROR(VLOOKUP($A327,Equipment!$A$2:$AH1001,MATCH("EquipLoc",Equipment!$A$1:$AH$1,0),FALSE),"")</f>
        <v>Abstara</v>
      </c>
      <c r="W327" s="1" t="str">
        <f>IFERROR(__xludf.DUMMYFUNCTION("""COMPUTED_VALUE"""),"The Sword Of Death")</f>
        <v>The Sword Of Death</v>
      </c>
      <c r="X327" s="1" t="str">
        <f t="shared" si="1"/>
        <v/>
      </c>
    </row>
    <row r="328">
      <c r="A328" s="1" t="s">
        <v>834</v>
      </c>
      <c r="B328" s="18" t="str">
        <f>IFERROR(VLOOKUP($A328,Equipment!$A$2:$AH1001,MATCH("Description",Equipment!$A$1:$AH$1,0),FALSE),"")</f>
        <v/>
      </c>
      <c r="C328" s="18" t="str">
        <f>IFERROR(VLOOKUP($A328,Equipment!$A$2:$AH1001,MATCH("Type",Equipment!$A$1:$AH$1,0),FALSE),"")</f>
        <v>Wand</v>
      </c>
      <c r="D328" s="18" t="str">
        <f>IFERROR(VLOOKUP($A328,Equipment!$A$2:$AH1001,MATCH("Slot",Equipment!$A$1:$AH$1,0),FALSE),"")</f>
        <v>Hand</v>
      </c>
      <c r="E328" s="20">
        <f>IFERROR(VLOOKUP($A328,Equipment!$A$2:$AH1001,MATCH("LevelReq",Equipment!$A$1:$AH$1,0),FALSE),"")</f>
        <v>1</v>
      </c>
      <c r="F328" s="18" t="str">
        <f>IFERROR(VLOOKUP($A328,Equipconvrt!$A$2:$AH1001,MATCH("Abilities",Equipconvrt!$A$1:$AH$1,0),FALSE),"")</f>
        <v> ++All water and storm spells are decreased by half sp.</v>
      </c>
      <c r="G328" s="20">
        <f>IFERROR(VLOOKUP($A328,Equipment!$A$2:$AD1001,MATCH("Price",Equipment!$A$1:$AH$1,0),FALSE),"")</f>
        <v>0</v>
      </c>
      <c r="H328" s="4" t="b">
        <v>0</v>
      </c>
      <c r="I328" s="1" t="str">
        <f>IFERROR(VLOOKUP($A328,Equipment!$A$2:$AH1001,MATCH("EquipLoc",Equipment!$A$1:$AH$1,0),FALSE),"")</f>
        <v>Land of Spira</v>
      </c>
      <c r="W328" s="1" t="str">
        <f>IFERROR(__xludf.DUMMYFUNCTION("""COMPUTED_VALUE"""),"The Sword Of Easter's Gathering (Exclusive)")</f>
        <v>The Sword Of Easter's Gathering (Exclusive)</v>
      </c>
      <c r="X328" s="1" t="str">
        <f t="shared" si="1"/>
        <v/>
      </c>
    </row>
    <row r="329">
      <c r="A329" s="1" t="s">
        <v>835</v>
      </c>
      <c r="B329" s="18" t="str">
        <f>IFERROR(VLOOKUP($A329,Equipment!$A$2:$AH1001,MATCH("Description",Equipment!$A$1:$AH$1,0),FALSE),"")</f>
        <v/>
      </c>
      <c r="C329" s="18" t="str">
        <f>IFERROR(VLOOKUP($A329,Equipment!$A$2:$AH1001,MATCH("Type",Equipment!$A$1:$AH$1,0),FALSE),"")</f>
        <v>Sword</v>
      </c>
      <c r="D329" s="18" t="str">
        <f>IFERROR(VLOOKUP($A329,Equipment!$A$2:$AH1001,MATCH("Slot",Equipment!$A$1:$AH$1,0),FALSE),"")</f>
        <v>Hand</v>
      </c>
      <c r="E329" s="20">
        <f>IFERROR(VLOOKUP($A329,Equipment!$A$2:$AH1001,MATCH("LevelReq",Equipment!$A$1:$AH$1,0),FALSE),"")</f>
        <v>200</v>
      </c>
      <c r="F329" s="18" t="str">
        <f>IFERROR(VLOOKUP($A329,Equipconvrt!$A$2:$AH1001,MATCH("Abilities",Equipconvrt!$A$1:$AH$1,0),FALSE),"")</f>
        <v>DMG: +10000</v>
      </c>
      <c r="G329" s="20">
        <f>IFERROR(VLOOKUP($A329,Equipment!$A$2:$AD1001,MATCH("Price",Equipment!$A$1:$AH$1,0),FALSE),"")</f>
        <v>1900000</v>
      </c>
      <c r="H329" s="4" t="b">
        <v>0</v>
      </c>
      <c r="I329" s="1" t="str">
        <f>IFERROR(VLOOKUP($A329,Equipment!$A$2:$AH1001,MATCH("EquipLoc",Equipment!$A$1:$AH$1,0),FALSE),"")</f>
        <v>Land of Spira</v>
      </c>
      <c r="W329" s="1" t="str">
        <f>IFERROR(__xludf.DUMMYFUNCTION("""COMPUTED_VALUE"""),"The Sword of Manannán (Exclusive)")</f>
        <v>The Sword of Manannán (Exclusive)</v>
      </c>
      <c r="X329" s="1" t="str">
        <f t="shared" si="1"/>
        <v/>
      </c>
    </row>
    <row r="330">
      <c r="A330" s="1" t="s">
        <v>836</v>
      </c>
      <c r="B330" s="18" t="str">
        <f>IFERROR(VLOOKUP($A330,Equipment!$A$2:$AH1001,MATCH("Description",Equipment!$A$1:$AH$1,0),FALSE),"")</f>
        <v>nothing like good ol abraham</v>
      </c>
      <c r="C330" s="18" t="str">
        <f>IFERROR(VLOOKUP($A330,Equipment!$A$2:$AH1001,MATCH("Type",Equipment!$A$1:$AH$1,0),FALSE),"")</f>
        <v/>
      </c>
      <c r="D330" s="18" t="str">
        <f>IFERROR(VLOOKUP($A330,Equipment!$A$2:$AH1001,MATCH("Slot",Equipment!$A$1:$AH$1,0),FALSE),"")</f>
        <v>Head</v>
      </c>
      <c r="E330" s="20">
        <f>IFERROR(VLOOKUP($A330,Equipment!$A$2:$AH1001,MATCH("LevelReq",Equipment!$A$1:$AH$1,0),FALSE),"")</f>
        <v>1</v>
      </c>
      <c r="F330" s="18" t="str">
        <f>IFERROR(VLOOKUP($A330,Equipconvrt!$A$2:$AH1001,MATCH("Abilities",Equipconvrt!$A$1:$AH$1,0),FALSE),"")</f>
        <v>DEF: +1</v>
      </c>
      <c r="G330" s="20">
        <f>IFERROR(VLOOKUP($A330,Equipment!$A$2:$AD1001,MATCH("Price",Equipment!$A$1:$AH$1,0),FALSE),"")</f>
        <v>0</v>
      </c>
      <c r="H330" s="4" t="b">
        <v>0</v>
      </c>
      <c r="I330" s="1" t="str">
        <f>IFERROR(VLOOKUP($A330,Equipment!$A$2:$AH1001,MATCH("EquipLoc",Equipment!$A$1:$AH$1,0),FALSE),"")</f>
        <v>Land of Spira</v>
      </c>
      <c r="W330" s="1" t="str">
        <f>IFERROR(__xludf.DUMMYFUNCTION("""COMPUTED_VALUE"""),"The Waking Ash of the Serpent’s Pendent")</f>
        <v>The Waking Ash of the Serpent’s Pendent</v>
      </c>
      <c r="X330" s="1" t="str">
        <f t="shared" si="1"/>
        <v/>
      </c>
    </row>
    <row r="331">
      <c r="A331" s="1" t="s">
        <v>837</v>
      </c>
      <c r="B331" s="18" t="str">
        <f>IFERROR(VLOOKUP($A331,Equipment!$A$2:$AH1001,MATCH("Description",Equipment!$A$1:$AH$1,0),FALSE),"")</f>
        <v/>
      </c>
      <c r="C331" s="18" t="str">
        <f>IFERROR(VLOOKUP($A331,Equipment!$A$2:$AH1001,MATCH("Type",Equipment!$A$1:$AH$1,0),FALSE),"")</f>
        <v>Spear</v>
      </c>
      <c r="D331" s="18" t="str">
        <f>IFERROR(VLOOKUP($A331,Equipment!$A$2:$AH1001,MATCH("Slot",Equipment!$A$1:$AH$1,0),FALSE),"")</f>
        <v>Hand</v>
      </c>
      <c r="E331" s="20">
        <f>IFERROR(VLOOKUP($A331,Equipment!$A$2:$AH1001,MATCH("LevelReq",Equipment!$A$1:$AH$1,0),FALSE),"")</f>
        <v>20</v>
      </c>
      <c r="F331" s="18" t="str">
        <f>IFERROR(VLOOKUP($A331,Equipconvrt!$A$2:$AH1001,MATCH("Abilities",Equipconvrt!$A$1:$AH$1,0),FALSE),"")</f>
        <v>DMG: +600</v>
      </c>
      <c r="G331" s="20">
        <f>IFERROR(VLOOKUP($A331,Equipment!$A$2:$AD1001,MATCH("Price",Equipment!$A$1:$AH$1,0),FALSE),"")</f>
        <v>1000</v>
      </c>
      <c r="H331" s="4" t="b">
        <v>0</v>
      </c>
      <c r="I331" s="1" t="str">
        <f>IFERROR(VLOOKUP($A331,Equipment!$A$2:$AH1001,MATCH("EquipLoc",Equipment!$A$1:$AH$1,0),FALSE),"")</f>
        <v>Land of Spira</v>
      </c>
      <c r="W331" s="1" t="str">
        <f>IFERROR(__xludf.DUMMYFUNCTION("""COMPUTED_VALUE"""),"The Wand of Aquatic Beasts")</f>
        <v>The Wand of Aquatic Beasts</v>
      </c>
      <c r="X331" s="1" t="str">
        <f t="shared" si="1"/>
        <v/>
      </c>
    </row>
    <row r="332">
      <c r="A332" s="1" t="s">
        <v>838</v>
      </c>
      <c r="B332" s="18" t="str">
        <f>IFERROR(VLOOKUP($A332,Equipment!$A$2:$AH1001,MATCH("Description",Equipment!$A$1:$AH$1,0),FALSE),"")</f>
        <v/>
      </c>
      <c r="C332" s="18" t="str">
        <f>IFERROR(VLOOKUP($A332,Equipment!$A$2:$AH1001,MATCH("Type",Equipment!$A$1:$AH$1,0),FALSE),"")</f>
        <v>Staff</v>
      </c>
      <c r="D332" s="18" t="str">
        <f>IFERROR(VLOOKUP($A332,Equipment!$A$2:$AH1001,MATCH("Slot",Equipment!$A$1:$AH$1,0),FALSE),"")</f>
        <v>Hand</v>
      </c>
      <c r="E332" s="20">
        <f>IFERROR(VLOOKUP($A332,Equipment!$A$2:$AH1001,MATCH("LevelReq",Equipment!$A$1:$AH$1,0),FALSE),"")</f>
        <v>200</v>
      </c>
      <c r="F332" s="18" t="str">
        <f>IFERROR(VLOOKUP($A332,Equipconvrt!$A$2:$AH1001,MATCH("Abilities",Equipconvrt!$A$1:$AH$1,0),FALSE),"")</f>
        <v>, Earth : +10000 ++X2 Earth damage. +-Cannot be duplicated</v>
      </c>
      <c r="G332" s="20">
        <f>IFERROR(VLOOKUP($A332,Equipment!$A$2:$AD1001,MATCH("Price",Equipment!$A$1:$AH$1,0),FALSE),"")</f>
        <v>1900000</v>
      </c>
      <c r="H332" s="4" t="b">
        <v>0</v>
      </c>
      <c r="I332" s="1" t="str">
        <f>IFERROR(VLOOKUP($A332,Equipment!$A$2:$AH1001,MATCH("EquipLoc",Equipment!$A$1:$AH$1,0),FALSE),"")</f>
        <v>Land of Spira</v>
      </c>
      <c r="W332" s="1" t="str">
        <f>IFERROR(__xludf.DUMMYFUNCTION("""COMPUTED_VALUE"""),"Titanic Two Hander")</f>
        <v>Titanic Two Hander</v>
      </c>
      <c r="X332" s="1" t="str">
        <f t="shared" si="1"/>
        <v/>
      </c>
    </row>
    <row r="333">
      <c r="A333" s="1" t="s">
        <v>839</v>
      </c>
      <c r="B333" s="18" t="str">
        <f>IFERROR(VLOOKUP($A333,Equipment!$A$2:$AH1001,MATCH("Description",Equipment!$A$1:$AH$1,0),FALSE),"")</f>
        <v/>
      </c>
      <c r="C333" s="18" t="str">
        <f>IFERROR(VLOOKUP($A333,Equipment!$A$2:$AH1001,MATCH("Type",Equipment!$A$1:$AH$1,0),FALSE),"")</f>
        <v>Bow</v>
      </c>
      <c r="D333" s="18" t="str">
        <f>IFERROR(VLOOKUP($A333,Equipment!$A$2:$AH1001,MATCH("Slot",Equipment!$A$1:$AH$1,0),FALSE),"")</f>
        <v>Hand</v>
      </c>
      <c r="E333" s="20">
        <f>IFERROR(VLOOKUP($A333,Equipment!$A$2:$AH1001,MATCH("LevelReq",Equipment!$A$1:$AH$1,0),FALSE),"")</f>
        <v>400</v>
      </c>
      <c r="F333" s="18" t="str">
        <f>IFERROR(VLOOKUP($A333,Equipconvrt!$A$2:$AH1001,MATCH("Abilities",Equipconvrt!$A$1:$AH$1,0),FALSE),"")</f>
        <v>DMG: +10000, Twilight DMG: +10000</v>
      </c>
      <c r="G333" s="20">
        <f>IFERROR(VLOOKUP($A333,Equipment!$A$2:$AD1001,MATCH("Price",Equipment!$A$1:$AH$1,0),FALSE),"")</f>
        <v>7800000</v>
      </c>
      <c r="H333" s="4" t="b">
        <v>0</v>
      </c>
      <c r="I333" s="1" t="str">
        <f>IFERROR(VLOOKUP($A333,Equipment!$A$2:$AH1001,MATCH("EquipLoc",Equipment!$A$1:$AH$1,0),FALSE),"")</f>
        <v>Land of Spira</v>
      </c>
      <c r="W333" s="1" t="str">
        <f>IFERROR(__xludf.DUMMYFUNCTION("""COMPUTED_VALUE"""),"Top Hat")</f>
        <v>Top Hat</v>
      </c>
      <c r="X333" s="1" t="str">
        <f t="shared" si="1"/>
        <v/>
      </c>
    </row>
    <row r="334">
      <c r="A334" s="4" t="s">
        <v>840</v>
      </c>
      <c r="B334" s="18" t="str">
        <f>IFERROR(VLOOKUP($A334,Equipment!$A$2:$AH1001,MATCH("Description",Equipment!$A$1:$AH$1,0),FALSE),"")</f>
        <v>Halloween Event Exclusive Item</v>
      </c>
      <c r="C334" s="18" t="str">
        <f>IFERROR(VLOOKUP($A334,Equipment!$A$2:$AH1001,MATCH("Type",Equipment!$A$1:$AH$1,0),FALSE),"")</f>
        <v>Sword</v>
      </c>
      <c r="D334" s="18" t="str">
        <f>IFERROR(VLOOKUP($A334,Equipment!$A$2:$AH1001,MATCH("Slot",Equipment!$A$1:$AH$1,0),FALSE),"")</f>
        <v>Hand</v>
      </c>
      <c r="E334" s="20">
        <f>IFERROR(VLOOKUP($A334,Equipment!$A$2:$AH1001,MATCH("LevelReq",Equipment!$A$1:$AH$1,0),FALSE),"")</f>
        <v>200</v>
      </c>
      <c r="F334" s="18" t="str">
        <f>IFERROR(VLOOKUP($A334,Equipconvrt!$A$2:$AH1001,MATCH("Abilities",Equipconvrt!$A$1:$AH$1,0),FALSE),"")</f>
        <v>DMG: +20000, Twilight DMG: +20000, Celestial DMG: +10000 ++X4 Order, Light, Chaos, and Dark damage for the user and party. +-Cannot be forged +-Cannot be duplicated</v>
      </c>
      <c r="G334" s="20">
        <f>IFERROR(VLOOKUP($A334,Equipment!$A$2:$AD1001,MATCH("Price",Equipment!$A$1:$AH$1,0),FALSE),"")</f>
        <v>49500000</v>
      </c>
      <c r="H334" s="4" t="b">
        <v>1</v>
      </c>
      <c r="I334" s="1" t="str">
        <f>IFERROR(VLOOKUP($A334,Equipment!$A$2:$AH1001,MATCH("EquipLoc",Equipment!$A$1:$AH$1,0),FALSE),"")</f>
        <v>Land of Spira</v>
      </c>
      <c r="W334" s="1" t="str">
        <f>IFERROR(__xludf.DUMMYFUNCTION("""COMPUTED_VALUE"""),"Trident")</f>
        <v>Trident</v>
      </c>
      <c r="X334" s="1" t="str">
        <f t="shared" si="1"/>
        <v/>
      </c>
    </row>
    <row r="335">
      <c r="A335" s="1" t="s">
        <v>841</v>
      </c>
      <c r="B335" s="18" t="str">
        <f>IFERROR(VLOOKUP($A335,Equipment!$A$2:$AH1001,MATCH("Description",Equipment!$A$1:$AH$1,0),FALSE),"")</f>
        <v/>
      </c>
      <c r="C335" s="18" t="str">
        <f>IFERROR(VLOOKUP($A335,Equipment!$A$2:$AH1001,MATCH("Type",Equipment!$A$1:$AH$1,0),FALSE),"")</f>
        <v>Sword</v>
      </c>
      <c r="D335" s="18" t="str">
        <f>IFERROR(VLOOKUP($A335,Equipment!$A$2:$AH1001,MATCH("Slot",Equipment!$A$1:$AH$1,0),FALSE),"")</f>
        <v>Hand</v>
      </c>
      <c r="E335" s="20">
        <f>IFERROR(VLOOKUP($A335,Equipment!$A$2:$AH1001,MATCH("LevelReq",Equipment!$A$1:$AH$1,0),FALSE),"")</f>
        <v>20</v>
      </c>
      <c r="F335" s="18" t="str">
        <f>IFERROR(VLOOKUP($A335,Equipconvrt!$A$2:$AH1001,MATCH("Abilities",Equipconvrt!$A$1:$AH$1,0),FALSE),"")</f>
        <v>DMG: +500, Twilight DMG: +200</v>
      </c>
      <c r="G335" s="20">
        <f>IFERROR(VLOOKUP($A335,Equipment!$A$2:$AD1001,MATCH("Price",Equipment!$A$1:$AH$1,0),FALSE),"")</f>
        <v>1000</v>
      </c>
      <c r="H335" s="4" t="b">
        <v>0</v>
      </c>
      <c r="I335" s="1" t="str">
        <f>IFERROR(VLOOKUP($A335,Equipment!$A$2:$AH1001,MATCH("EquipLoc",Equipment!$A$1:$AH$1,0),FALSE),"")</f>
        <v>Land of Spira</v>
      </c>
      <c r="W335" s="1" t="str">
        <f>IFERROR(__xludf.DUMMYFUNCTION("""COMPUTED_VALUE"""),"Tundra Staff")</f>
        <v>Tundra Staff</v>
      </c>
      <c r="X335" s="1" t="str">
        <f t="shared" si="1"/>
        <v/>
      </c>
    </row>
    <row r="336">
      <c r="A336" s="1" t="s">
        <v>842</v>
      </c>
      <c r="B336" s="18" t="str">
        <f>IFERROR(VLOOKUP($A336,Equipment!$A$2:$AH1001,MATCH("Description",Equipment!$A$1:$AH$1,0),FALSE),"")</f>
        <v/>
      </c>
      <c r="C336" s="18" t="str">
        <f>IFERROR(VLOOKUP($A336,Equipment!$A$2:$AH1001,MATCH("Type",Equipment!$A$1:$AH$1,0),FALSE),"")</f>
        <v/>
      </c>
      <c r="D336" s="18" t="str">
        <f>IFERROR(VLOOKUP($A336,Equipment!$A$2:$AH1001,MATCH("Slot",Equipment!$A$1:$AH$1,0),FALSE),"")</f>
        <v>Neck</v>
      </c>
      <c r="E336" s="20">
        <f>IFERROR(VLOOKUP($A336,Equipment!$A$2:$AH1001,MATCH("LevelReq",Equipment!$A$1:$AH$1,0),FALSE),"")</f>
        <v>1</v>
      </c>
      <c r="F336" s="18" t="str">
        <f>IFERROR(VLOOKUP($A336,Equipconvrt!$A$2:$AH1001,MATCH("Abilities",Equipconvrt!$A$1:$AH$1,0),FALSE),"")</f>
        <v>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v>
      </c>
      <c r="G336" s="20">
        <f>IFERROR(VLOOKUP($A336,Equipment!$A$2:$AD1001,MATCH("Price",Equipment!$A$1:$AH$1,0),FALSE),"")</f>
        <v>0</v>
      </c>
      <c r="H336" s="4" t="b">
        <v>0</v>
      </c>
      <c r="I336" s="1" t="str">
        <f>IFERROR(VLOOKUP($A336,Equipment!$A$2:$AH1001,MATCH("EquipLoc",Equipment!$A$1:$AH$1,0),FALSE),"")</f>
        <v>Land of Spira</v>
      </c>
      <c r="W336" s="1" t="str">
        <f>IFERROR(__xludf.DUMMYFUNCTION("""COMPUTED_VALUE"""),"Twilight Bow")</f>
        <v>Twilight Bow</v>
      </c>
      <c r="X336" s="1" t="str">
        <f t="shared" si="1"/>
        <v/>
      </c>
    </row>
    <row r="337">
      <c r="A337" s="1" t="s">
        <v>843</v>
      </c>
      <c r="B337" s="18" t="str">
        <f>IFERROR(VLOOKUP($A337,Equipment!$A$2:$AH1001,MATCH("Description",Equipment!$A$1:$AH$1,0),FALSE),"")</f>
        <v/>
      </c>
      <c r="C337" s="18" t="str">
        <f>IFERROR(VLOOKUP($A337,Equipment!$A$2:$AH1001,MATCH("Type",Equipment!$A$1:$AH$1,0),FALSE),"")</f>
        <v/>
      </c>
      <c r="D337" s="18" t="str">
        <f>IFERROR(VLOOKUP($A337,Equipment!$A$2:$AH1001,MATCH("Slot",Equipment!$A$1:$AH$1,0),FALSE),"")</f>
        <v>Arms</v>
      </c>
      <c r="E337" s="20">
        <f>IFERROR(VLOOKUP($A337,Equipment!$A$2:$AH1001,MATCH("LevelReq",Equipment!$A$1:$AH$1,0),FALSE),"")</f>
        <v>200</v>
      </c>
      <c r="F337" s="18" t="str">
        <f>IFERROR(VLOOKUP($A337,Equipconvrt!$A$2:$AH1001,MATCH("Abilities",Equipconvrt!$A$1:$AH$1,0),FALSE),"")</f>
        <v>DEF: +5000, Water DEF: +5000 ++X4 additional Water damage.</v>
      </c>
      <c r="G337" s="20">
        <f>IFERROR(VLOOKUP($A337,Equipment!$A$2:$AD1001,MATCH("Price",Equipment!$A$1:$AH$1,0),FALSE),"")</f>
        <v>1900000</v>
      </c>
      <c r="H337" s="4" t="b">
        <v>0</v>
      </c>
      <c r="I337" s="1" t="str">
        <f>IFERROR(VLOOKUP($A337,Equipment!$A$2:$AH1001,MATCH("EquipLoc",Equipment!$A$1:$AH$1,0),FALSE),"")</f>
        <v>Land of Spira</v>
      </c>
      <c r="W337" s="1" t="str">
        <f>IFERROR(__xludf.DUMMYFUNCTION("""COMPUTED_VALUE"""),"Twilight Crystal Sword of Evil's Bane")</f>
        <v>Twilight Crystal Sword of Evil's Bane</v>
      </c>
      <c r="X337" s="1" t="str">
        <f t="shared" si="1"/>
        <v/>
      </c>
    </row>
    <row r="338">
      <c r="A338" s="1" t="s">
        <v>844</v>
      </c>
      <c r="B338" s="18" t="str">
        <f>IFERROR(VLOOKUP($A338,Equipment!$A$2:$AH1001,MATCH("Description",Equipment!$A$1:$AH$1,0),FALSE),"")</f>
        <v/>
      </c>
      <c r="C338" s="18" t="str">
        <f>IFERROR(VLOOKUP($A338,Equipment!$A$2:$AH1001,MATCH("Type",Equipment!$A$1:$AH$1,0),FALSE),"")</f>
        <v/>
      </c>
      <c r="D338" s="18" t="str">
        <f>IFERROR(VLOOKUP($A338,Equipment!$A$2:$AH1001,MATCH("Slot",Equipment!$A$1:$AH$1,0),FALSE),"")</f>
        <v>Head</v>
      </c>
      <c r="E338" s="20">
        <f>IFERROR(VLOOKUP($A338,Equipment!$A$2:$AH1001,MATCH("LevelReq",Equipment!$A$1:$AH$1,0),FALSE),"")</f>
        <v>1</v>
      </c>
      <c r="F338" s="18" t="str">
        <f>IFERROR(VLOOKUP($A338,Equipconvrt!$A$2:$AH1001,MATCH("Abilities",Equipconvrt!$A$1:$AH$1,0),FALSE),"")</f>
        <v>DEF: +200 (Viking Set)</v>
      </c>
      <c r="G338" s="20">
        <f>IFERROR(VLOOKUP($A338,Equipment!$A$2:$AD1001,MATCH("Price",Equipment!$A$1:$AH$1,0),FALSE),"")</f>
        <v>0</v>
      </c>
      <c r="H338" s="4" t="b">
        <v>0</v>
      </c>
      <c r="I338" s="1" t="str">
        <f>IFERROR(VLOOKUP($A338,Equipment!$A$2:$AH1001,MATCH("EquipLoc",Equipment!$A$1:$AH$1,0),FALSE),"")</f>
        <v>Land of Spira</v>
      </c>
      <c r="W338" s="1" t="str">
        <f>IFERROR(__xludf.DUMMYFUNCTION("""COMPUTED_VALUE"""),"Twilight Sword")</f>
        <v>Twilight Sword</v>
      </c>
      <c r="X338" s="1" t="str">
        <f t="shared" si="1"/>
        <v/>
      </c>
    </row>
    <row r="339">
      <c r="A339" s="1" t="s">
        <v>845</v>
      </c>
      <c r="B339" s="18" t="str">
        <f>IFERROR(VLOOKUP($A339,Equipment!$A$2:$AH1001,MATCH("Description",Equipment!$A$1:$AH$1,0),FALSE),"")</f>
        <v/>
      </c>
      <c r="C339" s="18" t="str">
        <f>IFERROR(VLOOKUP($A339,Equipment!$A$2:$AH1001,MATCH("Type",Equipment!$A$1:$AH$1,0),FALSE),"")</f>
        <v>Sword</v>
      </c>
      <c r="D339" s="18" t="str">
        <f>IFERROR(VLOOKUP($A339,Equipment!$A$2:$AH1001,MATCH("Slot",Equipment!$A$1:$AH$1,0),FALSE),"")</f>
        <v>Hand</v>
      </c>
      <c r="E339" s="20">
        <f>IFERROR(VLOOKUP($A339,Equipment!$A$2:$AH1001,MATCH("LevelReq",Equipment!$A$1:$AH$1,0),FALSE),"")</f>
        <v>200</v>
      </c>
      <c r="F339" s="18" t="str">
        <f>IFERROR(VLOOKUP($A339,Equipconvrt!$A$2:$AH1001,MATCH("Abilities",Equipconvrt!$A$1:$AH$1,0),FALSE),"")</f>
        <v>, Celestial : +1 ++100% chance of instant death. Breaks upon instant death and causes a giant explosion causing 10,000,000 Celestial damage to all enemies..</v>
      </c>
      <c r="G339" s="20">
        <f>IFERROR(VLOOKUP($A339,Equipment!$A$2:$AD1001,MATCH("Price",Equipment!$A$1:$AH$1,0),FALSE),"")</f>
        <v>0</v>
      </c>
      <c r="H339" s="4" t="b">
        <v>0</v>
      </c>
      <c r="I339" s="1" t="str">
        <f>IFERROR(VLOOKUP($A339,Equipment!$A$2:$AH1001,MATCH("EquipLoc",Equipment!$A$1:$AH$1,0),FALSE),"")</f>
        <v>Land of Spira</v>
      </c>
      <c r="W339" s="1" t="str">
        <f>IFERROR(__xludf.DUMMYFUNCTION("""COMPUTED_VALUE"""),"Unknown Amulet")</f>
        <v>Unknown Amulet</v>
      </c>
      <c r="X339" s="1" t="str">
        <f t="shared" si="1"/>
        <v/>
      </c>
    </row>
    <row r="340">
      <c r="A340" s="1" t="s">
        <v>846</v>
      </c>
      <c r="B340" s="18" t="str">
        <f>IFERROR(VLOOKUP($A340,Equipment!$A$2:$AH1001,MATCH("Description",Equipment!$A$1:$AH$1,0),FALSE),"")</f>
        <v/>
      </c>
      <c r="C340" s="18" t="str">
        <f>IFERROR(VLOOKUP($A340,Equipment!$A$2:$AH1001,MATCH("Type",Equipment!$A$1:$AH$1,0),FALSE),"")</f>
        <v>Sword</v>
      </c>
      <c r="D340" s="18" t="str">
        <f>IFERROR(VLOOKUP($A340,Equipment!$A$2:$AH1001,MATCH("Slot",Equipment!$A$1:$AH$1,0),FALSE),"")</f>
        <v>Hand</v>
      </c>
      <c r="E340" s="20">
        <f>IFERROR(VLOOKUP($A340,Equipment!$A$2:$AH1001,MATCH("LevelReq",Equipment!$A$1:$AH$1,0),FALSE),"")</f>
        <v>200</v>
      </c>
      <c r="F340" s="18" t="str">
        <f>IFERROR(VLOOKUP($A340,Equipconvrt!$A$2:$AH1001,MATCH("Abilities",Equipconvrt!$A$1:$AH$1,0),FALSE),"")</f>
        <v>DMG: +100000, Fire DMG: +300000, Celestial DMG: +100000 ++Volcanic Valves - Increase the damage of fire weapons and fire spells by x3, When you attack and miss the target with this sword the damage this sword deals will double each time you miss. +-Cannot be forged +-Cannot be duplicated</v>
      </c>
      <c r="G340" s="20">
        <f>IFERROR(VLOOKUP($A340,Equipment!$A$2:$AD1001,MATCH("Price",Equipment!$A$1:$AH$1,0),FALSE),"")</f>
        <v>4995000000</v>
      </c>
      <c r="H340" s="4" t="b">
        <v>0</v>
      </c>
      <c r="I340" s="1" t="str">
        <f>IFERROR(VLOOKUP($A340,Equipment!$A$2:$AH1001,MATCH("EquipLoc",Equipment!$A$1:$AH$1,0),FALSE),"")</f>
        <v>Abstara</v>
      </c>
      <c r="W340" s="1" t="str">
        <f>IFERROR(__xludf.DUMMYFUNCTION("""COMPUTED_VALUE"""),"Vambraces of Waking Waters")</f>
        <v>Vambraces of Waking Waters</v>
      </c>
      <c r="X340" s="1" t="str">
        <f t="shared" si="1"/>
        <v/>
      </c>
    </row>
    <row r="341">
      <c r="A341" s="1" t="s">
        <v>847</v>
      </c>
      <c r="B341" s="18" t="str">
        <f>IFERROR(VLOOKUP($A341,Equipment!$A$2:$AH1001,MATCH("Description",Equipment!$A$1:$AH$1,0),FALSE),"")</f>
        <v/>
      </c>
      <c r="C341" s="18" t="str">
        <f>IFERROR(VLOOKUP($A341,Equipment!$A$2:$AH1001,MATCH("Type",Equipment!$A$1:$AH$1,0),FALSE),"")</f>
        <v>Wand</v>
      </c>
      <c r="D341" s="18" t="str">
        <f>IFERROR(VLOOKUP($A341,Equipment!$A$2:$AH1001,MATCH("Slot",Equipment!$A$1:$AH$1,0),FALSE),"")</f>
        <v>Hand</v>
      </c>
      <c r="E341" s="20">
        <f>IFERROR(VLOOKUP($A341,Equipment!$A$2:$AH1001,MATCH("LevelReq",Equipment!$A$1:$AH$1,0),FALSE),"")</f>
        <v>1</v>
      </c>
      <c r="F341" s="18" t="str">
        <f>IFERROR(VLOOKUP($A341,Equipconvrt!$A$2:$AH1001,MATCH("Abilities",Equipconvrt!$A$1:$AH$1,0),FALSE),"")</f>
        <v> ++X2 more damage to all spells. +-Cannot be duplicated.</v>
      </c>
      <c r="G341" s="20">
        <f>IFERROR(VLOOKUP($A341,Equipment!$A$2:$AD1001,MATCH("Price",Equipment!$A$1:$AH$1,0),FALSE),"")</f>
        <v>0</v>
      </c>
      <c r="H341" s="4" t="b">
        <v>0</v>
      </c>
      <c r="I341" s="1" t="str">
        <f>IFERROR(VLOOKUP($A341,Equipment!$A$2:$AH1001,MATCH("EquipLoc",Equipment!$A$1:$AH$1,0),FALSE),"")</f>
        <v>Land of Spira</v>
      </c>
      <c r="W341" s="1"/>
      <c r="X341" s="1" t="str">
        <f t="shared" si="1"/>
        <v/>
      </c>
    </row>
    <row r="342">
      <c r="A342" s="1" t="s">
        <v>848</v>
      </c>
      <c r="B342" s="18" t="str">
        <f>IFERROR(VLOOKUP($A342,Equipment!$A$2:$AH1001,MATCH("Description",Equipment!$A$1:$AH$1,0),FALSE),"")</f>
        <v/>
      </c>
      <c r="C342" s="18" t="str">
        <f>IFERROR(VLOOKUP($A342,Equipment!$A$2:$AH1001,MATCH("Type",Equipment!$A$1:$AH$1,0),FALSE),"")</f>
        <v>Wand</v>
      </c>
      <c r="D342" s="18" t="str">
        <f>IFERROR(VLOOKUP($A342,Equipment!$A$2:$AH1001,MATCH("Slot",Equipment!$A$1:$AH$1,0),FALSE),"")</f>
        <v>Hand</v>
      </c>
      <c r="E342" s="20">
        <f>IFERROR(VLOOKUP($A342,Equipment!$A$2:$AH1001,MATCH("LevelReq",Equipment!$A$1:$AH$1,0),FALSE),"")</f>
        <v>1</v>
      </c>
      <c r="F342" s="18" t="str">
        <f>IFERROR(VLOOKUP($A342,Equipconvrt!$A$2:$AH1001,MATCH("Abilities",Equipconvrt!$A$1:$AH$1,0),FALSE),"")</f>
        <v> ++All types of spells are reduced by half sp. +-Cannot be duplicated. +-Can only equip one</v>
      </c>
      <c r="G342" s="20">
        <f>IFERROR(VLOOKUP($A342,Equipment!$A$2:$AD1001,MATCH("Price",Equipment!$A$1:$AH$1,0),FALSE),"")</f>
        <v>0</v>
      </c>
      <c r="H342" s="4" t="b">
        <v>0</v>
      </c>
      <c r="I342" s="1" t="str">
        <f>IFERROR(VLOOKUP($A342,Equipment!$A$2:$AH1001,MATCH("EquipLoc",Equipment!$A$1:$AH$1,0),FALSE),"")</f>
        <v>Land of Spira</v>
      </c>
      <c r="W342" s="1"/>
      <c r="X342" s="1" t="str">
        <f t="shared" si="1"/>
        <v/>
      </c>
    </row>
    <row r="343">
      <c r="A343" s="1" t="s">
        <v>849</v>
      </c>
      <c r="B343" s="18" t="str">
        <f>IFERROR(VLOOKUP($A343,Equipment!$A$2:$AH1001,MATCH("Description",Equipment!$A$1:$AH$1,0),FALSE),"")</f>
        <v/>
      </c>
      <c r="C343" s="18" t="str">
        <f>IFERROR(VLOOKUP($A343,Equipment!$A$2:$AH1001,MATCH("Type",Equipment!$A$1:$AH$1,0),FALSE),"")</f>
        <v/>
      </c>
      <c r="D343" s="18" t="str">
        <f>IFERROR(VLOOKUP($A343,Equipment!$A$2:$AH1001,MATCH("Slot",Equipment!$A$1:$AH$1,0),FALSE),"")</f>
        <v>Torso</v>
      </c>
      <c r="E343" s="20">
        <f>IFERROR(VLOOKUP($A343,Equipment!$A$2:$AH1001,MATCH("LevelReq",Equipment!$A$1:$AH$1,0),FALSE),"")</f>
        <v>100</v>
      </c>
      <c r="F343" s="18" t="str">
        <f>IFERROR(VLOOKUP($A343,Equipconvrt!$A$2:$AH1001,MATCH("Abilities",Equipconvrt!$A$1:$AH$1,0),FALSE),"")</f>
        <v>DEF: +5000 ++All Dark, and Weapon attacks deal X2 more damage, All SP costs for Melee, Dark, and Physical Spells are reduced to half. ++Immunity to Dark and Chaos Damage.</v>
      </c>
      <c r="G343" s="20">
        <f>IFERROR(VLOOKUP($A343,Equipment!$A$2:$AD1001,MATCH("Price",Equipment!$A$1:$AH$1,0),FALSE),"")</f>
        <v>450000</v>
      </c>
      <c r="H343" s="4" t="b">
        <v>0</v>
      </c>
      <c r="I343" s="1" t="str">
        <f>IFERROR(VLOOKUP($A343,Equipment!$A$2:$AH1001,MATCH("EquipLoc",Equipment!$A$1:$AH$1,0),FALSE),"")</f>
        <v>Land of Spira</v>
      </c>
      <c r="W343" s="1" t="str">
        <f>IFERROR(__xludf.DUMMYFUNCTION("""COMPUTED_VALUE"""),"Viking Helm")</f>
        <v>Viking Helm</v>
      </c>
      <c r="X343" s="1" t="str">
        <f t="shared" si="1"/>
        <v/>
      </c>
    </row>
    <row r="344">
      <c r="A344" s="1" t="s">
        <v>850</v>
      </c>
      <c r="B344" s="18" t="str">
        <f>IFERROR(VLOOKUP($A344,Equipment!$A$2:$AH1001,MATCH("Description",Equipment!$A$1:$AH$1,0),FALSE),"")</f>
        <v/>
      </c>
      <c r="C344" s="18" t="str">
        <f>IFERROR(VLOOKUP($A344,Equipment!$A$2:$AH1001,MATCH("Type",Equipment!$A$1:$AH$1,0),FALSE),"")</f>
        <v>Club</v>
      </c>
      <c r="D344" s="18" t="str">
        <f>IFERROR(VLOOKUP($A344,Equipment!$A$2:$AH1001,MATCH("Slot",Equipment!$A$1:$AH$1,0),FALSE),"")</f>
        <v>Hand</v>
      </c>
      <c r="E344" s="20">
        <f>IFERROR(VLOOKUP($A344,Equipment!$A$2:$AH1001,MATCH("LevelReq",Equipment!$A$1:$AH$1,0),FALSE),"")</f>
        <v>200</v>
      </c>
      <c r="F344" s="18" t="str">
        <f>IFERROR(VLOOKUP($A344,Equipconvrt!$A$2:$AH1001,MATCH("Abilities",Equipconvrt!$A$1:$AH$1,0),FALSE),"")</f>
        <v>DMG: +5000, Water DMG: +5000</v>
      </c>
      <c r="G344" s="20">
        <f>IFERROR(VLOOKUP($A344,Equipment!$A$2:$AD1001,MATCH("Price",Equipment!$A$1:$AH$1,0),FALSE),"")</f>
        <v>1900000</v>
      </c>
      <c r="H344" s="4" t="b">
        <v>0</v>
      </c>
      <c r="I344" s="1" t="str">
        <f>IFERROR(VLOOKUP($A344,Equipment!$A$2:$AH1001,MATCH("EquipLoc",Equipment!$A$1:$AH$1,0),FALSE),"")</f>
        <v>Land of Spira</v>
      </c>
      <c r="W344" s="1" t="str">
        <f>IFERROR(__xludf.DUMMYFUNCTION("""COMPUTED_VALUE"""),"Void sword")</f>
        <v>Void sword</v>
      </c>
      <c r="X344" s="1" t="str">
        <f t="shared" si="1"/>
        <v/>
      </c>
    </row>
    <row r="345">
      <c r="A345" s="1" t="s">
        <v>851</v>
      </c>
      <c r="B345" s="18" t="str">
        <f>IFERROR(VLOOKUP($A345,Equipment!$A$2:$AH1001,MATCH("Description",Equipment!$A$1:$AH$1,0),FALSE),"")</f>
        <v/>
      </c>
      <c r="C345" s="18" t="str">
        <f>IFERROR(VLOOKUP($A345,Equipment!$A$2:$AH1001,MATCH("Type",Equipment!$A$1:$AH$1,0),FALSE),"")</f>
        <v>Knife</v>
      </c>
      <c r="D345" s="18" t="str">
        <f>IFERROR(VLOOKUP($A345,Equipment!$A$2:$AH1001,MATCH("Slot",Equipment!$A$1:$AH$1,0),FALSE),"")</f>
        <v>Head</v>
      </c>
      <c r="E345" s="20">
        <f>IFERROR(VLOOKUP($A345,Equipment!$A$2:$AH1001,MATCH("LevelReq",Equipment!$A$1:$AH$1,0),FALSE),"")</f>
        <v>40</v>
      </c>
      <c r="F345" s="18" t="str">
        <f>IFERROR(VLOOKUP($A345,Equipconvrt!$A$2:$AH1001,MATCH("Abilities",Equipconvrt!$A$1:$AH$1,0),FALSE),"")</f>
        <v>DEF: +1000, Nature DEF: +1000 ++10,000 damage when thrown, this item will return to you after thrown.</v>
      </c>
      <c r="G345" s="20">
        <f>IFERROR(VLOOKUP($A345,Equipment!$A$2:$AD1001,MATCH("Price",Equipment!$A$1:$AH$1,0),FALSE),"")</f>
        <v>60000</v>
      </c>
      <c r="H345" s="4" t="b">
        <v>0</v>
      </c>
      <c r="I345" s="1" t="str">
        <f>IFERROR(VLOOKUP($A345,Equipment!$A$2:$AH1001,MATCH("EquipLoc",Equipment!$A$1:$AH$1,0),FALSE),"")</f>
        <v>Land of Spira</v>
      </c>
      <c r="W345" s="1" t="str">
        <f>IFERROR(__xludf.DUMMYFUNCTION("""COMPUTED_VALUE"""),"Volcanic Sword of Destruction")</f>
        <v>Volcanic Sword of Destruction</v>
      </c>
      <c r="X345" s="1" t="str">
        <f t="shared" si="1"/>
        <v/>
      </c>
    </row>
    <row r="346">
      <c r="A346" s="1" t="s">
        <v>852</v>
      </c>
      <c r="B346" s="18" t="str">
        <f>IFERROR(VLOOKUP($A346,Equipment!$A$2:$AH1001,MATCH("Description",Equipment!$A$1:$AH$1,0),FALSE),"")</f>
        <v/>
      </c>
      <c r="C346" s="18" t="str">
        <f>IFERROR(VLOOKUP($A346,Equipment!$A$2:$AH1001,MATCH("Type",Equipment!$A$1:$AH$1,0),FALSE),"")</f>
        <v/>
      </c>
      <c r="D346" s="18" t="str">
        <f>IFERROR(VLOOKUP($A346,Equipment!$A$2:$AH1001,MATCH("Slot",Equipment!$A$1:$AH$1,0),FALSE),"")</f>
        <v>Head</v>
      </c>
      <c r="E346" s="20">
        <f>IFERROR(VLOOKUP($A346,Equipment!$A$2:$AH1001,MATCH("LevelReq",Equipment!$A$1:$AH$1,0),FALSE),"")</f>
        <v>1</v>
      </c>
      <c r="F346" s="18" t="str">
        <f>IFERROR(VLOOKUP($A346,Equipconvrt!$A$2:$AH1001,MATCH("Abilities",Equipconvrt!$A$1:$AH$1,0),FALSE),"")</f>
        <v> ++reduces any fire damage to 1 +-Cannot be duplicated</v>
      </c>
      <c r="G346" s="20">
        <f>IFERROR(VLOOKUP($A346,Equipment!$A$2:$AD1001,MATCH("Price",Equipment!$A$1:$AH$1,0),FALSE),"")</f>
        <v>0</v>
      </c>
      <c r="H346" s="4" t="b">
        <v>0</v>
      </c>
      <c r="I346" s="1" t="str">
        <f>IFERROR(VLOOKUP($A346,Equipment!$A$2:$AH1001,MATCH("EquipLoc",Equipment!$A$1:$AH$1,0),FALSE),"")</f>
        <v>Land of Spira</v>
      </c>
      <c r="W346" s="1" t="str">
        <f>IFERROR(__xludf.DUMMYFUNCTION("""COMPUTED_VALUE"""),"Wand of Grey")</f>
        <v>Wand of Grey</v>
      </c>
      <c r="X346" s="1" t="str">
        <f t="shared" si="1"/>
        <v/>
      </c>
    </row>
    <row r="347">
      <c r="A347" s="1" t="s">
        <v>853</v>
      </c>
      <c r="B347" s="18" t="str">
        <f>IFERROR(VLOOKUP($A347,Equipment!$A$2:$AH1001,MATCH("Description",Equipment!$A$1:$AH$1,0),FALSE),"")</f>
        <v/>
      </c>
      <c r="C347" s="18" t="str">
        <f>IFERROR(VLOOKUP($A347,Equipment!$A$2:$AH1001,MATCH("Type",Equipment!$A$1:$AH$1,0),FALSE),"")</f>
        <v>Axe</v>
      </c>
      <c r="D347" s="18" t="str">
        <f>IFERROR(VLOOKUP($A347,Equipment!$A$2:$AH1001,MATCH("Slot",Equipment!$A$1:$AH$1,0),FALSE),"")</f>
        <v>Hand</v>
      </c>
      <c r="E347" s="20">
        <f>IFERROR(VLOOKUP($A347,Equipment!$A$2:$AH1001,MATCH("LevelReq",Equipment!$A$1:$AH$1,0),FALSE),"")</f>
        <v>10</v>
      </c>
      <c r="F347" s="18" t="str">
        <f>IFERROR(VLOOKUP($A347,Equipconvrt!$A$2:$AH1001,MATCH("Abilities",Equipconvrt!$A$1:$AH$1,0),FALSE),"")</f>
        <v>DMG: +500</v>
      </c>
      <c r="G347" s="20">
        <f>IFERROR(VLOOKUP($A347,Equipment!$A$2:$AD1001,MATCH("Price",Equipment!$A$1:$AH$1,0),FALSE),"")</f>
        <v>1000</v>
      </c>
      <c r="H347" s="4" t="b">
        <v>0</v>
      </c>
      <c r="I347" s="1" t="str">
        <f>IFERROR(VLOOKUP($A347,Equipment!$A$2:$AH1001,MATCH("EquipLoc",Equipment!$A$1:$AH$1,0),FALSE),"")</f>
        <v>Land of Spira</v>
      </c>
      <c r="W347" s="1" t="str">
        <f>IFERROR(__xludf.DUMMYFUNCTION("""COMPUTED_VALUE"""),"Wand of Multi-Color")</f>
        <v>Wand of Multi-Color</v>
      </c>
      <c r="X347" s="1" t="str">
        <f t="shared" si="1"/>
        <v/>
      </c>
    </row>
    <row r="348">
      <c r="A348" s="1" t="s">
        <v>854</v>
      </c>
      <c r="B348" s="18" t="str">
        <f>IFERROR(VLOOKUP($A348,Equipment!$A$2:$AH1001,MATCH("Description",Equipment!$A$1:$AH$1,0),FALSE),"")</f>
        <v/>
      </c>
      <c r="C348" s="18" t="str">
        <f>IFERROR(VLOOKUP($A348,Equipment!$A$2:$AH1001,MATCH("Type",Equipment!$A$1:$AH$1,0),FALSE),"")</f>
        <v/>
      </c>
      <c r="D348" s="18" t="str">
        <f>IFERROR(VLOOKUP($A348,Equipment!$A$2:$AH1001,MATCH("Slot",Equipment!$A$1:$AH$1,0),FALSE),"")</f>
        <v>Hand</v>
      </c>
      <c r="E348" s="20">
        <f>IFERROR(VLOOKUP($A348,Equipment!$A$2:$AH1001,MATCH("LevelReq",Equipment!$A$1:$AH$1,0),FALSE),"")</f>
        <v>200</v>
      </c>
      <c r="F348" s="18" t="str">
        <f>IFERROR(VLOOKUP($A348,Equipconvrt!$A$2:$AH1001,MATCH("Abilities",Equipconvrt!$A$1:$AH$1,0),FALSE),"")</f>
        <v>DMG: +100000, Earth DMG: +50000, Light DMG: +50000, Spirit DMG: +50000, Order DMG: +50000, Nature DMG: +50000, Celestial DMG: +50000 ++If you kill an enemy with this weapon your HP and SP will fully be restored. +-Cannot be forged +-Cannot be duplicated</v>
      </c>
      <c r="G348" s="20">
        <f>IFERROR(VLOOKUP($A348,Equipment!$A$2:$AD1001,MATCH("Price",Equipment!$A$1:$AH$1,0),FALSE),"")</f>
        <v>3196000000</v>
      </c>
      <c r="H348" s="4" t="b">
        <v>0</v>
      </c>
      <c r="I348" s="1" t="str">
        <f>IFERROR(VLOOKUP($A348,Equipment!$A$2:$AH1001,MATCH("EquipLoc",Equipment!$A$1:$AH$1,0),FALSE),"")</f>
        <v>Land of Spira</v>
      </c>
      <c r="W348" s="1" t="str">
        <f>IFERROR(__xludf.DUMMYFUNCTION("""COMPUTED_VALUE"""),"Warlock’s Armored Chestplate")</f>
        <v>Warlock’s Armored Chestplate</v>
      </c>
      <c r="X348" s="1" t="str">
        <f t="shared" si="1"/>
        <v/>
      </c>
    </row>
    <row r="349">
      <c r="A349" s="1" t="s">
        <v>855</v>
      </c>
      <c r="B349" s="18" t="str">
        <f>IFERROR(VLOOKUP($A349,Equipment!$A$2:$AH1001,MATCH("Description",Equipment!$A$1:$AH$1,0),FALSE),"")</f>
        <v/>
      </c>
      <c r="C349" s="18" t="str">
        <f>IFERROR(VLOOKUP($A349,Equipment!$A$2:$AH1001,MATCH("Type",Equipment!$A$1:$AH$1,0),FALSE),"")</f>
        <v/>
      </c>
      <c r="D349" s="18" t="str">
        <f>IFERROR(VLOOKUP($A349,Equipment!$A$2:$AH1001,MATCH("Slot",Equipment!$A$1:$AH$1,0),FALSE),"")</f>
        <v>Neck</v>
      </c>
      <c r="E349" s="20">
        <f>IFERROR(VLOOKUP($A349,Equipment!$A$2:$AH1001,MATCH("LevelReq",Equipment!$A$1:$AH$1,0),FALSE),"")</f>
        <v>1</v>
      </c>
      <c r="F349" s="18" t="str">
        <f>IFERROR(VLOOKUP($A349,Equipconvrt!$A$2:$AH1001,MATCH("Abilities",Equipconvrt!$A$1:$AH$1,0),FALSE),"")</f>
        <v> ++Plus 5 or Minus 5 on your attack and percentage rolls, Users choice. +-Cannot be duplicated.</v>
      </c>
      <c r="G349" s="20">
        <f>IFERROR(VLOOKUP($A349,Equipment!$A$2:$AD1001,MATCH("Price",Equipment!$A$1:$AH$1,0),FALSE),"")</f>
        <v>0</v>
      </c>
      <c r="H349" s="4" t="b">
        <v>0</v>
      </c>
      <c r="I349" s="1" t="str">
        <f>IFERROR(VLOOKUP($A349,Equipment!$A$2:$AH1001,MATCH("EquipLoc",Equipment!$A$1:$AH$1,0),FALSE),"")</f>
        <v>Dragonscale Island</v>
      </c>
      <c r="W349" s="1" t="str">
        <f>IFERROR(__xludf.DUMMYFUNCTION("""COMPUTED_VALUE"""),"Water Warhammer")</f>
        <v>Water Warhammer</v>
      </c>
      <c r="X349" s="1" t="str">
        <f t="shared" si="1"/>
        <v/>
      </c>
    </row>
    <row r="350">
      <c r="A350" s="1" t="s">
        <v>856</v>
      </c>
      <c r="B350" s="18" t="str">
        <f>IFERROR(VLOOKUP($A350,Equipment!$A$2:$AH1001,MATCH("Description",Equipment!$A$1:$AH$1,0),FALSE),"")</f>
        <v/>
      </c>
      <c r="C350" s="18" t="str">
        <f>IFERROR(VLOOKUP($A350,Equipment!$A$2:$AH1001,MATCH("Type",Equipment!$A$1:$AH$1,0),FALSE),"")</f>
        <v/>
      </c>
      <c r="D350" s="18" t="str">
        <f>IFERROR(VLOOKUP($A350,Equipment!$A$2:$AH1001,MATCH("Slot",Equipment!$A$1:$AH$1,0),FALSE),"")</f>
        <v>Neck</v>
      </c>
      <c r="E350" s="20">
        <f>IFERROR(VLOOKUP($A350,Equipment!$A$2:$AH1001,MATCH("LevelReq",Equipment!$A$1:$AH$1,0),FALSE),"")</f>
        <v>1</v>
      </c>
      <c r="F350" s="18" t="str">
        <f>IFERROR(VLOOKUP($A350,Equipconvrt!$A$2:$AH1001,MATCH("Abilities",Equipconvrt!$A$1:$AH$1,0),FALSE),"")</f>
        <v> ++Plus 5 or Minus 5 on your Loot and Fail/Succeed rolls, Users choice. +-Cannot be duplicated.</v>
      </c>
      <c r="G350" s="20">
        <f>IFERROR(VLOOKUP($A350,Equipment!$A$2:$AD1001,MATCH("Price",Equipment!$A$1:$AH$1,0),FALSE),"")</f>
        <v>0</v>
      </c>
      <c r="H350" s="4" t="b">
        <v>0</v>
      </c>
      <c r="I350" s="1" t="str">
        <f>IFERROR(VLOOKUP($A350,Equipment!$A$2:$AH1001,MATCH("EquipLoc",Equipment!$A$1:$AH$1,0),FALSE),"")</f>
        <v>Dragonscale Island</v>
      </c>
      <c r="W350" s="1" t="str">
        <f>IFERROR(__xludf.DUMMYFUNCTION("""COMPUTED_VALUE"""),"Weaponized Bamboo Hat")</f>
        <v>Weaponized Bamboo Hat</v>
      </c>
      <c r="X350" s="1" t="str">
        <f t="shared" si="1"/>
        <v/>
      </c>
    </row>
    <row r="351">
      <c r="A351" s="1" t="s">
        <v>857</v>
      </c>
      <c r="B351" s="18" t="str">
        <f>IFERROR(VLOOKUP($A351,Equipment!$A$2:$AH1001,MATCH("Description",Equipment!$A$1:$AH$1,0),FALSE),"")</f>
        <v/>
      </c>
      <c r="C351" s="18" t="str">
        <f>IFERROR(VLOOKUP($A351,Equipment!$A$2:$AH1001,MATCH("Type",Equipment!$A$1:$AH$1,0),FALSE),"")</f>
        <v/>
      </c>
      <c r="D351" s="18" t="str">
        <f>IFERROR(VLOOKUP($A351,Equipment!$A$2:$AH1001,MATCH("Slot",Equipment!$A$1:$AH$1,0),FALSE),"")</f>
        <v>Neck</v>
      </c>
      <c r="E351" s="20">
        <f>IFERROR(VLOOKUP($A351,Equipment!$A$2:$AH1001,MATCH("LevelReq",Equipment!$A$1:$AH$1,0),FALSE),"")</f>
        <v>1</v>
      </c>
      <c r="F351" s="18" t="str">
        <f>IFERROR(VLOOKUP($A351,Equipconvrt!$A$2:$AH1001,MATCH("Abilities",Equipconvrt!$A$1:$AH$1,0),FALSE),"")</f>
        <v> ++Allows you to use a companions SP as your own if the companion is a dragon. +-Cannot be duplicated.</v>
      </c>
      <c r="G351" s="20">
        <f>IFERROR(VLOOKUP($A351,Equipment!$A$2:$AD1001,MATCH("Price",Equipment!$A$1:$AH$1,0),FALSE),"")</f>
        <v>0</v>
      </c>
      <c r="H351" s="4" t="b">
        <v>0</v>
      </c>
      <c r="I351" s="1" t="str">
        <f>IFERROR(VLOOKUP($A351,Equipment!$A$2:$AH1001,MATCH("EquipLoc",Equipment!$A$1:$AH$1,0),FALSE),"")</f>
        <v>Dragonscale Island</v>
      </c>
      <c r="W351" s="1" t="str">
        <f>IFERROR(__xludf.DUMMYFUNCTION("""COMPUTED_VALUE"""),"Wig of Temper Fire")</f>
        <v>Wig of Temper Fire</v>
      </c>
      <c r="X351" s="1" t="str">
        <f t="shared" si="1"/>
        <v/>
      </c>
    </row>
    <row r="352">
      <c r="A352" s="1" t="s">
        <v>858</v>
      </c>
      <c r="B352" s="18" t="str">
        <f>IFERROR(VLOOKUP($A352,Equipment!$A$2:$AH1001,MATCH("Description",Equipment!$A$1:$AH$1,0),FALSE),"")</f>
        <v>Quest Item</v>
      </c>
      <c r="C352" s="18" t="str">
        <f>IFERROR(VLOOKUP($A352,Equipment!$A$2:$AH1001,MATCH("Type",Equipment!$A$1:$AH$1,0),FALSE),"")</f>
        <v/>
      </c>
      <c r="D352" s="18" t="str">
        <f>IFERROR(VLOOKUP($A352,Equipment!$A$2:$AH1001,MATCH("Slot",Equipment!$A$1:$AH$1,0),FALSE),"")</f>
        <v>Shoulders</v>
      </c>
      <c r="E352" s="20">
        <f>IFERROR(VLOOKUP($A352,Equipment!$A$2:$AH1001,MATCH("LevelReq",Equipment!$A$1:$AH$1,0),FALSE),"")</f>
        <v>200</v>
      </c>
      <c r="F352" s="18" t="str">
        <f>IFERROR(VLOOKUP($A352,Equipconvrt!$A$2:$AH1001,MATCH("Abilities",Equipconvrt!$A$1:$AH$1,0),FALSE),"")</f>
        <v>DEF: +25000, Light DEF: +25000, Celestial DEF: +25000 +-Cannot be duplicated</v>
      </c>
      <c r="G352" s="20">
        <f>IFERROR(VLOOKUP($A352,Equipment!$A$2:$AD1001,MATCH("Price",Equipment!$A$1:$AH$1,0),FALSE),"")</f>
        <v>111750000</v>
      </c>
      <c r="H352" s="4" t="b">
        <v>1</v>
      </c>
      <c r="I352" s="1" t="str">
        <f>IFERROR(VLOOKUP($A352,Equipment!$A$2:$AH1001,MATCH("EquipLoc",Equipment!$A$1:$AH$1,0),FALSE),"")</f>
        <v>Land of Spira</v>
      </c>
      <c r="W352" s="1" t="str">
        <f>IFERROR(__xludf.DUMMYFUNCTION("""COMPUTED_VALUE"""),"Woodsman’s Hacker")</f>
        <v>Woodsman’s Hacker</v>
      </c>
      <c r="X352" s="1" t="str">
        <f t="shared" si="1"/>
        <v/>
      </c>
    </row>
    <row r="353">
      <c r="A353" s="1" t="s">
        <v>859</v>
      </c>
      <c r="B353" s="18" t="str">
        <f>IFERROR(VLOOKUP($A353,Equipment!$A$2:$AH1001,MATCH("Description",Equipment!$A$1:$AH$1,0),FALSE),"")</f>
        <v>Quest Item</v>
      </c>
      <c r="C353" s="18" t="str">
        <f>IFERROR(VLOOKUP($A353,Equipment!$A$2:$AH1001,MATCH("Type",Equipment!$A$1:$AH$1,0),FALSE),"")</f>
        <v/>
      </c>
      <c r="D353" s="18" t="str">
        <f>IFERROR(VLOOKUP($A353,Equipment!$A$2:$AH1001,MATCH("Slot",Equipment!$A$1:$AH$1,0),FALSE),"")</f>
        <v>Arms</v>
      </c>
      <c r="E353" s="20">
        <f>IFERROR(VLOOKUP($A353,Equipment!$A$2:$AH1001,MATCH("LevelReq",Equipment!$A$1:$AH$1,0),FALSE),"")</f>
        <v>200</v>
      </c>
      <c r="F353" s="18" t="str">
        <f>IFERROR(VLOOKUP($A353,Equipconvrt!$A$2:$AH1001,MATCH("Abilities",Equipconvrt!$A$1:$AH$1,0),FALSE),"")</f>
        <v>DEF: +25000, Light DEF: +25000, Celestial DEF: +25000 +-Cannot be duplicated</v>
      </c>
      <c r="G353" s="20">
        <f>IFERROR(VLOOKUP($A353,Equipment!$A$2:$AD1001,MATCH("Price",Equipment!$A$1:$AH$1,0),FALSE),"")</f>
        <v>111750000</v>
      </c>
      <c r="H353" s="4" t="b">
        <v>1</v>
      </c>
      <c r="I353" s="1" t="str">
        <f>IFERROR(VLOOKUP($A353,Equipment!$A$2:$AH1001,MATCH("EquipLoc",Equipment!$A$1:$AH$1,0),FALSE),"")</f>
        <v>Land of Spira</v>
      </c>
      <c r="W353" s="1" t="str">
        <f>IFERROR(__xludf.DUMMYFUNCTION("""COMPUTED_VALUE"""),"World Tree Sword")</f>
        <v>World Tree Sword</v>
      </c>
      <c r="X353" s="1" t="str">
        <f t="shared" si="1"/>
        <v/>
      </c>
    </row>
    <row r="354">
      <c r="A354" s="1" t="s">
        <v>860</v>
      </c>
      <c r="B354" s="18" t="str">
        <f>IFERROR(VLOOKUP($A354,Equipment!$A$2:$AH1001,MATCH("Description",Equipment!$A$1:$AH$1,0),FALSE),"")</f>
        <v>Quest Item</v>
      </c>
      <c r="C354" s="18" t="str">
        <f>IFERROR(VLOOKUP($A354,Equipment!$A$2:$AH1001,MATCH("Type",Equipment!$A$1:$AH$1,0),FALSE),"")</f>
        <v/>
      </c>
      <c r="D354" s="18" t="str">
        <f>IFERROR(VLOOKUP($A354,Equipment!$A$2:$AH1001,MATCH("Slot",Equipment!$A$1:$AH$1,0),FALSE),"")</f>
        <v>Shoulders</v>
      </c>
      <c r="E354" s="20">
        <f>IFERROR(VLOOKUP($A354,Equipment!$A$2:$AH1001,MATCH("LevelReq",Equipment!$A$1:$AH$1,0),FALSE),"")</f>
        <v>200</v>
      </c>
      <c r="F354" s="18" t="str">
        <f>IFERROR(VLOOKUP($A354,Equipconvrt!$A$2:$AH1001,MATCH("Abilities",Equipconvrt!$A$1:$AH$1,0),FALSE),"")</f>
        <v>DEF: +50000, Light DEF: +50000, Celestial DEF: +50000 +-Cannot be duplicated</v>
      </c>
      <c r="G354" s="20">
        <f>IFERROR(VLOOKUP($A354,Equipment!$A$2:$AD1001,MATCH("Price",Equipment!$A$1:$AH$1,0),FALSE),"")</f>
        <v>448500000</v>
      </c>
      <c r="H354" s="4" t="b">
        <v>1</v>
      </c>
      <c r="I354" s="1" t="str">
        <f>IFERROR(VLOOKUP($A354,Equipment!$A$2:$AH1001,MATCH("EquipLoc",Equipment!$A$1:$AH$1,0),FALSE),"")</f>
        <v>Land of Spira</v>
      </c>
      <c r="W354" s="1" t="str">
        <f>IFERROR(__xludf.DUMMYFUNCTION("""COMPUTED_VALUE"""),"Tear of the Dragon Pendant")</f>
        <v>Tear of the Dragon Pendant</v>
      </c>
      <c r="X354" s="1" t="str">
        <f t="shared" si="1"/>
        <v/>
      </c>
    </row>
    <row r="355">
      <c r="A355" s="1" t="s">
        <v>861</v>
      </c>
      <c r="B355" s="18" t="str">
        <f>IFERROR(VLOOKUP($A355,Equipment!$A$2:$AH1001,MATCH("Description",Equipment!$A$1:$AH$1,0),FALSE),"")</f>
        <v>Quest Item</v>
      </c>
      <c r="C355" s="18" t="str">
        <f>IFERROR(VLOOKUP($A355,Equipment!$A$2:$AH1001,MATCH("Type",Equipment!$A$1:$AH$1,0),FALSE),"")</f>
        <v/>
      </c>
      <c r="D355" s="18" t="str">
        <f>IFERROR(VLOOKUP($A355,Equipment!$A$2:$AH1001,MATCH("Slot",Equipment!$A$1:$AH$1,0),FALSE),"")</f>
        <v>Arms</v>
      </c>
      <c r="E355" s="20">
        <f>IFERROR(VLOOKUP($A355,Equipment!$A$2:$AH1001,MATCH("LevelReq",Equipment!$A$1:$AH$1,0),FALSE),"")</f>
        <v>200</v>
      </c>
      <c r="F355" s="18" t="str">
        <f>IFERROR(VLOOKUP($A355,Equipconvrt!$A$2:$AH1001,MATCH("Abilities",Equipconvrt!$A$1:$AH$1,0),FALSE),"")</f>
        <v>DEF: +50000, Light DEF: +50000, Celestial DEF: +50000 +-Cannot be duplicated</v>
      </c>
      <c r="G355" s="20">
        <f>IFERROR(VLOOKUP($A355,Equipment!$A$2:$AD1001,MATCH("Price",Equipment!$A$1:$AH$1,0),FALSE),"")</f>
        <v>448500000</v>
      </c>
      <c r="H355" s="4" t="b">
        <v>1</v>
      </c>
      <c r="I355" s="1" t="str">
        <f>IFERROR(VLOOKUP($A355,Equipment!$A$2:$AH1001,MATCH("EquipLoc",Equipment!$A$1:$AH$1,0),FALSE),"")</f>
        <v>Land of Spira</v>
      </c>
      <c r="W355" s="1" t="str">
        <f>IFERROR(__xludf.DUMMYFUNCTION("""COMPUTED_VALUE"""),"Luck of the Dragon Pendant")</f>
        <v>Luck of the Dragon Pendant</v>
      </c>
      <c r="X355" s="1" t="str">
        <f t="shared" si="1"/>
        <v/>
      </c>
    </row>
    <row r="356">
      <c r="A356" s="1" t="s">
        <v>862</v>
      </c>
      <c r="B356" s="18" t="str">
        <f>IFERROR(VLOOKUP($A356,Equipment!$A$2:$AH1001,MATCH("Description",Equipment!$A$1:$AH$1,0),FALSE),"")</f>
        <v>Quest Item</v>
      </c>
      <c r="C356" s="18" t="str">
        <f>IFERROR(VLOOKUP($A356,Equipment!$A$2:$AH1001,MATCH("Type",Equipment!$A$1:$AH$1,0),FALSE),"")</f>
        <v/>
      </c>
      <c r="D356" s="18" t="str">
        <f>IFERROR(VLOOKUP($A356,Equipment!$A$2:$AH1001,MATCH("Slot",Equipment!$A$1:$AH$1,0),FALSE),"")</f>
        <v>Shoulders</v>
      </c>
      <c r="E356" s="20">
        <f>IFERROR(VLOOKUP($A356,Equipment!$A$2:$AH1001,MATCH("LevelReq",Equipment!$A$1:$AH$1,0),FALSE),"")</f>
        <v>200</v>
      </c>
      <c r="F356" s="18" t="str">
        <f>IFERROR(VLOOKUP($A356,Equipconvrt!$A$2:$AH1001,MATCH("Abilities",Equipconvrt!$A$1:$AH$1,0),FALSE),"")</f>
        <v>DEF: +100000, Light DEF: +100000, Dark DEF: +100000, Celestial DEF: +100000 ++X2 Celestial Damage. +-Cannot be duplicated.</v>
      </c>
      <c r="G356" s="20">
        <f>IFERROR(VLOOKUP($A356,Equipment!$A$2:$AD1001,MATCH("Price",Equipment!$A$1:$AH$1,0),FALSE),"")</f>
        <v>3196000000</v>
      </c>
      <c r="H356" s="4" t="b">
        <v>1</v>
      </c>
      <c r="I356" s="1" t="str">
        <f>IFERROR(VLOOKUP($A356,Equipment!$A$2:$AH1001,MATCH("EquipLoc",Equipment!$A$1:$AH$1,0),FALSE),"")</f>
        <v>Land of Spira</v>
      </c>
      <c r="W356" s="1" t="str">
        <f>IFERROR(__xludf.DUMMYFUNCTION("""COMPUTED_VALUE"""),"Scale of the Dragon Pendant")</f>
        <v>Scale of the Dragon Pendant</v>
      </c>
      <c r="X356" s="1" t="str">
        <f t="shared" si="1"/>
        <v/>
      </c>
    </row>
    <row r="357">
      <c r="A357" s="1" t="s">
        <v>863</v>
      </c>
      <c r="B357" s="18" t="str">
        <f>IFERROR(VLOOKUP($A357,Equipment!$A$2:$AH1001,MATCH("Description",Equipment!$A$1:$AH$1,0),FALSE),"")</f>
        <v>Quest Item</v>
      </c>
      <c r="C357" s="18" t="str">
        <f>IFERROR(VLOOKUP($A357,Equipment!$A$2:$AH1001,MATCH("Type",Equipment!$A$1:$AH$1,0),FALSE),"")</f>
        <v/>
      </c>
      <c r="D357" s="18" t="str">
        <f>IFERROR(VLOOKUP($A357,Equipment!$A$2:$AH1001,MATCH("Slot",Equipment!$A$1:$AH$1,0),FALSE),"")</f>
        <v>Arms</v>
      </c>
      <c r="E357" s="20">
        <f>IFERROR(VLOOKUP($A357,Equipment!$A$2:$AH1001,MATCH("LevelReq",Equipment!$A$1:$AH$1,0),FALSE),"")</f>
        <v>200</v>
      </c>
      <c r="F357" s="18" t="str">
        <f>IFERROR(VLOOKUP($A357,Equipconvrt!$A$2:$AH1001,MATCH("Abilities",Equipconvrt!$A$1:$AH$1,0),FALSE),"")</f>
        <v>DEF: +100000, Light DEF: +100000, Dark DEF: +100000, Celestial DEF: +100000 ++X2 Celestial Damage. +-Cannot be duplicated.</v>
      </c>
      <c r="G357" s="20">
        <f>IFERROR(VLOOKUP($A357,Equipment!$A$2:$AD1001,MATCH("Price",Equipment!$A$1:$AH$1,0),FALSE),"")</f>
        <v>3196000000</v>
      </c>
      <c r="H357" s="4" t="b">
        <v>1</v>
      </c>
      <c r="I357" s="1" t="str">
        <f>IFERROR(VLOOKUP($A357,Equipment!$A$2:$AH1001,MATCH("EquipLoc",Equipment!$A$1:$AH$1,0),FALSE),"")</f>
        <v>Land of Spira</v>
      </c>
      <c r="W357" s="1" t="str">
        <f>IFERROR(__xludf.DUMMYFUNCTION("""COMPUTED_VALUE"""),"Guard Pauldrons")</f>
        <v>Guard Pauldrons</v>
      </c>
      <c r="X357" s="1" t="str">
        <f t="shared" si="1"/>
        <v/>
      </c>
    </row>
    <row r="358">
      <c r="A358" s="1" t="s">
        <v>864</v>
      </c>
      <c r="B358" s="18" t="str">
        <f>IFERROR(VLOOKUP($A358,Equipment!$A$2:$AH1001,MATCH("Description",Equipment!$A$1:$AH$1,0),FALSE),"")</f>
        <v>Quest Item</v>
      </c>
      <c r="C358" s="18" t="str">
        <f>IFERROR(VLOOKUP($A358,Equipment!$A$2:$AH1001,MATCH("Type",Equipment!$A$1:$AH$1,0),FALSE),"")</f>
        <v>Towershield</v>
      </c>
      <c r="D358" s="18" t="str">
        <f>IFERROR(VLOOKUP($A358,Equipment!$A$2:$AH1001,MATCH("Slot",Equipment!$A$1:$AH$1,0),FALSE),"")</f>
        <v>Hand</v>
      </c>
      <c r="E358" s="20">
        <f>IFERROR(VLOOKUP($A358,Equipment!$A$2:$AH1001,MATCH("LevelReq",Equipment!$A$1:$AH$1,0),FALSE),"")</f>
        <v>200</v>
      </c>
      <c r="F358" s="18" t="str">
        <f>IFERROR(VLOOKUP($A358,Equipconvrt!$A$2:$AH1001,MATCH("Abilities",Equipconvrt!$A$1:$AH$1,0),FALSE),"")</f>
        <v>DEF: +50000, Light DEF: +50000, Dark DEF: +50000, Celestial DEF: +50000 ++X2 Celestial Defense. +-Cannot be duplicated.</v>
      </c>
      <c r="G358" s="20">
        <f>IFERROR(VLOOKUP($A358,Equipment!$A$2:$AD1001,MATCH("Price",Equipment!$A$1:$AH$1,0),FALSE),"")</f>
        <v>798000000</v>
      </c>
      <c r="H358" s="4" t="b">
        <v>1</v>
      </c>
      <c r="I358" s="1" t="str">
        <f>IFERROR(VLOOKUP($A358,Equipment!$A$2:$AH1001,MATCH("EquipLoc",Equipment!$A$1:$AH$1,0),FALSE),"")</f>
        <v>Land of Spira</v>
      </c>
      <c r="W358" s="1" t="str">
        <f>IFERROR(__xludf.DUMMYFUNCTION("""COMPUTED_VALUE"""),"Guard Vambraces")</f>
        <v>Guard Vambraces</v>
      </c>
      <c r="X358" s="1" t="str">
        <f t="shared" si="1"/>
        <v/>
      </c>
    </row>
    <row r="359">
      <c r="A359" s="1" t="s">
        <v>865</v>
      </c>
      <c r="B359" s="18" t="str">
        <f>IFERROR(VLOOKUP($A359,Equipment!$A$2:$AH1001,MATCH("Description",Equipment!$A$1:$AH$1,0),FALSE),"")</f>
        <v>Quest Item</v>
      </c>
      <c r="C359" s="18" t="str">
        <f>IFERROR(VLOOKUP($A359,Equipment!$A$2:$AH1001,MATCH("Type",Equipment!$A$1:$AH$1,0),FALSE),"")</f>
        <v/>
      </c>
      <c r="D359" s="18" t="str">
        <f>IFERROR(VLOOKUP($A359,Equipment!$A$2:$AH1001,MATCH("Slot",Equipment!$A$1:$AH$1,0),FALSE),"")</f>
        <v>Legs</v>
      </c>
      <c r="E359" s="20">
        <f>IFERROR(VLOOKUP($A359,Equipment!$A$2:$AH1001,MATCH("LevelReq",Equipment!$A$1:$AH$1,0),FALSE),"")</f>
        <v>200</v>
      </c>
      <c r="F359" s="18" t="str">
        <f>IFERROR(VLOOKUP($A359,Equipconvrt!$A$2:$AH1001,MATCH("Abilities",Equipconvrt!$A$1:$AH$1,0),FALSE),"")</f>
        <v>DEF: +25000, Light DEF: +25000, Celestial DEF: +25000 +-Cannot be duplicated</v>
      </c>
      <c r="G359" s="20">
        <f>IFERROR(VLOOKUP($A359,Equipment!$A$2:$AD1001,MATCH("Price",Equipment!$A$1:$AH$1,0),FALSE),"")</f>
        <v>111750000</v>
      </c>
      <c r="H359" s="4" t="b">
        <v>1</v>
      </c>
      <c r="I359" s="1" t="str">
        <f>IFERROR(VLOOKUP($A359,Equipment!$A$2:$AH1001,MATCH("EquipLoc",Equipment!$A$1:$AH$1,0),FALSE),"")</f>
        <v>Land of Spira</v>
      </c>
      <c r="W359" s="1" t="str">
        <f>IFERROR(__xludf.DUMMYFUNCTION("""COMPUTED_VALUE"""),"Royal Guard Pauldrons")</f>
        <v>Royal Guard Pauldrons</v>
      </c>
      <c r="X359" s="1" t="str">
        <f t="shared" si="1"/>
        <v/>
      </c>
    </row>
    <row r="360">
      <c r="A360" s="1" t="s">
        <v>866</v>
      </c>
      <c r="B360" s="18" t="str">
        <f>IFERROR(VLOOKUP($A360,Equipment!$A$2:$AH1001,MATCH("Description",Equipment!$A$1:$AH$1,0),FALSE),"")</f>
        <v>Quest Item</v>
      </c>
      <c r="C360" s="18" t="str">
        <f>IFERROR(VLOOKUP($A360,Equipment!$A$2:$AH1001,MATCH("Type",Equipment!$A$1:$AH$1,0),FALSE),"")</f>
        <v/>
      </c>
      <c r="D360" s="18" t="str">
        <f>IFERROR(VLOOKUP($A360,Equipment!$A$2:$AH1001,MATCH("Slot",Equipment!$A$1:$AH$1,0),FALSE),"")</f>
        <v>Feet</v>
      </c>
      <c r="E360" s="20">
        <f>IFERROR(VLOOKUP($A360,Equipment!$A$2:$AH1001,MATCH("LevelReq",Equipment!$A$1:$AH$1,0),FALSE),"")</f>
        <v>200</v>
      </c>
      <c r="F360" s="18" t="str">
        <f>IFERROR(VLOOKUP($A360,Equipconvrt!$A$2:$AH1001,MATCH("Abilities",Equipconvrt!$A$1:$AH$1,0),FALSE),"")</f>
        <v>DEF: +25000, Light DEF: +25000, Celestial DEF: +25000 +-Cannot be duplicated</v>
      </c>
      <c r="G360" s="20">
        <f>IFERROR(VLOOKUP($A360,Equipment!$A$2:$AD1001,MATCH("Price",Equipment!$A$1:$AH$1,0),FALSE),"")</f>
        <v>111750000</v>
      </c>
      <c r="H360" s="4" t="b">
        <v>1</v>
      </c>
      <c r="I360" s="1" t="str">
        <f>IFERROR(VLOOKUP($A360,Equipment!$A$2:$AH1001,MATCH("EquipLoc",Equipment!$A$1:$AH$1,0),FALSE),"")</f>
        <v>Land of Spira</v>
      </c>
      <c r="W360" s="1" t="str">
        <f>IFERROR(__xludf.DUMMYFUNCTION("""COMPUTED_VALUE"""),"Royal Guard Vambraces")</f>
        <v>Royal Guard Vambraces</v>
      </c>
      <c r="X360" s="1" t="str">
        <f t="shared" si="1"/>
        <v/>
      </c>
    </row>
    <row r="361">
      <c r="A361" s="1" t="s">
        <v>867</v>
      </c>
      <c r="B361" s="18" t="str">
        <f>IFERROR(VLOOKUP($A361,Equipment!$A$2:$AH1001,MATCH("Description",Equipment!$A$1:$AH$1,0),FALSE),"")</f>
        <v>Quest Item</v>
      </c>
      <c r="C361" s="18" t="str">
        <f>IFERROR(VLOOKUP($A361,Equipment!$A$2:$AH1001,MATCH("Type",Equipment!$A$1:$AH$1,0),FALSE),"")</f>
        <v/>
      </c>
      <c r="D361" s="18" t="str">
        <f>IFERROR(VLOOKUP($A361,Equipment!$A$2:$AH1001,MATCH("Slot",Equipment!$A$1:$AH$1,0),FALSE),"")</f>
        <v>Feet</v>
      </c>
      <c r="E361" s="20">
        <f>IFERROR(VLOOKUP($A361,Equipment!$A$2:$AH1001,MATCH("LevelReq",Equipment!$A$1:$AH$1,0),FALSE),"")</f>
        <v>200</v>
      </c>
      <c r="F361" s="18" t="str">
        <f>IFERROR(VLOOKUP($A361,Equipconvrt!$A$2:$AH1001,MATCH("Abilities",Equipconvrt!$A$1:$AH$1,0),FALSE),"")</f>
        <v>DEF: +100000, Light DEF: +100000, Dark DEF: +100000, Celestial DEF: +100000 ++X6 Celestial Damage. +-Cannot be duplicated.</v>
      </c>
      <c r="G361" s="20">
        <f>IFERROR(VLOOKUP($A361,Equipment!$A$2:$AD1001,MATCH("Price",Equipment!$A$1:$AH$1,0),FALSE),"")</f>
        <v>3196000000</v>
      </c>
      <c r="H361" s="4" t="b">
        <v>1</v>
      </c>
      <c r="I361" s="1" t="str">
        <f>IFERROR(VLOOKUP($A361,Equipment!$A$2:$AH1001,MATCH("EquipLoc",Equipment!$A$1:$AH$1,0),FALSE),"")</f>
        <v>Land of Spira</v>
      </c>
      <c r="W361" s="1" t="str">
        <f>IFERROR(__xludf.DUMMYFUNCTION("""COMPUTED_VALUE"""),"Celestian Royal Pauldrons")</f>
        <v>Celestian Royal Pauldrons</v>
      </c>
      <c r="X361" s="1" t="str">
        <f t="shared" si="1"/>
        <v/>
      </c>
    </row>
    <row r="362">
      <c r="A362" s="1" t="s">
        <v>868</v>
      </c>
      <c r="B362" s="18" t="str">
        <f>IFERROR(VLOOKUP($A362,Equipment!$A$2:$AH1001,MATCH("Description",Equipment!$A$1:$AH$1,0),FALSE),"")</f>
        <v>Quest Item</v>
      </c>
      <c r="C362" s="18" t="str">
        <f>IFERROR(VLOOKUP($A362,Equipment!$A$2:$AH1001,MATCH("Type",Equipment!$A$1:$AH$1,0),FALSE),"")</f>
        <v/>
      </c>
      <c r="D362" s="18" t="str">
        <f>IFERROR(VLOOKUP($A362,Equipment!$A$2:$AH1001,MATCH("Slot",Equipment!$A$1:$AH$1,0),FALSE),"")</f>
        <v>Legs</v>
      </c>
      <c r="E362" s="20">
        <f>IFERROR(VLOOKUP($A362,Equipment!$A$2:$AH1001,MATCH("LevelReq",Equipment!$A$1:$AH$1,0),FALSE),"")</f>
        <v>200</v>
      </c>
      <c r="F362" s="18" t="str">
        <f>IFERROR(VLOOKUP($A362,Equipconvrt!$A$2:$AH1001,MATCH("Abilities",Equipconvrt!$A$1:$AH$1,0),FALSE),"")</f>
        <v>DEF: +100000, Light DEF: +100000, Dark DEF: +100000, Celestial DEF: +100000 ++X6 Celestial Damage. +-Cannot be duplicated.</v>
      </c>
      <c r="G362" s="20">
        <f>IFERROR(VLOOKUP($A362,Equipment!$A$2:$AD1001,MATCH("Price",Equipment!$A$1:$AH$1,0),FALSE),"")</f>
        <v>3196000000</v>
      </c>
      <c r="H362" s="4" t="b">
        <v>1</v>
      </c>
      <c r="I362" s="1" t="str">
        <f>IFERROR(VLOOKUP($A362,Equipment!$A$2:$AH1001,MATCH("EquipLoc",Equipment!$A$1:$AH$1,0),FALSE),"")</f>
        <v>Land of Spira</v>
      </c>
      <c r="W362" s="1" t="str">
        <f>IFERROR(__xludf.DUMMYFUNCTION("""COMPUTED_VALUE"""),"Celestian Royal Vambraces")</f>
        <v>Celestian Royal Vambraces</v>
      </c>
      <c r="X362" s="1" t="str">
        <f t="shared" si="1"/>
        <v/>
      </c>
    </row>
    <row r="363">
      <c r="A363" s="4" t="s">
        <v>869</v>
      </c>
      <c r="B363" s="18" t="str">
        <f>IFERROR(VLOOKUP($A363,Equipment!$A$2:$AH1001,MATCH("Description",Equipment!$A$1:$AH$1,0),FALSE),"")</f>
        <v>Quest Item</v>
      </c>
      <c r="C363" s="18" t="str">
        <f>IFERROR(VLOOKUP($A363,Equipment!$A$2:$AH1001,MATCH("Type",Equipment!$A$1:$AH$1,0),FALSE),"")</f>
        <v/>
      </c>
      <c r="D363" s="18" t="str">
        <f>IFERROR(VLOOKUP($A363,Equipment!$A$2:$AH1001,MATCH("Slot",Equipment!$A$1:$AH$1,0),FALSE),"")</f>
        <v>Head</v>
      </c>
      <c r="E363" s="20">
        <f>IFERROR(VLOOKUP($A363,Equipment!$A$2:$AH1001,MATCH("LevelReq",Equipment!$A$1:$AH$1,0),FALSE),"")</f>
        <v>200</v>
      </c>
      <c r="F363" s="18" t="str">
        <f>IFERROR(VLOOKUP($A363,Equipconvrt!$A$2:$AH1001,MATCH("Abilities",Equipconvrt!$A$1:$AH$1,0),FALSE),"")</f>
        <v>DEF: +100000, Light DEF: +100000, Dark DEF: +100000, Celestial DEF: +100000 ++X6 Celestial Damage. +-Cannot be duplicated.</v>
      </c>
      <c r="G363" s="20">
        <f>IFERROR(VLOOKUP($A363,Equipment!$A$2:$AD1001,MATCH("Price",Equipment!$A$1:$AH$1,0),FALSE),"")</f>
        <v>3196000000</v>
      </c>
      <c r="H363" s="4" t="b">
        <v>1</v>
      </c>
      <c r="I363" s="1" t="str">
        <f>IFERROR(VLOOKUP($A363,Equipment!$A$2:$AH1001,MATCH("EquipLoc",Equipment!$A$1:$AH$1,0),FALSE),"")</f>
        <v>Land of Spira</v>
      </c>
      <c r="W363" s="1" t="str">
        <f>IFERROR(__xludf.DUMMYFUNCTION("""COMPUTED_VALUE"""),"Royal Guard Shield")</f>
        <v>Royal Guard Shield</v>
      </c>
      <c r="X363" s="1" t="str">
        <f t="shared" si="1"/>
        <v/>
      </c>
    </row>
    <row r="364">
      <c r="A364" s="1" t="s">
        <v>870</v>
      </c>
      <c r="B364" s="18" t="str">
        <f>IFERROR(VLOOKUP($A364,Equipment!$A$2:$AH1001,MATCH("Description",Equipment!$A$1:$AH$1,0),FALSE),"")</f>
        <v>Quest Item</v>
      </c>
      <c r="C364" s="18" t="str">
        <f>IFERROR(VLOOKUP($A364,Equipment!$A$2:$AH1001,MATCH("Type",Equipment!$A$1:$AH$1,0),FALSE),"")</f>
        <v/>
      </c>
      <c r="D364" s="18" t="str">
        <f>IFERROR(VLOOKUP($A364,Equipment!$A$2:$AH1001,MATCH("Slot",Equipment!$A$1:$AH$1,0),FALSE),"")</f>
        <v>Torso</v>
      </c>
      <c r="E364" s="20">
        <f>IFERROR(VLOOKUP($A364,Equipment!$A$2:$AH1001,MATCH("LevelReq",Equipment!$A$1:$AH$1,0),FALSE),"")</f>
        <v>200</v>
      </c>
      <c r="F364" s="18" t="str">
        <f>IFERROR(VLOOKUP($A364,Equipconvrt!$A$2:$AH1001,MATCH("Abilities",Equipconvrt!$A$1:$AH$1,0),FALSE),"")</f>
        <v>DEF: +100000, Light DEF: +100000, Dark DEF: +100000, Celestial DEF: +100000 ++X6 Celestial Damage. +-Cannot be duplicated.</v>
      </c>
      <c r="G364" s="20">
        <f>IFERROR(VLOOKUP($A364,Equipment!$A$2:$AD1001,MATCH("Price",Equipment!$A$1:$AH$1,0),FALSE),"")</f>
        <v>3196000000</v>
      </c>
      <c r="H364" s="4" t="b">
        <v>1</v>
      </c>
      <c r="I364" s="1" t="str">
        <f>IFERROR(VLOOKUP($A364,Equipment!$A$2:$AH1001,MATCH("EquipLoc",Equipment!$A$1:$AH$1,0),FALSE),"")</f>
        <v>Land of Spira</v>
      </c>
      <c r="W364" s="1" t="str">
        <f>IFERROR(__xludf.DUMMYFUNCTION("""COMPUTED_VALUE"""),"Guard Leggings")</f>
        <v>Guard Leggings</v>
      </c>
      <c r="X364" s="1" t="str">
        <f t="shared" si="1"/>
        <v/>
      </c>
    </row>
    <row r="365">
      <c r="A365" s="1" t="s">
        <v>871</v>
      </c>
      <c r="B365" s="18" t="str">
        <f>IFERROR(VLOOKUP($A365,Equipment!$A$2:$AH1001,MATCH("Description",Equipment!$A$1:$AH$1,0),FALSE),"")</f>
        <v>Quest Item</v>
      </c>
      <c r="C365" s="18" t="str">
        <f>IFERROR(VLOOKUP($A365,Equipment!$A$2:$AH1001,MATCH("Type",Equipment!$A$1:$AH$1,0),FALSE),"")</f>
        <v/>
      </c>
      <c r="D365" s="18" t="str">
        <f>IFERROR(VLOOKUP($A365,Equipment!$A$2:$AH1001,MATCH("Slot",Equipment!$A$1:$AH$1,0),FALSE),"")</f>
        <v>Torso</v>
      </c>
      <c r="E365" s="20">
        <f>IFERROR(VLOOKUP($A365,Equipment!$A$2:$AH1001,MATCH("LevelReq",Equipment!$A$1:$AH$1,0),FALSE),"")</f>
        <v>200</v>
      </c>
      <c r="F365" s="18" t="str">
        <f>IFERROR(VLOOKUP($A365,Equipconvrt!$A$2:$AH1001,MATCH("Abilities",Equipconvrt!$A$1:$AH$1,0),FALSE),"")</f>
        <v>DEF: +25000, Light DEF: +25000, Celestial DEF: +25000 +-Cannot be duplicated.</v>
      </c>
      <c r="G365" s="20">
        <f>IFERROR(VLOOKUP($A365,Equipment!$A$2:$AD1001,MATCH("Price",Equipment!$A$1:$AH$1,0),FALSE),"")</f>
        <v>111750000</v>
      </c>
      <c r="H365" s="4" t="b">
        <v>1</v>
      </c>
      <c r="I365" s="1" t="str">
        <f>IFERROR(VLOOKUP($A365,Equipment!$A$2:$AH1001,MATCH("EquipLoc",Equipment!$A$1:$AH$1,0),FALSE),"")</f>
        <v>Land of Spira</v>
      </c>
      <c r="W365" s="1" t="str">
        <f>IFERROR(__xludf.DUMMYFUNCTION("""COMPUTED_VALUE"""),"Guard Boots")</f>
        <v>Guard Boots</v>
      </c>
      <c r="X365" s="1" t="str">
        <f t="shared" si="1"/>
        <v/>
      </c>
    </row>
    <row r="366">
      <c r="A366" s="1" t="s">
        <v>872</v>
      </c>
      <c r="B366" s="18" t="str">
        <f>IFERROR(VLOOKUP($A366,Equipment!$A$2:$AH1001,MATCH("Description",Equipment!$A$1:$AH$1,0),FALSE),"")</f>
        <v/>
      </c>
      <c r="C366" s="18" t="str">
        <f>IFERROR(VLOOKUP($A366,Equipment!$A$2:$AH1001,MATCH("Type",Equipment!$A$1:$AH$1,0),FALSE),"")</f>
        <v>Firearm</v>
      </c>
      <c r="D366" s="18" t="str">
        <f>IFERROR(VLOOKUP($A366,Equipment!$A$2:$AH1001,MATCH("Slot",Equipment!$A$1:$AH$1,0),FALSE),"")</f>
        <v>Hand</v>
      </c>
      <c r="E366" s="20">
        <f>IFERROR(VLOOKUP($A366,Equipment!$A$2:$AH1001,MATCH("LevelReq",Equipment!$A$1:$AH$1,0),FALSE),"")</f>
        <v>200</v>
      </c>
      <c r="F366" s="18" t="str">
        <f>IFERROR(VLOOKUP($A366,Equipconvrt!$A$2:$AH1001,MATCH("Abilities",Equipconvrt!$A$1:$AH$1,0),FALSE),"")</f>
        <v>DMG: +5000, Blood DMG: +5000</v>
      </c>
      <c r="G366" s="20">
        <f>IFERROR(VLOOKUP($A366,Equipment!$A$2:$AD1001,MATCH("Price",Equipment!$A$1:$AH$1,0),FALSE),"")</f>
        <v>1900000</v>
      </c>
      <c r="H366" s="4" t="b">
        <v>0</v>
      </c>
      <c r="I366" s="1" t="str">
        <f>IFERROR(VLOOKUP($A366,Equipment!$A$2:$AH1001,MATCH("EquipLoc",Equipment!$A$1:$AH$1,0),FALSE),"")</f>
        <v>Land of Spira</v>
      </c>
      <c r="W366" s="1" t="str">
        <f>IFERROR(__xludf.DUMMYFUNCTION("""COMPUTED_VALUE"""),"Celestian Royal Boots")</f>
        <v>Celestian Royal Boots</v>
      </c>
      <c r="X366" s="1" t="str">
        <f t="shared" si="1"/>
        <v/>
      </c>
    </row>
    <row r="367">
      <c r="A367" s="1" t="s">
        <v>873</v>
      </c>
      <c r="B367" s="18" t="str">
        <f>IFERROR(VLOOKUP($A367,Equipment!$A$2:$AH1001,MATCH("Description",Equipment!$A$1:$AH$1,0),FALSE),"")</f>
        <v/>
      </c>
      <c r="C367" s="18" t="str">
        <f>IFERROR(VLOOKUP($A367,Equipment!$A$2:$AH1001,MATCH("Type",Equipment!$A$1:$AH$1,0),FALSE),"")</f>
        <v>Firearm</v>
      </c>
      <c r="D367" s="18" t="str">
        <f>IFERROR(VLOOKUP($A367,Equipment!$A$2:$AH1001,MATCH("Slot",Equipment!$A$1:$AH$1,0),FALSE),"")</f>
        <v>Hand</v>
      </c>
      <c r="E367" s="20">
        <f>IFERROR(VLOOKUP($A367,Equipment!$A$2:$AH1001,MATCH("LevelReq",Equipment!$A$1:$AH$1,0),FALSE),"")</f>
        <v>400</v>
      </c>
      <c r="F367" s="18" t="str">
        <f>IFERROR(VLOOKUP($A367,Equipconvrt!$A$2:$AH1001,MATCH("Abilities",Equipconvrt!$A$1:$AH$1,0),FALSE),"")</f>
        <v>DMG: +10000, Blood DMG: +10000</v>
      </c>
      <c r="G367" s="20">
        <f>IFERROR(VLOOKUP($A367,Equipment!$A$2:$AD1001,MATCH("Price",Equipment!$A$1:$AH$1,0),FALSE),"")</f>
        <v>7800000</v>
      </c>
      <c r="H367" s="4" t="b">
        <v>0</v>
      </c>
      <c r="I367" s="1" t="str">
        <f>IFERROR(VLOOKUP($A367,Equipment!$A$2:$AH1001,MATCH("EquipLoc",Equipment!$A$1:$AH$1,0),FALSE),"")</f>
        <v>Land of Spira</v>
      </c>
      <c r="W367" s="1" t="str">
        <f>IFERROR(__xludf.DUMMYFUNCTION("""COMPUTED_VALUE"""),"Celestian Royal Leggings")</f>
        <v>Celestian Royal Leggings</v>
      </c>
      <c r="X367" s="1" t="str">
        <f t="shared" si="1"/>
        <v/>
      </c>
    </row>
    <row r="368">
      <c r="A368" s="1" t="s">
        <v>874</v>
      </c>
      <c r="B368" s="18" t="str">
        <f>IFERROR(VLOOKUP($A368,Equipment!$A$2:$AH1001,MATCH("Description",Equipment!$A$1:$AH$1,0),FALSE),"")</f>
        <v/>
      </c>
      <c r="C368" s="18" t="str">
        <f>IFERROR(VLOOKUP($A368,Equipment!$A$2:$AH1001,MATCH("Type",Equipment!$A$1:$AH$1,0),FALSE),"")</f>
        <v>Firearm</v>
      </c>
      <c r="D368" s="18" t="str">
        <f>IFERROR(VLOOKUP($A368,Equipment!$A$2:$AH1001,MATCH("Slot",Equipment!$A$1:$AH$1,0),FALSE),"")</f>
        <v>Hand</v>
      </c>
      <c r="E368" s="20">
        <f>IFERROR(VLOOKUP($A368,Equipment!$A$2:$AH1001,MATCH("LevelReq",Equipment!$A$1:$AH$1,0),FALSE),"")</f>
        <v>1600</v>
      </c>
      <c r="F368" s="18" t="str">
        <f>IFERROR(VLOOKUP($A368,Equipconvrt!$A$2:$AH1001,MATCH("Abilities",Equipconvrt!$A$1:$AH$1,0),FALSE),"")</f>
        <v>DMG: +40000, Blood DMG: +40000 ++Damages all enemies, Cannot Avoid. ++Ignores defense, ++Does not need ammunition. +-Cannot be forged. </v>
      </c>
      <c r="G368" s="20">
        <f>IFERROR(VLOOKUP($A368,Equipment!$A$2:$AD1001,MATCH("Price",Equipment!$A$1:$AH$1,0),FALSE),"")</f>
        <v>127200000</v>
      </c>
      <c r="H368" s="4" t="b">
        <v>0</v>
      </c>
      <c r="I368" s="1" t="str">
        <f>IFERROR(VLOOKUP($A368,Equipment!$A$2:$AH1001,MATCH("EquipLoc",Equipment!$A$1:$AH$1,0),FALSE),"")</f>
        <v>Land of Spira</v>
      </c>
      <c r="W368" s="1" t="str">
        <f>IFERROR(__xludf.DUMMYFUNCTION("""COMPUTED_VALUE"""),"Celestian Royal Helmet")</f>
        <v>Celestian Royal Helmet</v>
      </c>
      <c r="X368" s="1" t="str">
        <f t="shared" si="1"/>
        <v/>
      </c>
    </row>
    <row r="369">
      <c r="A369" s="1" t="s">
        <v>875</v>
      </c>
      <c r="B369" s="18" t="str">
        <f>IFERROR(VLOOKUP($A369,Equipment!$A$2:$AH1001,MATCH("Description",Equipment!$A$1:$AH$1,0),FALSE),"")</f>
        <v/>
      </c>
      <c r="C369" s="18" t="str">
        <f>IFERROR(VLOOKUP($A369,Equipment!$A$2:$AH1001,MATCH("Type",Equipment!$A$1:$AH$1,0),FALSE),"")</f>
        <v>Firearm</v>
      </c>
      <c r="D369" s="18" t="str">
        <f>IFERROR(VLOOKUP($A369,Equipment!$A$2:$AH1001,MATCH("Slot",Equipment!$A$1:$AH$1,0),FALSE),"")</f>
        <v>Hand</v>
      </c>
      <c r="E369" s="20">
        <f>IFERROR(VLOOKUP($A369,Equipment!$A$2:$AH1001,MATCH("LevelReq",Equipment!$A$1:$AH$1,0),FALSE),"")</f>
        <v>1200</v>
      </c>
      <c r="F369" s="18" t="str">
        <f>IFERROR(VLOOKUP($A369,Equipconvrt!$A$2:$AH1001,MATCH("Abilities",Equipconvrt!$A$1:$AH$1,0),FALSE),"")</f>
        <v>DMG: +30000, Blood DMG: +30000 ++Damages all enemies, Cannot Avoid, Roll a d100 the turn you use this weapon to see how many bullets it shoots.</v>
      </c>
      <c r="G369" s="20">
        <f>IFERROR(VLOOKUP($A369,Equipment!$A$2:$AD1001,MATCH("Price",Equipment!$A$1:$AH$1,0),FALSE),"")</f>
        <v>71400000</v>
      </c>
      <c r="H369" s="4" t="b">
        <v>0</v>
      </c>
      <c r="I369" s="1" t="str">
        <f>IFERROR(VLOOKUP($A369,Equipment!$A$2:$AH1001,MATCH("EquipLoc",Equipment!$A$1:$AH$1,0),FALSE),"")</f>
        <v>Land of Spira</v>
      </c>
      <c r="W369" s="1" t="str">
        <f>IFERROR(__xludf.DUMMYFUNCTION("""COMPUTED_VALUE"""),"Celestian Royal Chestplate")</f>
        <v>Celestian Royal Chestplate</v>
      </c>
      <c r="X369" s="1" t="str">
        <f t="shared" si="1"/>
        <v/>
      </c>
    </row>
    <row r="370">
      <c r="A370" s="1" t="s">
        <v>876</v>
      </c>
      <c r="B370" s="18" t="str">
        <f>IFERROR(VLOOKUP($A370,Equipment!$A$2:$AH1001,MATCH("Description",Equipment!$A$1:$AH$1,0),FALSE),"")</f>
        <v/>
      </c>
      <c r="C370" s="18" t="str">
        <f>IFERROR(VLOOKUP($A370,Equipment!$A$2:$AH1001,MATCH("Type",Equipment!$A$1:$AH$1,0),FALSE),"")</f>
        <v/>
      </c>
      <c r="D370" s="18" t="str">
        <f>IFERROR(VLOOKUP($A370,Equipment!$A$2:$AH1001,MATCH("Slot",Equipment!$A$1:$AH$1,0),FALSE),"")</f>
        <v>Ring</v>
      </c>
      <c r="E370" s="20">
        <f>IFERROR(VLOOKUP($A370,Equipment!$A$2:$AH1001,MATCH("LevelReq",Equipment!$A$1:$AH$1,0),FALSE),"")</f>
        <v>20</v>
      </c>
      <c r="F370" s="18" t="str">
        <f>IFERROR(VLOOKUP($A370,Equipconvrt!$A$2:$AH1001,MATCH("Abilities",Equipconvrt!$A$1:$AH$1,0),FALSE),"")</f>
        <v>, Nature : +1000 ++When fishing you have a 5% chance to encounter a rare seahorse, and he will give you a unique item (Chosen by a DM/GM)</v>
      </c>
      <c r="G370" s="20">
        <f>IFERROR(VLOOKUP($A370,Equipment!$A$2:$AD1001,MATCH("Price",Equipment!$A$1:$AH$1,0),FALSE),"")</f>
        <v>10000</v>
      </c>
      <c r="H370" s="4" t="b">
        <v>0</v>
      </c>
      <c r="I370" s="1" t="str">
        <f>IFERROR(VLOOKUP($A370,Equipment!$A$2:$AH1001,MATCH("EquipLoc",Equipment!$A$1:$AH$1,0),FALSE),"")</f>
        <v>Land of Spira</v>
      </c>
      <c r="W370" s="1" t="str">
        <f>IFERROR(__xludf.DUMMYFUNCTION("""COMPUTED_VALUE"""),"Guard Chestplate")</f>
        <v>Guard Chestplate</v>
      </c>
      <c r="X370" s="1" t="str">
        <f t="shared" si="1"/>
        <v/>
      </c>
    </row>
    <row r="371">
      <c r="A371" s="1" t="s">
        <v>877</v>
      </c>
      <c r="B371" s="18" t="str">
        <f>IFERROR(VLOOKUP($A371,Equipment!$A$2:$AH1001,MATCH("Description",Equipment!$A$1:$AH$1,0),FALSE),"")</f>
        <v/>
      </c>
      <c r="C371" s="18" t="str">
        <f>IFERROR(VLOOKUP($A371,Equipment!$A$2:$AH1001,MATCH("Type",Equipment!$A$1:$AH$1,0),FALSE),"")</f>
        <v/>
      </c>
      <c r="D371" s="18" t="str">
        <f>IFERROR(VLOOKUP($A371,Equipment!$A$2:$AH1001,MATCH("Slot",Equipment!$A$1:$AH$1,0),FALSE),"")</f>
        <v>Arms</v>
      </c>
      <c r="E371" s="20">
        <f>IFERROR(VLOOKUP($A371,Equipment!$A$2:$AH1001,MATCH("LevelReq",Equipment!$A$1:$AH$1,0),FALSE),"")</f>
        <v>40</v>
      </c>
      <c r="F371" s="18" t="str">
        <f>IFERROR(VLOOKUP($A371,Equipconvrt!$A$2:$AH1001,MATCH("Abilities",Equipconvrt!$A$1:$AH$1,0),FALSE),"")</f>
        <v>DEF: +1000, Nature DEF: +1000</v>
      </c>
      <c r="G371" s="20">
        <f>IFERROR(VLOOKUP($A371,Equipment!$A$2:$AD1001,MATCH("Price",Equipment!$A$1:$AH$1,0),FALSE),"")</f>
        <v>60000</v>
      </c>
      <c r="H371" s="4" t="b">
        <v>0</v>
      </c>
      <c r="I371" s="1" t="str">
        <f>IFERROR(VLOOKUP($A371,Equipment!$A$2:$AH1001,MATCH("EquipLoc",Equipment!$A$1:$AH$1,0),FALSE),"")</f>
        <v>Land of Spira</v>
      </c>
      <c r="W371" s="1" t="str">
        <f>IFERROR(__xludf.DUMMYFUNCTION("""COMPUTED_VALUE"""),"Revolver")</f>
        <v>Revolver</v>
      </c>
      <c r="X371" s="1" t="str">
        <f t="shared" si="1"/>
        <v/>
      </c>
    </row>
    <row r="372">
      <c r="A372" s="1" t="s">
        <v>878</v>
      </c>
      <c r="B372" s="18" t="str">
        <f>IFERROR(VLOOKUP($A372,Equipment!$A$2:$AH1001,MATCH("Description",Equipment!$A$1:$AH$1,0),FALSE),"")</f>
        <v/>
      </c>
      <c r="C372" s="18" t="str">
        <f>IFERROR(VLOOKUP($A372,Equipment!$A$2:$AH1001,MATCH("Type",Equipment!$A$1:$AH$1,0),FALSE),"")</f>
        <v/>
      </c>
      <c r="D372" s="18" t="str">
        <f>IFERROR(VLOOKUP($A372,Equipment!$A$2:$AH1001,MATCH("Slot",Equipment!$A$1:$AH$1,0),FALSE),"")</f>
        <v>Shoulders</v>
      </c>
      <c r="E372" s="20">
        <f>IFERROR(VLOOKUP($A372,Equipment!$A$2:$AH1001,MATCH("LevelReq",Equipment!$A$1:$AH$1,0),FALSE),"")</f>
        <v>40</v>
      </c>
      <c r="F372" s="18" t="str">
        <f>IFERROR(VLOOKUP($A372,Equipconvrt!$A$2:$AH1001,MATCH("Abilities",Equipconvrt!$A$1:$AH$1,0),FALSE),"")</f>
        <v>DEF: +1000, Nature DEF: +1000</v>
      </c>
      <c r="G372" s="20">
        <f>IFERROR(VLOOKUP($A372,Equipment!$A$2:$AD1001,MATCH("Price",Equipment!$A$1:$AH$1,0),FALSE),"")</f>
        <v>60000</v>
      </c>
      <c r="H372" s="4" t="b">
        <v>0</v>
      </c>
      <c r="I372" s="1" t="str">
        <f>IFERROR(VLOOKUP($A372,Equipment!$A$2:$AH1001,MATCH("EquipLoc",Equipment!$A$1:$AH$1,0),FALSE),"")</f>
        <v>Land of Spira</v>
      </c>
      <c r="W372" s="1" t="str">
        <f>IFERROR(__xludf.DUMMYFUNCTION("""COMPUTED_VALUE"""),"Musket")</f>
        <v>Musket</v>
      </c>
      <c r="X372" s="1" t="str">
        <f t="shared" si="1"/>
        <v/>
      </c>
    </row>
    <row r="373">
      <c r="A373" s="1" t="s">
        <v>879</v>
      </c>
      <c r="B373" s="18" t="str">
        <f>IFERROR(VLOOKUP($A373,Equipment!$A$2:$AH1001,MATCH("Description",Equipment!$A$1:$AH$1,0),FALSE),"")</f>
        <v/>
      </c>
      <c r="C373" s="18" t="str">
        <f>IFERROR(VLOOKUP($A373,Equipment!$A$2:$AH1001,MATCH("Type",Equipment!$A$1:$AH$1,0),FALSE),"")</f>
        <v/>
      </c>
      <c r="D373" s="18" t="str">
        <f>IFERROR(VLOOKUP($A373,Equipment!$A$2:$AH1001,MATCH("Slot",Equipment!$A$1:$AH$1,0),FALSE),"")</f>
        <v>Torso</v>
      </c>
      <c r="E373" s="20">
        <f>IFERROR(VLOOKUP($A373,Equipment!$A$2:$AH1001,MATCH("LevelReq",Equipment!$A$1:$AH$1,0),FALSE),"")</f>
        <v>40</v>
      </c>
      <c r="F373" s="18" t="str">
        <f>IFERROR(VLOOKUP($A373,Equipconvrt!$A$2:$AH1001,MATCH("Abilities",Equipconvrt!$A$1:$AH$1,0),FALSE),"")</f>
        <v>DEF: +1000, Nature DEF: +1000</v>
      </c>
      <c r="G373" s="20">
        <f>IFERROR(VLOOKUP($A373,Equipment!$A$2:$AD1001,MATCH("Price",Equipment!$A$1:$AH$1,0),FALSE),"")</f>
        <v>60000</v>
      </c>
      <c r="H373" s="4" t="b">
        <v>0</v>
      </c>
      <c r="I373" s="1" t="str">
        <f>IFERROR(VLOOKUP($A373,Equipment!$A$2:$AH1001,MATCH("EquipLoc",Equipment!$A$1:$AH$1,0),FALSE),"")</f>
        <v>Land of Spira</v>
      </c>
      <c r="W373" s="1" t="str">
        <f>IFERROR(__xludf.DUMMYFUNCTION("""COMPUTED_VALUE"""),"Lazer Infused Railgun")</f>
        <v>Lazer Infused Railgun</v>
      </c>
      <c r="X373" s="1" t="str">
        <f t="shared" si="1"/>
        <v/>
      </c>
    </row>
    <row r="374">
      <c r="A374" s="1" t="s">
        <v>880</v>
      </c>
      <c r="B374" s="18" t="str">
        <f>IFERROR(VLOOKUP($A374,Equipment!$A$2:$AH1001,MATCH("Description",Equipment!$A$1:$AH$1,0),FALSE),"")</f>
        <v/>
      </c>
      <c r="C374" s="18" t="str">
        <f>IFERROR(VLOOKUP($A374,Equipment!$A$2:$AH1001,MATCH("Type",Equipment!$A$1:$AH$1,0),FALSE),"")</f>
        <v/>
      </c>
      <c r="D374" s="18" t="str">
        <f>IFERROR(VLOOKUP($A374,Equipment!$A$2:$AH1001,MATCH("Slot",Equipment!$A$1:$AH$1,0),FALSE),"")</f>
        <v>Legs</v>
      </c>
      <c r="E374" s="20">
        <f>IFERROR(VLOOKUP($A374,Equipment!$A$2:$AH1001,MATCH("LevelReq",Equipment!$A$1:$AH$1,0),FALSE),"")</f>
        <v>40</v>
      </c>
      <c r="F374" s="18" t="str">
        <f>IFERROR(VLOOKUP($A374,Equipconvrt!$A$2:$AH1001,MATCH("Abilities",Equipconvrt!$A$1:$AH$1,0),FALSE),"")</f>
        <v>DEF: +1000, Nature DEF: +1000</v>
      </c>
      <c r="G374" s="20">
        <f>IFERROR(VLOOKUP($A374,Equipment!$A$2:$AD1001,MATCH("Price",Equipment!$A$1:$AH$1,0),FALSE),"")</f>
        <v>60000</v>
      </c>
      <c r="H374" s="4" t="b">
        <v>0</v>
      </c>
      <c r="I374" s="1" t="str">
        <f>IFERROR(VLOOKUP($A374,Equipment!$A$2:$AH1001,MATCH("EquipLoc",Equipment!$A$1:$AH$1,0),FALSE),"")</f>
        <v>Land of Spira</v>
      </c>
      <c r="W374" s="1" t="str">
        <f>IFERROR(__xludf.DUMMYFUNCTION("""COMPUTED_VALUE"""),"Minigun")</f>
        <v>Minigun</v>
      </c>
      <c r="X374" s="1" t="str">
        <f t="shared" si="1"/>
        <v/>
      </c>
    </row>
    <row r="375">
      <c r="A375" s="1" t="s">
        <v>881</v>
      </c>
      <c r="B375" s="18" t="str">
        <f>IFERROR(VLOOKUP($A375,Equipment!$A$2:$AH1001,MATCH("Description",Equipment!$A$1:$AH$1,0),FALSE),"")</f>
        <v/>
      </c>
      <c r="C375" s="18" t="str">
        <f>IFERROR(VLOOKUP($A375,Equipment!$A$2:$AH1001,MATCH("Type",Equipment!$A$1:$AH$1,0),FALSE),"")</f>
        <v>Sword</v>
      </c>
      <c r="D375" s="18" t="str">
        <f>IFERROR(VLOOKUP($A375,Equipment!$A$2:$AH1001,MATCH("Slot",Equipment!$A$1:$AH$1,0),FALSE),"")</f>
        <v>Hand</v>
      </c>
      <c r="E375" s="20">
        <f>IFERROR(VLOOKUP($A375,Equipment!$A$2:$AH1001,MATCH("LevelReq",Equipment!$A$1:$AH$1,0),FALSE),"")</f>
        <v>40</v>
      </c>
      <c r="F375" s="18" t="str">
        <f>IFERROR(VLOOKUP($A375,Equipconvrt!$A$2:$AH1001,MATCH("Abilities",Equipconvrt!$A$1:$AH$1,0),FALSE),"")</f>
        <v>DMG: +1000, Nature DMG: +1000 ++X4 damage for this weapon if the battle is in a Forest or Jungle.</v>
      </c>
      <c r="G375" s="20">
        <f>IFERROR(VLOOKUP($A375,Equipment!$A$2:$AD1001,MATCH("Price",Equipment!$A$1:$AH$1,0),FALSE),"")</f>
        <v>60000</v>
      </c>
      <c r="H375" s="4" t="b">
        <v>0</v>
      </c>
      <c r="I375" s="1" t="str">
        <f>IFERROR(VLOOKUP($A375,Equipment!$A$2:$AH1001,MATCH("EquipLoc",Equipment!$A$1:$AH$1,0),FALSE),"")</f>
        <v>Land of Spira</v>
      </c>
      <c r="W375" s="1" t="str">
        <f>IFERROR(__xludf.DUMMYFUNCTION("""COMPUTED_VALUE"""),"Seahorse’s Ring")</f>
        <v>Seahorse’s Ring</v>
      </c>
      <c r="X375" s="1" t="str">
        <f t="shared" si="1"/>
        <v/>
      </c>
    </row>
    <row r="376">
      <c r="A376" s="4" t="s">
        <v>882</v>
      </c>
      <c r="B376" s="18" t="str">
        <f>IFERROR(VLOOKUP($A376,Equipment!$A$2:$AH1001,MATCH("Description",Equipment!$A$1:$AH$1,0),FALSE),"")</f>
        <v/>
      </c>
      <c r="C376" s="18" t="str">
        <f>IFERROR(VLOOKUP($A376,Equipment!$A$2:$AH1001,MATCH("Type",Equipment!$A$1:$AH$1,0),FALSE),"")</f>
        <v/>
      </c>
      <c r="D376" s="18" t="str">
        <f>IFERROR(VLOOKUP($A376,Equipment!$A$2:$AH1001,MATCH("Slot",Equipment!$A$1:$AH$1,0),FALSE),"")</f>
        <v>Feet</v>
      </c>
      <c r="E376" s="20">
        <f>IFERROR(VLOOKUP($A376,Equipment!$A$2:$AH1001,MATCH("LevelReq",Equipment!$A$1:$AH$1,0),FALSE),"")</f>
        <v>40</v>
      </c>
      <c r="F376" s="18" t="str">
        <f>IFERROR(VLOOKUP($A376,Equipconvrt!$A$2:$AH1001,MATCH("Abilities",Equipconvrt!$A$1:$AH$1,0),FALSE),"")</f>
        <v>DEF: +1000, Nature DEF: +1000</v>
      </c>
      <c r="G376" s="20">
        <f>IFERROR(VLOOKUP($A376,Equipment!$A$2:$AD1001,MATCH("Price",Equipment!$A$1:$AH$1,0),FALSE),"")</f>
        <v>60000</v>
      </c>
      <c r="H376" s="4" t="b">
        <v>0</v>
      </c>
      <c r="I376" s="1" t="str">
        <f>IFERROR(VLOOKUP($A376,Equipment!$A$2:$AH1001,MATCH("EquipLoc",Equipment!$A$1:$AH$1,0),FALSE),"")</f>
        <v>Land of Spira</v>
      </c>
      <c r="W376" s="1" t="str">
        <f>IFERROR(__xludf.DUMMYFUNCTION("""COMPUTED_VALUE"""),"Bamboo Vambraces")</f>
        <v>Bamboo Vambraces</v>
      </c>
      <c r="X376" s="1" t="str">
        <f t="shared" si="1"/>
        <v/>
      </c>
    </row>
    <row r="377">
      <c r="A377" s="1" t="s">
        <v>883</v>
      </c>
      <c r="B377" s="18" t="str">
        <f>IFERROR(VLOOKUP($A377,Equipment!$A$2:$AH1001,MATCH("Description",Equipment!$A$1:$AH$1,0),FALSE),"")</f>
        <v/>
      </c>
      <c r="C377" s="18" t="str">
        <f>IFERROR(VLOOKUP($A377,Equipment!$A$2:$AH1001,MATCH("Type",Equipment!$A$1:$AH$1,0),FALSE),"")</f>
        <v/>
      </c>
      <c r="D377" s="18" t="str">
        <f>IFERROR(VLOOKUP($A377,Equipment!$A$2:$AH1001,MATCH("Slot",Equipment!$A$1:$AH$1,0),FALSE),"")</f>
        <v>Legs</v>
      </c>
      <c r="E377" s="20">
        <f>IFERROR(VLOOKUP($A377,Equipment!$A$2:$AH1001,MATCH("LevelReq",Equipment!$A$1:$AH$1,0),FALSE),"")</f>
        <v>200</v>
      </c>
      <c r="F377" s="18" t="str">
        <f>IFERROR(VLOOKUP($A377,Equipconvrt!$A$2:$AH1001,MATCH("Abilities",Equipconvrt!$A$1:$AH$1,0),FALSE),"")</f>
        <v>DEF: +5000, Nature DEF: +5000 (Foul Night Set) ++X2 Nature and Poison damage, Poison Immunity.</v>
      </c>
      <c r="G377" s="20">
        <f>IFERROR(VLOOKUP($A377,Equipment!$A$2:$AD1001,MATCH("Price",Equipment!$A$1:$AH$1,0),FALSE),"")</f>
        <v>1900000</v>
      </c>
      <c r="H377" s="4" t="b">
        <v>0</v>
      </c>
      <c r="I377" s="1" t="str">
        <f>IFERROR(VLOOKUP($A377,Equipment!$A$2:$AH1001,MATCH("EquipLoc",Equipment!$A$1:$AH$1,0),FALSE),"")</f>
        <v>Land of Spira</v>
      </c>
      <c r="W377" s="1" t="str">
        <f>IFERROR(__xludf.DUMMYFUNCTION("""COMPUTED_VALUE"""),"Bamboo Pauldrons")</f>
        <v>Bamboo Pauldrons</v>
      </c>
      <c r="X377" s="1" t="str">
        <f t="shared" si="1"/>
        <v/>
      </c>
    </row>
    <row r="378">
      <c r="A378" s="1" t="s">
        <v>884</v>
      </c>
      <c r="B378" s="18" t="str">
        <f>IFERROR(VLOOKUP($A378,Equipment!$A$2:$AH1001,MATCH("Description",Equipment!$A$1:$AH$1,0),FALSE),"")</f>
        <v/>
      </c>
      <c r="C378" s="18" t="str">
        <f>IFERROR(VLOOKUP($A378,Equipment!$A$2:$AH1001,MATCH("Type",Equipment!$A$1:$AH$1,0),FALSE),"")</f>
        <v/>
      </c>
      <c r="D378" s="18" t="str">
        <f>IFERROR(VLOOKUP($A378,Equipment!$A$2:$AH1001,MATCH("Slot",Equipment!$A$1:$AH$1,0),FALSE),"")</f>
        <v>Arms</v>
      </c>
      <c r="E378" s="20">
        <f>IFERROR(VLOOKUP($A378,Equipment!$A$2:$AH1001,MATCH("LevelReq",Equipment!$A$1:$AH$1,0),FALSE),"")</f>
        <v>200</v>
      </c>
      <c r="F378" s="18" t="str">
        <f>IFERROR(VLOOKUP($A378,Equipconvrt!$A$2:$AH1001,MATCH("Abilities",Equipconvrt!$A$1:$AH$1,0),FALSE),"")</f>
        <v>DEF: +5000, Dark DEF: +5000 (Foul Night Set) ++X2 Dark and Poison damage, Poison Immunity.</v>
      </c>
      <c r="G378" s="20">
        <f>IFERROR(VLOOKUP($A378,Equipment!$A$2:$AD1001,MATCH("Price",Equipment!$A$1:$AH$1,0),FALSE),"")</f>
        <v>1900000</v>
      </c>
      <c r="H378" s="4" t="b">
        <v>0</v>
      </c>
      <c r="I378" s="1" t="str">
        <f>IFERROR(VLOOKUP($A378,Equipment!$A$2:$AH1001,MATCH("EquipLoc",Equipment!$A$1:$AH$1,0),FALSE),"")</f>
        <v>Land of Spira</v>
      </c>
      <c r="W378" s="1" t="str">
        <f>IFERROR(__xludf.DUMMYFUNCTION("""COMPUTED_VALUE"""),"Bamboo Chestplate")</f>
        <v>Bamboo Chestplate</v>
      </c>
      <c r="X378" s="1" t="str">
        <f t="shared" si="1"/>
        <v/>
      </c>
    </row>
    <row r="379">
      <c r="A379" s="1" t="s">
        <v>885</v>
      </c>
      <c r="B379" s="18" t="str">
        <f>IFERROR(VLOOKUP($A379,Equipment!$A$2:$AH1001,MATCH("Description",Equipment!$A$1:$AH$1,0),FALSE),"")</f>
        <v/>
      </c>
      <c r="C379" s="18" t="str">
        <f>IFERROR(VLOOKUP($A379,Equipment!$A$2:$AH1001,MATCH("Type",Equipment!$A$1:$AH$1,0),FALSE),"")</f>
        <v/>
      </c>
      <c r="D379" s="18" t="str">
        <f>IFERROR(VLOOKUP($A379,Equipment!$A$2:$AH1001,MATCH("Slot",Equipment!$A$1:$AH$1,0),FALSE),"")</f>
        <v>Feet</v>
      </c>
      <c r="E379" s="20">
        <f>IFERROR(VLOOKUP($A379,Equipment!$A$2:$AH1001,MATCH("LevelReq",Equipment!$A$1:$AH$1,0),FALSE),"")</f>
        <v>200</v>
      </c>
      <c r="F379" s="18" t="str">
        <f>IFERROR(VLOOKUP($A379,Equipconvrt!$A$2:$AH1001,MATCH("Abilities",Equipconvrt!$A$1:$AH$1,0),FALSE),"")</f>
        <v>DEF: +5000, Dark DEF: +5000 (Foul Night Set) ++X2 Dark and Poison damage, Poison Immunity.</v>
      </c>
      <c r="G379" s="20">
        <f>IFERROR(VLOOKUP($A379,Equipment!$A$2:$AD1001,MATCH("Price",Equipment!$A$1:$AH$1,0),FALSE),"")</f>
        <v>1900000</v>
      </c>
      <c r="H379" s="4" t="b">
        <v>0</v>
      </c>
      <c r="I379" s="1" t="str">
        <f>IFERROR(VLOOKUP($A379,Equipment!$A$2:$AH1001,MATCH("EquipLoc",Equipment!$A$1:$AH$1,0),FALSE),"")</f>
        <v>Land of Spira</v>
      </c>
      <c r="W379" s="1" t="str">
        <f>IFERROR(__xludf.DUMMYFUNCTION("""COMPUTED_VALUE"""),"Bamboo Greaves")</f>
        <v>Bamboo Greaves</v>
      </c>
      <c r="X379" s="1" t="str">
        <f t="shared" si="1"/>
        <v/>
      </c>
    </row>
    <row r="380">
      <c r="A380" s="1" t="s">
        <v>886</v>
      </c>
      <c r="B380" s="18" t="str">
        <f>IFERROR(VLOOKUP($A380,Equipment!$A$2:$AH1001,MATCH("Description",Equipment!$A$1:$AH$1,0),FALSE),"")</f>
        <v/>
      </c>
      <c r="C380" s="18" t="str">
        <f>IFERROR(VLOOKUP($A380,Equipment!$A$2:$AH1001,MATCH("Type",Equipment!$A$1:$AH$1,0),FALSE),"")</f>
        <v/>
      </c>
      <c r="D380" s="18" t="str">
        <f>IFERROR(VLOOKUP($A380,Equipment!$A$2:$AH1001,MATCH("Slot",Equipment!$A$1:$AH$1,0),FALSE),"")</f>
        <v>Shoulders</v>
      </c>
      <c r="E380" s="20">
        <f>IFERROR(VLOOKUP($A380,Equipment!$A$2:$AH1001,MATCH("LevelReq",Equipment!$A$1:$AH$1,0),FALSE),"")</f>
        <v>200</v>
      </c>
      <c r="F380" s="18" t="str">
        <f>IFERROR(VLOOKUP($A380,Equipconvrt!$A$2:$AH1001,MATCH("Abilities",Equipconvrt!$A$1:$AH$1,0),FALSE),"")</f>
        <v>DEF: +5000, Dark DEF: +5000 (Foul Night Set) ++X2 Dark and Poison damage, Poison Immunity.</v>
      </c>
      <c r="G380" s="20">
        <f>IFERROR(VLOOKUP($A380,Equipment!$A$2:$AD1001,MATCH("Price",Equipment!$A$1:$AH$1,0),FALSE),"")</f>
        <v>1900000</v>
      </c>
      <c r="H380" s="4" t="b">
        <v>0</v>
      </c>
      <c r="I380" s="1" t="str">
        <f>IFERROR(VLOOKUP($A380,Equipment!$A$2:$AH1001,MATCH("EquipLoc",Equipment!$A$1:$AH$1,0),FALSE),"")</f>
        <v>Land of Spira</v>
      </c>
      <c r="W380" s="1" t="str">
        <f>IFERROR(__xludf.DUMMYFUNCTION("""COMPUTED_VALUE"""),"Strengthened Bamboo Sword")</f>
        <v>Strengthened Bamboo Sword</v>
      </c>
      <c r="X380" s="1" t="str">
        <f t="shared" si="1"/>
        <v/>
      </c>
    </row>
    <row r="381">
      <c r="A381" s="1" t="s">
        <v>887</v>
      </c>
      <c r="B381" s="18" t="str">
        <f>IFERROR(VLOOKUP($A381,Equipment!$A$2:$AH1001,MATCH("Description",Equipment!$A$1:$AH$1,0),FALSE),"")</f>
        <v/>
      </c>
      <c r="C381" s="18" t="str">
        <f>IFERROR(VLOOKUP($A381,Equipment!$A$2:$AH1001,MATCH("Type",Equipment!$A$1:$AH$1,0),FALSE),"")</f>
        <v/>
      </c>
      <c r="D381" s="18" t="str">
        <f>IFERROR(VLOOKUP($A381,Equipment!$A$2:$AH1001,MATCH("Slot",Equipment!$A$1:$AH$1,0),FALSE),"")</f>
        <v>Shoulders</v>
      </c>
      <c r="E381" s="20">
        <f>IFERROR(VLOOKUP($A381,Equipment!$A$2:$AH1001,MATCH("LevelReq",Equipment!$A$1:$AH$1,0),FALSE),"")</f>
        <v>200</v>
      </c>
      <c r="F381" s="18" t="str">
        <f>IFERROR(VLOOKUP($A381,Equipconvrt!$A$2:$AH1001,MATCH("Abilities",Equipconvrt!$A$1:$AH$1,0),FALSE),"")</f>
        <v>DEF: +5000, Earth DEF: +5000 ++When equipped, Gem and Crystal related weapons deal an additional X2 damage for the user.</v>
      </c>
      <c r="G381" s="20">
        <f>IFERROR(VLOOKUP($A381,Equipment!$A$2:$AD1001,MATCH("Price",Equipment!$A$1:$AH$1,0),FALSE),"")</f>
        <v>1900000</v>
      </c>
      <c r="H381" s="4" t="b">
        <v>0</v>
      </c>
      <c r="I381" s="1" t="str">
        <f>IFERROR(VLOOKUP($A381,Equipment!$A$2:$AH1001,MATCH("EquipLoc",Equipment!$A$1:$AH$1,0),FALSE),"")</f>
        <v>Land of Spira</v>
      </c>
      <c r="W381" s="1" t="str">
        <f>IFERROR(__xludf.DUMMYFUNCTION("""COMPUTED_VALUE"""),"Bamboo Sandals")</f>
        <v>Bamboo Sandals</v>
      </c>
      <c r="X381" s="1" t="str">
        <f t="shared" si="1"/>
        <v/>
      </c>
    </row>
    <row r="382">
      <c r="A382" s="1" t="s">
        <v>888</v>
      </c>
      <c r="B382" s="18" t="str">
        <f>IFERROR(VLOOKUP($A382,Equipment!$A$2:$AH1001,MATCH("Description",Equipment!$A$1:$AH$1,0),FALSE),"")</f>
        <v/>
      </c>
      <c r="C382" s="18" t="str">
        <f>IFERROR(VLOOKUP($A382,Equipment!$A$2:$AH1001,MATCH("Type",Equipment!$A$1:$AH$1,0),FALSE),"")</f>
        <v/>
      </c>
      <c r="D382" s="18" t="str">
        <f>IFERROR(VLOOKUP($A382,Equipment!$A$2:$AH1001,MATCH("Slot",Equipment!$A$1:$AH$1,0),FALSE),"")</f>
        <v>Legs</v>
      </c>
      <c r="E382" s="20">
        <f>IFERROR(VLOOKUP($A382,Equipment!$A$2:$AH1001,MATCH("LevelReq",Equipment!$A$1:$AH$1,0),FALSE),"")</f>
        <v>200</v>
      </c>
      <c r="F382" s="18" t="str">
        <f>IFERROR(VLOOKUP($A382,Equipconvrt!$A$2:$AH1001,MATCH("Abilities",Equipconvrt!$A$1:$AH$1,0),FALSE),"")</f>
        <v>DEF: +5000, Earth DEF: +5000 ++When equipped, Gem and Crystal related weapons deal an additional X2 damage for the user.</v>
      </c>
      <c r="G382" s="20">
        <f>IFERROR(VLOOKUP($A382,Equipment!$A$2:$AD1001,MATCH("Price",Equipment!$A$1:$AH$1,0),FALSE),"")</f>
        <v>1900000</v>
      </c>
      <c r="H382" s="4" t="b">
        <v>0</v>
      </c>
      <c r="I382" s="1" t="str">
        <f>IFERROR(VLOOKUP($A382,Equipment!$A$2:$AH1001,MATCH("EquipLoc",Equipment!$A$1:$AH$1,0),FALSE),"")</f>
        <v>Land of Spira</v>
      </c>
      <c r="W382" s="1" t="str">
        <f>IFERROR(__xludf.DUMMYFUNCTION("""COMPUTED_VALUE"""),"Greaves of Foul Night")</f>
        <v>Greaves of Foul Night</v>
      </c>
      <c r="X382" s="1" t="str">
        <f t="shared" si="1"/>
        <v/>
      </c>
    </row>
    <row r="383">
      <c r="A383" s="1" t="s">
        <v>889</v>
      </c>
      <c r="B383" s="18" t="str">
        <f>IFERROR(VLOOKUP($A383,Equipment!$A$2:$AH1001,MATCH("Description",Equipment!$A$1:$AH$1,0),FALSE),"")</f>
        <v/>
      </c>
      <c r="C383" s="18" t="str">
        <f>IFERROR(VLOOKUP($A383,Equipment!$A$2:$AH1001,MATCH("Type",Equipment!$A$1:$AH$1,0),FALSE),"")</f>
        <v/>
      </c>
      <c r="D383" s="18" t="str">
        <f>IFERROR(VLOOKUP($A383,Equipment!$A$2:$AH1001,MATCH("Slot",Equipment!$A$1:$AH$1,0),FALSE),"")</f>
        <v>Feet</v>
      </c>
      <c r="E383" s="20">
        <f>IFERROR(VLOOKUP($A383,Equipment!$A$2:$AH1001,MATCH("LevelReq",Equipment!$A$1:$AH$1,0),FALSE),"")</f>
        <v>200</v>
      </c>
      <c r="F383" s="18" t="str">
        <f>IFERROR(VLOOKUP($A383,Equipconvrt!$A$2:$AH1001,MATCH("Abilities",Equipconvrt!$A$1:$AH$1,0),FALSE),"")</f>
        <v>DEF: +5000, Earth DEF: +5000 ++When equipped, Gem and Crystal related weapons deal an additional X2 damage for the user.</v>
      </c>
      <c r="G383" s="20">
        <f>IFERROR(VLOOKUP($A383,Equipment!$A$2:$AD1001,MATCH("Price",Equipment!$A$1:$AH$1,0),FALSE),"")</f>
        <v>1900000</v>
      </c>
      <c r="H383" s="4" t="b">
        <v>0</v>
      </c>
      <c r="I383" s="1" t="str">
        <f>IFERROR(VLOOKUP($A383,Equipment!$A$2:$AH1001,MATCH("EquipLoc",Equipment!$A$1:$AH$1,0),FALSE),"")</f>
        <v>Land of Spira</v>
      </c>
      <c r="W383" s="1" t="str">
        <f>IFERROR(__xludf.DUMMYFUNCTION("""COMPUTED_VALUE"""),"Vambraces of Foul Night")</f>
        <v>Vambraces of Foul Night</v>
      </c>
      <c r="X383" s="1" t="str">
        <f t="shared" si="1"/>
        <v/>
      </c>
    </row>
    <row r="384">
      <c r="A384" s="1" t="s">
        <v>890</v>
      </c>
      <c r="B384" s="18" t="str">
        <f>IFERROR(VLOOKUP($A384,Equipment!$A$2:$AH1001,MATCH("Description",Equipment!$A$1:$AH$1,0),FALSE),"")</f>
        <v/>
      </c>
      <c r="C384" s="18" t="str">
        <f>IFERROR(VLOOKUP($A384,Equipment!$A$2:$AH1001,MATCH("Type",Equipment!$A$1:$AH$1,0),FALSE),"")</f>
        <v/>
      </c>
      <c r="D384" s="18" t="str">
        <f>IFERROR(VLOOKUP($A384,Equipment!$A$2:$AH1001,MATCH("Slot",Equipment!$A$1:$AH$1,0),FALSE),"")</f>
        <v>Arms</v>
      </c>
      <c r="E384" s="20">
        <f>IFERROR(VLOOKUP($A384,Equipment!$A$2:$AH1001,MATCH("LevelReq",Equipment!$A$1:$AH$1,0),FALSE),"")</f>
        <v>200</v>
      </c>
      <c r="F384" s="18" t="str">
        <f>IFERROR(VLOOKUP($A384,Equipconvrt!$A$2:$AH1001,MATCH("Abilities",Equipconvrt!$A$1:$AH$1,0),FALSE),"")</f>
        <v>DEF: +5000, Earth DEF: +5000 ++When equipped, Gem and Crystal related weapons deal an additional X2 damage for the user.</v>
      </c>
      <c r="G384" s="20">
        <f>IFERROR(VLOOKUP($A384,Equipment!$A$2:$AD1001,MATCH("Price",Equipment!$A$1:$AH$1,0),FALSE),"")</f>
        <v>1900000</v>
      </c>
      <c r="H384" s="4" t="b">
        <v>0</v>
      </c>
      <c r="I384" s="1" t="str">
        <f>IFERROR(VLOOKUP($A384,Equipment!$A$2:$AH1001,MATCH("EquipLoc",Equipment!$A$1:$AH$1,0),FALSE),"")</f>
        <v>Land of Spira</v>
      </c>
      <c r="W384" s="1" t="str">
        <f>IFERROR(__xludf.DUMMYFUNCTION("""COMPUTED_VALUE"""),"Boots of Foul Night")</f>
        <v>Boots of Foul Night</v>
      </c>
      <c r="X384" s="1" t="str">
        <f t="shared" si="1"/>
        <v/>
      </c>
    </row>
    <row r="385">
      <c r="A385" s="1" t="s">
        <v>891</v>
      </c>
      <c r="B385" s="18" t="str">
        <f>IFERROR(VLOOKUP($A385,Equipment!$A$2:$AH1001,MATCH("Description",Equipment!$A$1:$AH$1,0),FALSE),"")</f>
        <v/>
      </c>
      <c r="C385" s="18" t="str">
        <f>IFERROR(VLOOKUP($A385,Equipment!$A$2:$AH1001,MATCH("Type",Equipment!$A$1:$AH$1,0),FALSE),"")</f>
        <v>Instrument</v>
      </c>
      <c r="D385" s="18" t="str">
        <f>IFERROR(VLOOKUP($A385,Equipment!$A$2:$AH1001,MATCH("Slot",Equipment!$A$1:$AH$1,0),FALSE),"")</f>
        <v>Hand</v>
      </c>
      <c r="E385" s="20">
        <f>IFERROR(VLOOKUP($A385,Equipment!$A$2:$AH1001,MATCH("LevelReq",Equipment!$A$1:$AH$1,0),FALSE),"")</f>
        <v>40</v>
      </c>
      <c r="F385" s="18" t="str">
        <f>IFERROR(VLOOKUP($A385,Equipconvrt!$A$2:$AH1001,MATCH("Abilities",Equipconvrt!$A$1:$AH$1,0),FALSE),"")</f>
        <v>DMG: +2000</v>
      </c>
      <c r="G385" s="20">
        <f>IFERROR(VLOOKUP($A385,Equipment!$A$2:$AD1001,MATCH("Price",Equipment!$A$1:$AH$1,0),FALSE),"")</f>
        <v>60000</v>
      </c>
      <c r="H385" s="4" t="b">
        <v>0</v>
      </c>
      <c r="I385" s="1" t="str">
        <f>IFERROR(VLOOKUP($A385,Equipment!$A$2:$AH1001,MATCH("EquipLoc",Equipment!$A$1:$AH$1,0),FALSE),"")</f>
        <v>Land of Spira</v>
      </c>
      <c r="W385" s="1" t="str">
        <f>IFERROR(__xludf.DUMMYFUNCTION("""COMPUTED_VALUE"""),"Pauldrons of Foul Night")</f>
        <v>Pauldrons of Foul Night</v>
      </c>
      <c r="X385" s="1" t="str">
        <f t="shared" si="1"/>
        <v/>
      </c>
    </row>
    <row r="386">
      <c r="A386" s="1" t="s">
        <v>892</v>
      </c>
      <c r="B386" s="18" t="str">
        <f>IFERROR(VLOOKUP($A386,Equipment!$A$2:$AH1001,MATCH("Description",Equipment!$A$1:$AH$1,0),FALSE),"")</f>
        <v/>
      </c>
      <c r="C386" s="18" t="str">
        <f>IFERROR(VLOOKUP($A386,Equipment!$A$2:$AH1001,MATCH("Type",Equipment!$A$1:$AH$1,0),FALSE),"")</f>
        <v>Sword</v>
      </c>
      <c r="D386" s="18" t="str">
        <f>IFERROR(VLOOKUP($A386,Equipment!$A$2:$AH1001,MATCH("Slot",Equipment!$A$1:$AH$1,0),FALSE),"")</f>
        <v>Hand</v>
      </c>
      <c r="E386" s="20">
        <f>IFERROR(VLOOKUP($A386,Equipment!$A$2:$AH1001,MATCH("LevelReq",Equipment!$A$1:$AH$1,0),FALSE),"")</f>
        <v>200</v>
      </c>
      <c r="F386" s="18" t="str">
        <f>IFERROR(VLOOKUP($A386,Equipconvrt!$A$2:$AH1001,MATCH("Abilities",Equipconvrt!$A$1:$AH$1,0),FALSE),"")</f>
        <v>DMG: +5000, Water DMG: +5000 (Wyverntail Set) ++50% Chance to freeze the target being attacked by this weapon.</v>
      </c>
      <c r="G386" s="20">
        <f>IFERROR(VLOOKUP($A386,Equipment!$A$2:$AD1001,MATCH("Price",Equipment!$A$1:$AH$1,0),FALSE),"")</f>
        <v>1900000</v>
      </c>
      <c r="H386" s="4" t="b">
        <v>0</v>
      </c>
      <c r="I386" s="1" t="str">
        <f>IFERROR(VLOOKUP($A386,Equipment!$A$2:$AH1001,MATCH("EquipLoc",Equipment!$A$1:$AH$1,0),FALSE),"")</f>
        <v>Dragonscale Island</v>
      </c>
      <c r="W386" s="1" t="str">
        <f>IFERROR(__xludf.DUMMYFUNCTION("""COMPUTED_VALUE"""),"Crystal Forged Pauldrons")</f>
        <v>Crystal Forged Pauldrons</v>
      </c>
      <c r="X386" s="1" t="str">
        <f t="shared" si="1"/>
        <v/>
      </c>
    </row>
    <row r="387">
      <c r="A387" s="1" t="s">
        <v>893</v>
      </c>
      <c r="B387" s="18" t="str">
        <f>IFERROR(VLOOKUP($A387,Equipment!$A$2:$AH1001,MATCH("Description",Equipment!$A$1:$AH$1,0),FALSE),"")</f>
        <v/>
      </c>
      <c r="C387" s="18" t="str">
        <f>IFERROR(VLOOKUP($A387,Equipment!$A$2:$AH1001,MATCH("Type",Equipment!$A$1:$AH$1,0),FALSE),"")</f>
        <v/>
      </c>
      <c r="D387" s="18" t="str">
        <f>IFERROR(VLOOKUP($A387,Equipment!$A$2:$AH1001,MATCH("Slot",Equipment!$A$1:$AH$1,0),FALSE),"")</f>
        <v>Head</v>
      </c>
      <c r="E387" s="20">
        <f>IFERROR(VLOOKUP($A387,Equipment!$A$2:$AH1001,MATCH("LevelReq",Equipment!$A$1:$AH$1,0),FALSE),"")</f>
        <v>200</v>
      </c>
      <c r="F387" s="18" t="str">
        <f>IFERROR(VLOOKUP($A387,Equipconvrt!$A$2:$AH1001,MATCH("Abilities",Equipconvrt!$A$1:$AH$1,0),FALSE),"")</f>
        <v>DEF: +10000 (Wyverntail Set) ++Freeze Immunity</v>
      </c>
      <c r="G387" s="20">
        <f>IFERROR(VLOOKUP($A387,Equipment!$A$2:$AD1001,MATCH("Price",Equipment!$A$1:$AH$1,0),FALSE),"")</f>
        <v>1900000</v>
      </c>
      <c r="H387" s="4" t="b">
        <v>0</v>
      </c>
      <c r="I387" s="1" t="str">
        <f>IFERROR(VLOOKUP($A387,Equipment!$A$2:$AH1001,MATCH("EquipLoc",Equipment!$A$1:$AH$1,0),FALSE),"")</f>
        <v>Dragonscale Island</v>
      </c>
      <c r="W387" s="1" t="str">
        <f>IFERROR(__xludf.DUMMYFUNCTION("""COMPUTED_VALUE"""),"Crystal Forged Greaves")</f>
        <v>Crystal Forged Greaves</v>
      </c>
      <c r="X387" s="1" t="str">
        <f t="shared" si="1"/>
        <v/>
      </c>
    </row>
    <row r="388">
      <c r="A388" s="1" t="s">
        <v>894</v>
      </c>
      <c r="B388" s="18" t="str">
        <f>IFERROR(VLOOKUP($A388,Equipment!$A$2:$AH1001,MATCH("Description",Equipment!$A$1:$AH$1,0),FALSE),"")</f>
        <v/>
      </c>
      <c r="C388" s="18" t="str">
        <f>IFERROR(VLOOKUP($A388,Equipment!$A$2:$AH1001,MATCH("Type",Equipment!$A$1:$AH$1,0),FALSE),"")</f>
        <v/>
      </c>
      <c r="D388" s="18" t="str">
        <f>IFERROR(VLOOKUP($A388,Equipment!$A$2:$AH1001,MATCH("Slot",Equipment!$A$1:$AH$1,0),FALSE),"")</f>
        <v>Shoulders</v>
      </c>
      <c r="E388" s="20">
        <f>IFERROR(VLOOKUP($A388,Equipment!$A$2:$AH1001,MATCH("LevelReq",Equipment!$A$1:$AH$1,0),FALSE),"")</f>
        <v>200</v>
      </c>
      <c r="F388" s="18" t="str">
        <f>IFERROR(VLOOKUP($A388,Equipconvrt!$A$2:$AH1001,MATCH("Abilities",Equipconvrt!$A$1:$AH$1,0),FALSE),"")</f>
        <v>DEF: +10000 (Wyverntail Set) ++Freeze Immunity</v>
      </c>
      <c r="G388" s="20">
        <f>IFERROR(VLOOKUP($A388,Equipment!$A$2:$AD1001,MATCH("Price",Equipment!$A$1:$AH$1,0),FALSE),"")</f>
        <v>1900000</v>
      </c>
      <c r="H388" s="4" t="b">
        <v>0</v>
      </c>
      <c r="I388" s="1" t="str">
        <f>IFERROR(VLOOKUP($A388,Equipment!$A$2:$AH1001,MATCH("EquipLoc",Equipment!$A$1:$AH$1,0),FALSE),"")</f>
        <v>Dragonscale Island</v>
      </c>
      <c r="W388" s="1" t="str">
        <f>IFERROR(__xludf.DUMMYFUNCTION("""COMPUTED_VALUE"""),"Crystal Forged Boots")</f>
        <v>Crystal Forged Boots</v>
      </c>
      <c r="X388" s="1" t="str">
        <f t="shared" si="1"/>
        <v/>
      </c>
    </row>
    <row r="389">
      <c r="A389" s="1" t="s">
        <v>895</v>
      </c>
      <c r="B389" s="18" t="str">
        <f>IFERROR(VLOOKUP($A389,Equipment!$A$2:$AH1001,MATCH("Description",Equipment!$A$1:$AH$1,0),FALSE),"")</f>
        <v/>
      </c>
      <c r="C389" s="18" t="str">
        <f>IFERROR(VLOOKUP($A389,Equipment!$A$2:$AH1001,MATCH("Type",Equipment!$A$1:$AH$1,0),FALSE),"")</f>
        <v/>
      </c>
      <c r="D389" s="18" t="str">
        <f>IFERROR(VLOOKUP($A389,Equipment!$A$2:$AH1001,MATCH("Slot",Equipment!$A$1:$AH$1,0),FALSE),"")</f>
        <v>Torso</v>
      </c>
      <c r="E389" s="20">
        <f>IFERROR(VLOOKUP($A389,Equipment!$A$2:$AH1001,MATCH("LevelReq",Equipment!$A$1:$AH$1,0),FALSE),"")</f>
        <v>200</v>
      </c>
      <c r="F389" s="18" t="str">
        <f>IFERROR(VLOOKUP($A389,Equipconvrt!$A$2:$AH1001,MATCH("Abilities",Equipconvrt!$A$1:$AH$1,0),FALSE),"")</f>
        <v>DEF: +10000 (Wyverntail Set) ++Freeze Immunity</v>
      </c>
      <c r="G389" s="20">
        <f>IFERROR(VLOOKUP($A389,Equipment!$A$2:$AD1001,MATCH("Price",Equipment!$A$1:$AH$1,0),FALSE),"")</f>
        <v>1900000</v>
      </c>
      <c r="H389" s="4" t="b">
        <v>0</v>
      </c>
      <c r="I389" s="1" t="str">
        <f>IFERROR(VLOOKUP($A389,Equipment!$A$2:$AH1001,MATCH("EquipLoc",Equipment!$A$1:$AH$1,0),FALSE),"")</f>
        <v>Dragonscale Island</v>
      </c>
      <c r="W389" s="1" t="str">
        <f>IFERROR(__xludf.DUMMYFUNCTION("""COMPUTED_VALUE"""),"Crystal Forged Vambraces")</f>
        <v>Crystal Forged Vambraces</v>
      </c>
      <c r="X389" s="1" t="str">
        <f t="shared" si="1"/>
        <v/>
      </c>
    </row>
    <row r="390">
      <c r="A390" s="1" t="s">
        <v>896</v>
      </c>
      <c r="B390" s="18" t="str">
        <f>IFERROR(VLOOKUP($A390,Equipment!$A$2:$AH1001,MATCH("Description",Equipment!$A$1:$AH$1,0),FALSE),"")</f>
        <v/>
      </c>
      <c r="C390" s="18" t="str">
        <f>IFERROR(VLOOKUP($A390,Equipment!$A$2:$AH1001,MATCH("Type",Equipment!$A$1:$AH$1,0),FALSE),"")</f>
        <v/>
      </c>
      <c r="D390" s="18" t="str">
        <f>IFERROR(VLOOKUP($A390,Equipment!$A$2:$AH1001,MATCH("Slot",Equipment!$A$1:$AH$1,0),FALSE),"")</f>
        <v>Arms</v>
      </c>
      <c r="E390" s="20">
        <f>IFERROR(VLOOKUP($A390,Equipment!$A$2:$AH1001,MATCH("LevelReq",Equipment!$A$1:$AH$1,0),FALSE),"")</f>
        <v>200</v>
      </c>
      <c r="F390" s="18" t="str">
        <f>IFERROR(VLOOKUP($A390,Equipconvrt!$A$2:$AH1001,MATCH("Abilities",Equipconvrt!$A$1:$AH$1,0),FALSE),"")</f>
        <v>DEF: +10000 (Wyverntail Set) ++Freeze Immunity</v>
      </c>
      <c r="G390" s="20">
        <f>IFERROR(VLOOKUP($A390,Equipment!$A$2:$AD1001,MATCH("Price",Equipment!$A$1:$AH$1,0),FALSE),"")</f>
        <v>1900000</v>
      </c>
      <c r="H390" s="4" t="b">
        <v>0</v>
      </c>
      <c r="I390" s="1" t="str">
        <f>IFERROR(VLOOKUP($A390,Equipment!$A$2:$AH1001,MATCH("EquipLoc",Equipment!$A$1:$AH$1,0),FALSE),"")</f>
        <v>Dragonscale Island</v>
      </c>
      <c r="W390" s="1" t="str">
        <f>IFERROR(__xludf.DUMMYFUNCTION("""COMPUTED_VALUE"""),"Fiddle")</f>
        <v>Fiddle</v>
      </c>
      <c r="X390" s="1" t="str">
        <f t="shared" si="1"/>
        <v/>
      </c>
    </row>
    <row r="391">
      <c r="A391" s="1" t="s">
        <v>897</v>
      </c>
      <c r="B391" s="18" t="str">
        <f>IFERROR(VLOOKUP($A391,Equipment!$A$2:$AH1001,MATCH("Description",Equipment!$A$1:$AH$1,0),FALSE),"")</f>
        <v/>
      </c>
      <c r="C391" s="18" t="str">
        <f>IFERROR(VLOOKUP($A391,Equipment!$A$2:$AH1001,MATCH("Type",Equipment!$A$1:$AH$1,0),FALSE),"")</f>
        <v/>
      </c>
      <c r="D391" s="18" t="str">
        <f>IFERROR(VLOOKUP($A391,Equipment!$A$2:$AH1001,MATCH("Slot",Equipment!$A$1:$AH$1,0),FALSE),"")</f>
        <v>Legs</v>
      </c>
      <c r="E391" s="20">
        <f>IFERROR(VLOOKUP($A391,Equipment!$A$2:$AH1001,MATCH("LevelReq",Equipment!$A$1:$AH$1,0),FALSE),"")</f>
        <v>200</v>
      </c>
      <c r="F391" s="18" t="str">
        <f>IFERROR(VLOOKUP($A391,Equipconvrt!$A$2:$AH1001,MATCH("Abilities",Equipconvrt!$A$1:$AH$1,0),FALSE),"")</f>
        <v>DEF: +10000 (Wyverntail Set) ++Freeze Immunity</v>
      </c>
      <c r="G391" s="20">
        <f>IFERROR(VLOOKUP($A391,Equipment!$A$2:$AD1001,MATCH("Price",Equipment!$A$1:$AH$1,0),FALSE),"")</f>
        <v>1900000</v>
      </c>
      <c r="H391" s="4" t="b">
        <v>0</v>
      </c>
      <c r="I391" s="1" t="str">
        <f>IFERROR(VLOOKUP($A391,Equipment!$A$2:$AH1001,MATCH("EquipLoc",Equipment!$A$1:$AH$1,0),FALSE),"")</f>
        <v>Dragonscale Island</v>
      </c>
      <c r="W391" s="1" t="str">
        <f>IFERROR(__xludf.DUMMYFUNCTION("""COMPUTED_VALUE"""),"WyvernTail Blade")</f>
        <v>WyvernTail Blade</v>
      </c>
      <c r="X391" s="1" t="str">
        <f t="shared" si="1"/>
        <v/>
      </c>
    </row>
    <row r="392">
      <c r="A392" s="1" t="s">
        <v>898</v>
      </c>
      <c r="B392" s="18" t="str">
        <f>IFERROR(VLOOKUP($A392,Equipment!$A$2:$AH1001,MATCH("Description",Equipment!$A$1:$AH$1,0),FALSE),"")</f>
        <v/>
      </c>
      <c r="C392" s="18" t="str">
        <f>IFERROR(VLOOKUP($A392,Equipment!$A$2:$AH1001,MATCH("Type",Equipment!$A$1:$AH$1,0),FALSE),"")</f>
        <v/>
      </c>
      <c r="D392" s="18" t="str">
        <f>IFERROR(VLOOKUP($A392,Equipment!$A$2:$AH1001,MATCH("Slot",Equipment!$A$1:$AH$1,0),FALSE),"")</f>
        <v>Feet</v>
      </c>
      <c r="E392" s="20">
        <f>IFERROR(VLOOKUP($A392,Equipment!$A$2:$AH1001,MATCH("LevelReq",Equipment!$A$1:$AH$1,0),FALSE),"")</f>
        <v>200</v>
      </c>
      <c r="F392" s="18" t="str">
        <f>IFERROR(VLOOKUP($A392,Equipconvrt!$A$2:$AH1001,MATCH("Abilities",Equipconvrt!$A$1:$AH$1,0),FALSE),"")</f>
        <v>DEF: +10000 (Wyverntail Set) ++Freeze Immunity</v>
      </c>
      <c r="G392" s="20">
        <f>IFERROR(VLOOKUP($A392,Equipment!$A$2:$AD1001,MATCH("Price",Equipment!$A$1:$AH$1,0),FALSE),"")</f>
        <v>1900000</v>
      </c>
      <c r="H392" s="4" t="b">
        <v>0</v>
      </c>
      <c r="I392" s="1" t="str">
        <f>IFERROR(VLOOKUP($A392,Equipment!$A$2:$AH1001,MATCH("EquipLoc",Equipment!$A$1:$AH$1,0),FALSE),"")</f>
        <v>Dragonscale Island</v>
      </c>
      <c r="W392" s="1" t="str">
        <f>IFERROR(__xludf.DUMMYFUNCTION("""COMPUTED_VALUE"""),"WyvernTail Helm")</f>
        <v>WyvernTail Helm</v>
      </c>
      <c r="X392" s="1" t="str">
        <f t="shared" si="1"/>
        <v/>
      </c>
    </row>
    <row r="393">
      <c r="A393" s="1" t="s">
        <v>899</v>
      </c>
      <c r="B393" s="18" t="str">
        <f>IFERROR(VLOOKUP($A393,Equipment!$A$2:$AH1001,MATCH("Description",Equipment!$A$1:$AH$1,0),FALSE),"")</f>
        <v/>
      </c>
      <c r="C393" s="18" t="str">
        <f>IFERROR(VLOOKUP($A393,Equipment!$A$2:$AH1001,MATCH("Type",Equipment!$A$1:$AH$1,0),FALSE),"")</f>
        <v/>
      </c>
      <c r="D393" s="18" t="str">
        <f>IFERROR(VLOOKUP($A393,Equipment!$A$2:$AH1001,MATCH("Slot",Equipment!$A$1:$AH$1,0),FALSE),"")</f>
        <v>Neck</v>
      </c>
      <c r="E393" s="20">
        <f>IFERROR(VLOOKUP($A393,Equipment!$A$2:$AH1001,MATCH("LevelReq",Equipment!$A$1:$AH$1,0),FALSE),"")</f>
        <v>1</v>
      </c>
      <c r="F393" s="18" t="str">
        <f>IFERROR(VLOOKUP($A393,Equipconvrt!$A$2:$AH1001,MATCH("Abilities",Equipconvrt!$A$1:$AH$1,0),FALSE),"")</f>
        <v> (Wyverntail Set) ++When you are attacked, the enemy that attacked you has a 25% Chance to Freeze.</v>
      </c>
      <c r="G393" s="20">
        <f>IFERROR(VLOOKUP($A393,Equipment!$A$2:$AD1001,MATCH("Price",Equipment!$A$1:$AH$1,0),FALSE),"")</f>
        <v>0</v>
      </c>
      <c r="H393" s="4" t="b">
        <v>0</v>
      </c>
      <c r="I393" s="1" t="str">
        <f>IFERROR(VLOOKUP($A393,Equipment!$A$2:$AH1001,MATCH("EquipLoc",Equipment!$A$1:$AH$1,0),FALSE),"")</f>
        <v>Dragonscale Island</v>
      </c>
      <c r="W393" s="1" t="str">
        <f>IFERROR(__xludf.DUMMYFUNCTION("""COMPUTED_VALUE"""),"WyvernTail Pauldrons")</f>
        <v>WyvernTail Pauldrons</v>
      </c>
      <c r="X393" s="1" t="str">
        <f t="shared" si="1"/>
        <v/>
      </c>
    </row>
    <row r="394">
      <c r="A394" s="1" t="s">
        <v>900</v>
      </c>
      <c r="B394" s="18" t="str">
        <f>IFERROR(VLOOKUP($A394,Equipment!$A$2:$AH1001,MATCH("Description",Equipment!$A$1:$AH$1,0),FALSE),"")</f>
        <v/>
      </c>
      <c r="C394" s="18" t="str">
        <f>IFERROR(VLOOKUP($A394,Equipment!$A$2:$AH1001,MATCH("Type",Equipment!$A$1:$AH$1,0),FALSE),"")</f>
        <v/>
      </c>
      <c r="D394" s="18" t="str">
        <f>IFERROR(VLOOKUP($A394,Equipment!$A$2:$AH1001,MATCH("Slot",Equipment!$A$1:$AH$1,0),FALSE),"")</f>
        <v>Ring</v>
      </c>
      <c r="E394" s="20">
        <f>IFERROR(VLOOKUP($A394,Equipment!$A$2:$AH1001,MATCH("LevelReq",Equipment!$A$1:$AH$1,0),FALSE),"")</f>
        <v>1</v>
      </c>
      <c r="F394" s="18" t="str">
        <f>IFERROR(VLOOKUP($A394,Equipconvrt!$A$2:$AH1001,MATCH("Abilities",Equipconvrt!$A$1:$AH$1,0),FALSE),"")</f>
        <v> (Wyverntail Set) ++When you are attacked, the enemy that attacked you has a 25% Chance to Freeze. </v>
      </c>
      <c r="G394" s="20">
        <f>IFERROR(VLOOKUP($A394,Equipment!$A$2:$AD1001,MATCH("Price",Equipment!$A$1:$AH$1,0),FALSE),"")</f>
        <v>0</v>
      </c>
      <c r="H394" s="4" t="b">
        <v>0</v>
      </c>
      <c r="I394" s="1" t="str">
        <f>IFERROR(VLOOKUP($A394,Equipment!$A$2:$AH1001,MATCH("EquipLoc",Equipment!$A$1:$AH$1,0),FALSE),"")</f>
        <v>Dragonscale Island</v>
      </c>
      <c r="W394" s="1" t="str">
        <f>IFERROR(__xludf.DUMMYFUNCTION("""COMPUTED_VALUE"""),"WyvernTail Chestplate")</f>
        <v>WyvernTail Chestplate</v>
      </c>
      <c r="X394" s="1" t="str">
        <f t="shared" si="1"/>
        <v/>
      </c>
    </row>
    <row r="395">
      <c r="A395" s="1" t="s">
        <v>901</v>
      </c>
      <c r="B395" s="18" t="str">
        <f>IFERROR(VLOOKUP($A395,Equipment!$A$2:$AH1001,MATCH("Description",Equipment!$A$1:$AH$1,0),FALSE),"")</f>
        <v/>
      </c>
      <c r="C395" s="18" t="str">
        <f>IFERROR(VLOOKUP($A395,Equipment!$A$2:$AH1001,MATCH("Type",Equipment!$A$1:$AH$1,0),FALSE),"")</f>
        <v>Sword</v>
      </c>
      <c r="D395" s="18" t="str">
        <f>IFERROR(VLOOKUP($A395,Equipment!$A$2:$AH1001,MATCH("Slot",Equipment!$A$1:$AH$1,0),FALSE),"")</f>
        <v>Hand</v>
      </c>
      <c r="E395" s="20">
        <f>IFERROR(VLOOKUP($A395,Equipment!$A$2:$AH1001,MATCH("LevelReq",Equipment!$A$1:$AH$1,0),FALSE),"")</f>
        <v>400</v>
      </c>
      <c r="F395" s="18" t="str">
        <f>IFERROR(VLOOKUP($A395,Equipconvrt!$A$2:$AH1001,MATCH("Abilities",Equipconvrt!$A$1:$AH$1,0),FALSE),"")</f>
        <v>DMG: +5000, Fire DMG: +5000, Water DMG: +5000, Nature DMG: +5000 (Sweltering Set) ++X2 Nature, Water, and Fire Damage.</v>
      </c>
      <c r="G395" s="20">
        <f>IFERROR(VLOOKUP($A395,Equipment!$A$2:$AD1001,MATCH("Price",Equipment!$A$1:$AH$1,0),FALSE),"")</f>
        <v>7800000</v>
      </c>
      <c r="H395" s="4" t="b">
        <v>0</v>
      </c>
      <c r="I395" s="1" t="str">
        <f>IFERROR(VLOOKUP($A395,Equipment!$A$2:$AH1001,MATCH("EquipLoc",Equipment!$A$1:$AH$1,0),FALSE),"")</f>
        <v>Dragonscale Island</v>
      </c>
      <c r="W395" s="1" t="str">
        <f>IFERROR(__xludf.DUMMYFUNCTION("""COMPUTED_VALUE"""),"WyvernTail Vambraces")</f>
        <v>WyvernTail Vambraces</v>
      </c>
      <c r="X395" s="1" t="str">
        <f t="shared" si="1"/>
        <v/>
      </c>
    </row>
    <row r="396">
      <c r="A396" s="1" t="s">
        <v>902</v>
      </c>
      <c r="B396" s="18" t="str">
        <f>IFERROR(VLOOKUP($A396,Equipment!$A$2:$AH1001,MATCH("Description",Equipment!$A$1:$AH$1,0),FALSE),"")</f>
        <v/>
      </c>
      <c r="C396" s="18" t="str">
        <f>IFERROR(VLOOKUP($A396,Equipment!$A$2:$AH1001,MATCH("Type",Equipment!$A$1:$AH$1,0),FALSE),"")</f>
        <v/>
      </c>
      <c r="D396" s="18" t="str">
        <f>IFERROR(VLOOKUP($A396,Equipment!$A$2:$AH1001,MATCH("Slot",Equipment!$A$1:$AH$1,0),FALSE),"")</f>
        <v>Head</v>
      </c>
      <c r="E396" s="20">
        <f>IFERROR(VLOOKUP($A396,Equipment!$A$2:$AH1001,MATCH("LevelReq",Equipment!$A$1:$AH$1,0),FALSE),"")</f>
        <v>400</v>
      </c>
      <c r="F396" s="18" t="str">
        <f>IFERROR(VLOOKUP($A396,Equipconvrt!$A$2:$AH1001,MATCH("Abilities",Equipconvrt!$A$1:$AH$1,0),FALSE),"")</f>
        <v>DEF: +5000, Fire DEF: +5000, Water DEF: +5000, Nature DEF: +5000 (Sweltering Set) ++X2 Nature, Water, and Fire Damage.</v>
      </c>
      <c r="G396" s="20">
        <f>IFERROR(VLOOKUP($A396,Equipment!$A$2:$AD1001,MATCH("Price",Equipment!$A$1:$AH$1,0),FALSE),"")</f>
        <v>7800000</v>
      </c>
      <c r="H396" s="4" t="b">
        <v>0</v>
      </c>
      <c r="I396" s="1" t="str">
        <f>IFERROR(VLOOKUP($A396,Equipment!$A$2:$AH1001,MATCH("EquipLoc",Equipment!$A$1:$AH$1,0),FALSE),"")</f>
        <v>Dragonscale Island</v>
      </c>
      <c r="W396" s="1" t="str">
        <f>IFERROR(__xludf.DUMMYFUNCTION("""COMPUTED_VALUE"""),"WyvernTail Greaves")</f>
        <v>WyvernTail Greaves</v>
      </c>
      <c r="X396" s="1" t="str">
        <f t="shared" si="1"/>
        <v/>
      </c>
    </row>
    <row r="397">
      <c r="A397" s="1" t="s">
        <v>903</v>
      </c>
      <c r="B397" s="18" t="str">
        <f>IFERROR(VLOOKUP($A397,Equipment!$A$2:$AH1001,MATCH("Description",Equipment!$A$1:$AH$1,0),FALSE),"")</f>
        <v/>
      </c>
      <c r="C397" s="18" t="str">
        <f>IFERROR(VLOOKUP($A397,Equipment!$A$2:$AH1001,MATCH("Type",Equipment!$A$1:$AH$1,0),FALSE),"")</f>
        <v/>
      </c>
      <c r="D397" s="18" t="str">
        <f>IFERROR(VLOOKUP($A397,Equipment!$A$2:$AH1001,MATCH("Slot",Equipment!$A$1:$AH$1,0),FALSE),"")</f>
        <v>Shoulders</v>
      </c>
      <c r="E397" s="20">
        <f>IFERROR(VLOOKUP($A397,Equipment!$A$2:$AH1001,MATCH("LevelReq",Equipment!$A$1:$AH$1,0),FALSE),"")</f>
        <v>400</v>
      </c>
      <c r="F397" s="18" t="str">
        <f>IFERROR(VLOOKUP($A397,Equipconvrt!$A$2:$AH1001,MATCH("Abilities",Equipconvrt!$A$1:$AH$1,0),FALSE),"")</f>
        <v>DEF: +5000, Fire DEF: +5000, Water DEF: +5000, Nature DEF: +5000 (Sweltering Set) ++X2 Nature, Water, and Fire Damage.</v>
      </c>
      <c r="G397" s="20">
        <f>IFERROR(VLOOKUP($A397,Equipment!$A$2:$AD1001,MATCH("Price",Equipment!$A$1:$AH$1,0),FALSE),"")</f>
        <v>7800000</v>
      </c>
      <c r="H397" s="4" t="b">
        <v>0</v>
      </c>
      <c r="I397" s="1" t="str">
        <f>IFERROR(VLOOKUP($A397,Equipment!$A$2:$AH1001,MATCH("EquipLoc",Equipment!$A$1:$AH$1,0),FALSE),"")</f>
        <v>Dragonscale Island</v>
      </c>
      <c r="W397" s="1" t="str">
        <f>IFERROR(__xludf.DUMMYFUNCTION("""COMPUTED_VALUE"""),"WyvernTail Boots")</f>
        <v>WyvernTail Boots</v>
      </c>
      <c r="X397" s="1" t="str">
        <f t="shared" si="1"/>
        <v/>
      </c>
    </row>
    <row r="398">
      <c r="A398" s="1" t="s">
        <v>904</v>
      </c>
      <c r="B398" s="18" t="str">
        <f>IFERROR(VLOOKUP($A398,Equipment!$A$2:$AH1001,MATCH("Description",Equipment!$A$1:$AH$1,0),FALSE),"")</f>
        <v/>
      </c>
      <c r="C398" s="18" t="str">
        <f>IFERROR(VLOOKUP($A398,Equipment!$A$2:$AH1001,MATCH("Type",Equipment!$A$1:$AH$1,0),FALSE),"")</f>
        <v/>
      </c>
      <c r="D398" s="18" t="str">
        <f>IFERROR(VLOOKUP($A398,Equipment!$A$2:$AH1001,MATCH("Slot",Equipment!$A$1:$AH$1,0),FALSE),"")</f>
        <v>Torso</v>
      </c>
      <c r="E398" s="20">
        <f>IFERROR(VLOOKUP($A398,Equipment!$A$2:$AH1001,MATCH("LevelReq",Equipment!$A$1:$AH$1,0),FALSE),"")</f>
        <v>400</v>
      </c>
      <c r="F398" s="18" t="str">
        <f>IFERROR(VLOOKUP($A398,Equipconvrt!$A$2:$AH1001,MATCH("Abilities",Equipconvrt!$A$1:$AH$1,0),FALSE),"")</f>
        <v>DEF: +5000, Fire DEF: +5000, Water DEF: +5000, Nature DEF: +5000 (Sweltering Set) ++X2 Nature, Water, and Fire Damage.</v>
      </c>
      <c r="G398" s="20">
        <f>IFERROR(VLOOKUP($A398,Equipment!$A$2:$AD1001,MATCH("Price",Equipment!$A$1:$AH$1,0),FALSE),"")</f>
        <v>7800000</v>
      </c>
      <c r="H398" s="4" t="b">
        <v>0</v>
      </c>
      <c r="I398" s="1" t="str">
        <f>IFERROR(VLOOKUP($A398,Equipment!$A$2:$AH1001,MATCH("EquipLoc",Equipment!$A$1:$AH$1,0),FALSE),"")</f>
        <v>Dragonscale Island</v>
      </c>
      <c r="W398" s="1" t="str">
        <f>IFERROR(__xludf.DUMMYFUNCTION("""COMPUTED_VALUE"""),"WyvernTail Pendent")</f>
        <v>WyvernTail Pendent</v>
      </c>
      <c r="X398" s="1" t="str">
        <f t="shared" si="1"/>
        <v/>
      </c>
    </row>
    <row r="399">
      <c r="A399" s="1" t="s">
        <v>905</v>
      </c>
      <c r="B399" s="18" t="str">
        <f>IFERROR(VLOOKUP($A399,Equipment!$A$2:$AH1001,MATCH("Description",Equipment!$A$1:$AH$1,0),FALSE),"")</f>
        <v/>
      </c>
      <c r="C399" s="18" t="str">
        <f>IFERROR(VLOOKUP($A399,Equipment!$A$2:$AH1001,MATCH("Type",Equipment!$A$1:$AH$1,0),FALSE),"")</f>
        <v/>
      </c>
      <c r="D399" s="18" t="str">
        <f>IFERROR(VLOOKUP($A399,Equipment!$A$2:$AH1001,MATCH("Slot",Equipment!$A$1:$AH$1,0),FALSE),"")</f>
        <v>Arms</v>
      </c>
      <c r="E399" s="20">
        <f>IFERROR(VLOOKUP($A399,Equipment!$A$2:$AH1001,MATCH("LevelReq",Equipment!$A$1:$AH$1,0),FALSE),"")</f>
        <v>400</v>
      </c>
      <c r="F399" s="18" t="str">
        <f>IFERROR(VLOOKUP($A399,Equipconvrt!$A$2:$AH1001,MATCH("Abilities",Equipconvrt!$A$1:$AH$1,0),FALSE),"")</f>
        <v>DEF: +5000, Fire DEF: +5000, Water DEF: +5000, Nature DEF: +5000 (Sweltering Set) ++X2 Nature, Water, and Fire Damage.</v>
      </c>
      <c r="G399" s="20">
        <f>IFERROR(VLOOKUP($A399,Equipment!$A$2:$AD1001,MATCH("Price",Equipment!$A$1:$AH$1,0),FALSE),"")</f>
        <v>7800000</v>
      </c>
      <c r="H399" s="4" t="b">
        <v>0</v>
      </c>
      <c r="I399" s="1" t="str">
        <f>IFERROR(VLOOKUP($A399,Equipment!$A$2:$AH1001,MATCH("EquipLoc",Equipment!$A$1:$AH$1,0),FALSE),"")</f>
        <v>Dragonscale Island</v>
      </c>
      <c r="W399" s="1" t="str">
        <f>IFERROR(__xludf.DUMMYFUNCTION("""COMPUTED_VALUE"""),"WyvernTail Ring")</f>
        <v>WyvernTail Ring</v>
      </c>
      <c r="X399" s="1" t="str">
        <f t="shared" si="1"/>
        <v/>
      </c>
    </row>
    <row r="400">
      <c r="A400" s="1" t="s">
        <v>906</v>
      </c>
      <c r="B400" s="18" t="str">
        <f>IFERROR(VLOOKUP($A400,Equipment!$A$2:$AH1001,MATCH("Description",Equipment!$A$1:$AH$1,0),FALSE),"")</f>
        <v/>
      </c>
      <c r="C400" s="18" t="str">
        <f>IFERROR(VLOOKUP($A400,Equipment!$A$2:$AH1001,MATCH("Type",Equipment!$A$1:$AH$1,0),FALSE),"")</f>
        <v/>
      </c>
      <c r="D400" s="18" t="str">
        <f>IFERROR(VLOOKUP($A400,Equipment!$A$2:$AH1001,MATCH("Slot",Equipment!$A$1:$AH$1,0),FALSE),"")</f>
        <v>Legs</v>
      </c>
      <c r="E400" s="20">
        <f>IFERROR(VLOOKUP($A400,Equipment!$A$2:$AH1001,MATCH("LevelReq",Equipment!$A$1:$AH$1,0),FALSE),"")</f>
        <v>400</v>
      </c>
      <c r="F400" s="18" t="str">
        <f>IFERROR(VLOOKUP($A400,Equipconvrt!$A$2:$AH1001,MATCH("Abilities",Equipconvrt!$A$1:$AH$1,0),FALSE),"")</f>
        <v>DEF: +5000, Fire DEF: +5000, Water DEF: +5000, Nature DEF: +5000 (Sweltering Set) ++X2 Nature, Water, and Fire Damage.</v>
      </c>
      <c r="G400" s="20">
        <f>IFERROR(VLOOKUP($A400,Equipment!$A$2:$AD1001,MATCH("Price",Equipment!$A$1:$AH$1,0),FALSE),"")</f>
        <v>7800000</v>
      </c>
      <c r="H400" s="4" t="b">
        <v>0</v>
      </c>
      <c r="I400" s="1" t="str">
        <f>IFERROR(VLOOKUP($A400,Equipment!$A$2:$AH1001,MATCH("EquipLoc",Equipment!$A$1:$AH$1,0),FALSE),"")</f>
        <v>Dragonscale Island</v>
      </c>
      <c r="W400" s="1" t="str">
        <f>IFERROR(__xludf.DUMMYFUNCTION("""COMPUTED_VALUE"""),"Sweltering Blade")</f>
        <v>Sweltering Blade</v>
      </c>
      <c r="X400" s="1" t="str">
        <f t="shared" si="1"/>
        <v/>
      </c>
    </row>
    <row r="401">
      <c r="A401" s="1" t="s">
        <v>907</v>
      </c>
      <c r="B401" s="18" t="str">
        <f>IFERROR(VLOOKUP($A401,Equipment!$A$2:$AH1001,MATCH("Description",Equipment!$A$1:$AH$1,0),FALSE),"")</f>
        <v/>
      </c>
      <c r="C401" s="18" t="str">
        <f>IFERROR(VLOOKUP($A401,Equipment!$A$2:$AH1001,MATCH("Type",Equipment!$A$1:$AH$1,0),FALSE),"")</f>
        <v/>
      </c>
      <c r="D401" s="18" t="str">
        <f>IFERROR(VLOOKUP($A401,Equipment!$A$2:$AH1001,MATCH("Slot",Equipment!$A$1:$AH$1,0),FALSE),"")</f>
        <v>Feet</v>
      </c>
      <c r="E401" s="20">
        <f>IFERROR(VLOOKUP($A401,Equipment!$A$2:$AH1001,MATCH("LevelReq",Equipment!$A$1:$AH$1,0),FALSE),"")</f>
        <v>400</v>
      </c>
      <c r="F401" s="18" t="str">
        <f>IFERROR(VLOOKUP($A401,Equipconvrt!$A$2:$AH1001,MATCH("Abilities",Equipconvrt!$A$1:$AH$1,0),FALSE),"")</f>
        <v>DEF: +5000, Fire DEF: +5000, Water DEF: +5000, Nature DEF: +5000 (Sweltering Set) ++X2 Nature, Water, and Fire Damage.</v>
      </c>
      <c r="G401" s="20">
        <f>IFERROR(VLOOKUP($A401,Equipment!$A$2:$AD1001,MATCH("Price",Equipment!$A$1:$AH$1,0),FALSE),"")</f>
        <v>7800000</v>
      </c>
      <c r="H401" s="4" t="b">
        <v>0</v>
      </c>
      <c r="I401" s="1" t="str">
        <f>IFERROR(VLOOKUP($A401,Equipment!$A$2:$AH1001,MATCH("EquipLoc",Equipment!$A$1:$AH$1,0),FALSE),"")</f>
        <v>Dragonscale Island</v>
      </c>
      <c r="W401" s="1" t="str">
        <f>IFERROR(__xludf.DUMMYFUNCTION("""COMPUTED_VALUE"""),"Sweltering Helm")</f>
        <v>Sweltering Helm</v>
      </c>
      <c r="X401" s="1" t="str">
        <f t="shared" si="1"/>
        <v/>
      </c>
    </row>
    <row r="402">
      <c r="A402" s="1" t="s">
        <v>908</v>
      </c>
      <c r="B402" s="18" t="str">
        <f>IFERROR(VLOOKUP($A402,Equipment!$A$2:$AH1001,MATCH("Description",Equipment!$A$1:$AH$1,0),FALSE),"")</f>
        <v/>
      </c>
      <c r="C402" s="18" t="str">
        <f>IFERROR(VLOOKUP($A402,Equipment!$A$2:$AH1001,MATCH("Type",Equipment!$A$1:$AH$1,0),FALSE),"")</f>
        <v/>
      </c>
      <c r="D402" s="18" t="str">
        <f>IFERROR(VLOOKUP($A402,Equipment!$A$2:$AH1001,MATCH("Slot",Equipment!$A$1:$AH$1,0),FALSE),"")</f>
        <v>Neck</v>
      </c>
      <c r="E402" s="20">
        <f>IFERROR(VLOOKUP($A402,Equipment!$A$2:$AH1001,MATCH("LevelReq",Equipment!$A$1:$AH$1,0),FALSE),"")</f>
        <v>1</v>
      </c>
      <c r="F402" s="18" t="str">
        <f>IFERROR(VLOOKUP($A402,Equipconvrt!$A$2:$AH1001,MATCH("Abilities",Equipconvrt!$A$1:$AH$1,0),FALSE),"")</f>
        <v> (Sweltering Set) ++Fire, Nature, and Water immunity.</v>
      </c>
      <c r="G402" s="20">
        <f>IFERROR(VLOOKUP($A402,Equipment!$A$2:$AD1001,MATCH("Price",Equipment!$A$1:$AH$1,0),FALSE),"")</f>
        <v>0</v>
      </c>
      <c r="H402" s="4" t="b">
        <v>0</v>
      </c>
      <c r="I402" s="1" t="str">
        <f>IFERROR(VLOOKUP($A402,Equipment!$A$2:$AH1001,MATCH("EquipLoc",Equipment!$A$1:$AH$1,0),FALSE),"")</f>
        <v>Dragonscale Island</v>
      </c>
      <c r="W402" s="1" t="str">
        <f>IFERROR(__xludf.DUMMYFUNCTION("""COMPUTED_VALUE"""),"Sweltering Pauldrons")</f>
        <v>Sweltering Pauldrons</v>
      </c>
      <c r="X402" s="1" t="str">
        <f t="shared" si="1"/>
        <v/>
      </c>
    </row>
    <row r="403">
      <c r="A403" s="1" t="s">
        <v>909</v>
      </c>
      <c r="B403" s="18" t="str">
        <f>IFERROR(VLOOKUP($A403,Equipment!$A$2:$AH1001,MATCH("Description",Equipment!$A$1:$AH$1,0),FALSE),"")</f>
        <v/>
      </c>
      <c r="C403" s="18" t="str">
        <f>IFERROR(VLOOKUP($A403,Equipment!$A$2:$AH1001,MATCH("Type",Equipment!$A$1:$AH$1,0),FALSE),"")</f>
        <v/>
      </c>
      <c r="D403" s="18" t="str">
        <f>IFERROR(VLOOKUP($A403,Equipment!$A$2:$AH1001,MATCH("Slot",Equipment!$A$1:$AH$1,0),FALSE),"")</f>
        <v>Ring</v>
      </c>
      <c r="E403" s="20">
        <f>IFERROR(VLOOKUP($A403,Equipment!$A$2:$AH1001,MATCH("LevelReq",Equipment!$A$1:$AH$1,0),FALSE),"")</f>
        <v>1</v>
      </c>
      <c r="F403" s="18" t="str">
        <f>IFERROR(VLOOKUP($A403,Equipconvrt!$A$2:$AH1001,MATCH("Abilities",Equipconvrt!$A$1:$AH$1,0),FALSE),"")</f>
        <v> (Sweltering Set) ++Fire, Nature, and Water immunity.</v>
      </c>
      <c r="G403" s="20">
        <f>IFERROR(VLOOKUP($A403,Equipment!$A$2:$AD1001,MATCH("Price",Equipment!$A$1:$AH$1,0),FALSE),"")</f>
        <v>0</v>
      </c>
      <c r="H403" s="4" t="b">
        <v>0</v>
      </c>
      <c r="I403" s="1" t="str">
        <f>IFERROR(VLOOKUP($A403,Equipment!$A$2:$AH1001,MATCH("EquipLoc",Equipment!$A$1:$AH$1,0),FALSE),"")</f>
        <v>Dragonscale Island</v>
      </c>
      <c r="W403" s="1" t="str">
        <f>IFERROR(__xludf.DUMMYFUNCTION("""COMPUTED_VALUE"""),"Sweltering Chestplate")</f>
        <v>Sweltering Chestplate</v>
      </c>
      <c r="X403" s="1" t="str">
        <f t="shared" si="1"/>
        <v/>
      </c>
    </row>
    <row r="404">
      <c r="A404" s="1" t="s">
        <v>910</v>
      </c>
      <c r="B404" s="18" t="str">
        <f>IFERROR(VLOOKUP($A404,Equipment!$A$2:$AH1001,MATCH("Description",Equipment!$A$1:$AH$1,0),FALSE),"")</f>
        <v/>
      </c>
      <c r="C404" s="18" t="str">
        <f>IFERROR(VLOOKUP($A404,Equipment!$A$2:$AH1001,MATCH("Type",Equipment!$A$1:$AH$1,0),FALSE),"")</f>
        <v/>
      </c>
      <c r="D404" s="18" t="str">
        <f>IFERROR(VLOOKUP($A404,Equipment!$A$2:$AH1001,MATCH("Slot",Equipment!$A$1:$AH$1,0),FALSE),"")</f>
        <v>Torso</v>
      </c>
      <c r="E404" s="20">
        <f>IFERROR(VLOOKUP($A404,Equipment!$A$2:$AH1001,MATCH("LevelReq",Equipment!$A$1:$AH$1,0),FALSE),"")</f>
        <v>400</v>
      </c>
      <c r="F404" s="18" t="str">
        <f>IFERROR(VLOOKUP($A404,Equipconvrt!$A$2:$AH1001,MATCH("Abilities",Equipconvrt!$A$1:$AH$1,0),FALSE),"")</f>
        <v>DEF: +10000, Water DEF: +5000, Light DEF: +5000 ++X2 Defense for the wearer. +-Cannot be Duplicated.</v>
      </c>
      <c r="G404" s="20">
        <f>IFERROR(VLOOKUP($A404,Equipment!$A$2:$AD1001,MATCH("Price",Equipment!$A$1:$AH$1,0),FALSE),"")</f>
        <v>7800000</v>
      </c>
      <c r="H404" s="4" t="b">
        <v>0</v>
      </c>
      <c r="I404" s="1" t="str">
        <f>IFERROR(VLOOKUP($A404,Equipment!$A$2:$AH1001,MATCH("EquipLoc",Equipment!$A$1:$AH$1,0),FALSE),"")</f>
        <v>Dragonscale Island</v>
      </c>
      <c r="W404" s="1" t="str">
        <f>IFERROR(__xludf.DUMMYFUNCTION("""COMPUTED_VALUE"""),"Sweltering Vambraces")</f>
        <v>Sweltering Vambraces</v>
      </c>
      <c r="X404" s="1" t="str">
        <f t="shared" si="1"/>
        <v/>
      </c>
    </row>
    <row r="405">
      <c r="A405" s="1" t="s">
        <v>911</v>
      </c>
      <c r="B405" s="18" t="str">
        <f>IFERROR(VLOOKUP($A405,Equipment!$A$2:$AH1001,MATCH("Description",Equipment!$A$1:$AH$1,0),FALSE),"")</f>
        <v/>
      </c>
      <c r="C405" s="18" t="str">
        <f>IFERROR(VLOOKUP($A405,Equipment!$A$2:$AH1001,MATCH("Type",Equipment!$A$1:$AH$1,0),FALSE),"")</f>
        <v>Towershield</v>
      </c>
      <c r="D405" s="18" t="str">
        <f>IFERROR(VLOOKUP($A405,Equipment!$A$2:$AH1001,MATCH("Slot",Equipment!$A$1:$AH$1,0),FALSE),"")</f>
        <v>Hand</v>
      </c>
      <c r="E405" s="20">
        <f>IFERROR(VLOOKUP($A405,Equipment!$A$2:$AH1001,MATCH("LevelReq",Equipment!$A$1:$AH$1,0),FALSE),"")</f>
        <v>400</v>
      </c>
      <c r="F405" s="18" t="str">
        <f>IFERROR(VLOOKUP($A405,Equipconvrt!$A$2:$AH1001,MATCH("Abilities",Equipconvrt!$A$1:$AH$1,0),FALSE),"")</f>
        <v>DEF: +20000 ++X2 Defense for the wearer. +-Cannot be Duplicated.</v>
      </c>
      <c r="G405" s="20">
        <f>IFERROR(VLOOKUP($A405,Equipment!$A$2:$AD1001,MATCH("Price",Equipment!$A$1:$AH$1,0),FALSE),"")</f>
        <v>7800000</v>
      </c>
      <c r="H405" s="4" t="b">
        <v>0</v>
      </c>
      <c r="I405" s="1" t="str">
        <f>IFERROR(VLOOKUP($A405,Equipment!$A$2:$AH1001,MATCH("EquipLoc",Equipment!$A$1:$AH$1,0),FALSE),"")</f>
        <v>Dragonscale Island</v>
      </c>
      <c r="W405" s="1" t="str">
        <f>IFERROR(__xludf.DUMMYFUNCTION("""COMPUTED_VALUE"""),"Sweltering Greaves")</f>
        <v>Sweltering Greaves</v>
      </c>
      <c r="X405" s="1" t="str">
        <f t="shared" si="1"/>
        <v/>
      </c>
    </row>
    <row r="406">
      <c r="A406" s="1" t="s">
        <v>912</v>
      </c>
      <c r="B406" s="18" t="str">
        <f>IFERROR(VLOOKUP($A406,Equipment!$A$2:$AH1001,MATCH("Description",Equipment!$A$1:$AH$1,0),FALSE),"")</f>
        <v/>
      </c>
      <c r="C406" s="18" t="str">
        <f>IFERROR(VLOOKUP($A406,Equipment!$A$2:$AH1001,MATCH("Type",Equipment!$A$1:$AH$1,0),FALSE),"")</f>
        <v/>
      </c>
      <c r="D406" s="18" t="str">
        <f>IFERROR(VLOOKUP($A406,Equipment!$A$2:$AH1001,MATCH("Slot",Equipment!$A$1:$AH$1,0),FALSE),"")</f>
        <v>Hand</v>
      </c>
      <c r="E406" s="20">
        <f>IFERROR(VLOOKUP($A406,Equipment!$A$2:$AH1001,MATCH("LevelReq",Equipment!$A$1:$AH$1,0),FALSE),"")</f>
        <v>1</v>
      </c>
      <c r="F406" s="18" t="str">
        <f>IFERROR(VLOOKUP($A406,Equipconvrt!$A$2:$AH1001,MATCH("Abilities",Equipconvrt!$A$1:$AH$1,0),FALSE),"")</f>
        <v> ++X2 additional damage towards weapons for the user.</v>
      </c>
      <c r="G406" s="20">
        <f>IFERROR(VLOOKUP($A406,Equipment!$A$2:$AD1001,MATCH("Price",Equipment!$A$1:$AH$1,0),FALSE),"")</f>
        <v>0</v>
      </c>
      <c r="H406" s="4" t="b">
        <v>0</v>
      </c>
      <c r="I406" s="1" t="str">
        <f>IFERROR(VLOOKUP($A406,Equipment!$A$2:$AH1001,MATCH("EquipLoc",Equipment!$A$1:$AH$1,0),FALSE),"")</f>
        <v>Dragonscale Island</v>
      </c>
      <c r="W406" s="1" t="str">
        <f>IFERROR(__xludf.DUMMYFUNCTION("""COMPUTED_VALUE"""),"Sweltering Boots")</f>
        <v>Sweltering Boots</v>
      </c>
      <c r="X406" s="1" t="str">
        <f t="shared" si="1"/>
        <v/>
      </c>
    </row>
    <row r="407">
      <c r="A407" s="1" t="s">
        <v>913</v>
      </c>
      <c r="B407" s="18" t="str">
        <f>IFERROR(VLOOKUP($A407,Equipment!$A$2:$AH1001,MATCH("Description",Equipment!$A$1:$AH$1,0),FALSE),"")</f>
        <v>A rare pearl found deep within the ocean of Dragonscale Island.</v>
      </c>
      <c r="C407" s="18" t="str">
        <f>IFERROR(VLOOKUP($A407,Equipment!$A$2:$AH1001,MATCH("Type",Equipment!$A$1:$AH$1,0),FALSE),"")</f>
        <v/>
      </c>
      <c r="D407" s="18" t="str">
        <f>IFERROR(VLOOKUP($A407,Equipment!$A$2:$AH1001,MATCH("Slot",Equipment!$A$1:$AH$1,0),FALSE),"")</f>
        <v>Hand</v>
      </c>
      <c r="E407" s="20">
        <f>IFERROR(VLOOKUP($A407,Equipment!$A$2:$AH1001,MATCH("LevelReq",Equipment!$A$1:$AH$1,0),FALSE),"")</f>
        <v>200</v>
      </c>
      <c r="F407" s="18" t="str">
        <f>IFERROR(VLOOKUP($A407,Equipconvrt!$A$2:$AH1001,MATCH("Abilities",Equipconvrt!$A$1:$AH$1,0),FALSE),"")</f>
        <v>DEF: +10000 ++Water Immunity. ++Water damage dealt by you gives you sp back equal half the damage caused.</v>
      </c>
      <c r="G407" s="20">
        <f>IFERROR(VLOOKUP($A407,Equipment!$A$2:$AD1001,MATCH("Price",Equipment!$A$1:$AH$1,0),FALSE),"")</f>
        <v>1900000</v>
      </c>
      <c r="H407" s="4" t="b">
        <v>1</v>
      </c>
      <c r="I407" s="1" t="str">
        <f>IFERROR(VLOOKUP($A407,Equipment!$A$2:$AH1001,MATCH("EquipLoc",Equipment!$A$1:$AH$1,0),FALSE),"")</f>
        <v>Dragonscale Island</v>
      </c>
      <c r="W407" s="1" t="str">
        <f>IFERROR(__xludf.DUMMYFUNCTION("""COMPUTED_VALUE"""),"Sweltering Pendent")</f>
        <v>Sweltering Pendent</v>
      </c>
      <c r="X407" s="1" t="str">
        <f t="shared" si="1"/>
        <v/>
      </c>
    </row>
    <row r="408">
      <c r="A408" s="1" t="s">
        <v>914</v>
      </c>
      <c r="B408" s="18" t="str">
        <f>IFERROR(VLOOKUP($A408,Equipment!$A$2:$AH1001,MATCH("Description",Equipment!$A$1:$AH$1,0),FALSE),"")</f>
        <v/>
      </c>
      <c r="C408" s="18" t="str">
        <f>IFERROR(VLOOKUP($A408,Equipment!$A$2:$AH1001,MATCH("Type",Equipment!$A$1:$AH$1,0),FALSE),"")</f>
        <v>Spear</v>
      </c>
      <c r="D408" s="18" t="str">
        <f>IFERROR(VLOOKUP($A408,Equipment!$A$2:$AH1001,MATCH("Slot",Equipment!$A$1:$AH$1,0),FALSE),"")</f>
        <v>Hand</v>
      </c>
      <c r="E408" s="20">
        <f>IFERROR(VLOOKUP($A408,Equipment!$A$2:$AH1001,MATCH("LevelReq",Equipment!$A$1:$AH$1,0),FALSE),"")</f>
        <v>600</v>
      </c>
      <c r="F408" s="18" t="str">
        <f>IFERROR(VLOOKUP($A408,Equipconvrt!$A$2:$AH1001,MATCH("Abilities",Equipconvrt!$A$1:$AH$1,0),FALSE),"")</f>
        <v>DMG: +10000, Water DMG: +10000, Storm DMG: +10000 ++X4 additional Storm Damage for the user, ++You may attack up to 3 times with this weapon in 1 turn, Roll a d3 to determine how many attacks this weapon does.</v>
      </c>
      <c r="G408" s="20">
        <f>IFERROR(VLOOKUP($A408,Equipment!$A$2:$AD1001,MATCH("Price",Equipment!$A$1:$AH$1,0),FALSE),"")</f>
        <v>17700000</v>
      </c>
      <c r="H408" s="4" t="b">
        <v>1</v>
      </c>
      <c r="I408" s="1" t="str">
        <f>IFERROR(VLOOKUP($A408,Equipment!$A$2:$AH1001,MATCH("EquipLoc",Equipment!$A$1:$AH$1,0),FALSE),"")</f>
        <v>Dragonscale Island</v>
      </c>
      <c r="W408" s="1" t="str">
        <f>IFERROR(__xludf.DUMMYFUNCTION("""COMPUTED_VALUE"""),"Sweltering Ring")</f>
        <v>Sweltering Ring</v>
      </c>
      <c r="X408" s="1" t="str">
        <f t="shared" si="1"/>
        <v/>
      </c>
    </row>
    <row r="409">
      <c r="A409" s="1" t="s">
        <v>915</v>
      </c>
      <c r="B409" s="18" t="str">
        <f>IFERROR(VLOOKUP($A409,Equipment!$A$2:$AH1001,MATCH("Description",Equipment!$A$1:$AH$1,0),FALSE),"")</f>
        <v/>
      </c>
      <c r="C409" s="18" t="str">
        <f>IFERROR(VLOOKUP($A409,Equipment!$A$2:$AH1001,MATCH("Type",Equipment!$A$1:$AH$1,0),FALSE),"")</f>
        <v>Sword</v>
      </c>
      <c r="D409" s="18" t="str">
        <f>IFERROR(VLOOKUP($A409,Equipment!$A$2:$AH1001,MATCH("Slot",Equipment!$A$1:$AH$1,0),FALSE),"")</f>
        <v>Hand</v>
      </c>
      <c r="E409" s="20">
        <f>IFERROR(VLOOKUP($A409,Equipment!$A$2:$AH1001,MATCH("LevelReq",Equipment!$A$1:$AH$1,0),FALSE),"")</f>
        <v>200</v>
      </c>
      <c r="F409" s="18" t="str">
        <f>IFERROR(VLOOKUP($A409,Equipconvrt!$A$2:$AH1001,MATCH("Abilities",Equipconvrt!$A$1:$AH$1,0),FALSE),"")</f>
        <v>DMG: +50000, Celestial DMG: +50000 ++5 to d20 rolls, ++2 Evasion, ++2 Mobility. +-Cannot be duplicated.</v>
      </c>
      <c r="G409" s="20">
        <f>IFERROR(VLOOKUP($A409,Equipment!$A$2:$AD1001,MATCH("Price",Equipment!$A$1:$AH$1,0),FALSE),"")</f>
        <v>199000000</v>
      </c>
      <c r="H409" s="4" t="b">
        <v>1</v>
      </c>
      <c r="I409" s="1" t="str">
        <f>IFERROR(VLOOKUP($A409,Equipment!$A$2:$AH1001,MATCH("EquipLoc",Equipment!$A$1:$AH$1,0),FALSE),"")</f>
        <v>Land of Spira</v>
      </c>
      <c r="W409" s="1" t="str">
        <f>IFERROR(__xludf.DUMMYFUNCTION("""COMPUTED_VALUE"""),"Reinforced Tortoise Shell")</f>
        <v>Reinforced Tortoise Shell</v>
      </c>
      <c r="X409" s="1" t="str">
        <f t="shared" si="1"/>
        <v/>
      </c>
    </row>
    <row r="410">
      <c r="A410" s="1" t="s">
        <v>916</v>
      </c>
      <c r="B410" s="18" t="str">
        <f>IFERROR(VLOOKUP($A410,Equipment!$A$2:$AH1001,MATCH("Description",Equipment!$A$1:$AH$1,0),FALSE),"")</f>
        <v/>
      </c>
      <c r="C410" s="18" t="str">
        <f>IFERROR(VLOOKUP($A410,Equipment!$A$2:$AH1001,MATCH("Type",Equipment!$A$1:$AH$1,0),FALSE),"")</f>
        <v>Firearm</v>
      </c>
      <c r="D410" s="18" t="str">
        <f>IFERROR(VLOOKUP($A410,Equipment!$A$2:$AH1001,MATCH("Slot",Equipment!$A$1:$AH$1,0),FALSE),"")</f>
        <v>CarGun</v>
      </c>
      <c r="E410" s="20">
        <f>IFERROR(VLOOKUP($A410,Equipment!$A$2:$AH1001,MATCH("LevelReq",Equipment!$A$1:$AH$1,0),FALSE),"")</f>
        <v>400</v>
      </c>
      <c r="F410" s="18" t="str">
        <f>IFERROR(VLOOKUP($A410,Equipconvrt!$A$2:$AH1001,MATCH("Abilities",Equipconvrt!$A$1:$AH$1,0),FALSE),"")</f>
        <v>DMG: +20000 ++Roll a d500 to see how many bullets are used when you attack with this weapon. +-Uses bullets. ++Damages 2 targets. ++Cannot Avoid.</v>
      </c>
      <c r="G410" s="20">
        <f>IFERROR(VLOOKUP($A410,Equipment!$A$2:$AD1001,MATCH("Price",Equipment!$A$1:$AH$1,0),FALSE),"")</f>
        <v>7800000</v>
      </c>
      <c r="H410" s="4" t="b">
        <v>0</v>
      </c>
      <c r="I410" s="1" t="str">
        <f>IFERROR(VLOOKUP($A410,Equipment!$A$2:$AH1001,MATCH("EquipLoc",Equipment!$A$1:$AH$1,0),FALSE),"")</f>
        <v>Land of Spira</v>
      </c>
      <c r="W410" s="1" t="str">
        <f>IFERROR(__xludf.DUMMYFUNCTION("""COMPUTED_VALUE"""),"Tortoise Shell Shield")</f>
        <v>Tortoise Shell Shield</v>
      </c>
      <c r="X410" s="1" t="str">
        <f t="shared" si="1"/>
        <v/>
      </c>
    </row>
    <row r="411">
      <c r="A411" s="1" t="s">
        <v>917</v>
      </c>
      <c r="B411" s="18" t="str">
        <f>IFERROR(VLOOKUP($A411,Equipment!$A$2:$AH1001,MATCH("Description",Equipment!$A$1:$AH$1,0),FALSE),"")</f>
        <v/>
      </c>
      <c r="C411" s="18" t="str">
        <f>IFERROR(VLOOKUP($A411,Equipment!$A$2:$AH1001,MATCH("Type",Equipment!$A$1:$AH$1,0),FALSE),"")</f>
        <v>Firearm</v>
      </c>
      <c r="D411" s="18" t="str">
        <f>IFERROR(VLOOKUP($A411,Equipment!$A$2:$AH1001,MATCH("Slot",Equipment!$A$1:$AH$1,0),FALSE),"")</f>
        <v>CarGun</v>
      </c>
      <c r="E411" s="20">
        <f>IFERROR(VLOOKUP($A411,Equipment!$A$2:$AH1001,MATCH("LevelReq",Equipment!$A$1:$AH$1,0),FALSE),"")</f>
        <v>800</v>
      </c>
      <c r="F411" s="18" t="str">
        <f>IFERROR(VLOOKUP($A411,Equipconvrt!$A$2:$AH1001,MATCH("Abilities",Equipconvrt!$A$1:$AH$1,0),FALSE),"")</f>
        <v>DMG: +40000 ++Does not take an action to use, Acts as if it has a turn order of its own. ++Has unlimited bullets. +-Uses bullets ++Roll a d1000 to see how many bullets are used. ++Damages all targets. ++Cannot avoid.</v>
      </c>
      <c r="G411" s="20">
        <f>IFERROR(VLOOKUP($A411,Equipment!$A$2:$AD1001,MATCH("Price",Equipment!$A$1:$AH$1,0),FALSE),"")</f>
        <v>31600000</v>
      </c>
      <c r="H411" s="4" t="b">
        <v>0</v>
      </c>
      <c r="I411" s="1" t="str">
        <f>IFERROR(VLOOKUP($A411,Equipment!$A$2:$AH1001,MATCH("EquipLoc",Equipment!$A$1:$AH$1,0),FALSE),"")</f>
        <v>Land of Spira</v>
      </c>
      <c r="W411" s="1" t="str">
        <f>IFERROR(__xludf.DUMMYFUNCTION("""COMPUTED_VALUE"""),"Stone of the Summit")</f>
        <v>Stone of the Summit</v>
      </c>
      <c r="X411" s="1" t="str">
        <f t="shared" si="1"/>
        <v/>
      </c>
    </row>
    <row r="412">
      <c r="A412" s="1" t="s">
        <v>918</v>
      </c>
      <c r="B412" s="18" t="str">
        <f>IFERROR(VLOOKUP($A412,Equipment!$A$2:$AH1001,MATCH("Description",Equipment!$A$1:$AH$1,0),FALSE),"")</f>
        <v/>
      </c>
      <c r="C412" s="18" t="str">
        <f>IFERROR(VLOOKUP($A412,Equipment!$A$2:$AH1001,MATCH("Type",Equipment!$A$1:$AH$1,0),FALSE),"")</f>
        <v>Firearm</v>
      </c>
      <c r="D412" s="18" t="str">
        <f>IFERROR(VLOOKUP($A412,Equipment!$A$2:$AH1001,MATCH("Slot",Equipment!$A$1:$AH$1,0),FALSE),"")</f>
        <v>BoatGun</v>
      </c>
      <c r="E412" s="20">
        <f>IFERROR(VLOOKUP($A412,Equipment!$A$2:$AH1001,MATCH("LevelReq",Equipment!$A$1:$AH$1,0),FALSE),"")</f>
        <v>5000</v>
      </c>
      <c r="F412" s="18" t="str">
        <f>IFERROR(VLOOKUP($A412,Equipconvrt!$A$2:$AH1001,MATCH("Abilities",Equipconvrt!$A$1:$AH$1,0),FALSE),"")</f>
        <v>, Fire DMG: +250000 ++Does not use Ammunition. ++Cannot avoid, ++Damages all enemies.</v>
      </c>
      <c r="G412" s="20">
        <f>IFERROR(VLOOKUP($A412,Equipment!$A$2:$AD1001,MATCH("Price",Equipment!$A$1:$AH$1,0),FALSE),"")</f>
        <v>1247500000</v>
      </c>
      <c r="H412" s="4" t="b">
        <v>0</v>
      </c>
      <c r="I412" s="1" t="str">
        <f>IFERROR(VLOOKUP($A412,Equipment!$A$2:$AH1001,MATCH("EquipLoc",Equipment!$A$1:$AH$1,0),FALSE),"")</f>
        <v>Land of Spira</v>
      </c>
      <c r="W412" s="1" t="str">
        <f>IFERROR(__xludf.DUMMYFUNCTION("""COMPUTED_VALUE"""),"Deep Blue Pearl")</f>
        <v>Deep Blue Pearl</v>
      </c>
      <c r="X412" s="1" t="str">
        <f t="shared" si="1"/>
        <v/>
      </c>
    </row>
    <row r="413">
      <c r="A413" s="1" t="s">
        <v>919</v>
      </c>
      <c r="B413" s="18" t="str">
        <f>IFERROR(VLOOKUP($A413,Equipment!$A$2:$AH1001,MATCH("Description",Equipment!$A$1:$AH$1,0),FALSE),"")</f>
        <v/>
      </c>
      <c r="C413" s="18" t="str">
        <f>IFERROR(VLOOKUP($A413,Equipment!$A$2:$AH1001,MATCH("Type",Equipment!$A$1:$AH$1,0),FALSE),"")</f>
        <v>Firearm</v>
      </c>
      <c r="D413" s="18" t="str">
        <f>IFERROR(VLOOKUP($A413,Equipment!$A$2:$AH1001,MATCH("Slot",Equipment!$A$1:$AH$1,0),FALSE),"")</f>
        <v>CarGun</v>
      </c>
      <c r="E413" s="20">
        <f>IFERROR(VLOOKUP($A413,Equipment!$A$2:$AH1001,MATCH("LevelReq",Equipment!$A$1:$AH$1,0),FALSE),"")</f>
        <v>500</v>
      </c>
      <c r="F413" s="18" t="str">
        <f>IFERROR(VLOOKUP($A413,Equipconvrt!$A$2:$AH1001,MATCH("Abilities",Equipconvrt!$A$1:$AH$1,0),FALSE),"")</f>
        <v>DMG: +25000 ++Roll a d500 to see how many bullets are used when you attack with this weapon. +-Uses bullets ++Damages up to 2 targets.</v>
      </c>
      <c r="G413" s="20">
        <f>IFERROR(VLOOKUP($A413,Equipment!$A$2:$AD1001,MATCH("Price",Equipment!$A$1:$AH$1,0),FALSE),"")</f>
        <v>12250000</v>
      </c>
      <c r="H413" s="4" t="b">
        <v>0</v>
      </c>
      <c r="I413" s="1" t="str">
        <f>IFERROR(VLOOKUP($A413,Equipment!$A$2:$AH1001,MATCH("EquipLoc",Equipment!$A$1:$AH$1,0),FALSE),"")</f>
        <v>Land of Spira</v>
      </c>
      <c r="W413" s="1" t="str">
        <f>IFERROR(__xludf.DUMMYFUNCTION("""COMPUTED_VALUE"""),"Tempests Lightning Rod")</f>
        <v>Tempests Lightning Rod</v>
      </c>
      <c r="X413" s="1" t="str">
        <f t="shared" si="1"/>
        <v/>
      </c>
    </row>
    <row r="414">
      <c r="A414" s="1" t="s">
        <v>920</v>
      </c>
      <c r="B414" s="18" t="str">
        <f>IFERROR(VLOOKUP($A414,Equipment!$A$2:$AH1001,MATCH("Description",Equipment!$A$1:$AH$1,0),FALSE),"")</f>
        <v/>
      </c>
      <c r="C414" s="18" t="str">
        <f>IFERROR(VLOOKUP($A414,Equipment!$A$2:$AH1001,MATCH("Type",Equipment!$A$1:$AH$1,0),FALSE),"")</f>
        <v>Firearm</v>
      </c>
      <c r="D414" s="18" t="str">
        <f>IFERROR(VLOOKUP($A414,Equipment!$A$2:$AH1001,MATCH("Slot",Equipment!$A$1:$AH$1,0),FALSE),"")</f>
        <v>BoatGun</v>
      </c>
      <c r="E414" s="20">
        <f>IFERROR(VLOOKUP($A414,Equipment!$A$2:$AH1001,MATCH("LevelReq",Equipment!$A$1:$AH$1,0),FALSE),"")</f>
        <v>500</v>
      </c>
      <c r="F414" s="18" t="str">
        <f>IFERROR(VLOOKUP($A414,Equipconvrt!$A$2:$AH1001,MATCH("Abilities",Equipconvrt!$A$1:$AH$1,0),FALSE),"")</f>
        <v>DMG: +25000 ++Roll a d500 to see how many bullets are used when you attack with this weapon. +-Uses bullets</v>
      </c>
      <c r="G414" s="20">
        <f>IFERROR(VLOOKUP($A414,Equipment!$A$2:$AD1001,MATCH("Price",Equipment!$A$1:$AH$1,0),FALSE),"")</f>
        <v>12250000</v>
      </c>
      <c r="H414" s="4" t="b">
        <v>0</v>
      </c>
      <c r="I414" s="1" t="str">
        <f>IFERROR(VLOOKUP($A414,Equipment!$A$2:$AH1001,MATCH("EquipLoc",Equipment!$A$1:$AH$1,0),FALSE),"")</f>
        <v>Land of Spira</v>
      </c>
      <c r="W414" s="1" t="str">
        <f>IFERROR(__xludf.DUMMYFUNCTION("""COMPUTED_VALUE"""),"Sword of Mystic Vagility")</f>
        <v>Sword of Mystic Vagility</v>
      </c>
      <c r="X414" s="1" t="str">
        <f t="shared" si="1"/>
        <v/>
      </c>
    </row>
    <row r="415">
      <c r="A415" s="4" t="s">
        <v>921</v>
      </c>
      <c r="B415" s="18" t="str">
        <f>IFERROR(VLOOKUP($A415,Equipment!$A$2:$AH1001,MATCH("Description",Equipment!$A$1:$AH$1,0),FALSE),"")</f>
        <v/>
      </c>
      <c r="C415" s="18" t="str">
        <f>IFERROR(VLOOKUP($A415,Equipment!$A$2:$AH1001,MATCH("Type",Equipment!$A$1:$AH$1,0),FALSE),"")</f>
        <v>Firearm</v>
      </c>
      <c r="D415" s="18" t="str">
        <f>IFERROR(VLOOKUP($A415,Equipment!$A$2:$AH1001,MATCH("Slot",Equipment!$A$1:$AH$1,0),FALSE),"")</f>
        <v>CarGun</v>
      </c>
      <c r="E415" s="20">
        <f>IFERROR(VLOOKUP($A415,Equipment!$A$2:$AH1001,MATCH("LevelReq",Equipment!$A$1:$AH$1,0),FALSE),"")</f>
        <v>2000</v>
      </c>
      <c r="F415" s="18" t="str">
        <f>IFERROR(VLOOKUP($A415,Equipconvrt!$A$2:$AH1001,MATCH("Abilities",Equipconvrt!$A$1:$AH$1,0),FALSE),"")</f>
        <v>DMG: +50000, Fire DMG: +50000 ++Damages all enemies. +-Uses Missiles.</v>
      </c>
      <c r="G415" s="20">
        <f>IFERROR(VLOOKUP($A415,Equipment!$A$2:$AD1001,MATCH("Price",Equipment!$A$1:$AH$1,0),FALSE),"")</f>
        <v>199000000</v>
      </c>
      <c r="H415" s="4" t="b">
        <v>0</v>
      </c>
      <c r="I415" s="1" t="str">
        <f>IFERROR(VLOOKUP($A415,Equipment!$A$2:$AH1001,MATCH("EquipLoc",Equipment!$A$1:$AH$1,0),FALSE),"")</f>
        <v>Land of Spira</v>
      </c>
      <c r="W415" s="1" t="str">
        <f>IFERROR(__xludf.DUMMYFUNCTION("""COMPUTED_VALUE"""),".50 Caliber Machine Gun (car)")</f>
        <v>.50 Caliber Machine Gun (car)</v>
      </c>
      <c r="X415" s="1" t="str">
        <f t="shared" si="1"/>
        <v/>
      </c>
    </row>
    <row r="416">
      <c r="A416" s="4" t="s">
        <v>922</v>
      </c>
      <c r="B416" s="18" t="str">
        <f>IFERROR(VLOOKUP($A416,Equipment!$A$2:$AH1001,MATCH("Description",Equipment!$A$1:$AH$1,0),FALSE),"")</f>
        <v/>
      </c>
      <c r="C416" s="18" t="str">
        <f>IFERROR(VLOOKUP($A416,Equipment!$A$2:$AH1001,MATCH("Type",Equipment!$A$1:$AH$1,0),FALSE),"")</f>
        <v>Firearm</v>
      </c>
      <c r="D416" s="18" t="str">
        <f>IFERROR(VLOOKUP($A416,Equipment!$A$2:$AH1001,MATCH("Slot",Equipment!$A$1:$AH$1,0),FALSE),"")</f>
        <v>BoatGun</v>
      </c>
      <c r="E416" s="20">
        <f>IFERROR(VLOOKUP($A416,Equipment!$A$2:$AH1001,MATCH("LevelReq",Equipment!$A$1:$AH$1,0),FALSE),"")</f>
        <v>2000</v>
      </c>
      <c r="F416" s="18" t="str">
        <f>IFERROR(VLOOKUP($A416,Equipconvrt!$A$2:$AH1001,MATCH("Abilities",Equipconvrt!$A$1:$AH$1,0),FALSE),"")</f>
        <v>DMG: +50000, Fire DMG: +50000 ++Damages all enemies. +-Uses Missiles.</v>
      </c>
      <c r="G416" s="20">
        <f>IFERROR(VLOOKUP($A416,Equipment!$A$2:$AD1001,MATCH("Price",Equipment!$A$1:$AH$1,0),FALSE),"")</f>
        <v>199000000</v>
      </c>
      <c r="H416" s="4" t="b">
        <v>0</v>
      </c>
      <c r="I416" s="1" t="str">
        <f>IFERROR(VLOOKUP($A416,Equipment!$A$2:$AH1001,MATCH("EquipLoc",Equipment!$A$1:$AH$1,0),FALSE),"")</f>
        <v>Land of Spira</v>
      </c>
      <c r="W416" s="1" t="str">
        <f>IFERROR(__xludf.DUMMYFUNCTION("""COMPUTED_VALUE"""),"Auto Turret")</f>
        <v>Auto Turret</v>
      </c>
      <c r="X416" s="1" t="str">
        <f t="shared" si="1"/>
        <v/>
      </c>
    </row>
    <row r="417">
      <c r="A417" s="1" t="s">
        <v>923</v>
      </c>
      <c r="B417" s="18" t="str">
        <f>IFERROR(VLOOKUP($A417,Equipment!$A$2:$AH1001,MATCH("Description",Equipment!$A$1:$AH$1,0),FALSE),"")</f>
        <v/>
      </c>
      <c r="C417" s="18" t="str">
        <f>IFERROR(VLOOKUP($A417,Equipment!$A$2:$AH1001,MATCH("Type",Equipment!$A$1:$AH$1,0),FALSE),"")</f>
        <v>Sword</v>
      </c>
      <c r="D417" s="18" t="str">
        <f>IFERROR(VLOOKUP($A417,Equipment!$A$2:$AH1001,MATCH("Slot",Equipment!$A$1:$AH$1,0),FALSE),"")</f>
        <v>Hand</v>
      </c>
      <c r="E417" s="20">
        <f>IFERROR(VLOOKUP($A417,Equipment!$A$2:$AH1001,MATCH("LevelReq",Equipment!$A$1:$AH$1,0),FALSE),"")</f>
        <v>200</v>
      </c>
      <c r="F417" s="18" t="str">
        <f>IFERROR(VLOOKUP($A417,Equipconvrt!$A$2:$AH1001,MATCH("Abilities",Equipconvrt!$A$1:$AH$1,0),FALSE),"")</f>
        <v>DMG: +50000, Fire DMG: +50000, Order DMG: +50000, Blood DMG: +25000, Celestial DMG: +25000 ++Dragons Luck II: If you have a dragon companion with you during the current battle add ++5 to your turn order roll. +-Cannot be forged +-Cannot be duplicated</v>
      </c>
      <c r="G417" s="20">
        <f>IFERROR(VLOOKUP($A417,Equipment!$A$2:$AD1001,MATCH("Price",Equipment!$A$1:$AH$1,0),FALSE),"")</f>
        <v>798000000</v>
      </c>
      <c r="H417" s="4" t="b">
        <v>0</v>
      </c>
      <c r="I417" s="1" t="str">
        <f>IFERROR(VLOOKUP($A417,Equipment!$A$2:$AH1001,MATCH("EquipLoc",Equipment!$A$1:$AH$1,0),FALSE),"")</f>
        <v>Dragonscale Island</v>
      </c>
      <c r="W417" s="1" t="str">
        <f>IFERROR(__xludf.DUMMYFUNCTION("""COMPUTED_VALUE"""),"Lazer Infused Cannon")</f>
        <v>Lazer Infused Cannon</v>
      </c>
      <c r="X417" s="1" t="str">
        <f t="shared" si="1"/>
        <v/>
      </c>
    </row>
    <row r="418">
      <c r="A418" s="1" t="s">
        <v>924</v>
      </c>
      <c r="B418" s="18" t="str">
        <f>IFERROR(VLOOKUP($A418,Equipment!$A$2:$AH1001,MATCH("Description",Equipment!$A$1:$AH$1,0),FALSE),"")</f>
        <v/>
      </c>
      <c r="C418" s="18" t="str">
        <f>IFERROR(VLOOKUP($A418,Equipment!$A$2:$AH1001,MATCH("Type",Equipment!$A$1:$AH$1,0),FALSE),"")</f>
        <v>Sword</v>
      </c>
      <c r="D418" s="18" t="str">
        <f>IFERROR(VLOOKUP($A418,Equipment!$A$2:$AH1001,MATCH("Slot",Equipment!$A$1:$AH$1,0),FALSE),"")</f>
        <v>Head</v>
      </c>
      <c r="E418" s="20">
        <f>IFERROR(VLOOKUP($A418,Equipment!$A$2:$AH1001,MATCH("LevelReq",Equipment!$A$1:$AH$1,0),FALSE),"")</f>
        <v>200</v>
      </c>
      <c r="F418" s="18" t="str">
        <f>IFERROR(VLOOKUP($A418,Equipconvrt!$A$2:$AH1001,MATCH("Abilities",Equipconvrt!$A$1:$AH$1,0),FALSE),"")</f>
        <v>DEF: +50000, Fire DEF: +50000, Order DEF: +50000, Blood DEF: +25000, Celestial DEF: +25000 ++Dragons Armor: Damage dealt to the wearer by a dragon becomes halved. +-Cannot be forged +-Cannot be duplicated</v>
      </c>
      <c r="G418" s="20">
        <f>IFERROR(VLOOKUP($A418,Equipment!$A$2:$AD1001,MATCH("Price",Equipment!$A$1:$AH$1,0),FALSE),"")</f>
        <v>798000000</v>
      </c>
      <c r="H418" s="4" t="b">
        <v>0</v>
      </c>
      <c r="I418" s="1" t="str">
        <f>IFERROR(VLOOKUP($A418,Equipment!$A$2:$AH1001,MATCH("EquipLoc",Equipment!$A$1:$AH$1,0),FALSE),"")</f>
        <v>Dragonscale Island</v>
      </c>
      <c r="W418" s="1" t="str">
        <f>IFERROR(__xludf.DUMMYFUNCTION("""COMPUTED_VALUE"""),"Roof Mounted Turret")</f>
        <v>Roof Mounted Turret</v>
      </c>
      <c r="X418" s="1" t="str">
        <f t="shared" si="1"/>
        <v/>
      </c>
    </row>
    <row r="419">
      <c r="A419" s="1" t="s">
        <v>925</v>
      </c>
      <c r="B419" s="18" t="str">
        <f>IFERROR(VLOOKUP($A419,Equipment!$A$2:$AH1001,MATCH("Description",Equipment!$A$1:$AH$1,0),FALSE),"")</f>
        <v/>
      </c>
      <c r="C419" s="18" t="str">
        <f>IFERROR(VLOOKUP($A419,Equipment!$A$2:$AH1001,MATCH("Type",Equipment!$A$1:$AH$1,0),FALSE),"")</f>
        <v/>
      </c>
      <c r="D419" s="18" t="str">
        <f>IFERROR(VLOOKUP($A419,Equipment!$A$2:$AH1001,MATCH("Slot",Equipment!$A$1:$AH$1,0),FALSE),"")</f>
        <v>Shoulders</v>
      </c>
      <c r="E419" s="20">
        <f>IFERROR(VLOOKUP($A419,Equipment!$A$2:$AH1001,MATCH("LevelReq",Equipment!$A$1:$AH$1,0),FALSE),"")</f>
        <v>200</v>
      </c>
      <c r="F419" s="18" t="str">
        <f>IFERROR(VLOOKUP($A419,Equipconvrt!$A$2:$AH1001,MATCH("Abilities",Equipconvrt!$A$1:$AH$1,0),FALSE),"")</f>
        <v>DEF: +50000, Fire DEF: +50000, Order DEF: +50000, Blood DEF: +25000, Celestial DEF: +25000 ++Dragons Armor: Damage dealt to the wearer by a dragon becomes halved. +-Cannot be forged +-Cannot be duplicated</v>
      </c>
      <c r="G419" s="20">
        <f>IFERROR(VLOOKUP($A419,Equipment!$A$2:$AD1001,MATCH("Price",Equipment!$A$1:$AH$1,0),FALSE),"")</f>
        <v>798000000</v>
      </c>
      <c r="H419" s="4" t="b">
        <v>0</v>
      </c>
      <c r="I419" s="1" t="str">
        <f>IFERROR(VLOOKUP($A419,Equipment!$A$2:$AH1001,MATCH("EquipLoc",Equipment!$A$1:$AH$1,0),FALSE),"")</f>
        <v>Dragonscale Island</v>
      </c>
      <c r="W419" s="1" t="str">
        <f>IFERROR(__xludf.DUMMYFUNCTION("""COMPUTED_VALUE"""),".50 Caliber Machine Gun (boat)")</f>
        <v>.50 Caliber Machine Gun (boat)</v>
      </c>
      <c r="X419" s="1" t="str">
        <f t="shared" si="1"/>
        <v/>
      </c>
    </row>
    <row r="420">
      <c r="A420" s="1" t="s">
        <v>926</v>
      </c>
      <c r="B420" s="18" t="str">
        <f>IFERROR(VLOOKUP($A420,Equipment!$A$2:$AH1001,MATCH("Description",Equipment!$A$1:$AH$1,0),FALSE),"")</f>
        <v/>
      </c>
      <c r="C420" s="18" t="str">
        <f>IFERROR(VLOOKUP($A420,Equipment!$A$2:$AH1001,MATCH("Type",Equipment!$A$1:$AH$1,0),FALSE),"")</f>
        <v/>
      </c>
      <c r="D420" s="18" t="str">
        <f>IFERROR(VLOOKUP($A420,Equipment!$A$2:$AH1001,MATCH("Slot",Equipment!$A$1:$AH$1,0),FALSE),"")</f>
        <v>Torso</v>
      </c>
      <c r="E420" s="20">
        <f>IFERROR(VLOOKUP($A420,Equipment!$A$2:$AH1001,MATCH("LevelReq",Equipment!$A$1:$AH$1,0),FALSE),"")</f>
        <v>200</v>
      </c>
      <c r="F420" s="18" t="str">
        <f>IFERROR(VLOOKUP($A420,Equipconvrt!$A$2:$AH1001,MATCH("Abilities",Equipconvrt!$A$1:$AH$1,0),FALSE),"")</f>
        <v>DEF: +50000, Fire DEF: +50000, Order DEF: +50000, Blood DEF: +25000, Celestial DEF: +25000 ++Dragons Armor: Damage dealt to the wearer by a dragon becomes halved. +-Cannot be forged +-Cannot be duplicated</v>
      </c>
      <c r="G420" s="20">
        <f>IFERROR(VLOOKUP($A420,Equipment!$A$2:$AD1001,MATCH("Price",Equipment!$A$1:$AH$1,0),FALSE),"")</f>
        <v>798000000</v>
      </c>
      <c r="H420" s="4" t="b">
        <v>0</v>
      </c>
      <c r="I420" s="1" t="str">
        <f>IFERROR(VLOOKUP($A420,Equipment!$A$2:$AH1001,MATCH("EquipLoc",Equipment!$A$1:$AH$1,0),FALSE),"")</f>
        <v>Dragonscale Island</v>
      </c>
      <c r="W420" s="1" t="str">
        <f>IFERROR(__xludf.DUMMYFUNCTION("""COMPUTED_VALUE"""),"Missile Turret (car)")</f>
        <v>Missile Turret (car)</v>
      </c>
      <c r="X420" s="1" t="str">
        <f t="shared" si="1"/>
        <v/>
      </c>
    </row>
    <row r="421">
      <c r="A421" s="1" t="s">
        <v>927</v>
      </c>
      <c r="B421" s="18" t="str">
        <f>IFERROR(VLOOKUP($A421,Equipment!$A$2:$AH1001,MATCH("Description",Equipment!$A$1:$AH$1,0),FALSE),"")</f>
        <v/>
      </c>
      <c r="C421" s="18" t="str">
        <f>IFERROR(VLOOKUP($A421,Equipment!$A$2:$AH1001,MATCH("Type",Equipment!$A$1:$AH$1,0),FALSE),"")</f>
        <v/>
      </c>
      <c r="D421" s="18" t="str">
        <f>IFERROR(VLOOKUP($A421,Equipment!$A$2:$AH1001,MATCH("Slot",Equipment!$A$1:$AH$1,0),FALSE),"")</f>
        <v>Arms</v>
      </c>
      <c r="E421" s="20">
        <f>IFERROR(VLOOKUP($A421,Equipment!$A$2:$AH1001,MATCH("LevelReq",Equipment!$A$1:$AH$1,0),FALSE),"")</f>
        <v>200</v>
      </c>
      <c r="F421" s="18" t="str">
        <f>IFERROR(VLOOKUP($A421,Equipconvrt!$A$2:$AH1001,MATCH("Abilities",Equipconvrt!$A$1:$AH$1,0),FALSE),"")</f>
        <v>DEF: +50000, Fire DEF: +50000, Order DEF: +50000, Blood DEF: +25000, Celestial DEF: +25000 ++Dragons Armor: Damage dealt to the wearer by a dragon becomes halved. +-Cannot be forged +-Cannot be duplicated</v>
      </c>
      <c r="G421" s="20">
        <f>IFERROR(VLOOKUP($A421,Equipment!$A$2:$AD1001,MATCH("Price",Equipment!$A$1:$AH$1,0),FALSE),"")</f>
        <v>798000000</v>
      </c>
      <c r="H421" s="4" t="b">
        <v>0</v>
      </c>
      <c r="I421" s="1" t="str">
        <f>IFERROR(VLOOKUP($A421,Equipment!$A$2:$AH1001,MATCH("EquipLoc",Equipment!$A$1:$AH$1,0),FALSE),"")</f>
        <v>Dragonscale Island</v>
      </c>
      <c r="W421" s="1" t="str">
        <f>IFERROR(__xludf.DUMMYFUNCTION("""COMPUTED_VALUE"""),"Missile Turret (boat)")</f>
        <v>Missile Turret (boat)</v>
      </c>
      <c r="X421" s="1" t="str">
        <f t="shared" si="1"/>
        <v/>
      </c>
    </row>
    <row r="422">
      <c r="A422" s="1" t="s">
        <v>928</v>
      </c>
      <c r="B422" s="18" t="str">
        <f>IFERROR(VLOOKUP($A422,Equipment!$A$2:$AH1001,MATCH("Description",Equipment!$A$1:$AH$1,0),FALSE),"")</f>
        <v/>
      </c>
      <c r="C422" s="18" t="str">
        <f>IFERROR(VLOOKUP($A422,Equipment!$A$2:$AH1001,MATCH("Type",Equipment!$A$1:$AH$1,0),FALSE),"")</f>
        <v/>
      </c>
      <c r="D422" s="18" t="str">
        <f>IFERROR(VLOOKUP($A422,Equipment!$A$2:$AH1001,MATCH("Slot",Equipment!$A$1:$AH$1,0),FALSE),"")</f>
        <v>Legs</v>
      </c>
      <c r="E422" s="20">
        <f>IFERROR(VLOOKUP($A422,Equipment!$A$2:$AH1001,MATCH("LevelReq",Equipment!$A$1:$AH$1,0),FALSE),"")</f>
        <v>200</v>
      </c>
      <c r="F422" s="18" t="str">
        <f>IFERROR(VLOOKUP($A422,Equipconvrt!$A$2:$AH1001,MATCH("Abilities",Equipconvrt!$A$1:$AH$1,0),FALSE),"")</f>
        <v>DEF: +50000, Fire DEF: +50000, Order DEF: +50000, Blood DEF: +25000, Celestial DEF: +25000 ++Dragons Armor: Damage dealt to the wearer by a dragon becomes halved. +-Cannot be forged +-Cannot be duplicated</v>
      </c>
      <c r="G422" s="20">
        <f>IFERROR(VLOOKUP($A422,Equipment!$A$2:$AD1001,MATCH("Price",Equipment!$A$1:$AH$1,0),FALSE),"")</f>
        <v>798000000</v>
      </c>
      <c r="H422" s="4" t="b">
        <v>0</v>
      </c>
      <c r="I422" s="1" t="str">
        <f>IFERROR(VLOOKUP($A422,Equipment!$A$2:$AH1001,MATCH("EquipLoc",Equipment!$A$1:$AH$1,0),FALSE),"")</f>
        <v>Dragonscale Island</v>
      </c>
      <c r="W422" s="1" t="str">
        <f>IFERROR(__xludf.DUMMYFUNCTION("""COMPUTED_VALUE"""),"Royal Sword of Dragonia")</f>
        <v>Royal Sword of Dragonia</v>
      </c>
      <c r="X422" s="1" t="str">
        <f t="shared" si="1"/>
        <v/>
      </c>
    </row>
    <row r="423">
      <c r="A423" s="1" t="s">
        <v>929</v>
      </c>
      <c r="B423" s="18" t="str">
        <f>IFERROR(VLOOKUP($A423,Equipment!$A$2:$AH1001,MATCH("Description",Equipment!$A$1:$AH$1,0),FALSE),"")</f>
        <v/>
      </c>
      <c r="C423" s="18" t="str">
        <f>IFERROR(VLOOKUP($A423,Equipment!$A$2:$AH1001,MATCH("Type",Equipment!$A$1:$AH$1,0),FALSE),"")</f>
        <v/>
      </c>
      <c r="D423" s="18" t="str">
        <f>IFERROR(VLOOKUP($A423,Equipment!$A$2:$AH1001,MATCH("Slot",Equipment!$A$1:$AH$1,0),FALSE),"")</f>
        <v>Feet</v>
      </c>
      <c r="E423" s="20">
        <f>IFERROR(VLOOKUP($A423,Equipment!$A$2:$AH1001,MATCH("LevelReq",Equipment!$A$1:$AH$1,0),FALSE),"")</f>
        <v>200</v>
      </c>
      <c r="F423" s="18" t="str">
        <f>IFERROR(VLOOKUP($A423,Equipconvrt!$A$2:$AH1001,MATCH("Abilities",Equipconvrt!$A$1:$AH$1,0),FALSE),"")</f>
        <v>DEF: +50000, Fire DEF: +50000, Order DEF: +50000, Blood DEF: +25000, Celestial DEF: +25000 ++Dragons Armor: Damage dealt to the wearer by a dragon becomes halved. +-Cannot be forged +-Cannot be duplicated</v>
      </c>
      <c r="G423" s="20">
        <f>IFERROR(VLOOKUP($A423,Equipment!$A$2:$AD1001,MATCH("Price",Equipment!$A$1:$AH$1,0),FALSE),"")</f>
        <v>798000000</v>
      </c>
      <c r="H423" s="4" t="b">
        <v>0</v>
      </c>
      <c r="I423" s="1" t="str">
        <f>IFERROR(VLOOKUP($A423,Equipment!$A$2:$AH1001,MATCH("EquipLoc",Equipment!$A$1:$AH$1,0),FALSE),"")</f>
        <v>Dragonscale Island</v>
      </c>
      <c r="W423" s="1" t="str">
        <f>IFERROR(__xludf.DUMMYFUNCTION("""COMPUTED_VALUE"""),"Dragonian Helm")</f>
        <v>Dragonian Helm</v>
      </c>
      <c r="X423" s="1" t="str">
        <f t="shared" si="1"/>
        <v/>
      </c>
    </row>
    <row r="424">
      <c r="A424" s="1" t="s">
        <v>930</v>
      </c>
      <c r="B424" s="18" t="str">
        <f>IFERROR(VLOOKUP($A424,Equipment!$A$2:$AH1001,MATCH("Description",Equipment!$A$1:$AH$1,0),FALSE),"")</f>
        <v/>
      </c>
      <c r="C424" s="18" t="str">
        <f>IFERROR(VLOOKUP($A424,Equipment!$A$2:$AH1001,MATCH("Type",Equipment!$A$1:$AH$1,0),FALSE),"")</f>
        <v/>
      </c>
      <c r="D424" s="18" t="str">
        <f>IFERROR(VLOOKUP($A424,Equipment!$A$2:$AH1001,MATCH("Slot",Equipment!$A$1:$AH$1,0),FALSE),"")</f>
        <v>Neck</v>
      </c>
      <c r="E424" s="20">
        <f>IFERROR(VLOOKUP($A424,Equipment!$A$2:$AH1001,MATCH("LevelReq",Equipment!$A$1:$AH$1,0),FALSE),"")</f>
        <v>200</v>
      </c>
      <c r="F424" s="18" t="str">
        <f>IFERROR(VLOOKUP($A424,Equipconvrt!$A$2:$AH1001,MATCH("Abilities",Equipconvrt!$A$1:$AH$1,0),FALSE),"")</f>
        <v>, Celestial DEF: +15000 ++Dragon Dealer: Damage dealt to dragons by the wearer is increased by X4. +-Cannot be forged +-Cannot be duplicated</v>
      </c>
      <c r="G424" s="20">
        <f>IFERROR(VLOOKUP($A424,Equipment!$A$2:$AD1001,MATCH("Price",Equipment!$A$1:$AH$1,0),FALSE),"")</f>
        <v>4350000</v>
      </c>
      <c r="H424" s="4" t="b">
        <v>0</v>
      </c>
      <c r="I424" s="1" t="str">
        <f>IFERROR(VLOOKUP($A424,Equipment!$A$2:$AH1001,MATCH("EquipLoc",Equipment!$A$1:$AH$1,0),FALSE),"")</f>
        <v>Dragonscale Island</v>
      </c>
      <c r="W424" s="1" t="str">
        <f>IFERROR(__xludf.DUMMYFUNCTION("""COMPUTED_VALUE"""),"Dragonian Pauldrons")</f>
        <v>Dragonian Pauldrons</v>
      </c>
      <c r="X424" s="1" t="str">
        <f t="shared" si="1"/>
        <v/>
      </c>
    </row>
    <row r="425">
      <c r="A425" s="1" t="s">
        <v>931</v>
      </c>
      <c r="B425" s="18" t="str">
        <f>IFERROR(VLOOKUP($A425,Equipment!$A$2:$AH1001,MATCH("Description",Equipment!$A$1:$AH$1,0),FALSE),"")</f>
        <v/>
      </c>
      <c r="C425" s="18" t="str">
        <f>IFERROR(VLOOKUP($A425,Equipment!$A$2:$AH1001,MATCH("Type",Equipment!$A$1:$AH$1,0),FALSE),"")</f>
        <v/>
      </c>
      <c r="D425" s="18" t="str">
        <f>IFERROR(VLOOKUP($A425,Equipment!$A$2:$AH1001,MATCH("Slot",Equipment!$A$1:$AH$1,0),FALSE),"")</f>
        <v>Ring</v>
      </c>
      <c r="E425" s="20">
        <f>IFERROR(VLOOKUP($A425,Equipment!$A$2:$AH1001,MATCH("LevelReq",Equipment!$A$1:$AH$1,0),FALSE),"")</f>
        <v>200</v>
      </c>
      <c r="F425" s="18" t="str">
        <f>IFERROR(VLOOKUP($A425,Equipconvrt!$A$2:$AH1001,MATCH("Abilities",Equipconvrt!$A$1:$AH$1,0),FALSE),"")</f>
        <v>, Celestial DEF: +15000 ++Dragon Dealer: Damage dealt to dragons by the wearer is increased by X4. +-Cannot be forged +-Cannot be duplicated</v>
      </c>
      <c r="G425" s="20">
        <f>IFERROR(VLOOKUP($A425,Equipment!$A$2:$AD1001,MATCH("Price",Equipment!$A$1:$AH$1,0),FALSE),"")</f>
        <v>4350000</v>
      </c>
      <c r="H425" s="4" t="b">
        <v>0</v>
      </c>
      <c r="I425" s="1" t="str">
        <f>IFERROR(VLOOKUP($A425,Equipment!$A$2:$AH1001,MATCH("EquipLoc",Equipment!$A$1:$AH$1,0),FALSE),"")</f>
        <v>Dragonscale Island</v>
      </c>
      <c r="W425" s="1" t="str">
        <f>IFERROR(__xludf.DUMMYFUNCTION("""COMPUTED_VALUE"""),"Dragonian Chestplate")</f>
        <v>Dragonian Chestplate</v>
      </c>
      <c r="X425" s="1" t="str">
        <f t="shared" si="1"/>
        <v/>
      </c>
    </row>
    <row r="426">
      <c r="A426" s="1" t="s">
        <v>932</v>
      </c>
      <c r="B426" s="18" t="str">
        <f>IFERROR(VLOOKUP($A426,Equipment!$A$2:$AH1001,MATCH("Description",Equipment!$A$1:$AH$1,0),FALSE),"")</f>
        <v/>
      </c>
      <c r="C426" s="18" t="str">
        <f>IFERROR(VLOOKUP($A426,Equipment!$A$2:$AH1001,MATCH("Type",Equipment!$A$1:$AH$1,0),FALSE),"")</f>
        <v>Club</v>
      </c>
      <c r="D426" s="18" t="str">
        <f>IFERROR(VLOOKUP($A426,Equipment!$A$2:$AH1001,MATCH("Slot",Equipment!$A$1:$AH$1,0),FALSE),"")</f>
        <v>Hand</v>
      </c>
      <c r="E426" s="20">
        <f>IFERROR(VLOOKUP($A426,Equipment!$A$2:$AH1001,MATCH("LevelReq",Equipment!$A$1:$AH$1,0),FALSE),"")</f>
        <v>1600</v>
      </c>
      <c r="F426" s="18" t="str">
        <f>IFERROR(VLOOKUP($A426,Equipconvrt!$A$2:$AH1001,MATCH("Abilities",Equipconvrt!$A$1:$AH$1,0),FALSE),"")</f>
        <v>DMG: +20000, Fire DMG: +20000, Water DMG: +20000, Storm DMG: +20000 ++Can be used as a weapon or to fish, Will cook fish that are caught. ++When you deal damage to a target with this item it will have a 50% chance to remove them from battle.</v>
      </c>
      <c r="G426" s="20">
        <f>IFERROR(VLOOKUP($A426,Equipment!$A$2:$AD1001,MATCH("Price",Equipment!$A$1:$AH$1,0),FALSE),"")</f>
        <v>127200000</v>
      </c>
      <c r="H426" s="4" t="b">
        <v>1</v>
      </c>
      <c r="I426" s="1" t="str">
        <f>IFERROR(VLOOKUP($A426,Equipment!$A$2:$AH1001,MATCH("EquipLoc",Equipment!$A$1:$AH$1,0),FALSE),"")</f>
        <v>Land of Spira</v>
      </c>
      <c r="W426" s="1" t="str">
        <f>IFERROR(__xludf.DUMMYFUNCTION("""COMPUTED_VALUE"""),"Dragonian Vambraces")</f>
        <v>Dragonian Vambraces</v>
      </c>
      <c r="X426" s="1" t="str">
        <f t="shared" si="1"/>
        <v/>
      </c>
    </row>
    <row r="427">
      <c r="A427" s="1" t="s">
        <v>933</v>
      </c>
      <c r="B427" s="18" t="str">
        <f>IFERROR(VLOOKUP($A427,Equipment!$A$2:$AH1001,MATCH("Description",Equipment!$A$1:$AH$1,0),FALSE),"")</f>
        <v>An ancient relic to Zhenmay</v>
      </c>
      <c r="C427" s="18" t="str">
        <f>IFERROR(VLOOKUP($A427,Equipment!$A$2:$AH1001,MATCH("Type",Equipment!$A$1:$AH$1,0),FALSE),"")</f>
        <v/>
      </c>
      <c r="D427" s="18" t="str">
        <f>IFERROR(VLOOKUP($A427,Equipment!$A$2:$AH1001,MATCH("Slot",Equipment!$A$1:$AH$1,0),FALSE),"")</f>
        <v>Shoulders</v>
      </c>
      <c r="E427" s="20">
        <f>IFERROR(VLOOKUP($A427,Equipment!$A$2:$AH1001,MATCH("LevelReq",Equipment!$A$1:$AH$1,0),FALSE),"")</f>
        <v>200</v>
      </c>
      <c r="F427" s="18" t="str">
        <f>IFERROR(VLOOKUP($A427,Equipconvrt!$A$2:$AH1001,MATCH("Abilities",Equipconvrt!$A$1:$AH$1,0),FALSE),"")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427" s="20">
        <f>IFERROR(VLOOKUP($A427,Equipment!$A$2:$AD1001,MATCH("Price",Equipment!$A$1:$AH$1,0),FALSE),"")</f>
        <v>510400000</v>
      </c>
      <c r="H427" s="4" t="b">
        <v>0</v>
      </c>
      <c r="I427" s="1" t="str">
        <f>IFERROR(VLOOKUP($A427,Equipment!$A$2:$AH1001,MATCH("EquipLoc",Equipment!$A$1:$AH$1,0),FALSE),"")</f>
        <v>Land of Spira</v>
      </c>
      <c r="W427" s="1" t="str">
        <f>IFERROR(__xludf.DUMMYFUNCTION("""COMPUTED_VALUE"""),"Dragonian Greaves")</f>
        <v>Dragonian Greaves</v>
      </c>
      <c r="X427" s="1" t="str">
        <f t="shared" si="1"/>
        <v/>
      </c>
    </row>
    <row r="428">
      <c r="A428" s="1" t="s">
        <v>934</v>
      </c>
      <c r="B428" s="18" t="str">
        <f>IFERROR(VLOOKUP($A428,Equipment!$A$2:$AH1001,MATCH("Description",Equipment!$A$1:$AH$1,0),FALSE),"")</f>
        <v>An ancient relic to Zhenmay</v>
      </c>
      <c r="C428" s="18" t="str">
        <f>IFERROR(VLOOKUP($A428,Equipment!$A$2:$AH1001,MATCH("Type",Equipment!$A$1:$AH$1,0),FALSE),"")</f>
        <v/>
      </c>
      <c r="D428" s="18" t="str">
        <f>IFERROR(VLOOKUP($A428,Equipment!$A$2:$AH1001,MATCH("Slot",Equipment!$A$1:$AH$1,0),FALSE),"")</f>
        <v>Arms</v>
      </c>
      <c r="E428" s="20">
        <f>IFERROR(VLOOKUP($A428,Equipment!$A$2:$AH1001,MATCH("LevelReq",Equipment!$A$1:$AH$1,0),FALSE),"")</f>
        <v>200</v>
      </c>
      <c r="F428" s="18" t="str">
        <f>IFERROR(VLOOKUP($A428,Equipconvrt!$A$2:$AH1001,MATCH("Abilities",Equipconvrt!$A$1:$AH$1,0),FALSE),"")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8" s="20">
        <f>IFERROR(VLOOKUP($A428,Equipment!$A$2:$AD1001,MATCH("Price",Equipment!$A$1:$AH$1,0),FALSE),"")</f>
        <v>510400000</v>
      </c>
      <c r="H428" s="4" t="b">
        <v>0</v>
      </c>
      <c r="I428" s="1" t="str">
        <f>IFERROR(VLOOKUP($A428,Equipment!$A$2:$AH1001,MATCH("EquipLoc",Equipment!$A$1:$AH$1,0),FALSE),"")</f>
        <v>Land of Spira</v>
      </c>
      <c r="W428" s="1" t="str">
        <f>IFERROR(__xludf.DUMMYFUNCTION("""COMPUTED_VALUE"""),"Dragonian Boots")</f>
        <v>Dragonian Boots</v>
      </c>
      <c r="X428" s="1" t="str">
        <f t="shared" si="1"/>
        <v/>
      </c>
    </row>
    <row r="429">
      <c r="A429" s="1" t="s">
        <v>935</v>
      </c>
      <c r="B429" s="18" t="str">
        <f>IFERROR(VLOOKUP($A429,Equipment!$A$2:$AH1001,MATCH("Description",Equipment!$A$1:$AH$1,0),FALSE),"")</f>
        <v>An ancient relic to Zhenmay</v>
      </c>
      <c r="C429" s="18" t="str">
        <f>IFERROR(VLOOKUP($A429,Equipment!$A$2:$AH1001,MATCH("Type",Equipment!$A$1:$AH$1,0),FALSE),"")</f>
        <v/>
      </c>
      <c r="D429" s="18" t="str">
        <f>IFERROR(VLOOKUP($A429,Equipment!$A$2:$AH1001,MATCH("Slot",Equipment!$A$1:$AH$1,0),FALSE),"")</f>
        <v>Legs</v>
      </c>
      <c r="E429" s="20">
        <f>IFERROR(VLOOKUP($A429,Equipment!$A$2:$AH1001,MATCH("LevelReq",Equipment!$A$1:$AH$1,0),FALSE),"")</f>
        <v>200</v>
      </c>
      <c r="F429" s="18" t="str">
        <f>IFERROR(VLOOKUP($A429,Equipconvrt!$A$2:$AH1001,MATCH("Abilities",Equipconvrt!$A$1:$AH$1,0),FALSE),"")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9" s="20">
        <f>IFERROR(VLOOKUP($A429,Equipment!$A$2:$AD1001,MATCH("Price",Equipment!$A$1:$AH$1,0),FALSE),"")</f>
        <v>510400000</v>
      </c>
      <c r="H429" s="4" t="b">
        <v>0</v>
      </c>
      <c r="I429" s="1" t="str">
        <f>IFERROR(VLOOKUP($A429,Equipment!$A$2:$AH1001,MATCH("EquipLoc",Equipment!$A$1:$AH$1,0),FALSE),"")</f>
        <v>Land of Spira</v>
      </c>
      <c r="W429" s="1" t="str">
        <f>IFERROR(__xludf.DUMMYFUNCTION("""COMPUTED_VALUE"""),"Dragonian Pendent")</f>
        <v>Dragonian Pendent</v>
      </c>
      <c r="X429" s="1" t="str">
        <f t="shared" si="1"/>
        <v/>
      </c>
    </row>
    <row r="430">
      <c r="A430" s="1" t="s">
        <v>936</v>
      </c>
      <c r="B430" s="18" t="str">
        <f>IFERROR(VLOOKUP($A430,Equipment!$A$2:$AH1001,MATCH("Description",Equipment!$A$1:$AH$1,0),FALSE),"")</f>
        <v>An ancient relic to Zhenmay</v>
      </c>
      <c r="C430" s="18" t="str">
        <f>IFERROR(VLOOKUP($A430,Equipment!$A$2:$AH1001,MATCH("Type",Equipment!$A$1:$AH$1,0),FALSE),"")</f>
        <v/>
      </c>
      <c r="D430" s="18" t="str">
        <f>IFERROR(VLOOKUP($A430,Equipment!$A$2:$AH1001,MATCH("Slot",Equipment!$A$1:$AH$1,0),FALSE),"")</f>
        <v>Feet</v>
      </c>
      <c r="E430" s="20">
        <f>IFERROR(VLOOKUP($A430,Equipment!$A$2:$AH1001,MATCH("LevelReq",Equipment!$A$1:$AH$1,0),FALSE),"")</f>
        <v>200</v>
      </c>
      <c r="F430" s="18" t="str">
        <f>IFERROR(VLOOKUP($A430,Equipconvrt!$A$2:$AH1001,MATCH("Abilities",Equipconvrt!$A$1:$AH$1,0),FALSE),"")</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30" s="20">
        <f>IFERROR(VLOOKUP($A430,Equipment!$A$2:$AD1001,MATCH("Price",Equipment!$A$1:$AH$1,0),FALSE),"")</f>
        <v>510400000</v>
      </c>
      <c r="H430" s="4" t="b">
        <v>0</v>
      </c>
      <c r="I430" s="1" t="str">
        <f>IFERROR(VLOOKUP($A430,Equipment!$A$2:$AH1001,MATCH("EquipLoc",Equipment!$A$1:$AH$1,0),FALSE),"")</f>
        <v>Land of Spira</v>
      </c>
      <c r="W430" s="1" t="str">
        <f>IFERROR(__xludf.DUMMYFUNCTION("""COMPUTED_VALUE"""),"Dragonian Ring")</f>
        <v>Dragonian Ring</v>
      </c>
      <c r="X430" s="1" t="str">
        <f t="shared" si="1"/>
        <v/>
      </c>
    </row>
    <row r="431">
      <c r="A431" s="1" t="s">
        <v>937</v>
      </c>
      <c r="B431" s="18" t="str">
        <f>IFERROR(VLOOKUP($A431,Equipment!$A$2:$AH1001,MATCH("Description",Equipment!$A$1:$AH$1,0),FALSE),"")</f>
        <v>An ancient relic to Zhenmay</v>
      </c>
      <c r="C431" s="18" t="str">
        <f>IFERROR(VLOOKUP($A431,Equipment!$A$2:$AH1001,MATCH("Type",Equipment!$A$1:$AH$1,0),FALSE),"")</f>
        <v>Sword</v>
      </c>
      <c r="D431" s="18" t="str">
        <f>IFERROR(VLOOKUP($A431,Equipment!$A$2:$AH1001,MATCH("Slot",Equipment!$A$1:$AH$1,0),FALSE),"")</f>
        <v>Hand</v>
      </c>
      <c r="E431" s="20">
        <f>IFERROR(VLOOKUP($A431,Equipment!$A$2:$AH1001,MATCH("LevelReq",Equipment!$A$1:$AH$1,0),FALSE),"")</f>
        <v>200</v>
      </c>
      <c r="F431" s="18" t="str">
        <f>IFERROR(VLOOKUP($A431,Equipconvrt!$A$2:$AH1001,MATCH("Abilities",Equipconvrt!$A$1:$AH$1,0),FALSE),"")</f>
        <v>DMG: +10000, Fire DMG: +10000, Physical DMG: +10000, Water DMG: +10000, Storm DMG: +10000, Earth DMG: +10000, Light DMG: +10000, Dark DMG: +10000, Spirit DMG: +10000, Order DMG: +10000, Chaos DMG: +10000, Nature DMG: +10000, Voodoo DMG: +10000, Blood DMG: +10000, Astral DMG: +10000, Celestial DMG: +10000 ++X2 additional damage for all elements. +-Only Samurai's, Monks, and Ninjas can equip. +-Cannot be forged +-Cannot be duplicated</v>
      </c>
      <c r="G431" s="20">
        <f>IFERROR(VLOOKUP($A431,Equipment!$A$2:$AD1001,MATCH("Price",Equipment!$A$1:$AH$1,0),FALSE),"")</f>
        <v>510400000</v>
      </c>
      <c r="H431" s="4" t="b">
        <v>0</v>
      </c>
      <c r="I431" s="1" t="str">
        <f>IFERROR(VLOOKUP($A431,Equipment!$A$2:$AH1001,MATCH("EquipLoc",Equipment!$A$1:$AH$1,0),FALSE),"")</f>
        <v>Land of Spira</v>
      </c>
      <c r="W431" s="1" t="str">
        <f>IFERROR(__xludf.DUMMYFUNCTION("""COMPUTED_VALUE"""),"Fishing Pole of Luck and Power")</f>
        <v>Fishing Pole of Luck and Power</v>
      </c>
      <c r="X431" s="1" t="str">
        <f t="shared" si="1"/>
        <v/>
      </c>
    </row>
    <row r="432">
      <c r="A432" s="1" t="s">
        <v>938</v>
      </c>
      <c r="B432" s="18" t="str">
        <f>IFERROR(VLOOKUP($A432,Equipment!$A$2:$AH1001,MATCH("Description",Equipment!$A$1:$AH$1,0),FALSE),"")</f>
        <v/>
      </c>
      <c r="C432" s="18" t="str">
        <f>IFERROR(VLOOKUP($A432,Equipment!$A$2:$AH1001,MATCH("Type",Equipment!$A$1:$AH$1,0),FALSE),"")</f>
        <v>Staff</v>
      </c>
      <c r="D432" s="18" t="str">
        <f>IFERROR(VLOOKUP($A432,Equipment!$A$2:$AH1001,MATCH("Slot",Equipment!$A$1:$AH$1,0),FALSE),"")</f>
        <v>Hand</v>
      </c>
      <c r="E432" s="20">
        <f>IFERROR(VLOOKUP($A432,Equipment!$A$2:$AH1001,MATCH("LevelReq",Equipment!$A$1:$AH$1,0),FALSE),"")</f>
        <v>1200</v>
      </c>
      <c r="F432" s="18" t="str">
        <f>IFERROR(VLOOKUP($A432,Equipconvrt!$A$2:$AH1001,MATCH("Abilities",Equipconvrt!$A$1:$AH$1,0),FALSE),"")</f>
        <v>, Fire DMG: +20000, Dark DMG: +20000, Chaos DMG: +20000 ++X4 additional Dark, Fire, and Chaos damage for the user while equipped. +-Cannot be duplicated</v>
      </c>
      <c r="G432" s="20">
        <f>IFERROR(VLOOKUP($A432,Equipment!$A$2:$AD1001,MATCH("Price",Equipment!$A$1:$AH$1,0),FALSE),"")</f>
        <v>71400000</v>
      </c>
      <c r="H432" s="4" t="b">
        <v>0</v>
      </c>
      <c r="I432" s="1" t="str">
        <f>IFERROR(VLOOKUP($A432,Equipment!$A$2:$AH1001,MATCH("EquipLoc",Equipment!$A$1:$AH$1,0),FALSE),"")</f>
        <v>Abstara</v>
      </c>
      <c r="W432" s="1" t="str">
        <f>IFERROR(__xludf.DUMMYFUNCTION("""COMPUTED_VALUE"""),"Ancient Oni Pauldrons")</f>
        <v>Ancient Oni Pauldrons</v>
      </c>
      <c r="X432" s="1" t="str">
        <f t="shared" si="1"/>
        <v/>
      </c>
    </row>
    <row r="433">
      <c r="A433" s="1" t="s">
        <v>939</v>
      </c>
      <c r="B433" s="18" t="str">
        <f>IFERROR(VLOOKUP($A433,Equipment!$A$2:$AH1001,MATCH("Description",Equipment!$A$1:$AH$1,0),FALSE),"")</f>
        <v/>
      </c>
      <c r="C433" s="18" t="str">
        <f>IFERROR(VLOOKUP($A433,Equipment!$A$2:$AH1001,MATCH("Type",Equipment!$A$1:$AH$1,0),FALSE),"")</f>
        <v>Sword</v>
      </c>
      <c r="D433" s="18" t="str">
        <f>IFERROR(VLOOKUP($A433,Equipment!$A$2:$AH1001,MATCH("Slot",Equipment!$A$1:$AH$1,0),FALSE),"")</f>
        <v>Hand</v>
      </c>
      <c r="E433" s="20">
        <f>IFERROR(VLOOKUP($A433,Equipment!$A$2:$AH1001,MATCH("LevelReq",Equipment!$A$1:$AH$1,0),FALSE),"")</f>
        <v>200</v>
      </c>
      <c r="F433" s="18" t="str">
        <f>IFERROR(VLOOKUP($A433,Equipconvrt!$A$2:$AH1001,MATCH("Abilities",Equipconvrt!$A$1:$AH$1,0),FALSE),"")</f>
        <v>DMG: +150000, Dark DMG: +150000, Celestial DMG: +150000 ++While equipped if you have other soul related items equipped this sword will deal X8 additional damage, ++SP Steal: Gain SP back equal to the damage caused with this weapon. +-Cannot be duplicated.</v>
      </c>
      <c r="G433" s="20">
        <f>IFERROR(VLOOKUP($A433,Equipment!$A$2:$AD1001,MATCH("Price",Equipment!$A$1:$AH$1,0),FALSE),"")</f>
        <v>4045500000</v>
      </c>
      <c r="H433" s="4" t="b">
        <v>1</v>
      </c>
      <c r="I433" s="1" t="str">
        <f>IFERROR(VLOOKUP($A433,Equipment!$A$2:$AH1001,MATCH("EquipLoc",Equipment!$A$1:$AH$1,0),FALSE),"")</f>
        <v>Abstara</v>
      </c>
      <c r="W433" s="1" t="str">
        <f>IFERROR(__xludf.DUMMYFUNCTION("""COMPUTED_VALUE"""),"Ancient Oni Vambraces")</f>
        <v>Ancient Oni Vambraces</v>
      </c>
      <c r="X433" s="1" t="str">
        <f t="shared" si="1"/>
        <v/>
      </c>
    </row>
    <row r="434">
      <c r="A434" s="1" t="s">
        <v>940</v>
      </c>
      <c r="B434" s="18" t="str">
        <f>IFERROR(VLOOKUP($A434,Equipment!$A$2:$AH1001,MATCH("Description",Equipment!$A$1:$AH$1,0),FALSE),"")</f>
        <v/>
      </c>
      <c r="C434" s="18" t="str">
        <f>IFERROR(VLOOKUP($A434,Equipment!$A$2:$AH1001,MATCH("Type",Equipment!$A$1:$AH$1,0),FALSE),"")</f>
        <v/>
      </c>
      <c r="D434" s="18" t="str">
        <f>IFERROR(VLOOKUP($A434,Equipment!$A$2:$AH1001,MATCH("Slot",Equipment!$A$1:$AH$1,0),FALSE),"")</f>
        <v>Head</v>
      </c>
      <c r="E434" s="20">
        <f>IFERROR(VLOOKUP($A434,Equipment!$A$2:$AH1001,MATCH("LevelReq",Equipment!$A$1:$AH$1,0),FALSE),"")</f>
        <v>1000</v>
      </c>
      <c r="F434" s="18" t="str">
        <f>IFERROR(VLOOKUP($A434,Equipconvrt!$A$2:$AH1001,MATCH("Abilities",Equipconvrt!$A$1:$AH$1,0),FALSE),"")</f>
        <v>DEF: +50000 ++If you or a party member dies this crown will summon a d2 of Lava Rats, Level determined by DM/GM, This effect can only be applied once per battle. +-Cannot be duplicated.</v>
      </c>
      <c r="G434" s="20">
        <f>IFERROR(VLOOKUP($A434,Equipment!$A$2:$AD1001,MATCH("Price",Equipment!$A$1:$AH$1,0),FALSE),"")</f>
        <v>49500000</v>
      </c>
      <c r="H434" s="4" t="b">
        <v>1</v>
      </c>
      <c r="I434" s="1" t="str">
        <f>IFERROR(VLOOKUP($A434,Equipment!$A$2:$AH1001,MATCH("EquipLoc",Equipment!$A$1:$AH$1,0),FALSE),"")</f>
        <v>Abstara</v>
      </c>
      <c r="W434" s="1" t="str">
        <f>IFERROR(__xludf.DUMMYFUNCTION("""COMPUTED_VALUE"""),"Ancient Oni Greaves")</f>
        <v>Ancient Oni Greaves</v>
      </c>
      <c r="X434" s="1" t="str">
        <f t="shared" si="1"/>
        <v/>
      </c>
    </row>
    <row r="435">
      <c r="A435" s="1" t="s">
        <v>941</v>
      </c>
      <c r="B435" s="18" t="str">
        <f>IFERROR(VLOOKUP($A435,Equipment!$A$2:$AH1001,MATCH("Description",Equipment!$A$1:$AH$1,0),FALSE),"")</f>
        <v>A magical artifact that grants control over water and weather, allowing the wearer to manipulate aquatic elements.</v>
      </c>
      <c r="C435" s="18" t="str">
        <f>IFERROR(VLOOKUP($A435,Equipment!$A$2:$AH1001,MATCH("Type",Equipment!$A$1:$AH$1,0),FALSE),"")</f>
        <v/>
      </c>
      <c r="D435" s="18" t="str">
        <f>IFERROR(VLOOKUP($A435,Equipment!$A$2:$AH1001,MATCH("Slot",Equipment!$A$1:$AH$1,0),FALSE),"")</f>
        <v>Head</v>
      </c>
      <c r="E435" s="20">
        <f>IFERROR(VLOOKUP($A435,Equipment!$A$2:$AH1001,MATCH("LevelReq",Equipment!$A$1:$AH$1,0),FALSE),"")</f>
        <v>700</v>
      </c>
      <c r="F435" s="18" t="str">
        <f>IFERROR(VLOOKUP($A435,Equipconvrt!$A$2:$AH1001,MATCH("Abilities",Equipconvrt!$A$1:$AH$1,0),FALSE),"")</f>
        <v>DEF: +25000, Water DEF: +10000 ++Immunity to Water damage. ++X2 Additional Water damage for the user.</v>
      </c>
      <c r="G435" s="20">
        <f>IFERROR(VLOOKUP($A435,Equipment!$A$2:$AD1001,MATCH("Price",Equipment!$A$1:$AH$1,0),FALSE),"")</f>
        <v>24150000</v>
      </c>
      <c r="H435" s="4" t="b">
        <v>1</v>
      </c>
      <c r="I435" s="1" t="str">
        <f>IFERROR(VLOOKUP($A435,Equipment!$A$2:$AH1001,MATCH("EquipLoc",Equipment!$A$1:$AH$1,0),FALSE),"")</f>
        <v>Land of Spira</v>
      </c>
      <c r="W435" s="1" t="str">
        <f>IFERROR(__xludf.DUMMYFUNCTION("""COMPUTED_VALUE"""),"Ancient Oni Boots")</f>
        <v>Ancient Oni Boots</v>
      </c>
      <c r="X435" s="1" t="str">
        <f t="shared" si="1"/>
        <v/>
      </c>
    </row>
    <row r="436">
      <c r="A436" s="1" t="s">
        <v>942</v>
      </c>
      <c r="B436" s="18" t="str">
        <f>IFERROR(VLOOKUP($A436,Equipment!$A$2:$AH1001,MATCH("Description",Equipment!$A$1:$AH$1,0),FALSE),"")</f>
        <v>A clockwork device that grants unique abilities.</v>
      </c>
      <c r="C436" s="18" t="str">
        <f>IFERROR(VLOOKUP($A436,Equipment!$A$2:$AH1001,MATCH("Type",Equipment!$A$1:$AH$1,0),FALSE),"")</f>
        <v/>
      </c>
      <c r="D436" s="18" t="str">
        <f>IFERROR(VLOOKUP($A436,Equipment!$A$2:$AH1001,MATCH("Slot",Equipment!$A$1:$AH$1,0),FALSE),"")</f>
        <v>Hand</v>
      </c>
      <c r="E436" s="20">
        <f>IFERROR(VLOOKUP($A436,Equipment!$A$2:$AH1001,MATCH("LevelReq",Equipment!$A$1:$AH$1,0),FALSE),"")</f>
        <v>200</v>
      </c>
      <c r="F436" s="18" t="str">
        <f>IFERROR(VLOOKUP($A436,Equipconvrt!$A$2:$AH1001,MATCH("Abilities",Equipconvrt!$A$1:$AH$1,0),FALSE),"")</f>
        <v>DEF: +10000 ++Allows you to change the time of day to day or night. Can only be used once per journey while traveling. ++Fail/Succeed. +-Cannot be duplicated.</v>
      </c>
      <c r="G436" s="20">
        <f>IFERROR(VLOOKUP($A436,Equipment!$A$2:$AD1001,MATCH("Price",Equipment!$A$1:$AH$1,0),FALSE),"")</f>
        <v>1900000</v>
      </c>
      <c r="H436" s="4" t="b">
        <v>1</v>
      </c>
      <c r="I436" s="1" t="str">
        <f>IFERROR(VLOOKUP($A436,Equipment!$A$2:$AH1001,MATCH("EquipLoc",Equipment!$A$1:$AH$1,0),FALSE),"")</f>
        <v>Land of Spira</v>
      </c>
      <c r="W436" s="1" t="str">
        <f>IFERROR(__xludf.DUMMYFUNCTION("""COMPUTED_VALUE"""),"Ancient Oni Katana")</f>
        <v>Ancient Oni Katana</v>
      </c>
      <c r="X436" s="1" t="str">
        <f t="shared" si="1"/>
        <v/>
      </c>
    </row>
    <row r="437">
      <c r="A437" s="1" t="s">
        <v>943</v>
      </c>
      <c r="B437" s="18" t="str">
        <f>IFERROR(VLOOKUP($A437,Equipment!$A$2:$AH1001,MATCH("Description",Equipment!$A$1:$AH$1,0),FALSE),"")</f>
        <v>Halloween Exclusive</v>
      </c>
      <c r="C437" s="18" t="str">
        <f>IFERROR(VLOOKUP($A437,Equipment!$A$2:$AH1001,MATCH("Type",Equipment!$A$1:$AH$1,0),FALSE),"")</f>
        <v>Sword</v>
      </c>
      <c r="D437" s="18" t="str">
        <f>IFERROR(VLOOKUP($A437,Equipment!$A$2:$AH1001,MATCH("Slot",Equipment!$A$1:$AH$1,0),FALSE),"")</f>
        <v>Hand</v>
      </c>
      <c r="E437" s="20">
        <f>IFERROR(VLOOKUP($A437,Equipment!$A$2:$AH1001,MATCH("LevelReq",Equipment!$A$1:$AH$1,0),FALSE),"")</f>
        <v>200</v>
      </c>
      <c r="F437" s="18" t="str">
        <f>IFERROR(VLOOKUP($A437,Equipconvrt!$A$2:$AH1001,MATCH("Abilities",Equipconvrt!$A$1:$AH$1,0),FALSE),"")</f>
        <v>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forged +-Cannot be duplicated</v>
      </c>
      <c r="G437" s="20">
        <f>IFERROR(VLOOKUP($A437,Equipment!$A$2:$AD1001,MATCH("Price",Equipment!$A$1:$AH$1,0),FALSE),"")</f>
        <v>1055700000</v>
      </c>
      <c r="H437" s="4" t="b">
        <v>1</v>
      </c>
      <c r="I437" s="1" t="str">
        <f>IFERROR(VLOOKUP($A437,Equipment!$A$2:$AH1001,MATCH("EquipLoc",Equipment!$A$1:$AH$1,0),FALSE),"")</f>
        <v>Halloween Kingdom</v>
      </c>
      <c r="W437" s="1" t="str">
        <f>IFERROR(__xludf.DUMMYFUNCTION("""COMPUTED_VALUE"""),"The Grand Staff of Evil Flames")</f>
        <v>The Grand Staff of Evil Flames</v>
      </c>
      <c r="X437" s="1" t="str">
        <f t="shared" si="1"/>
        <v/>
      </c>
    </row>
    <row r="438">
      <c r="A438" s="1" t="s">
        <v>944</v>
      </c>
      <c r="B438" s="18" t="str">
        <f>IFERROR(VLOOKUP($A438,Equipment!$A$2:$AH1001,MATCH("Description",Equipment!$A$1:$AH$1,0),FALSE),"")</f>
        <v>Halloween Exclusive</v>
      </c>
      <c r="C438" s="18" t="str">
        <f>IFERROR(VLOOKUP($A438,Equipment!$A$2:$AH1001,MATCH("Type",Equipment!$A$1:$AH$1,0),FALSE),"")</f>
        <v>Towershield</v>
      </c>
      <c r="D438" s="18" t="str">
        <f>IFERROR(VLOOKUP($A438,Equipment!$A$2:$AH1001,MATCH("Slot",Equipment!$A$1:$AH$1,0),FALSE),"")</f>
        <v>Hand</v>
      </c>
      <c r="E438" s="20">
        <f>IFERROR(VLOOKUP($A438,Equipment!$A$2:$AH1001,MATCH("LevelReq",Equipment!$A$1:$AH$1,0),FALSE),"")</f>
        <v>200</v>
      </c>
      <c r="F438" s="18" t="str">
        <f>IFERROR(VLOOKUP($A438,Equipconvrt!$A$2:$AH1001,MATCH("Abilities",Equipconvrt!$A$1:$AH$1,0),FALSE),"")</f>
        <v>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forged +-Cannot be duplicated</v>
      </c>
      <c r="G438" s="20">
        <f>IFERROR(VLOOKUP($A438,Equipment!$A$2:$AD1001,MATCH("Price",Equipment!$A$1:$AH$1,0),FALSE),"")</f>
        <v>1055700000</v>
      </c>
      <c r="H438" s="4" t="b">
        <v>1</v>
      </c>
      <c r="I438" s="1" t="str">
        <f>IFERROR(VLOOKUP($A438,Equipment!$A$2:$AH1001,MATCH("EquipLoc",Equipment!$A$1:$AH$1,0),FALSE),"")</f>
        <v>Halloween Kingdom</v>
      </c>
      <c r="W438" s="1" t="str">
        <f>IFERROR(__xludf.DUMMYFUNCTION("""COMPUTED_VALUE"""),"Soul Sword of The Endless Realm")</f>
        <v>Soul Sword of The Endless Realm</v>
      </c>
      <c r="X438" s="1" t="str">
        <f t="shared" si="1"/>
        <v/>
      </c>
    </row>
    <row r="439">
      <c r="A439" s="1" t="s">
        <v>945</v>
      </c>
      <c r="B439" s="18" t="str">
        <f>IFERROR(VLOOKUP($A439,Equipment!$A$2:$AH1001,MATCH("Description",Equipment!$A$1:$AH$1,0),FALSE),"")</f>
        <v>Quest item.</v>
      </c>
      <c r="C439" s="18" t="str">
        <f>IFERROR(VLOOKUP($A439,Equipment!$A$2:$AH1001,MATCH("Type",Equipment!$A$1:$AH$1,0),FALSE),"")</f>
        <v/>
      </c>
      <c r="D439" s="18" t="str">
        <f>IFERROR(VLOOKUP($A439,Equipment!$A$2:$AH1001,MATCH("Slot",Equipment!$A$1:$AH$1,0),FALSE),"")</f>
        <v>Hand</v>
      </c>
      <c r="E439" s="20">
        <f>IFERROR(VLOOKUP($A439,Equipment!$A$2:$AH1001,MATCH("LevelReq",Equipment!$A$1:$AH$1,0),FALSE),"")</f>
        <v>1</v>
      </c>
      <c r="F439" s="18" t="str">
        <f>IFERROR(VLOOKUP($A439,Equipconvrt!$A$2:$AH1001,MATCH("Abilities",Equipconvrt!$A$1:$AH$1,0),FALSE),"")</f>
        <v> ++X4 additional fire damage for the user. +-Cannot be duplicated.</v>
      </c>
      <c r="G439" s="20">
        <f>IFERROR(VLOOKUP($A439,Equipment!$A$2:$AD1001,MATCH("Price",Equipment!$A$1:$AH$1,0),FALSE),"")</f>
        <v>0</v>
      </c>
      <c r="H439" s="4" t="b">
        <v>1</v>
      </c>
      <c r="I439" s="1" t="str">
        <f>IFERROR(VLOOKUP($A439,Equipment!$A$2:$AH1001,MATCH("EquipLoc",Equipment!$A$1:$AH$1,0),FALSE),"")</f>
        <v>Abstara</v>
      </c>
      <c r="W439" s="1" t="str">
        <f>IFERROR(__xludf.DUMMYFUNCTION("""COMPUTED_VALUE"""),"Rat King's Crown")</f>
        <v>Rat King's Crown</v>
      </c>
      <c r="X439" s="1" t="str">
        <f t="shared" si="1"/>
        <v/>
      </c>
    </row>
    <row r="440">
      <c r="A440" s="1" t="s">
        <v>946</v>
      </c>
      <c r="B440" s="18" t="str">
        <f>IFERROR(VLOOKUP($A440,Equipment!$A$2:$AH1001,MATCH("Description",Equipment!$A$1:$AH$1,0),FALSE),"")</f>
        <v/>
      </c>
      <c r="C440" s="18" t="str">
        <f>IFERROR(VLOOKUP($A440,Equipment!$A$2:$AH1001,MATCH("Type",Equipment!$A$1:$AH$1,0),FALSE),"")</f>
        <v/>
      </c>
      <c r="D440" s="18" t="str">
        <f>IFERROR(VLOOKUP($A440,Equipment!$A$2:$AH1001,MATCH("Slot",Equipment!$A$1:$AH$1,0),FALSE),"")</f>
        <v>Head</v>
      </c>
      <c r="E440" s="20">
        <f>IFERROR(VLOOKUP($A440,Equipment!$A$2:$AH1001,MATCH("LevelReq",Equipment!$A$1:$AH$1,0),FALSE),"")</f>
        <v>200</v>
      </c>
      <c r="F440" s="18" t="str">
        <f>IFERROR(VLOOKUP($A440,Equipconvrt!$A$2:$AH1001,MATCH("Abilities",Equipconvrt!$A$1:$AH$1,0),FALSE),"")</f>
        <v>DEF: +40000, Dark DEF: +10000, Chaos DEF: +10000, Celestial DEF: +10000 ++X2 Defense for the Wearer. ++Light Embodiment - When Equipped deal X2 Order and Light DMG </v>
      </c>
      <c r="G440" s="20">
        <f>IFERROR(VLOOKUP($A440,Equipment!$A$2:$AD1001,MATCH("Price",Equipment!$A$1:$AH$1,0),FALSE),"")</f>
        <v>97300000</v>
      </c>
      <c r="H440" s="4" t="b">
        <v>1</v>
      </c>
      <c r="I440" s="1" t="str">
        <f>IFERROR(VLOOKUP($A440,Equipment!$A$2:$AH1001,MATCH("EquipLoc",Equipment!$A$1:$AH$1,0),FALSE),"")</f>
        <v>Dragonscale Island</v>
      </c>
      <c r="W440" s="1" t="str">
        <f>IFERROR(__xludf.DUMMYFUNCTION("""COMPUTED_VALUE"""),"Vermouth's Crown of Tides")</f>
        <v>Vermouth's Crown of Tides</v>
      </c>
      <c r="X440" s="1" t="str">
        <f t="shared" si="1"/>
        <v/>
      </c>
    </row>
    <row r="441">
      <c r="A441" s="1" t="s">
        <v>947</v>
      </c>
      <c r="B441" s="18" t="str">
        <f>IFERROR(VLOOKUP($A441,Equipment!$A$2:$AH1001,MATCH("Description",Equipment!$A$1:$AH$1,0),FALSE),"")</f>
        <v/>
      </c>
      <c r="C441" s="18" t="str">
        <f>IFERROR(VLOOKUP($A441,Equipment!$A$2:$AH1001,MATCH("Type",Equipment!$A$1:$AH$1,0),FALSE),"")</f>
        <v/>
      </c>
      <c r="D441" s="18" t="str">
        <f>IFERROR(VLOOKUP($A441,Equipment!$A$2:$AH1001,MATCH("Slot",Equipment!$A$1:$AH$1,0),FALSE),"")</f>
        <v>Torso</v>
      </c>
      <c r="E441" s="20">
        <f>IFERROR(VLOOKUP($A441,Equipment!$A$2:$AH1001,MATCH("LevelReq",Equipment!$A$1:$AH$1,0),FALSE),"")</f>
        <v>200</v>
      </c>
      <c r="F441" s="18" t="str">
        <f>IFERROR(VLOOKUP($A441,Equipconvrt!$A$2:$AH1001,MATCH("Abilities",Equipconvrt!$A$1:$AH$1,0),FALSE),"")</f>
        <v>DEF: +20000, Water DEF: +5000, Dark DEF: +10000, Chaos DEF: +10000, Celestial DEF: +10000 ++X4 Defense for the Wearer. ++Light Embodiment II - When Equipped deal X4 Order and Light DMG </v>
      </c>
      <c r="G441" s="20">
        <f>IFERROR(VLOOKUP($A441,Equipment!$A$2:$AD1001,MATCH("Price",Equipment!$A$1:$AH$1,0),FALSE),"")</f>
        <v>59950000</v>
      </c>
      <c r="H441" s="4" t="b">
        <v>1</v>
      </c>
      <c r="I441" s="1" t="str">
        <f>IFERROR(VLOOKUP($A441,Equipment!$A$2:$AH1001,MATCH("EquipLoc",Equipment!$A$1:$AH$1,0),FALSE),"")</f>
        <v>Dragonscale Island</v>
      </c>
      <c r="W441" s="1" t="str">
        <f>IFERROR(__xludf.DUMMYFUNCTION("""COMPUTED_VALUE"""),"ChronoMech Enigma")</f>
        <v>ChronoMech Enigma</v>
      </c>
      <c r="X441" s="1" t="str">
        <f t="shared" si="1"/>
        <v/>
      </c>
    </row>
    <row r="442">
      <c r="A442" s="1" t="s">
        <v>948</v>
      </c>
      <c r="B442" s="18" t="str">
        <f>IFERROR(VLOOKUP($A442,Equipment!$A$2:$AH1001,MATCH("Description",Equipment!$A$1:$AH$1,0),FALSE),"")</f>
        <v/>
      </c>
      <c r="C442" s="18" t="str">
        <f>IFERROR(VLOOKUP($A442,Equipment!$A$2:$AH1001,MATCH("Type",Equipment!$A$1:$AH$1,0),FALSE),"")</f>
        <v/>
      </c>
      <c r="D442" s="18" t="str">
        <f>IFERROR(VLOOKUP($A442,Equipment!$A$2:$AH1001,MATCH("Slot",Equipment!$A$1:$AH$1,0),FALSE),"")</f>
        <v>Arms</v>
      </c>
      <c r="E442" s="20">
        <f>IFERROR(VLOOKUP($A442,Equipment!$A$2:$AH1001,MATCH("LevelReq",Equipment!$A$1:$AH$1,0),FALSE),"")</f>
        <v>200</v>
      </c>
      <c r="F442" s="18" t="str">
        <f>IFERROR(VLOOKUP($A442,Equipconvrt!$A$2:$AH1001,MATCH("Abilities",Equipconvrt!$A$1:$AH$1,0),FALSE),"")</f>
        <v>DEF: +10000, Dark DEF: +10000, Chaos DEF: +10000, Celestial DEF: +10000 ++X2 Defense for the Wearer. ++Light Embodiment - When Equipped deal X2 Order and Light DMG </v>
      </c>
      <c r="G442" s="20">
        <f>IFERROR(VLOOKUP($A442,Equipment!$A$2:$AD1001,MATCH("Price",Equipment!$A$1:$AH$1,0),FALSE),"")</f>
        <v>31600000</v>
      </c>
      <c r="H442" s="4" t="b">
        <v>1</v>
      </c>
      <c r="I442" s="1" t="str">
        <f>IFERROR(VLOOKUP($A442,Equipment!$A$2:$AH1001,MATCH("EquipLoc",Equipment!$A$1:$AH$1,0),FALSE),"")</f>
        <v>Dragonscale Island</v>
      </c>
      <c r="W442" s="1" t="str">
        <f>IFERROR(__xludf.DUMMYFUNCTION("""COMPUTED_VALUE"""),"Royal Sword of The Halloween Kingdom")</f>
        <v>Royal Sword of The Halloween Kingdom</v>
      </c>
      <c r="X442" s="1" t="str">
        <f t="shared" si="1"/>
        <v/>
      </c>
    </row>
    <row r="443">
      <c r="A443" s="1" t="s">
        <v>949</v>
      </c>
      <c r="B443" s="18" t="str">
        <f>IFERROR(VLOOKUP($A443,Equipment!$A$2:$AH1001,MATCH("Description",Equipment!$A$1:$AH$1,0),FALSE),"")</f>
        <v/>
      </c>
      <c r="C443" s="18" t="str">
        <f>IFERROR(VLOOKUP($A443,Equipment!$A$2:$AH1001,MATCH("Type",Equipment!$A$1:$AH$1,0),FALSE),"")</f>
        <v/>
      </c>
      <c r="D443" s="18" t="str">
        <f>IFERROR(VLOOKUP($A443,Equipment!$A$2:$AH1001,MATCH("Slot",Equipment!$A$1:$AH$1,0),FALSE),"")</f>
        <v>Legs</v>
      </c>
      <c r="E443" s="20">
        <f>IFERROR(VLOOKUP($A443,Equipment!$A$2:$AH1001,MATCH("LevelReq",Equipment!$A$1:$AH$1,0),FALSE),"")</f>
        <v>200</v>
      </c>
      <c r="F443" s="18" t="str">
        <f>IFERROR(VLOOKUP($A443,Equipconvrt!$A$2:$AH1001,MATCH("Abilities",Equipconvrt!$A$1:$AH$1,0),FALSE),"")</f>
        <v>DEF: +10000, Dark DEF: +10000, Chaos DEF: +10000, Celestial DEF: +10000 ++X2 Defense for the Wearer. ++Light Embodiment - When Equipped deal X2 Order and Light DMG </v>
      </c>
      <c r="G443" s="20">
        <f>IFERROR(VLOOKUP($A443,Equipment!$A$2:$AD1001,MATCH("Price",Equipment!$A$1:$AH$1,0),FALSE),"")</f>
        <v>31600000</v>
      </c>
      <c r="H443" s="4" t="b">
        <v>1</v>
      </c>
      <c r="I443" s="1" t="str">
        <f>IFERROR(VLOOKUP($A443,Equipment!$A$2:$AH1001,MATCH("EquipLoc",Equipment!$A$1:$AH$1,0),FALSE),"")</f>
        <v>Dragonscale Island</v>
      </c>
      <c r="W443" s="1" t="str">
        <f>IFERROR(__xludf.DUMMYFUNCTION("""COMPUTED_VALUE"""),"Royal Shield of The Halloween Kingdom")</f>
        <v>Royal Shield of The Halloween Kingdom</v>
      </c>
      <c r="X443" s="1" t="str">
        <f t="shared" si="1"/>
        <v/>
      </c>
    </row>
    <row r="444">
      <c r="A444" s="1" t="s">
        <v>950</v>
      </c>
      <c r="B444" s="18" t="str">
        <f>IFERROR(VLOOKUP($A444,Equipment!$A$2:$AH1001,MATCH("Description",Equipment!$A$1:$AH$1,0),FALSE),"")</f>
        <v/>
      </c>
      <c r="C444" s="18" t="str">
        <f>IFERROR(VLOOKUP($A444,Equipment!$A$2:$AH1001,MATCH("Type",Equipment!$A$1:$AH$1,0),FALSE),"")</f>
        <v>Towershield</v>
      </c>
      <c r="D444" s="18" t="str">
        <f>IFERROR(VLOOKUP($A444,Equipment!$A$2:$AH1001,MATCH("Slot",Equipment!$A$1:$AH$1,0),FALSE),"")</f>
        <v>Hand</v>
      </c>
      <c r="E444" s="20">
        <f>IFERROR(VLOOKUP($A444,Equipment!$A$2:$AH1001,MATCH("LevelReq",Equipment!$A$1:$AH$1,0),FALSE),"")</f>
        <v>200</v>
      </c>
      <c r="F444" s="18" t="str">
        <f>IFERROR(VLOOKUP($A444,Equipconvrt!$A$2:$AH1001,MATCH("Abilities",Equipconvrt!$A$1:$AH$1,0),FALSE),"")</f>
        <v>DEF: +55000, Dark DEF: +20000, Chaos DEF: +20000, Celestial DEF: +10000 ++X2 Defense for the Wearer. ++Light Embodiment - When Equipped deal X2 Order and Light DMG </v>
      </c>
      <c r="G444" s="20">
        <f>IFERROR(VLOOKUP($A444,Equipment!$A$2:$AD1001,MATCH("Price",Equipment!$A$1:$AH$1,0),FALSE),"")</f>
        <v>219450000</v>
      </c>
      <c r="H444" s="4" t="b">
        <v>1</v>
      </c>
      <c r="I444" s="1" t="str">
        <f>IFERROR(VLOOKUP($A444,Equipment!$A$2:$AH1001,MATCH("EquipLoc",Equipment!$A$1:$AH$1,0),FALSE),"")</f>
        <v>Dragonscale Island</v>
      </c>
      <c r="W444" s="1" t="str">
        <f>IFERROR(__xludf.DUMMYFUNCTION("""COMPUTED_VALUE"""),"Sacred Flaming Pearl")</f>
        <v>Sacred Flaming Pearl</v>
      </c>
      <c r="X444" s="1" t="str">
        <f t="shared" si="1"/>
        <v/>
      </c>
    </row>
    <row r="445">
      <c r="A445" s="1" t="s">
        <v>951</v>
      </c>
      <c r="B445" s="18" t="str">
        <f>IFERROR(VLOOKUP($A445,Equipment!$A$2:$AH1001,MATCH("Description",Equipment!$A$1:$AH$1,0),FALSE),"")</f>
        <v/>
      </c>
      <c r="C445" s="18" t="str">
        <f>IFERROR(VLOOKUP($A445,Equipment!$A$2:$AH1001,MATCH("Type",Equipment!$A$1:$AH$1,0),FALSE),"")</f>
        <v/>
      </c>
      <c r="D445" s="18" t="str">
        <f>IFERROR(VLOOKUP($A445,Equipment!$A$2:$AH1001,MATCH("Slot",Equipment!$A$1:$AH$1,0),FALSE),"")</f>
        <v>Feet</v>
      </c>
      <c r="E445" s="20">
        <f>IFERROR(VLOOKUP($A445,Equipment!$A$2:$AH1001,MATCH("LevelReq",Equipment!$A$1:$AH$1,0),FALSE),"")</f>
        <v>200</v>
      </c>
      <c r="F445" s="18" t="str">
        <f>IFERROR(VLOOKUP($A445,Equipconvrt!$A$2:$AH1001,MATCH("Abilities",Equipconvrt!$A$1:$AH$1,0),FALSE),"")</f>
        <v>DEF: +22000, Dark DEF: +10000, Chaos DEF: +10000, Celestial DEF: +10000 ++X2 Defense for the Wearer. ++Light Embodiment - When Equipped deal X2 Order and Light DMG </v>
      </c>
      <c r="G445" s="20">
        <f>IFERROR(VLOOKUP($A445,Equipment!$A$2:$AD1001,MATCH("Price",Equipment!$A$1:$AH$1,0),FALSE),"")</f>
        <v>53560000</v>
      </c>
      <c r="H445" s="4" t="b">
        <v>1</v>
      </c>
      <c r="I445" s="1" t="str">
        <f>IFERROR(VLOOKUP($A445,Equipment!$A$2:$AH1001,MATCH("EquipLoc",Equipment!$A$1:$AH$1,0),FALSE),"")</f>
        <v>Dragonscale Island</v>
      </c>
      <c r="W445" s="1" t="str">
        <f>IFERROR(__xludf.DUMMYFUNCTION("""COMPUTED_VALUE"""),"DragonScale Royal Helm")</f>
        <v>DragonScale Royal Helm</v>
      </c>
      <c r="X445" s="1" t="str">
        <f t="shared" si="1"/>
        <v/>
      </c>
    </row>
    <row r="446">
      <c r="A446" s="1" t="s">
        <v>952</v>
      </c>
      <c r="B446" s="18" t="str">
        <f>IFERROR(VLOOKUP($A446,Equipment!$A$2:$AH1001,MATCH("Description",Equipment!$A$1:$AH$1,0),FALSE),"")</f>
        <v/>
      </c>
      <c r="C446" s="18" t="str">
        <f>IFERROR(VLOOKUP($A446,Equipment!$A$2:$AH1001,MATCH("Type",Equipment!$A$1:$AH$1,0),FALSE),"")</f>
        <v/>
      </c>
      <c r="D446" s="18" t="str">
        <f>IFERROR(VLOOKUP($A446,Equipment!$A$2:$AH1001,MATCH("Slot",Equipment!$A$1:$AH$1,0),FALSE),"")</f>
        <v>Shoulders</v>
      </c>
      <c r="E446" s="20">
        <f>IFERROR(VLOOKUP($A446,Equipment!$A$2:$AH1001,MATCH("LevelReq",Equipment!$A$1:$AH$1,0),FALSE),"")</f>
        <v>200</v>
      </c>
      <c r="F446" s="18" t="str">
        <f>IFERROR(VLOOKUP($A446,Equipconvrt!$A$2:$AH1001,MATCH("Abilities",Equipconvrt!$A$1:$AH$1,0),FALSE),"")</f>
        <v>DEF: +20000, Dark DEF: +10000, Chaos DEF: +10000, Celestial DEF: +10000 ++X2 Defense for the Wearer. ++Light Embodiment - When Equipped deal X2 Order and Light DMG </v>
      </c>
      <c r="G446" s="20">
        <f>IFERROR(VLOOKUP($A446,Equipment!$A$2:$AD1001,MATCH("Price",Equipment!$A$1:$AH$1,0),FALSE),"")</f>
        <v>49500000</v>
      </c>
      <c r="H446" s="4" t="b">
        <v>1</v>
      </c>
      <c r="I446" s="1" t="str">
        <f>IFERROR(VLOOKUP($A446,Equipment!$A$2:$AH1001,MATCH("EquipLoc",Equipment!$A$1:$AH$1,0),FALSE),"")</f>
        <v>Dragonscale Island</v>
      </c>
      <c r="W446" s="1" t="str">
        <f>IFERROR(__xludf.DUMMYFUNCTION("""COMPUTED_VALUE"""),"DragonScale Royal Chestplate")</f>
        <v>DragonScale Royal Chestplate</v>
      </c>
      <c r="X446" s="1" t="str">
        <f t="shared" si="1"/>
        <v/>
      </c>
    </row>
    <row r="447">
      <c r="A447" s="1" t="s">
        <v>953</v>
      </c>
      <c r="B447" s="18" t="str">
        <f>IFERROR(VLOOKUP($A447,Equipment!$A$2:$AH1001,MATCH("Description",Equipment!$A$1:$AH$1,0),FALSE),"")</f>
        <v/>
      </c>
      <c r="C447" s="18" t="str">
        <f>IFERROR(VLOOKUP($A447,Equipment!$A$2:$AH1001,MATCH("Type",Equipment!$A$1:$AH$1,0),FALSE),"")</f>
        <v>Sword</v>
      </c>
      <c r="D447" s="18" t="str">
        <f>IFERROR(VLOOKUP($A447,Equipment!$A$2:$AH1001,MATCH("Slot",Equipment!$A$1:$AH$1,0),FALSE),"")</f>
        <v>Hand</v>
      </c>
      <c r="E447" s="20">
        <f>IFERROR(VLOOKUP($A447,Equipment!$A$2:$AH1001,MATCH("LevelReq",Equipment!$A$1:$AH$1,0),FALSE),"")</f>
        <v>200</v>
      </c>
      <c r="F447" s="18" t="str">
        <f>IFERROR(VLOOKUP($A447,Equipconvrt!$A$2:$AH1001,MATCH("Abilities",Equipconvrt!$A$1:$AH$1,0),FALSE),"")</f>
        <v>DMG: +100000, Light DMG: +10000, Order DMG: +10000, Celestial DMG: +10000 ++This Weapon will deal X4 damage while equipped against Criminals. ++Light Embodiment II - When Equipped deal X4 Order and Light DMG </v>
      </c>
      <c r="G447" s="20">
        <f>IFERROR(VLOOKUP($A447,Equipment!$A$2:$AD1001,MATCH("Price",Equipment!$A$1:$AH$1,0),FALSE),"")</f>
        <v>336700000</v>
      </c>
      <c r="H447" s="4" t="b">
        <v>1</v>
      </c>
      <c r="I447" s="1" t="str">
        <f>IFERROR(VLOOKUP($A447,Equipment!$A$2:$AH1001,MATCH("EquipLoc",Equipment!$A$1:$AH$1,0),FALSE),"")</f>
        <v>Dragonscale Island</v>
      </c>
      <c r="W447" s="1" t="str">
        <f>IFERROR(__xludf.DUMMYFUNCTION("""COMPUTED_VALUE"""),"DragonScale Royal Vambraces")</f>
        <v>DragonScale Royal Vambraces</v>
      </c>
      <c r="X447" s="1" t="str">
        <f t="shared" si="1"/>
        <v/>
      </c>
    </row>
    <row r="448">
      <c r="A448" s="1" t="s">
        <v>954</v>
      </c>
      <c r="B448" s="18" t="str">
        <f>IFERROR(VLOOKUP($A448,Equipment!$A$2:$AH1001,MATCH("Description",Equipment!$A$1:$AH$1,0),FALSE),"")</f>
        <v/>
      </c>
      <c r="C448" s="18" t="str">
        <f>IFERROR(VLOOKUP($A448,Equipment!$A$2:$AH1001,MATCH("Type",Equipment!$A$1:$AH$1,0),FALSE),"")</f>
        <v/>
      </c>
      <c r="D448" s="18" t="str">
        <f>IFERROR(VLOOKUP($A448,Equipment!$A$2:$AH1001,MATCH("Slot",Equipment!$A$1:$AH$1,0),FALSE),"")</f>
        <v>Head</v>
      </c>
      <c r="E448" s="20">
        <f>IFERROR(VLOOKUP($A448,Equipment!$A$2:$AH1001,MATCH("LevelReq",Equipment!$A$1:$AH$1,0),FALSE),"")</f>
        <v>200</v>
      </c>
      <c r="F448" s="18" t="str">
        <f>IFERROR(VLOOKUP($A448,Equipconvrt!$A$2:$AH1001,MATCH("Abilities",Equipconvrt!$A$1:$AH$1,0),FALSE),"")</f>
        <v>DEF: +50000, Celestial DEF: +50000 ++X4 Defense for the Wearer. ++Underworldly Embodiment - When Equipped deal X4 Dark, Chaos, Fire, and Celestial DMG </v>
      </c>
      <c r="G448" s="20">
        <f>IFERROR(VLOOKUP($A448,Equipment!$A$2:$AD1001,MATCH("Price",Equipment!$A$1:$AH$1,0),FALSE),"")</f>
        <v>199000000</v>
      </c>
      <c r="H448" s="4" t="b">
        <v>1</v>
      </c>
      <c r="I448" s="1" t="str">
        <f>IFERROR(VLOOKUP($A448,Equipment!$A$2:$AH1001,MATCH("EquipLoc",Equipment!$A$1:$AH$1,0),FALSE),"")</f>
        <v>Abstara</v>
      </c>
      <c r="W448" s="1" t="str">
        <f>IFERROR(__xludf.DUMMYFUNCTION("""COMPUTED_VALUE"""),"DragonScale Royal Greaves")</f>
        <v>DragonScale Royal Greaves</v>
      </c>
      <c r="X448" s="1" t="str">
        <f t="shared" si="1"/>
        <v/>
      </c>
    </row>
    <row r="449">
      <c r="A449" s="1" t="s">
        <v>955</v>
      </c>
      <c r="B449" s="18" t="str">
        <f>IFERROR(VLOOKUP($A449,Equipment!$A$2:$AH1001,MATCH("Description",Equipment!$A$1:$AH$1,0),FALSE),"")</f>
        <v/>
      </c>
      <c r="C449" s="18" t="str">
        <f>IFERROR(VLOOKUP($A449,Equipment!$A$2:$AH1001,MATCH("Type",Equipment!$A$1:$AH$1,0),FALSE),"")</f>
        <v/>
      </c>
      <c r="D449" s="18" t="str">
        <f>IFERROR(VLOOKUP($A449,Equipment!$A$2:$AH1001,MATCH("Slot",Equipment!$A$1:$AH$1,0),FALSE),"")</f>
        <v>Torso</v>
      </c>
      <c r="E449" s="20">
        <f>IFERROR(VLOOKUP($A449,Equipment!$A$2:$AH1001,MATCH("LevelReq",Equipment!$A$1:$AH$1,0),FALSE),"")</f>
        <v>200</v>
      </c>
      <c r="F449" s="18" t="str">
        <f>IFERROR(VLOOKUP($A449,Equipconvrt!$A$2:$AH1001,MATCH("Abilities",Equipconvrt!$A$1:$AH$1,0),FALSE),"")</f>
        <v>DEF: +50000, Celestial DEF: +50000 ++X4 Defense for the Wearer. ++Underworldly Embodiment - When Equipped deal X4 Dark, Chaos, Fire, and Celestial DMG </v>
      </c>
      <c r="G449" s="20">
        <f>IFERROR(VLOOKUP($A449,Equipment!$A$2:$AD1001,MATCH("Price",Equipment!$A$1:$AH$1,0),FALSE),"")</f>
        <v>199000000</v>
      </c>
      <c r="H449" s="4" t="b">
        <v>1</v>
      </c>
      <c r="I449" s="1" t="str">
        <f>IFERROR(VLOOKUP($A449,Equipment!$A$2:$AH1001,MATCH("EquipLoc",Equipment!$A$1:$AH$1,0),FALSE),"")</f>
        <v>Abstara</v>
      </c>
      <c r="W449" s="1" t="str">
        <f>IFERROR(__xludf.DUMMYFUNCTION("""COMPUTED_VALUE"""),"DragonScale Royal Shield")</f>
        <v>DragonScale Royal Shield</v>
      </c>
      <c r="X449" s="1" t="str">
        <f t="shared" si="1"/>
        <v/>
      </c>
    </row>
    <row r="450">
      <c r="A450" s="1" t="s">
        <v>956</v>
      </c>
      <c r="B450" s="18" t="str">
        <f>IFERROR(VLOOKUP($A450,Equipment!$A$2:$AH1001,MATCH("Description",Equipment!$A$1:$AH$1,0),FALSE),"")</f>
        <v/>
      </c>
      <c r="C450" s="18" t="str">
        <f>IFERROR(VLOOKUP($A450,Equipment!$A$2:$AH1001,MATCH("Type",Equipment!$A$1:$AH$1,0),FALSE),"")</f>
        <v/>
      </c>
      <c r="D450" s="18" t="str">
        <f>IFERROR(VLOOKUP($A450,Equipment!$A$2:$AH1001,MATCH("Slot",Equipment!$A$1:$AH$1,0),FALSE),"")</f>
        <v>Arms</v>
      </c>
      <c r="E450" s="20">
        <f>IFERROR(VLOOKUP($A450,Equipment!$A$2:$AH1001,MATCH("LevelReq",Equipment!$A$1:$AH$1,0),FALSE),"")</f>
        <v>200</v>
      </c>
      <c r="F450" s="18" t="str">
        <f>IFERROR(VLOOKUP($A450,Equipconvrt!$A$2:$AH1001,MATCH("Abilities",Equipconvrt!$A$1:$AH$1,0),FALSE),"")</f>
        <v>DEF: +50000, Celestial DEF: +50000 ++X4 Defense for the Wearer. ++Underworldly Embodiment - When Equipped deal X4 Dark, Chaos, Fire, and Celestial DMG </v>
      </c>
      <c r="G450" s="20">
        <f>IFERROR(VLOOKUP($A450,Equipment!$A$2:$AD1001,MATCH("Price",Equipment!$A$1:$AH$1,0),FALSE),"")</f>
        <v>199000000</v>
      </c>
      <c r="H450" s="4" t="b">
        <v>1</v>
      </c>
      <c r="I450" s="1" t="str">
        <f>IFERROR(VLOOKUP($A450,Equipment!$A$2:$AH1001,MATCH("EquipLoc",Equipment!$A$1:$AH$1,0),FALSE),"")</f>
        <v>Abstara</v>
      </c>
      <c r="W450" s="1" t="str">
        <f>IFERROR(__xludf.DUMMYFUNCTION("""COMPUTED_VALUE"""),"DragonScale Royal Boots")</f>
        <v>DragonScale Royal Boots</v>
      </c>
      <c r="X450" s="1" t="str">
        <f t="shared" si="1"/>
        <v/>
      </c>
    </row>
    <row r="451">
      <c r="A451" s="1" t="s">
        <v>957</v>
      </c>
      <c r="B451" s="18" t="str">
        <f>IFERROR(VLOOKUP($A451,Equipment!$A$2:$AH1001,MATCH("Description",Equipment!$A$1:$AH$1,0),FALSE),"")</f>
        <v/>
      </c>
      <c r="C451" s="18" t="str">
        <f>IFERROR(VLOOKUP($A451,Equipment!$A$2:$AH1001,MATCH("Type",Equipment!$A$1:$AH$1,0),FALSE),"")</f>
        <v/>
      </c>
      <c r="D451" s="18" t="str">
        <f>IFERROR(VLOOKUP($A451,Equipment!$A$2:$AH1001,MATCH("Slot",Equipment!$A$1:$AH$1,0),FALSE),"")</f>
        <v>Legs</v>
      </c>
      <c r="E451" s="20">
        <f>IFERROR(VLOOKUP($A451,Equipment!$A$2:$AH1001,MATCH("LevelReq",Equipment!$A$1:$AH$1,0),FALSE),"")</f>
        <v>200</v>
      </c>
      <c r="F451" s="18" t="str">
        <f>IFERROR(VLOOKUP($A451,Equipconvrt!$A$2:$AH1001,MATCH("Abilities",Equipconvrt!$A$1:$AH$1,0),FALSE),"")</f>
        <v>DEF: +50000, Celestial DEF: +50000 ++X4 Defense for the Wearer. ++Underworldly Embodiment - When Equipped deal X4 Dark, Chaos, Fire, and Celestial DMG </v>
      </c>
      <c r="G451" s="20">
        <f>IFERROR(VLOOKUP($A451,Equipment!$A$2:$AD1001,MATCH("Price",Equipment!$A$1:$AH$1,0),FALSE),"")</f>
        <v>199000000</v>
      </c>
      <c r="H451" s="4" t="b">
        <v>1</v>
      </c>
      <c r="I451" s="1" t="str">
        <f>IFERROR(VLOOKUP($A451,Equipment!$A$2:$AH1001,MATCH("EquipLoc",Equipment!$A$1:$AH$1,0),FALSE),"")</f>
        <v>Abstara</v>
      </c>
      <c r="W451" s="1" t="str">
        <f>IFERROR(__xludf.DUMMYFUNCTION("""COMPUTED_VALUE"""),"DragonScale Royal Pauldrons")</f>
        <v>DragonScale Royal Pauldrons</v>
      </c>
      <c r="X451" s="1" t="str">
        <f t="shared" si="1"/>
        <v/>
      </c>
    </row>
    <row r="452">
      <c r="A452" s="1" t="s">
        <v>958</v>
      </c>
      <c r="B452" s="18" t="str">
        <f>IFERROR(VLOOKUP($A452,Equipment!$A$2:$AH1001,MATCH("Description",Equipment!$A$1:$AH$1,0),FALSE),"")</f>
        <v/>
      </c>
      <c r="C452" s="18" t="str">
        <f>IFERROR(VLOOKUP($A452,Equipment!$A$2:$AH1001,MATCH("Type",Equipment!$A$1:$AH$1,0),FALSE),"")</f>
        <v>Towershield</v>
      </c>
      <c r="D452" s="18" t="str">
        <f>IFERROR(VLOOKUP($A452,Equipment!$A$2:$AH1001,MATCH("Slot",Equipment!$A$1:$AH$1,0),FALSE),"")</f>
        <v>Hand</v>
      </c>
      <c r="E452" s="20">
        <f>IFERROR(VLOOKUP($A452,Equipment!$A$2:$AH1001,MATCH("LevelReq",Equipment!$A$1:$AH$1,0),FALSE),"")</f>
        <v>200</v>
      </c>
      <c r="F452" s="18" t="str">
        <f>IFERROR(VLOOKUP($A452,Equipconvrt!$A$2:$AH1001,MATCH("Abilities",Equipconvrt!$A$1:$AH$1,0),FALSE),"")</f>
        <v>DEF: +50000, Celestial DEF: +50000 ++X4 Defense for the Wearer. ++Underworldly Embodiment - When Equipped deal X4 Dark, Chaos, Fire, and Celestial DMG </v>
      </c>
      <c r="G452" s="20">
        <f>IFERROR(VLOOKUP($A452,Equipment!$A$2:$AD1001,MATCH("Price",Equipment!$A$1:$AH$1,0),FALSE),"")</f>
        <v>199000000</v>
      </c>
      <c r="H452" s="4" t="b">
        <v>1</v>
      </c>
      <c r="I452" s="1" t="str">
        <f>IFERROR(VLOOKUP($A452,Equipment!$A$2:$AH1001,MATCH("EquipLoc",Equipment!$A$1:$AH$1,0),FALSE),"")</f>
        <v>Abstara</v>
      </c>
      <c r="W452" s="1" t="str">
        <f>IFERROR(__xludf.DUMMYFUNCTION("""COMPUTED_VALUE"""),"BLADE! OF! JUSTICE!!!!")</f>
        <v>BLADE! OF! JUSTICE!!!!</v>
      </c>
      <c r="X452" s="1" t="str">
        <f t="shared" si="1"/>
        <v/>
      </c>
    </row>
    <row r="453">
      <c r="A453" s="1" t="s">
        <v>959</v>
      </c>
      <c r="B453" s="18" t="str">
        <f>IFERROR(VLOOKUP($A453,Equipment!$A$2:$AH1001,MATCH("Description",Equipment!$A$1:$AH$1,0),FALSE),"")</f>
        <v/>
      </c>
      <c r="C453" s="18" t="str">
        <f>IFERROR(VLOOKUP($A453,Equipment!$A$2:$AH1001,MATCH("Type",Equipment!$A$1:$AH$1,0),FALSE),"")</f>
        <v/>
      </c>
      <c r="D453" s="18" t="str">
        <f>IFERROR(VLOOKUP($A453,Equipment!$A$2:$AH1001,MATCH("Slot",Equipment!$A$1:$AH$1,0),FALSE),"")</f>
        <v>Feet</v>
      </c>
      <c r="E453" s="20">
        <f>IFERROR(VLOOKUP($A453,Equipment!$A$2:$AH1001,MATCH("LevelReq",Equipment!$A$1:$AH$1,0),FALSE),"")</f>
        <v>200</v>
      </c>
      <c r="F453" s="18" t="str">
        <f>IFERROR(VLOOKUP($A453,Equipconvrt!$A$2:$AH1001,MATCH("Abilities",Equipconvrt!$A$1:$AH$1,0),FALSE),"")</f>
        <v>DEF: +50000, Celestial DEF: +50000 ++X4 Defense for the Wearer. ++Underworldly Embodiment - When Equipped deal X4 Dark, Chaos, Fire, and Celestial DMG </v>
      </c>
      <c r="G453" s="20">
        <f>IFERROR(VLOOKUP($A453,Equipment!$A$2:$AD1001,MATCH("Price",Equipment!$A$1:$AH$1,0),FALSE),"")</f>
        <v>199000000</v>
      </c>
      <c r="H453" s="4" t="b">
        <v>1</v>
      </c>
      <c r="I453" s="1" t="str">
        <f>IFERROR(VLOOKUP($A453,Equipment!$A$2:$AH1001,MATCH("EquipLoc",Equipment!$A$1:$AH$1,0),FALSE),"")</f>
        <v>Abstara</v>
      </c>
      <c r="W453" s="1" t="str">
        <f>IFERROR(__xludf.DUMMYFUNCTION("""COMPUTED_VALUE"""),"Abstara Royal Helm")</f>
        <v>Abstara Royal Helm</v>
      </c>
      <c r="X453" s="1" t="str">
        <f t="shared" si="1"/>
        <v/>
      </c>
    </row>
    <row r="454">
      <c r="A454" s="1" t="s">
        <v>960</v>
      </c>
      <c r="B454" s="18" t="str">
        <f>IFERROR(VLOOKUP($A454,Equipment!$A$2:$AH1001,MATCH("Description",Equipment!$A$1:$AH$1,0),FALSE),"")</f>
        <v/>
      </c>
      <c r="C454" s="18" t="str">
        <f>IFERROR(VLOOKUP($A454,Equipment!$A$2:$AH1001,MATCH("Type",Equipment!$A$1:$AH$1,0),FALSE),"")</f>
        <v/>
      </c>
      <c r="D454" s="18" t="str">
        <f>IFERROR(VLOOKUP($A454,Equipment!$A$2:$AH1001,MATCH("Slot",Equipment!$A$1:$AH$1,0),FALSE),"")</f>
        <v>Shoulders</v>
      </c>
      <c r="E454" s="20">
        <f>IFERROR(VLOOKUP($A454,Equipment!$A$2:$AH1001,MATCH("LevelReq",Equipment!$A$1:$AH$1,0),FALSE),"")</f>
        <v>200</v>
      </c>
      <c r="F454" s="18" t="str">
        <f>IFERROR(VLOOKUP($A454,Equipconvrt!$A$2:$AH1001,MATCH("Abilities",Equipconvrt!$A$1:$AH$1,0),FALSE),"")</f>
        <v>DEF: +50000, Celestial DEF: +50000 ++X4 Defense for the Wearer. ++Underworldly Embodiment - When Equipped deal X4 Dark, Chaos, Fire, and Celestial DMG </v>
      </c>
      <c r="G454" s="20">
        <f>IFERROR(VLOOKUP($A454,Equipment!$A$2:$AD1001,MATCH("Price",Equipment!$A$1:$AH$1,0),FALSE),"")</f>
        <v>199000000</v>
      </c>
      <c r="H454" s="4" t="b">
        <v>1</v>
      </c>
      <c r="I454" s="1" t="str">
        <f>IFERROR(VLOOKUP($A454,Equipment!$A$2:$AH1001,MATCH("EquipLoc",Equipment!$A$1:$AH$1,0),FALSE),"")</f>
        <v>Abstara</v>
      </c>
      <c r="W454" s="1" t="str">
        <f>IFERROR(__xludf.DUMMYFUNCTION("""COMPUTED_VALUE"""),"Abstara Royal Chestplate")</f>
        <v>Abstara Royal Chestplate</v>
      </c>
      <c r="X454" s="1" t="str">
        <f t="shared" si="1"/>
        <v/>
      </c>
    </row>
    <row r="455">
      <c r="A455" s="1" t="s">
        <v>961</v>
      </c>
      <c r="B455" s="18" t="str">
        <f>IFERROR(VLOOKUP($A455,Equipment!$A$2:$AH1001,MATCH("Description",Equipment!$A$1:$AH$1,0),FALSE),"")</f>
        <v>Quest Item</v>
      </c>
      <c r="C455" s="18" t="str">
        <f>IFERROR(VLOOKUP($A455,Equipment!$A$2:$AH1001,MATCH("Type",Equipment!$A$1:$AH$1,0),FALSE),"")</f>
        <v/>
      </c>
      <c r="D455" s="18" t="str">
        <f>IFERROR(VLOOKUP($A455,Equipment!$A$2:$AH1001,MATCH("Slot",Equipment!$A$1:$AH$1,0),FALSE),"")</f>
        <v>Head</v>
      </c>
      <c r="E455" s="20">
        <f>IFERROR(VLOOKUP($A455,Equipment!$A$2:$AH1001,MATCH("LevelReq",Equipment!$A$1:$AH$1,0),FALSE),"")</f>
        <v>200</v>
      </c>
      <c r="F455" s="18" t="str">
        <f>IFERROR(VLOOKUP($A455,Equipconvrt!$A$2:$AH1001,MATCH("Abilities",Equipconvrt!$A$1:$AH$1,0),FALSE),"")</f>
        <v>DEF: +10000, Light DEF: +10000, Order DEF: +10000, Celestial DEF: +10000 (Roguish Guise Set) ++X2 Money Stolen Via the Sword of Bad Luck. +1 Evasion When Fighting Guards. +-Cannot be duplicated +-Pirate/Marauder Only</v>
      </c>
      <c r="G455" s="20">
        <f>IFERROR(VLOOKUP($A455,Equipment!$A$2:$AD1001,MATCH("Price",Equipment!$A$1:$AH$1,0),FALSE),"")</f>
        <v>31600000</v>
      </c>
      <c r="H455" s="4" t="b">
        <v>1</v>
      </c>
      <c r="I455" s="1" t="str">
        <f>IFERROR(VLOOKUP($A455,Equipment!$A$2:$AH1001,MATCH("EquipLoc",Equipment!$A$1:$AH$1,0),FALSE),"")</f>
        <v>Land of Spira</v>
      </c>
      <c r="W455" s="1" t="str">
        <f>IFERROR(__xludf.DUMMYFUNCTION("""COMPUTED_VALUE"""),"Abstara Royal Vambraces")</f>
        <v>Abstara Royal Vambraces</v>
      </c>
      <c r="X455" s="1" t="str">
        <f t="shared" si="1"/>
        <v/>
      </c>
    </row>
    <row r="456">
      <c r="A456" s="1" t="s">
        <v>962</v>
      </c>
      <c r="B456" s="18" t="str">
        <f>IFERROR(VLOOKUP($A456,Equipment!$A$2:$AH1001,MATCH("Description",Equipment!$A$1:$AH$1,0),FALSE),"")</f>
        <v>Quest Item</v>
      </c>
      <c r="C456" s="18" t="str">
        <f>IFERROR(VLOOKUP($A456,Equipment!$A$2:$AH1001,MATCH("Type",Equipment!$A$1:$AH$1,0),FALSE),"")</f>
        <v/>
      </c>
      <c r="D456" s="18" t="str">
        <f>IFERROR(VLOOKUP($A456,Equipment!$A$2:$AH1001,MATCH("Slot",Equipment!$A$1:$AH$1,0),FALSE),"")</f>
        <v>Shoulders</v>
      </c>
      <c r="E456" s="20">
        <f>IFERROR(VLOOKUP($A456,Equipment!$A$2:$AH1001,MATCH("LevelReq",Equipment!$A$1:$AH$1,0),FALSE),"")</f>
        <v>200</v>
      </c>
      <c r="F456" s="18" t="str">
        <f>IFERROR(VLOOKUP($A456,Equipconvrt!$A$2:$AH1001,MATCH("Abilities",Equipconvrt!$A$1:$AH$1,0),FALSE),"")</f>
        <v>DEF: +1000, Light DEF: +10000, Order DEF: +10000, Celestial DEF: +1000 (Roguish Guise Set) ++X2 Money Stolen Via the Sword of Bad Luck. +1 Evasion When Fighting Guards. +-Cannot be duplicated +-Pirate/Marauder Only</v>
      </c>
      <c r="G456" s="20">
        <f>IFERROR(VLOOKUP($A456,Equipment!$A$2:$AD1001,MATCH("Price",Equipment!$A$1:$AH$1,0),FALSE),"")</f>
        <v>9460000</v>
      </c>
      <c r="H456" s="4" t="b">
        <v>1</v>
      </c>
      <c r="I456" s="1" t="str">
        <f>IFERROR(VLOOKUP($A456,Equipment!$A$2:$AH1001,MATCH("EquipLoc",Equipment!$A$1:$AH$1,0),FALSE),"")</f>
        <v>Land of Spira</v>
      </c>
      <c r="W456" s="1" t="str">
        <f>IFERROR(__xludf.DUMMYFUNCTION("""COMPUTED_VALUE"""),"Abstara Royal Greaves")</f>
        <v>Abstara Royal Greaves</v>
      </c>
      <c r="X456" s="1" t="str">
        <f t="shared" si="1"/>
        <v/>
      </c>
    </row>
    <row r="457">
      <c r="A457" s="1" t="s">
        <v>963</v>
      </c>
      <c r="B457" s="18" t="str">
        <f>IFERROR(VLOOKUP($A457,Equipment!$A$2:$AH1001,MATCH("Description",Equipment!$A$1:$AH$1,0),FALSE),"")</f>
        <v>Quest Item</v>
      </c>
      <c r="C457" s="18" t="str">
        <f>IFERROR(VLOOKUP($A457,Equipment!$A$2:$AH1001,MATCH("Type",Equipment!$A$1:$AH$1,0),FALSE),"")</f>
        <v/>
      </c>
      <c r="D457" s="18" t="str">
        <f>IFERROR(VLOOKUP($A457,Equipment!$A$2:$AH1001,MATCH("Slot",Equipment!$A$1:$AH$1,0),FALSE),"")</f>
        <v>Torso</v>
      </c>
      <c r="E457" s="20">
        <f>IFERROR(VLOOKUP($A457,Equipment!$A$2:$AH1001,MATCH("LevelReq",Equipment!$A$1:$AH$1,0),FALSE),"")</f>
        <v>200</v>
      </c>
      <c r="F457" s="18" t="str">
        <f>IFERROR(VLOOKUP($A457,Equipconvrt!$A$2:$AH1001,MATCH("Abilities",Equipconvrt!$A$1:$AH$1,0),FALSE),"")</f>
        <v>DEF: +20000, Light DEF: +20000, Order DEF: +20000, Celestial DEF: +10000 (Roguish Guise Set) ++X2 Money Stolen Via the Sword of Bad Luck. +1 Evasion When Fighting Guards. +-Cannot be duplicated +-Pirate/Marauder Only</v>
      </c>
      <c r="G457" s="20">
        <f>IFERROR(VLOOKUP($A457,Equipment!$A$2:$AD1001,MATCH("Price",Equipment!$A$1:$AH$1,0),FALSE),"")</f>
        <v>97300000</v>
      </c>
      <c r="H457" s="4" t="b">
        <v>1</v>
      </c>
      <c r="I457" s="1" t="str">
        <f>IFERROR(VLOOKUP($A457,Equipment!$A$2:$AH1001,MATCH("EquipLoc",Equipment!$A$1:$AH$1,0),FALSE),"")</f>
        <v>Land of Spira</v>
      </c>
      <c r="W457" s="1" t="str">
        <f>IFERROR(__xludf.DUMMYFUNCTION("""COMPUTED_VALUE"""),"Abstara Royal Shield")</f>
        <v>Abstara Royal Shield</v>
      </c>
      <c r="X457" s="1" t="str">
        <f t="shared" si="1"/>
        <v/>
      </c>
    </row>
    <row r="458">
      <c r="A458" s="1" t="s">
        <v>964</v>
      </c>
      <c r="B458" s="18" t="str">
        <f>IFERROR(VLOOKUP($A458,Equipment!$A$2:$AH1001,MATCH("Description",Equipment!$A$1:$AH$1,0),FALSE),"")</f>
        <v>Quest Item</v>
      </c>
      <c r="C458" s="18" t="str">
        <f>IFERROR(VLOOKUP($A458,Equipment!$A$2:$AH1001,MATCH("Type",Equipment!$A$1:$AH$1,0),FALSE),"")</f>
        <v/>
      </c>
      <c r="D458" s="18" t="str">
        <f>IFERROR(VLOOKUP($A458,Equipment!$A$2:$AH1001,MATCH("Slot",Equipment!$A$1:$AH$1,0),FALSE),"")</f>
        <v>Feet</v>
      </c>
      <c r="E458" s="20">
        <f>IFERROR(VLOOKUP($A458,Equipment!$A$2:$AH1001,MATCH("LevelReq",Equipment!$A$1:$AH$1,0),FALSE),"")</f>
        <v>200</v>
      </c>
      <c r="F458" s="18" t="str">
        <f>IFERROR(VLOOKUP($A458,Equipconvrt!$A$2:$AH1001,MATCH("Abilities",Equipconvrt!$A$1:$AH$1,0),FALSE),"")</f>
        <v>DEF: +10000, Light DEF: +10000, Order DEF: +10000, Celestial DEF: +10000 (Roguish Guise Set) ++X2 Money Stolen Via the Sword of Bad Luck. +1 Evasion When Fighting Guards. +-Cannot be duplicated +-Pirate/Marauder Only</v>
      </c>
      <c r="G458" s="20">
        <f>IFERROR(VLOOKUP($A458,Equipment!$A$2:$AD1001,MATCH("Price",Equipment!$A$1:$AH$1,0),FALSE),"")</f>
        <v>31600000</v>
      </c>
      <c r="H458" s="4" t="b">
        <v>1</v>
      </c>
      <c r="I458" s="1" t="str">
        <f>IFERROR(VLOOKUP($A458,Equipment!$A$2:$AH1001,MATCH("EquipLoc",Equipment!$A$1:$AH$1,0),FALSE),"")</f>
        <v>Land of Spira</v>
      </c>
      <c r="W458" s="1" t="str">
        <f>IFERROR(__xludf.DUMMYFUNCTION("""COMPUTED_VALUE"""),"Abstara Royal Boots")</f>
        <v>Abstara Royal Boots</v>
      </c>
      <c r="X458" s="1" t="str">
        <f t="shared" si="1"/>
        <v/>
      </c>
    </row>
    <row r="459">
      <c r="A459" s="1" t="s">
        <v>965</v>
      </c>
      <c r="B459" s="18" t="str">
        <f>IFERROR(VLOOKUP($A459,Equipment!$A$2:$AH1001,MATCH("Description",Equipment!$A$1:$AH$1,0),FALSE),"")</f>
        <v>Quest Item</v>
      </c>
      <c r="C459" s="18" t="str">
        <f>IFERROR(VLOOKUP($A459,Equipment!$A$2:$AH1001,MATCH("Type",Equipment!$A$1:$AH$1,0),FALSE),"")</f>
        <v/>
      </c>
      <c r="D459" s="18" t="str">
        <f>IFERROR(VLOOKUP($A459,Equipment!$A$2:$AH1001,MATCH("Slot",Equipment!$A$1:$AH$1,0),FALSE),"")</f>
        <v>Legs</v>
      </c>
      <c r="E459" s="20">
        <f>IFERROR(VLOOKUP($A459,Equipment!$A$2:$AH1001,MATCH("LevelReq",Equipment!$A$1:$AH$1,0),FALSE),"")</f>
        <v>200</v>
      </c>
      <c r="F459" s="18" t="str">
        <f>IFERROR(VLOOKUP($A459,Equipconvrt!$A$2:$AH1001,MATCH("Abilities",Equipconvrt!$A$1:$AH$1,0),FALSE),"")</f>
        <v>DEF: +10000, Light DEF: +10000, Order DEF: +10000, Celestial DEF: +10000 (Roguish Guise Set) ++X2 Money Stolen Via the Sword of Bad Luck. +1 Evasion When Fighting Guards. +-Cannot be duplicated +-Pirate/Marauder Only</v>
      </c>
      <c r="G459" s="20">
        <f>IFERROR(VLOOKUP($A459,Equipment!$A$2:$AD1001,MATCH("Price",Equipment!$A$1:$AH$1,0),FALSE),"")</f>
        <v>31600000</v>
      </c>
      <c r="H459" s="4" t="b">
        <v>1</v>
      </c>
      <c r="I459" s="1" t="str">
        <f>IFERROR(VLOOKUP($A459,Equipment!$A$2:$AH1001,MATCH("EquipLoc",Equipment!$A$1:$AH$1,0),FALSE),"")</f>
        <v>Land of Spira</v>
      </c>
      <c r="W459" s="1" t="str">
        <f>IFERROR(__xludf.DUMMYFUNCTION("""COMPUTED_VALUE"""),"Abstara Royal Pauldrons")</f>
        <v>Abstara Royal Pauldrons</v>
      </c>
      <c r="X459" s="1" t="str">
        <f t="shared" si="1"/>
        <v/>
      </c>
    </row>
    <row r="460">
      <c r="A460" s="4" t="s">
        <v>966</v>
      </c>
      <c r="B460" s="18" t="str">
        <f>IFERROR(VLOOKUP($A460,Equipment!$A$2:$AH1001,MATCH("Description",Equipment!$A$1:$AH$1,0),FALSE),"")</f>
        <v>Quest Item</v>
      </c>
      <c r="C460" s="18" t="str">
        <f>IFERROR(VLOOKUP($A460,Equipment!$A$2:$AH1001,MATCH("Type",Equipment!$A$1:$AH$1,0),FALSE),"")</f>
        <v>Claw</v>
      </c>
      <c r="D460" s="18" t="str">
        <f>IFERROR(VLOOKUP($A460,Equipment!$A$2:$AH1001,MATCH("Slot",Equipment!$A$1:$AH$1,0),FALSE),"")</f>
        <v>Hand</v>
      </c>
      <c r="E460" s="20">
        <f>IFERROR(VLOOKUP($A460,Equipment!$A$2:$AH1001,MATCH("LevelReq",Equipment!$A$1:$AH$1,0),FALSE),"")</f>
        <v>200</v>
      </c>
      <c r="F460" s="18" t="str">
        <f>IFERROR(VLOOKUP($A460,Equipconvrt!$A$2:$AH1001,MATCH("Abilities",Equipconvrt!$A$1:$AH$1,0),FALSE),"")</f>
        <v>DMG: +10000, Light DMG: +10000, Order DMG: +10000, Celestial DMG: +10000 (Roguish Guise Set) ++X2 Money Stolen Via the Sword of Bad Luck. +1 Evasion When Fighting Guards. ++5% Chance to not gain a bounty when committing a crime (Cannot be Increased) ++20% chance to remove enemy from battle +-Cannot be duplicated +-Pirate/Marauder Only</v>
      </c>
      <c r="G460" s="20">
        <f>IFERROR(VLOOKUP($A460,Equipment!$A$2:$AD1001,MATCH("Price",Equipment!$A$1:$AH$1,0),FALSE),"")</f>
        <v>31600000</v>
      </c>
      <c r="H460" s="4" t="b">
        <v>1</v>
      </c>
      <c r="I460" s="1" t="str">
        <f>IFERROR(VLOOKUP($A460,Equipment!$A$2:$AH1001,MATCH("EquipLoc",Equipment!$A$1:$AH$1,0),FALSE),"")</f>
        <v>Land of Spira</v>
      </c>
      <c r="W460" s="1" t="str">
        <f>IFERROR(__xludf.DUMMYFUNCTION("""COMPUTED_VALUE"""),"Feathered Hat of Roguish ""Justice""")</f>
        <v>Feathered Hat of Roguish "Justice"</v>
      </c>
      <c r="X460" s="1" t="str">
        <f t="shared" si="1"/>
        <v/>
      </c>
    </row>
    <row r="461">
      <c r="A461" s="1" t="s">
        <v>967</v>
      </c>
      <c r="B461" s="18" t="str">
        <f>IFERROR(VLOOKUP($A461,Equipment!$A$2:$AH1001,MATCH("Description",Equipment!$A$1:$AH$1,0),FALSE),"")</f>
        <v>Quest Item</v>
      </c>
      <c r="C461" s="18" t="str">
        <f>IFERROR(VLOOKUP($A461,Equipment!$A$2:$AH1001,MATCH("Type",Equipment!$A$1:$AH$1,0),FALSE),"")</f>
        <v/>
      </c>
      <c r="D461" s="18" t="str">
        <f>IFERROR(VLOOKUP($A461,Equipment!$A$2:$AH1001,MATCH("Slot",Equipment!$A$1:$AH$1,0),FALSE),"")</f>
        <v>Arms</v>
      </c>
      <c r="E461" s="20">
        <f>IFERROR(VLOOKUP($A461,Equipment!$A$2:$AH1001,MATCH("LevelReq",Equipment!$A$1:$AH$1,0),FALSE),"")</f>
        <v>200</v>
      </c>
      <c r="F461" s="18" t="str">
        <f>IFERROR(VLOOKUP($A461,Equipconvrt!$A$2:$AH1001,MATCH("Abilities",Equipconvrt!$A$1:$AH$1,0),FALSE),"")</f>
        <v>DEF: +10000, Light DEF: +10000, Order DEF: +10000, Celestial DEF: +10000 (Roguish Guise Set) ++X2 Money Stolen Via the Sword of Bad Luck. +1 Evasion When Fighting Guards +-Cannot be duplicated +-Pirate/Marauder Only</v>
      </c>
      <c r="G461" s="20">
        <f>IFERROR(VLOOKUP($A461,Equipment!$A$2:$AD1001,MATCH("Price",Equipment!$A$1:$AH$1,0),FALSE),"")</f>
        <v>31600000</v>
      </c>
      <c r="H461" s="4" t="b">
        <v>1</v>
      </c>
      <c r="I461" s="1" t="str">
        <f>IFERROR(VLOOKUP($A461,Equipment!$A$2:$AH1001,MATCH("EquipLoc",Equipment!$A$1:$AH$1,0),FALSE),"")</f>
        <v>Land of Spira</v>
      </c>
      <c r="W461" s="1" t="str">
        <f>IFERROR(__xludf.DUMMYFUNCTION("""COMPUTED_VALUE"""),"Cape of Misdeed")</f>
        <v>Cape of Misdeed</v>
      </c>
      <c r="X461" s="1" t="str">
        <f t="shared" si="1"/>
        <v/>
      </c>
    </row>
    <row r="462">
      <c r="A462" s="1" t="s">
        <v>968</v>
      </c>
      <c r="B462" s="18" t="str">
        <f>IFERROR(VLOOKUP($A462,Equipment!$A$2:$AH1001,MATCH("Description",Equipment!$A$1:$AH$1,0),FALSE),"")</f>
        <v>Quest Item</v>
      </c>
      <c r="C462" s="18" t="str">
        <f>IFERROR(VLOOKUP($A462,Equipment!$A$2:$AH1001,MATCH("Type",Equipment!$A$1:$AH$1,0),FALSE),"")</f>
        <v/>
      </c>
      <c r="D462" s="18" t="str">
        <f>IFERROR(VLOOKUP($A462,Equipment!$A$2:$AH1001,MATCH("Slot",Equipment!$A$1:$AH$1,0),FALSE),"")</f>
        <v>Neck</v>
      </c>
      <c r="E462" s="20">
        <f>IFERROR(VLOOKUP($A462,Equipment!$A$2:$AH1001,MATCH("LevelReq",Equipment!$A$1:$AH$1,0),FALSE),"")</f>
        <v>1</v>
      </c>
      <c r="F462" s="18" t="str">
        <f>IFERROR(VLOOKUP($A462,Equipconvrt!$A$2:$AH1001,MATCH("Abilities",Equipconvrt!$A$1:$AH$1,0),FALSE),"")</f>
        <v> (Roguish Guise Set) ++X2 Money Stolen Via the Sword of Bad Luck. +5 Evasion +-Cannot be forged +-Cannot be duplicated +-Pirate/Marauder Only</v>
      </c>
      <c r="G462" s="20">
        <f>IFERROR(VLOOKUP($A462,Equipment!$A$2:$AD1001,MATCH("Price",Equipment!$A$1:$AH$1,0),FALSE),"")</f>
        <v>0</v>
      </c>
      <c r="H462" s="4" t="b">
        <v>1</v>
      </c>
      <c r="I462" s="1" t="str">
        <f>IFERROR(VLOOKUP($A462,Equipment!$A$2:$AH1001,MATCH("EquipLoc",Equipment!$A$1:$AH$1,0),FALSE),"")</f>
        <v>Land of Spira</v>
      </c>
      <c r="W462" s="1" t="str">
        <f>IFERROR(__xludf.DUMMYFUNCTION("""COMPUTED_VALUE"""),"Doublet of Debauchery")</f>
        <v>Doublet of Debauchery</v>
      </c>
      <c r="X462" s="1" t="str">
        <f t="shared" si="1"/>
        <v/>
      </c>
    </row>
    <row r="463">
      <c r="A463" s="1" t="s">
        <v>969</v>
      </c>
      <c r="B463" s="18" t="str">
        <f>IFERROR(VLOOKUP($A463,Equipment!$A$2:$AH1001,MATCH("Description",Equipment!$A$1:$AH$1,0),FALSE),"")</f>
        <v/>
      </c>
      <c r="C463" s="18" t="str">
        <f>IFERROR(VLOOKUP($A463,Equipment!$A$2:$AH1001,MATCH("Type",Equipment!$A$1:$AH$1,0),FALSE),"")</f>
        <v>Instrument</v>
      </c>
      <c r="D463" s="18" t="str">
        <f>IFERROR(VLOOKUP($A463,Equipment!$A$2:$AH1001,MATCH("Slot",Equipment!$A$1:$AH$1,0),FALSE),"")</f>
        <v>Hand</v>
      </c>
      <c r="E463" s="20">
        <f>IFERROR(VLOOKUP($A463,Equipment!$A$2:$AH1001,MATCH("LevelReq",Equipment!$A$1:$AH$1,0),FALSE),"")</f>
        <v>300</v>
      </c>
      <c r="F463" s="18" t="str">
        <f>IFERROR(VLOOKUP($A463,Equipconvrt!$A$2:$AH1001,MATCH("Abilities",Equipconvrt!$A$1:$AH$1,0),FALSE),"")</f>
        <v>DMG: +5000, Nature DMG: +5000, Acoustic DMG: +5000 ++X2 Additional Nature damage while equipped. ++Song of The Forest - Summons a nature mob determined by the DM/GM to assist you in battle. +-Cannot be duplicated. +-Only Bards can equip.</v>
      </c>
      <c r="G463" s="20">
        <f>IFERROR(VLOOKUP($A463,Equipment!$A$2:$AD1001,MATCH("Price",Equipment!$A$1:$AH$1,0),FALSE),"")</f>
        <v>4350000</v>
      </c>
      <c r="H463" s="1" t="b">
        <v>0</v>
      </c>
      <c r="I463" s="1" t="str">
        <f>IFERROR(VLOOKUP($A463,Equipment!$A$2:$AH1001,MATCH("EquipLoc",Equipment!$A$1:$AH$1,0),FALSE),"")</f>
        <v>Land of Spira</v>
      </c>
      <c r="W463" s="1" t="str">
        <f>IFERROR(__xludf.DUMMYFUNCTION("""COMPUTED_VALUE"""),"Leather Boots of Softstep")</f>
        <v>Leather Boots of Softstep</v>
      </c>
      <c r="X463" s="1" t="str">
        <f t="shared" si="1"/>
        <v/>
      </c>
    </row>
    <row r="464">
      <c r="A464" s="1" t="s">
        <v>970</v>
      </c>
      <c r="B464" s="18" t="str">
        <f>IFERROR(VLOOKUP($A464,Equipment!$A$2:$AH1001,MATCH("Description",Equipment!$A$1:$AH$1,0),FALSE),"")</f>
        <v/>
      </c>
      <c r="C464" s="18" t="str">
        <f>IFERROR(VLOOKUP($A464,Equipment!$A$2:$AH1001,MATCH("Type",Equipment!$A$1:$AH$1,0),FALSE),"")</f>
        <v>Instrument</v>
      </c>
      <c r="D464" s="18" t="str">
        <f>IFERROR(VLOOKUP($A464,Equipment!$A$2:$AH1001,MATCH("Slot",Equipment!$A$1:$AH$1,0),FALSE),"")</f>
        <v>Hand</v>
      </c>
      <c r="E464" s="20">
        <f>IFERROR(VLOOKUP($A464,Equipment!$A$2:$AH1001,MATCH("LevelReq",Equipment!$A$1:$AH$1,0),FALSE),"")</f>
        <v>600</v>
      </c>
      <c r="F464" s="18" t="str">
        <f>IFERROR(VLOOKUP($A464,Equipconvrt!$A$2:$AH1001,MATCH("Abilities",Equipconvrt!$A$1:$AH$1,0),FALSE),"")</f>
        <v>DMG: +10000, Fire DMG: +10000, Acoustic DMG: +10000 ++X2 Additional Fire damage while equipped. ++Tribal Chant 25% chance to call Master Sawoogo to aid you in battle. +-Cannot be duplicated. +-Only Bards can equip.</v>
      </c>
      <c r="G464" s="20">
        <f>IFERROR(VLOOKUP($A464,Equipment!$A$2:$AD1001,MATCH("Price",Equipment!$A$1:$AH$1,0),FALSE),"")</f>
        <v>17700000</v>
      </c>
      <c r="H464" s="1" t="b">
        <v>0</v>
      </c>
      <c r="I464" s="1" t="str">
        <f>IFERROR(VLOOKUP($A464,Equipment!$A$2:$AH1001,MATCH("EquipLoc",Equipment!$A$1:$AH$1,0),FALSE),"")</f>
        <v>Land of Spira</v>
      </c>
      <c r="W464" s="1" t="str">
        <f>IFERROR(__xludf.DUMMYFUNCTION("""COMPUTED_VALUE"""),"Tights of Fabulous Thievery")</f>
        <v>Tights of Fabulous Thievery</v>
      </c>
      <c r="X464" s="1" t="str">
        <f t="shared" si="1"/>
        <v/>
      </c>
    </row>
    <row r="465">
      <c r="A465" s="1" t="s">
        <v>971</v>
      </c>
      <c r="B465" s="18" t="str">
        <f>IFERROR(VLOOKUP($A465,Equipment!$A$2:$AH1001,MATCH("Description",Equipment!$A$1:$AH$1,0),FALSE),"")</f>
        <v/>
      </c>
      <c r="C465" s="18" t="str">
        <f>IFERROR(VLOOKUP($A465,Equipment!$A$2:$AH1001,MATCH("Type",Equipment!$A$1:$AH$1,0),FALSE),"")</f>
        <v>Instrument</v>
      </c>
      <c r="D465" s="18" t="str">
        <f>IFERROR(VLOOKUP($A465,Equipment!$A$2:$AH1001,MATCH("Slot",Equipment!$A$1:$AH$1,0),FALSE),"")</f>
        <v>Hand</v>
      </c>
      <c r="E465" s="20">
        <f>IFERROR(VLOOKUP($A465,Equipment!$A$2:$AH1001,MATCH("LevelReq",Equipment!$A$1:$AH$1,0),FALSE),"")</f>
        <v>900</v>
      </c>
      <c r="F465" s="18" t="str">
        <f>IFERROR(VLOOKUP($A465,Equipconvrt!$A$2:$AH1001,MATCH("Abilities",Equipconvrt!$A$1:$AH$1,0),FALSE),"")</f>
        <v>DMG: +15000, Fire DMG: +15000, Acoustic DMG: +15000 ++X4 additional Fire and Acoustic damage while equipped. +-Cannot be duplicated. +-Only Bards can equip.</v>
      </c>
      <c r="G465" s="20">
        <f>IFERROR(VLOOKUP($A465,Equipment!$A$2:$AD1001,MATCH("Price",Equipment!$A$1:$AH$1,0),FALSE),"")</f>
        <v>40050000</v>
      </c>
      <c r="H465" s="1" t="b">
        <v>0</v>
      </c>
      <c r="I465" s="1" t="str">
        <f>IFERROR(VLOOKUP($A465,Equipment!$A$2:$AH1001,MATCH("EquipLoc",Equipment!$A$1:$AH$1,0),FALSE),"")</f>
        <v>Land of Spira</v>
      </c>
      <c r="W465" s="1" t="str">
        <f>IFERROR(__xludf.DUMMYFUNCTION("""COMPUTED_VALUE"""),"Fingerless Glove of Anonymity")</f>
        <v>Fingerless Glove of Anonymity</v>
      </c>
      <c r="X465" s="1" t="str">
        <f t="shared" si="1"/>
        <v/>
      </c>
    </row>
    <row r="466">
      <c r="A466" s="1" t="s">
        <v>972</v>
      </c>
      <c r="B466" s="18" t="str">
        <f>IFERROR(VLOOKUP($A466,Equipment!$A$2:$AH1001,MATCH("Description",Equipment!$A$1:$AH$1,0),FALSE),"")</f>
        <v>Quest Item</v>
      </c>
      <c r="C466" s="18" t="str">
        <f>IFERROR(VLOOKUP($A466,Equipment!$A$2:$AH1001,MATCH("Type",Equipment!$A$1:$AH$1,0),FALSE),"")</f>
        <v/>
      </c>
      <c r="D466" s="18" t="str">
        <f>IFERROR(VLOOKUP($A466,Equipment!$A$2:$AH1001,MATCH("Slot",Equipment!$A$1:$AH$1,0),FALSE),"")</f>
        <v>Head</v>
      </c>
      <c r="E466" s="20">
        <f>IFERROR(VLOOKUP($A466,Equipment!$A$2:$AH1001,MATCH("LevelReq",Equipment!$A$1:$AH$1,0),FALSE),"")</f>
        <v>200</v>
      </c>
      <c r="F466" s="18" t="str">
        <f>IFERROR(VLOOKUP($A466,Equipconvrt!$A$2:$AH1001,MATCH("Abilities",Equipconvrt!$A$1:$AH$1,0),FALSE),"")</f>
        <v>DEF: +25000, Light DEF: +25000, Order DEF: +25000, Celestial DEF: +20000 ++X2 Damage whilst invulnerable breaking invulnerability upon being used. +-Cannot be Duplicated. +-Ninja Only</v>
      </c>
      <c r="G466" s="20">
        <f>IFERROR(VLOOKUP($A466,Equipment!$A$2:$AD1001,MATCH("Price",Equipment!$A$1:$AH$1,0),FALSE),"")</f>
        <v>179550000</v>
      </c>
      <c r="H466" s="4" t="b">
        <v>1</v>
      </c>
      <c r="I466" s="1" t="str">
        <f>IFERROR(VLOOKUP($A466,Equipment!$A$2:$AH1001,MATCH("EquipLoc",Equipment!$A$1:$AH$1,0),FALSE),"")</f>
        <v>Dragonscale Island</v>
      </c>
      <c r="W466" s="1" t="str">
        <f>IFERROR(__xludf.DUMMYFUNCTION("""COMPUTED_VALUE"""),"Bracers of Dastardly Deflection")</f>
        <v>Bracers of Dastardly Deflection</v>
      </c>
      <c r="X466" s="1" t="str">
        <f t="shared" si="1"/>
        <v/>
      </c>
    </row>
    <row r="467">
      <c r="A467" s="1" t="s">
        <v>973</v>
      </c>
      <c r="B467" s="18" t="str">
        <f>IFERROR(VLOOKUP($A467,Equipment!$A$2:$AH1001,MATCH("Description",Equipment!$A$1:$AH$1,0),FALSE),"")</f>
        <v>Quest Item</v>
      </c>
      <c r="C467" s="18" t="str">
        <f>IFERROR(VLOOKUP($A467,Equipment!$A$2:$AH1001,MATCH("Type",Equipment!$A$1:$AH$1,0),FALSE),"")</f>
        <v/>
      </c>
      <c r="D467" s="18" t="str">
        <f>IFERROR(VLOOKUP($A467,Equipment!$A$2:$AH1001,MATCH("Slot",Equipment!$A$1:$AH$1,0),FALSE),"")</f>
        <v>Torso</v>
      </c>
      <c r="E467" s="20">
        <f>IFERROR(VLOOKUP($A467,Equipment!$A$2:$AH1001,MATCH("LevelReq",Equipment!$A$1:$AH$1,0),FALSE),"")</f>
        <v>200</v>
      </c>
      <c r="F467" s="18" t="str">
        <f>IFERROR(VLOOKUP($A467,Equipconvrt!$A$2:$AH1001,MATCH("Abilities",Equipconvrt!$A$1:$AH$1,0),FALSE),"")</f>
        <v>DEF: +25000, Light DEF: +25000, Order DEF: +25000, Celestial DEF: +30000 (Shuttering Shadows Set) ++X4 Damage whilst invulnerable breaking invulnerability upon being used. +-Cannot be Duplicated. +-Ninja Only</v>
      </c>
      <c r="G467" s="20">
        <f>IFERROR(VLOOKUP($A467,Equipment!$A$2:$AD1001,MATCH("Price",Equipment!$A$1:$AH$1,0),FALSE),"")</f>
        <v>219450000</v>
      </c>
      <c r="H467" s="4" t="b">
        <v>1</v>
      </c>
      <c r="I467" s="1" t="str">
        <f>IFERROR(VLOOKUP($A467,Equipment!$A$2:$AH1001,MATCH("EquipLoc",Equipment!$A$1:$AH$1,0),FALSE),"")</f>
        <v>Dragonscale Island</v>
      </c>
      <c r="W467" s="1" t="str">
        <f>IFERROR(__xludf.DUMMYFUNCTION("""COMPUTED_VALUE"""),"Amulet of the Goddess of Theft")</f>
        <v>Amulet of the Goddess of Theft</v>
      </c>
      <c r="X467" s="1" t="str">
        <f t="shared" si="1"/>
        <v/>
      </c>
    </row>
    <row r="468">
      <c r="A468" s="4" t="s">
        <v>974</v>
      </c>
      <c r="B468" s="18" t="str">
        <f>IFERROR(VLOOKUP($A468,Equipment!$A$2:$AH1001,MATCH("Description",Equipment!$A$1:$AH$1,0),FALSE),"")</f>
        <v>Quest Item</v>
      </c>
      <c r="C468" s="18" t="str">
        <f>IFERROR(VLOOKUP($A468,Equipment!$A$2:$AH1001,MATCH("Type",Equipment!$A$1:$AH$1,0),FALSE),"")</f>
        <v/>
      </c>
      <c r="D468" s="18" t="str">
        <f>IFERROR(VLOOKUP($A468,Equipment!$A$2:$AH1001,MATCH("Slot",Equipment!$A$1:$AH$1,0),FALSE),"")</f>
        <v>Feet</v>
      </c>
      <c r="E468" s="20">
        <f>IFERROR(VLOOKUP($A468,Equipment!$A$2:$AH1001,MATCH("LevelReq",Equipment!$A$1:$AH$1,0),FALSE),"")</f>
        <v>200</v>
      </c>
      <c r="F468" s="18" t="str">
        <f>IFERROR(VLOOKUP($A468,Equipconvrt!$A$2:$AH1001,MATCH("Abilities",Equipconvrt!$A$1:$AH$1,0),FALSE),"")</f>
        <v>DEF: +25000, Light DEF: +25000, Order DEF: +25000, Celestial DEF: +20000 (Shuttering Shadows Set) ++X2 Damage whilst invulnerable breaking invulnerability upon being used. +-Cannot be Duplicated. +-Ninja Only</v>
      </c>
      <c r="G468" s="20">
        <f>IFERROR(VLOOKUP($A468,Equipment!$A$2:$AD1001,MATCH("Price",Equipment!$A$1:$AH$1,0),FALSE),"")</f>
        <v>179550000</v>
      </c>
      <c r="H468" s="4" t="b">
        <v>1</v>
      </c>
      <c r="I468" s="1" t="str">
        <f>IFERROR(VLOOKUP($A468,Equipment!$A$2:$AH1001,MATCH("EquipLoc",Equipment!$A$1:$AH$1,0),FALSE),"")</f>
        <v>Dragonscale Island</v>
      </c>
      <c r="W468" s="1" t="str">
        <f>IFERROR(__xludf.DUMMYFUNCTION("""COMPUTED_VALUE"""),"Flute of The Majestic Forest")</f>
        <v>Flute of The Majestic Forest</v>
      </c>
      <c r="X468" s="1" t="str">
        <f t="shared" si="1"/>
        <v/>
      </c>
    </row>
    <row r="469">
      <c r="A469" s="1" t="s">
        <v>975</v>
      </c>
      <c r="B469" s="18" t="str">
        <f>IFERROR(VLOOKUP($A469,Equipment!$A$2:$AH1001,MATCH("Description",Equipment!$A$1:$AH$1,0),FALSE),"")</f>
        <v>Quest Item</v>
      </c>
      <c r="C469" s="18" t="str">
        <f>IFERROR(VLOOKUP($A469,Equipment!$A$2:$AH1001,MATCH("Type",Equipment!$A$1:$AH$1,0),FALSE),"")</f>
        <v/>
      </c>
      <c r="D469" s="18" t="str">
        <f>IFERROR(VLOOKUP($A469,Equipment!$A$2:$AH1001,MATCH("Slot",Equipment!$A$1:$AH$1,0),FALSE),"")</f>
        <v>Arms</v>
      </c>
      <c r="E469" s="20">
        <f>IFERROR(VLOOKUP($A469,Equipment!$A$2:$AH1001,MATCH("LevelReq",Equipment!$A$1:$AH$1,0),FALSE),"")</f>
        <v>200</v>
      </c>
      <c r="F469" s="18" t="str">
        <f>IFERROR(VLOOKUP($A469,Equipconvrt!$A$2:$AH1001,MATCH("Abilities",Equipconvrt!$A$1:$AH$1,0),FALSE),"")</f>
        <v>DEF: +25000, Light DEF: +25000, Order DEF: +25000, Celestial DEF: +20000 (Shuttering Shadows Set) ++gain +5 to attack rolls whilst invulnerable. ++the Knife attribute is 3X as likely to activate. +-Cannot be forged +-Cannot be duplicated +-Ninja Only</v>
      </c>
      <c r="G469" s="20">
        <f>IFERROR(VLOOKUP($A469,Equipment!$A$2:$AD1001,MATCH("Price",Equipment!$A$1:$AH$1,0),FALSE),"")</f>
        <v>179550000</v>
      </c>
      <c r="H469" s="4" t="b">
        <v>1</v>
      </c>
      <c r="I469" s="1" t="str">
        <f>IFERROR(VLOOKUP($A469,Equipment!$A$2:$AH1001,MATCH("EquipLoc",Equipment!$A$1:$AH$1,0),FALSE),"")</f>
        <v>Dragonscale Island</v>
      </c>
      <c r="W469" s="1" t="str">
        <f>IFERROR(__xludf.DUMMYFUNCTION("""COMPUTED_VALUE"""),"Heatmore Tribal Drums")</f>
        <v>Heatmore Tribal Drums</v>
      </c>
      <c r="X469" s="1" t="str">
        <f t="shared" si="1"/>
        <v/>
      </c>
    </row>
    <row r="470">
      <c r="A470" s="1" t="s">
        <v>976</v>
      </c>
      <c r="B470" s="18" t="str">
        <f>IFERROR(VLOOKUP($A470,Equipment!$A$2:$AH1001,MATCH("Description",Equipment!$A$1:$AH$1,0),FALSE),"")</f>
        <v>Quest Item</v>
      </c>
      <c r="C470" s="18" t="str">
        <f>IFERROR(VLOOKUP($A470,Equipment!$A$2:$AH1001,MATCH("Type",Equipment!$A$1:$AH$1,0),FALSE),"")</f>
        <v/>
      </c>
      <c r="D470" s="18" t="str">
        <f>IFERROR(VLOOKUP($A470,Equipment!$A$2:$AH1001,MATCH("Slot",Equipment!$A$1:$AH$1,0),FALSE),"")</f>
        <v>Legs</v>
      </c>
      <c r="E470" s="20">
        <f>IFERROR(VLOOKUP($A470,Equipment!$A$2:$AH1001,MATCH("LevelReq",Equipment!$A$1:$AH$1,0),FALSE),"")</f>
        <v>200</v>
      </c>
      <c r="F470" s="18" t="str">
        <f>IFERROR(VLOOKUP($A470,Equipconvrt!$A$2:$AH1001,MATCH("Abilities",Equipconvrt!$A$1:$AH$1,0),FALSE),"")</f>
        <v>DEF: +25000, Light DEF: +25000, Order DEF: +25000, Celestial DEF: +20000 (Shuttering Shadows Set) ++X2 Damage whilst invulnerable breaking invulnerability upon being used, +-Cannot be Duplicated, +-Ninja Only</v>
      </c>
      <c r="G470" s="20">
        <f>IFERROR(VLOOKUP($A470,Equipment!$A$2:$AD1001,MATCH("Price",Equipment!$A$1:$AH$1,0),FALSE),"")</f>
        <v>179550000</v>
      </c>
      <c r="H470" s="4" t="b">
        <v>1</v>
      </c>
      <c r="I470" s="1" t="str">
        <f>IFERROR(VLOOKUP($A470,Equipment!$A$2:$AH1001,MATCH("EquipLoc",Equipment!$A$1:$AH$1,0),FALSE),"")</f>
        <v>Dragonscale Island</v>
      </c>
      <c r="W470" s="1" t="str">
        <f>IFERROR(__xludf.DUMMYFUNCTION("""COMPUTED_VALUE"""),"Heatmore Tribal Maracas")</f>
        <v>Heatmore Tribal Maracas</v>
      </c>
      <c r="X470" s="1" t="str">
        <f t="shared" si="1"/>
        <v/>
      </c>
    </row>
    <row r="471">
      <c r="A471" s="1" t="s">
        <v>977</v>
      </c>
      <c r="B471" s="18" t="str">
        <f>IFERROR(VLOOKUP($A471,Equipment!$A$2:$AH1001,MATCH("Description",Equipment!$A$1:$AH$1,0),FALSE),"")</f>
        <v>Quest Item</v>
      </c>
      <c r="C471" s="18" t="str">
        <f>IFERROR(VLOOKUP($A471,Equipment!$A$2:$AH1001,MATCH("Type",Equipment!$A$1:$AH$1,0),FALSE),"")</f>
        <v/>
      </c>
      <c r="D471" s="18" t="str">
        <f>IFERROR(VLOOKUP($A471,Equipment!$A$2:$AH1001,MATCH("Slot",Equipment!$A$1:$AH$1,0),FALSE),"")</f>
        <v>Shoulders</v>
      </c>
      <c r="E471" s="20">
        <f>IFERROR(VLOOKUP($A471,Equipment!$A$2:$AH1001,MATCH("LevelReq",Equipment!$A$1:$AH$1,0),FALSE),"")</f>
        <v>200</v>
      </c>
      <c r="F471" s="18" t="str">
        <f>IFERROR(VLOOKUP($A471,Equipconvrt!$A$2:$AH1001,MATCH("Abilities",Equipconvrt!$A$1:$AH$1,0),FALSE),"")</f>
        <v>DEF: +25000, Light DEF: +25000, Order DEF: +25000, Celestial DEF: +20000 (Shuttering Shadows Set) ++X2 Damage whilst invulnerable breaking invulnerability upon being used, 50% chance to become unaffected by an Instant death effect. ++Conceal: upon entering combat you are invulnerable for 1 round or until you attack +-Cannot be forged +-Cannot be duplicated +-Ninja Only</v>
      </c>
      <c r="G471" s="20">
        <f>IFERROR(VLOOKUP($A471,Equipment!$A$2:$AD1001,MATCH("Price",Equipment!$A$1:$AH$1,0),FALSE),"")</f>
        <v>179550000</v>
      </c>
      <c r="H471" s="4" t="b">
        <v>1</v>
      </c>
      <c r="I471" s="1" t="str">
        <f>IFERROR(VLOOKUP($A471,Equipment!$A$2:$AH1001,MATCH("EquipLoc",Equipment!$A$1:$AH$1,0),FALSE),"")</f>
        <v>Dragonscale Island</v>
      </c>
      <c r="W471" s="1" t="str">
        <f>IFERROR(__xludf.DUMMYFUNCTION("""COMPUTED_VALUE"""),"Mask of Creeping Darkness")</f>
        <v>Mask of Creeping Darkness</v>
      </c>
      <c r="X471" s="1" t="str">
        <f t="shared" si="1"/>
        <v/>
      </c>
    </row>
    <row r="472">
      <c r="A472" s="1" t="s">
        <v>978</v>
      </c>
      <c r="B472" s="18" t="str">
        <f>IFERROR(VLOOKUP($A472,Equipment!$A$2:$AH1001,MATCH("Description",Equipment!$A$1:$AH$1,0),FALSE),"")</f>
        <v>Quest Item</v>
      </c>
      <c r="C472" s="18" t="str">
        <f>IFERROR(VLOOKUP($A472,Equipment!$A$2:$AH1001,MATCH("Type",Equipment!$A$1:$AH$1,0),FALSE),"")</f>
        <v>Knife</v>
      </c>
      <c r="D472" s="18" t="str">
        <f>IFERROR(VLOOKUP($A472,Equipment!$A$2:$AH1001,MATCH("Slot",Equipment!$A$1:$AH$1,0),FALSE),"")</f>
        <v>Hand</v>
      </c>
      <c r="E472" s="20">
        <f>IFERROR(VLOOKUP($A472,Equipment!$A$2:$AH1001,MATCH("LevelReq",Equipment!$A$1:$AH$1,0),FALSE),"")</f>
        <v>200</v>
      </c>
      <c r="F472" s="18" t="str">
        <f>IFERROR(VLOOKUP($A472,Equipconvrt!$A$2:$AH1001,MATCH("Abilities",Equipconvrt!$A$1:$AH$1,0),FALSE),"")</f>
        <v>DMG: +50000, Dark DMG: +25000, Chaos DMG: +25000, Celestial DMG: +10000 (Shuttering Shadows Set) ++X4 Damage whilst invulnerable breaking invulnerability upon being used. ++When equipped with the Night's Edge attack with both weapons at the same time. +-Cannot be Duplicated Must be used in conjunction with the Night's Edge or any weapon the Night's Edge is forged into, +-Ninja Only</v>
      </c>
      <c r="G472" s="20">
        <f>IFERROR(VLOOKUP($A472,Equipment!$A$2:$AD1001,MATCH("Price",Equipment!$A$1:$AH$1,0),FALSE),"")</f>
        <v>240900000</v>
      </c>
      <c r="H472" s="4" t="b">
        <v>1</v>
      </c>
      <c r="I472" s="1" t="str">
        <f>IFERROR(VLOOKUP($A472,Equipment!$A$2:$AH1001,MATCH("EquipLoc",Equipment!$A$1:$AH$1,0),FALSE),"")</f>
        <v>Dragonscale Island</v>
      </c>
      <c r="W472" s="1" t="str">
        <f>IFERROR(__xludf.DUMMYFUNCTION("""COMPUTED_VALUE"""),"Chest of Evershifting Darkness")</f>
        <v>Chest of Evershifting Darkness</v>
      </c>
      <c r="X472" s="1" t="str">
        <f t="shared" si="1"/>
        <v/>
      </c>
    </row>
    <row r="473">
      <c r="A473" s="1" t="s">
        <v>979</v>
      </c>
      <c r="B473" s="18" t="str">
        <f>IFERROR(VLOOKUP($A473,Equipment!$A$2:$AH1001,MATCH("Description",Equipment!$A$1:$AH$1,0),FALSE),"")</f>
        <v>Quest Item</v>
      </c>
      <c r="C473" s="18" t="str">
        <f>IFERROR(VLOOKUP($A473,Equipment!$A$2:$AH1001,MATCH("Type",Equipment!$A$1:$AH$1,0),FALSE),"")</f>
        <v>Knife</v>
      </c>
      <c r="D473" s="18" t="str">
        <f>IFERROR(VLOOKUP($A473,Equipment!$A$2:$AH1001,MATCH("Slot",Equipment!$A$1:$AH$1,0),FALSE),"")</f>
        <v>Hand</v>
      </c>
      <c r="E473" s="20">
        <f>IFERROR(VLOOKUP($A473,Equipment!$A$2:$AH1001,MATCH("LevelReq",Equipment!$A$1:$AH$1,0),FALSE),"")</f>
        <v>200</v>
      </c>
      <c r="F473" s="18" t="str">
        <f>IFERROR(VLOOKUP($A473,Equipconvrt!$A$2:$AH1001,MATCH("Abilities",Equipconvrt!$A$1:$AH$1,0),FALSE),"")</f>
        <v>DMG: +50000, Dark DMG: +25000, Chaos DMG: +25000, Celestial DMG: +10000 (Shuttering Shadows Set) ++X4 Damage whilst invulnerable breaking invulnerability upon being used, When equipped with the Assassin's Kiss, attack with both weapons at the same time. +-Cannot be Duplicated, +-Must be Equipped with the Assassin's Kiss +-Ninja Only</v>
      </c>
      <c r="G473" s="20">
        <f>IFERROR(VLOOKUP($A473,Equipment!$A$2:$AD1001,MATCH("Price",Equipment!$A$1:$AH$1,0),FALSE),"")</f>
        <v>240900000</v>
      </c>
      <c r="H473" s="4" t="b">
        <v>1</v>
      </c>
      <c r="I473" s="1" t="str">
        <f>IFERROR(VLOOKUP($A473,Equipment!$A$2:$AH1001,MATCH("EquipLoc",Equipment!$A$1:$AH$1,0),FALSE),"")</f>
        <v>Dragonscale Island</v>
      </c>
      <c r="W473" s="1" t="str">
        <f>IFERROR(__xludf.DUMMYFUNCTION("""COMPUTED_VALUE"""),"Leather Boots of EDGINESS")</f>
        <v>Leather Boots of EDGINESS</v>
      </c>
      <c r="X473" s="1" t="str">
        <f t="shared" si="1"/>
        <v/>
      </c>
    </row>
    <row r="474">
      <c r="A474" s="4" t="s">
        <v>980</v>
      </c>
      <c r="B474" s="18" t="str">
        <f>IFERROR(VLOOKUP($A474,Equipment!$A$2:$AH1001,MATCH("Description",Equipment!$A$1:$AH$1,0),FALSE),"")</f>
        <v/>
      </c>
      <c r="C474" s="18" t="str">
        <f>IFERROR(VLOOKUP($A474,Equipment!$A$2:$AH1001,MATCH("Type",Equipment!$A$1:$AH$1,0),FALSE),"")</f>
        <v/>
      </c>
      <c r="D474" s="18" t="str">
        <f>IFERROR(VLOOKUP($A474,Equipment!$A$2:$AH1001,MATCH("Slot",Equipment!$A$1:$AH$1,0),FALSE),"")</f>
        <v>Neck</v>
      </c>
      <c r="E474" s="20">
        <f>IFERROR(VLOOKUP($A474,Equipment!$A$2:$AH1001,MATCH("LevelReq",Equipment!$A$1:$AH$1,0),FALSE),"")</f>
        <v>1</v>
      </c>
      <c r="F474" s="18" t="str">
        <f>IFERROR(VLOOKUP($A474,Equipconvrt!$A$2:$AH1001,MATCH("Abilities",Equipconvrt!$A$1:$AH$1,0),FALSE),"")</f>
        <v> ++5 to all d20 rolls, +-Cannot be duplicated.</v>
      </c>
      <c r="G474" s="20">
        <f>IFERROR(VLOOKUP($A474,Equipment!$A$2:$AD1001,MATCH("Price",Equipment!$A$1:$AH$1,0),FALSE),"")</f>
        <v>0</v>
      </c>
      <c r="H474" s="1" t="b">
        <v>0</v>
      </c>
      <c r="I474" s="1" t="str">
        <f>IFERROR(VLOOKUP($A474,Equipment!$A$2:$AH1001,MATCH("EquipLoc",Equipment!$A$1:$AH$1,0),FALSE),"")</f>
        <v>Dragonscale Island</v>
      </c>
      <c r="W474" s="1" t="str">
        <f>IFERROR(__xludf.DUMMYFUNCTION("""COMPUTED_VALUE"""),"Silken Gloves of Dexterity")</f>
        <v>Silken Gloves of Dexterity</v>
      </c>
      <c r="X474" s="1" t="str">
        <f t="shared" si="1"/>
        <v/>
      </c>
    </row>
    <row r="475">
      <c r="A475" s="1" t="s">
        <v>981</v>
      </c>
      <c r="B475" s="18" t="str">
        <f>IFERROR(VLOOKUP($A475,Equipment!$A$2:$AH1001,MATCH("Description",Equipment!$A$1:$AH$1,0),FALSE),"")</f>
        <v/>
      </c>
      <c r="C475" s="18" t="str">
        <f>IFERROR(VLOOKUP($A475,Equipment!$A$2:$AH1001,MATCH("Type",Equipment!$A$1:$AH$1,0),FALSE),"")</f>
        <v>Spear</v>
      </c>
      <c r="D475" s="18" t="str">
        <f>IFERROR(VLOOKUP($A475,Equipment!$A$2:$AH1001,MATCH("Slot",Equipment!$A$1:$AH$1,0),FALSE),"")</f>
        <v>Hand</v>
      </c>
      <c r="E475" s="20">
        <f>IFERROR(VLOOKUP($A475,Equipment!$A$2:$AH1001,MATCH("LevelReq",Equipment!$A$1:$AH$1,0),FALSE),"")</f>
        <v>1</v>
      </c>
      <c r="F475" s="18" t="str">
        <f>IFERROR(VLOOKUP($A475,Equipconvrt!$A$2:$AH1001,MATCH("Abilities",Equipconvrt!$A$1:$AH$1,0),FALSE),"")</f>
        <v/>
      </c>
      <c r="G475" s="20">
        <f>IFERROR(VLOOKUP($A475,Equipment!$A$2:$AD1001,MATCH("Price",Equipment!$A$1:$AH$1,0),FALSE),"")</f>
        <v>0</v>
      </c>
      <c r="H475" s="4" t="b">
        <v>1</v>
      </c>
      <c r="I475" s="1" t="str">
        <f>IFERROR(VLOOKUP($A475,Equipment!$A$2:$AH1001,MATCH("EquipLoc",Equipment!$A$1:$AH$1,0),FALSE),"")</f>
        <v>Abstara</v>
      </c>
      <c r="W475" s="1" t="str">
        <f>IFERROR(__xludf.DUMMYFUNCTION("""COMPUTED_VALUE"""),"Leggings of Swift Death")</f>
        <v>Leggings of Swift Death</v>
      </c>
      <c r="X475" s="1" t="str">
        <f t="shared" si="1"/>
        <v/>
      </c>
    </row>
    <row r="476">
      <c r="A476" s="4" t="s">
        <v>982</v>
      </c>
      <c r="B476" s="18" t="str">
        <f>IFERROR(VLOOKUP($A476,Equipment!$A$2:$AH1001,MATCH("Description",Equipment!$A$1:$AH$1,0),FALSE),"")</f>
        <v/>
      </c>
      <c r="C476" s="18" t="str">
        <f>IFERROR(VLOOKUP($A476,Equipment!$A$2:$AH1001,MATCH("Type",Equipment!$A$1:$AH$1,0),FALSE),"")</f>
        <v/>
      </c>
      <c r="D476" s="18" t="str">
        <f>IFERROR(VLOOKUP($A476,Equipment!$A$2:$AH1001,MATCH("Slot",Equipment!$A$1:$AH$1,0),FALSE),"")</f>
        <v/>
      </c>
      <c r="E476" s="20" t="str">
        <f>IFERROR(VLOOKUP($A476,Equipment!$A$2:$AH1001,MATCH("LevelReq",Equipment!$A$1:$AH$1,0),FALSE),"")</f>
        <v/>
      </c>
      <c r="F476" s="18" t="str">
        <f>IFERROR(VLOOKUP($A476,Equipconvrt!$A$2:$AH1001,MATCH("Abilities",Equipconvrt!$A$1:$AH$1,0),FALSE),"")</f>
        <v/>
      </c>
      <c r="G476" s="20" t="str">
        <f>IFERROR(VLOOKUP($A476,Equipment!$A$2:$AD1001,MATCH("Price",Equipment!$A$1:$AH$1,0),FALSE),"")</f>
        <v/>
      </c>
      <c r="H476" s="4" t="b">
        <v>1</v>
      </c>
      <c r="I476" s="1" t="str">
        <f>IFERROR(VLOOKUP($A476,Equipment!$A$2:$AH1001,MATCH("EquipLoc",Equipment!$A$1:$AH$1,0),FALSE),"")</f>
        <v/>
      </c>
      <c r="W476" s="1" t="str">
        <f>IFERROR(__xludf.DUMMYFUNCTION("""COMPUTED_VALUE"""),"Cape of Illusion")</f>
        <v>Cape of Illusion</v>
      </c>
      <c r="X476" s="1" t="str">
        <f t="shared" si="1"/>
        <v/>
      </c>
    </row>
    <row r="477">
      <c r="A477" s="1" t="s">
        <v>983</v>
      </c>
      <c r="B477" s="18" t="str">
        <f>IFERROR(VLOOKUP($A477,Equipment!$A$2:$AH1001,MATCH("Description",Equipment!$A$1:$AH$1,0),FALSE),"")</f>
        <v>Quest Item</v>
      </c>
      <c r="C477" s="18" t="str">
        <f>IFERROR(VLOOKUP($A477,Equipment!$A$2:$AH1001,MATCH("Type",Equipment!$A$1:$AH$1,0),FALSE),"")</f>
        <v>Club</v>
      </c>
      <c r="D477" s="18" t="str">
        <f>IFERROR(VLOOKUP($A477,Equipment!$A$2:$AH1001,MATCH("Slot",Equipment!$A$1:$AH$1,0),FALSE),"")</f>
        <v>Hand</v>
      </c>
      <c r="E477" s="20">
        <f>IFERROR(VLOOKUP($A477,Equipment!$A$2:$AH1001,MATCH("LevelReq",Equipment!$A$1:$AH$1,0),FALSE),"")</f>
        <v>200</v>
      </c>
      <c r="F477" s="18" t="str">
        <f>IFERROR(VLOOKUP($A477,Equipconvrt!$A$2:$AH1001,MATCH("Abilities",Equipconvrt!$A$1:$AH$1,0),FALSE),"")</f>
        <v>DMG: +25000, Earth DMG: +100000, Nature DMG: +15000, Celestial DMG: +25000 ++X4 Earth damage. Gaia's Slumber: ++50% chance to put target to sleep. +-Cannot be duplicated, +-You can only acquire one of these</v>
      </c>
      <c r="G477" s="20">
        <f>IFERROR(VLOOKUP($A477,Equipment!$A$2:$AD1001,MATCH("Price",Equipment!$A$1:$AH$1,0),FALSE),"")</f>
        <v>542850000</v>
      </c>
      <c r="H477" s="4" t="b">
        <v>1</v>
      </c>
      <c r="I477" s="1" t="str">
        <f>IFERROR(VLOOKUP($A477,Equipment!$A$2:$AH1001,MATCH("EquipLoc",Equipment!$A$1:$AH$1,0),FALSE),"")</f>
        <v>Land of Spira</v>
      </c>
      <c r="W477" s="1" t="str">
        <f>IFERROR(__xludf.DUMMYFUNCTION("""COMPUTED_VALUE"""),"Assassin's Kiss")</f>
        <v>Assassin's Kiss</v>
      </c>
      <c r="X477" s="1" t="str">
        <f t="shared" si="1"/>
        <v/>
      </c>
    </row>
    <row r="478">
      <c r="A478" s="1" t="s">
        <v>984</v>
      </c>
      <c r="B478" s="18" t="str">
        <f>IFERROR(VLOOKUP($A478,Equipment!$A$2:$AH1001,MATCH("Description",Equipment!$A$1:$AH$1,0),FALSE),"")</f>
        <v>Mob Exclusive</v>
      </c>
      <c r="C478" s="18" t="str">
        <f>IFERROR(VLOOKUP($A478,Equipment!$A$2:$AH1001,MATCH("Type",Equipment!$A$1:$AH$1,0),FALSE),"")</f>
        <v>Claw</v>
      </c>
      <c r="D478" s="18" t="str">
        <f>IFERROR(VLOOKUP($A478,Equipment!$A$2:$AH1001,MATCH("Slot",Equipment!$A$1:$AH$1,0),FALSE),"")</f>
        <v>Hand</v>
      </c>
      <c r="E478" s="20">
        <f>IFERROR(VLOOKUP($A478,Equipment!$A$2:$AH1001,MATCH("LevelReq",Equipment!$A$1:$AH$1,0),FALSE),"")</f>
        <v>200</v>
      </c>
      <c r="F478" s="18" t="str">
        <f>IFERROR(VLOOKUP($A478,Equipconvrt!$A$2:$AH1001,MATCH("Abilities",Equipconvrt!$A$1:$AH$1,0),FALSE),"")</f>
        <v>DMG: +250000, Delta DMG: +250000, Celestial DMG: +250000 +-Cannot resist or be immune to this attack. ++Bahamut's Bloodlust: Heals Bahamut by 2X damage dealt with this weapon. 50% chance to remove any hit enemy from battle</v>
      </c>
      <c r="G478" s="20">
        <f>IFERROR(VLOOKUP($A478,Equipment!$A$2:$AD1001,MATCH("Price",Equipment!$A$1:$AH$1,0),FALSE),"")</f>
        <v>11242500000</v>
      </c>
      <c r="H478" s="4" t="b">
        <v>1</v>
      </c>
      <c r="I478" s="1" t="str">
        <f>IFERROR(VLOOKUP($A478,Equipment!$A$2:$AH1001,MATCH("EquipLoc",Equipment!$A$1:$AH$1,0),FALSE),"")</f>
        <v>Tantalus - The Void</v>
      </c>
      <c r="W478" s="1" t="str">
        <f>IFERROR(__xludf.DUMMYFUNCTION("""COMPUTED_VALUE"""),"Night's Edge")</f>
        <v>Night's Edge</v>
      </c>
      <c r="X478" s="1" t="str">
        <f t="shared" si="1"/>
        <v/>
      </c>
    </row>
    <row r="479">
      <c r="A479" s="1" t="s">
        <v>985</v>
      </c>
      <c r="B479" s="18" t="str">
        <f>IFERROR(VLOOKUP($A479,Equipment!$A$2:$AH1001,MATCH("Description",Equipment!$A$1:$AH$1,0),FALSE),"")</f>
        <v/>
      </c>
      <c r="C479" s="18" t="str">
        <f>IFERROR(VLOOKUP($A479,Equipment!$A$2:$AH1001,MATCH("Type",Equipment!$A$1:$AH$1,0),FALSE),"")</f>
        <v>Staff</v>
      </c>
      <c r="D479" s="18" t="str">
        <f>IFERROR(VLOOKUP($A479,Equipment!$A$2:$AH1001,MATCH("Slot",Equipment!$A$1:$AH$1,0),FALSE),"")</f>
        <v>Hand</v>
      </c>
      <c r="E479" s="20">
        <f>IFERROR(VLOOKUP($A479,Equipment!$A$2:$AH1001,MATCH("LevelReq",Equipment!$A$1:$AH$1,0),FALSE),"")</f>
        <v>1</v>
      </c>
      <c r="F479" s="18" t="str">
        <f>IFERROR(VLOOKUP($A479,Equipconvrt!$A$2:$AH1001,MATCH("Abilities",Equipconvrt!$A$1:$AH$1,0),FALSE),"")</f>
        <v/>
      </c>
      <c r="G479" s="20">
        <f>IFERROR(VLOOKUP($A479,Equipment!$A$2:$AD1001,MATCH("Price",Equipment!$A$1:$AH$1,0),FALSE),"")</f>
        <v>0</v>
      </c>
      <c r="H479" s="1" t="b">
        <v>0</v>
      </c>
      <c r="I479" s="1" t="str">
        <f>IFERROR(VLOOKUP($A479,Equipment!$A$2:$AH1001,MATCH("EquipLoc",Equipment!$A$1:$AH$1,0),FALSE),"")</f>
        <v>Solreach</v>
      </c>
      <c r="W479" s="1" t="str">
        <f>IFERROR(__xludf.DUMMYFUNCTION("""COMPUTED_VALUE"""),"Ancient Draconian Deity Necklace")</f>
        <v>Ancient Draconian Deity Necklace</v>
      </c>
      <c r="X479" s="1" t="str">
        <f t="shared" si="1"/>
        <v/>
      </c>
    </row>
    <row r="480">
      <c r="A480" s="1" t="s">
        <v>986</v>
      </c>
      <c r="B480" s="18" t="str">
        <f>IFERROR(VLOOKUP($A480,Equipment!$A$2:$AH1001,MATCH("Description",Equipment!$A$1:$AH$1,0),FALSE),"")</f>
        <v/>
      </c>
      <c r="C480" s="18" t="str">
        <f>IFERROR(VLOOKUP($A480,Equipment!$A$2:$AH1001,MATCH("Type",Equipment!$A$1:$AH$1,0),FALSE),"")</f>
        <v>Sword</v>
      </c>
      <c r="D480" s="18" t="str">
        <f>IFERROR(VLOOKUP($A480,Equipment!$A$2:$AH1001,MATCH("Slot",Equipment!$A$1:$AH$1,0),FALSE),"")</f>
        <v>Hand</v>
      </c>
      <c r="E480" s="20">
        <f>IFERROR(VLOOKUP($A480,Equipment!$A$2:$AH1001,MATCH("LevelReq",Equipment!$A$1:$AH$1,0),FALSE),"")</f>
        <v>300</v>
      </c>
      <c r="F480" s="18" t="str">
        <f>IFERROR(VLOOKUP($A480,Equipconvrt!$A$2:$AH1001,MATCH("Abilities",Equipconvrt!$A$1:$AH$1,0),FALSE),"")</f>
        <v>DMG: +10000, Fire DMG: +5000</v>
      </c>
      <c r="G480" s="20">
        <f>IFERROR(VLOOKUP($A480,Equipment!$A$2:$AD1001,MATCH("Price",Equipment!$A$1:$AH$1,0),FALSE),"")</f>
        <v>4350000</v>
      </c>
      <c r="H480" s="4" t="b">
        <v>0</v>
      </c>
      <c r="I480" s="1" t="str">
        <f>IFERROR(VLOOKUP($A480,Equipment!$A$2:$AH1001,MATCH("EquipLoc",Equipment!$A$1:$AH$1,0),FALSE),"")</f>
        <v>Land of Spira</v>
      </c>
      <c r="W480" s="1" t="str">
        <f>IFERROR(__xludf.DUMMYFUNCTION("""COMPUTED_VALUE"""),"Gungnir")</f>
        <v>Gungnir</v>
      </c>
      <c r="X480" s="1" t="str">
        <f t="shared" si="1"/>
        <v/>
      </c>
    </row>
    <row r="481">
      <c r="A481" s="1" t="s">
        <v>987</v>
      </c>
      <c r="B481" s="18" t="str">
        <f>IFERROR(VLOOKUP($A481,Equipment!$A$2:$AH1001,MATCH("Description",Equipment!$A$1:$AH$1,0),FALSE),"")</f>
        <v>Mob Exclusive</v>
      </c>
      <c r="C481" s="18" t="str">
        <f>IFERROR(VLOOKUP($A481,Equipment!$A$2:$AH1001,MATCH("Type",Equipment!$A$1:$AH$1,0),FALSE),"")</f>
        <v/>
      </c>
      <c r="D481" s="18" t="str">
        <f>IFERROR(VLOOKUP($A481,Equipment!$A$2:$AH1001,MATCH("Slot",Equipment!$A$1:$AH$1,0),FALSE),"")</f>
        <v>Head</v>
      </c>
      <c r="E481" s="20">
        <f>IFERROR(VLOOKUP($A481,Equipment!$A$2:$AH1001,MATCH("LevelReq",Equipment!$A$1:$AH$1,0),FALSE),"")</f>
        <v>200</v>
      </c>
      <c r="F481" s="18" t="str">
        <f>IFERROR(VLOOKUP($A481,Equipconvrt!$A$2:$AH1001,MATCH("Abilities",Equipconvrt!$A$1:$AH$1,0),FALSE),"")</f>
        <v>DEF: +50000, Fire DEF: +35000, Celestial DEF: +50000 ++X2 Earth Damage for self. ++X2 Defense for self. ++Godly Authority: 50% chance to possess one enemy once per battle.</v>
      </c>
      <c r="G481" s="20">
        <f>IFERROR(VLOOKUP($A481,Equipment!$A$2:$AD1001,MATCH("Price",Equipment!$A$1:$AH$1,0),FALSE),"")</f>
        <v>363150000</v>
      </c>
      <c r="H481" s="4" t="b">
        <v>1</v>
      </c>
      <c r="I481" s="1" t="str">
        <f>IFERROR(VLOOKUP($A481,Equipment!$A$2:$AH1001,MATCH("EquipLoc",Equipment!$A$1:$AH$1,0),FALSE),"")</f>
        <v>Land of Spira</v>
      </c>
      <c r="W481" s="1"/>
      <c r="X481" s="1" t="str">
        <f t="shared" si="1"/>
        <v/>
      </c>
    </row>
    <row r="482">
      <c r="A482" s="1" t="s">
        <v>988</v>
      </c>
      <c r="B482" s="18" t="str">
        <f>IFERROR(VLOOKUP($A482,Equipment!$A$2:$AH1001,MATCH("Description",Equipment!$A$1:$AH$1,0),FALSE),"")</f>
        <v>Mob Exclusive</v>
      </c>
      <c r="C482" s="18" t="str">
        <f>IFERROR(VLOOKUP($A482,Equipment!$A$2:$AH1001,MATCH("Type",Equipment!$A$1:$AH$1,0),FALSE),"")</f>
        <v/>
      </c>
      <c r="D482" s="18" t="str">
        <f>IFERROR(VLOOKUP($A482,Equipment!$A$2:$AH1001,MATCH("Slot",Equipment!$A$1:$AH$1,0),FALSE),"")</f>
        <v>Neck</v>
      </c>
      <c r="E482" s="20">
        <f>IFERROR(VLOOKUP($A482,Equipment!$A$2:$AH1001,MATCH("LevelReq",Equipment!$A$1:$AH$1,0),FALSE),"")</f>
        <v>1</v>
      </c>
      <c r="F482" s="18" t="str">
        <f>IFERROR(VLOOKUP($A482,Equipconvrt!$A$2:$AH1001,MATCH("Abilities",Equipconvrt!$A$1:$AH$1,0),FALSE),"")</f>
        <v> ++Revives entire party upon death of the wearer. +-one use per battle</v>
      </c>
      <c r="G482" s="20">
        <f>IFERROR(VLOOKUP($A482,Equipment!$A$2:$AD1001,MATCH("Price",Equipment!$A$1:$AH$1,0),FALSE),"")</f>
        <v>0</v>
      </c>
      <c r="H482" s="4" t="b">
        <v>1</v>
      </c>
      <c r="I482" s="1" t="str">
        <f>IFERROR(VLOOKUP($A482,Equipment!$A$2:$AH1001,MATCH("EquipLoc",Equipment!$A$1:$AH$1,0),FALSE),"")</f>
        <v>Land of Spira</v>
      </c>
      <c r="W482" s="1" t="str">
        <f>IFERROR(__xludf.DUMMYFUNCTION("""COMPUTED_VALUE"""),"Gaia's Rock Hammer")</f>
        <v>Gaia's Rock Hammer</v>
      </c>
      <c r="X482" s="1" t="str">
        <f t="shared" si="1"/>
        <v/>
      </c>
    </row>
    <row r="483">
      <c r="A483" s="1" t="s">
        <v>989</v>
      </c>
      <c r="B483" s="18" t="str">
        <f>IFERROR(VLOOKUP($A483,Equipment!$A$2:$AH1001,MATCH("Description",Equipment!$A$1:$AH$1,0),FALSE),"")</f>
        <v>Mob Exclusive</v>
      </c>
      <c r="C483" s="18" t="str">
        <f>IFERROR(VLOOKUP($A483,Equipment!$A$2:$AH1001,MATCH("Type",Equipment!$A$1:$AH$1,0),FALSE),"")</f>
        <v/>
      </c>
      <c r="D483" s="18" t="str">
        <f>IFERROR(VLOOKUP($A483,Equipment!$A$2:$AH1001,MATCH("Slot",Equipment!$A$1:$AH$1,0),FALSE),"")</f>
        <v>Feet</v>
      </c>
      <c r="E483" s="20">
        <f>IFERROR(VLOOKUP($A483,Equipment!$A$2:$AH1001,MATCH("LevelReq",Equipment!$A$1:$AH$1,0),FALSE),"")</f>
        <v>200</v>
      </c>
      <c r="F483" s="18" t="str">
        <f>IFERROR(VLOOKUP($A483,Equipconvrt!$A$2:$AH1001,MATCH("Abilities",Equipconvrt!$A$1:$AH$1,0),FALSE),"")</f>
        <v>DEF: +50000, Fire DEF: +35000, Celestial DEF: +50000 ++X2 Earth Damage for self. ++X2 Defense for self</v>
      </c>
      <c r="G483" s="20">
        <f>IFERROR(VLOOKUP($A483,Equipment!$A$2:$AD1001,MATCH("Price",Equipment!$A$1:$AH$1,0),FALSE),"")</f>
        <v>363150000</v>
      </c>
      <c r="H483" s="4" t="b">
        <v>1</v>
      </c>
      <c r="I483" s="1" t="str">
        <f>IFERROR(VLOOKUP($A483,Equipment!$A$2:$AH1001,MATCH("EquipLoc",Equipment!$A$1:$AH$1,0),FALSE),"")</f>
        <v>Land of Spira</v>
      </c>
      <c r="W483" s="1" t="str">
        <f>IFERROR(__xludf.DUMMYFUNCTION("""COMPUTED_VALUE"""),"Bahamut's Claw")</f>
        <v>Bahamut's Claw</v>
      </c>
      <c r="X483" s="1" t="str">
        <f t="shared" si="1"/>
        <v/>
      </c>
    </row>
    <row r="484">
      <c r="A484" s="1" t="s">
        <v>990</v>
      </c>
      <c r="B484" s="18" t="str">
        <f>IFERROR(VLOOKUP($A484,Equipment!$A$2:$AH1001,MATCH("Description",Equipment!$A$1:$AH$1,0),FALSE),"")</f>
        <v>Mob Exclusive</v>
      </c>
      <c r="C484" s="18" t="str">
        <f>IFERROR(VLOOKUP($A484,Equipment!$A$2:$AH1001,MATCH("Type",Equipment!$A$1:$AH$1,0),FALSE),"")</f>
        <v/>
      </c>
      <c r="D484" s="18" t="str">
        <f>IFERROR(VLOOKUP($A484,Equipment!$A$2:$AH1001,MATCH("Slot",Equipment!$A$1:$AH$1,0),FALSE),"")</f>
        <v>Arms</v>
      </c>
      <c r="E484" s="20">
        <f>IFERROR(VLOOKUP($A484,Equipment!$A$2:$AH1001,MATCH("LevelReq",Equipment!$A$1:$AH$1,0),FALSE),"")</f>
        <v>200</v>
      </c>
      <c r="F484" s="18" t="str">
        <f>IFERROR(VLOOKUP($A484,Equipconvrt!$A$2:$AH1001,MATCH("Abilities",Equipconvrt!$A$1:$AH$1,0),FALSE),"")</f>
        <v>DEF: +50000, Fire DEF: +35000, Celestial DEF: +50000 ++X2 Earth Damage for self. ++X2 Defense for self</v>
      </c>
      <c r="G484" s="20">
        <f>IFERROR(VLOOKUP($A484,Equipment!$A$2:$AD1001,MATCH("Price",Equipment!$A$1:$AH$1,0),FALSE),"")</f>
        <v>363150000</v>
      </c>
      <c r="H484" s="4" t="b">
        <v>1</v>
      </c>
      <c r="I484" s="1" t="str">
        <f>IFERROR(VLOOKUP($A484,Equipment!$A$2:$AH1001,MATCH("EquipLoc",Equipment!$A$1:$AH$1,0),FALSE),"")</f>
        <v>Land of Spira</v>
      </c>
      <c r="W484" s="1" t="str">
        <f>IFERROR(__xludf.DUMMYFUNCTION("""COMPUTED_VALUE"""),"Chronos' Staff of Time")</f>
        <v>Chronos' Staff of Time</v>
      </c>
      <c r="X484" s="1" t="str">
        <f t="shared" si="1"/>
        <v/>
      </c>
    </row>
    <row r="485">
      <c r="A485" s="1" t="s">
        <v>991</v>
      </c>
      <c r="B485" s="18" t="str">
        <f>IFERROR(VLOOKUP($A485,Equipment!$A$2:$AH1001,MATCH("Description",Equipment!$A$1:$AH$1,0),FALSE),"")</f>
        <v>Mob Exclusive</v>
      </c>
      <c r="C485" s="18" t="str">
        <f>IFERROR(VLOOKUP($A485,Equipment!$A$2:$AH1001,MATCH("Type",Equipment!$A$1:$AH$1,0),FALSE),"")</f>
        <v/>
      </c>
      <c r="D485" s="18" t="str">
        <f>IFERROR(VLOOKUP($A485,Equipment!$A$2:$AH1001,MATCH("Slot",Equipment!$A$1:$AH$1,0),FALSE),"")</f>
        <v>Legs</v>
      </c>
      <c r="E485" s="20">
        <f>IFERROR(VLOOKUP($A485,Equipment!$A$2:$AH1001,MATCH("LevelReq",Equipment!$A$1:$AH$1,0),FALSE),"")</f>
        <v>200</v>
      </c>
      <c r="F485" s="18" t="str">
        <f>IFERROR(VLOOKUP($A485,Equipconvrt!$A$2:$AH1001,MATCH("Abilities",Equipconvrt!$A$1:$AH$1,0),FALSE),"")</f>
        <v>DEF: +50000, Fire DEF: +35000, Celestial DEF: +50000 ++X2 Earth Damage for self. ++X2 Defense for self</v>
      </c>
      <c r="G485" s="20">
        <f>IFERROR(VLOOKUP($A485,Equipment!$A$2:$AD1001,MATCH("Price",Equipment!$A$1:$AH$1,0),FALSE),"")</f>
        <v>363150000</v>
      </c>
      <c r="H485" s="4" t="b">
        <v>1</v>
      </c>
      <c r="I485" s="1" t="str">
        <f>IFERROR(VLOOKUP($A485,Equipment!$A$2:$AH1001,MATCH("EquipLoc",Equipment!$A$1:$AH$1,0),FALSE),"")</f>
        <v>Land of Spira</v>
      </c>
      <c r="W485" s="1" t="str">
        <f>IFERROR(__xludf.DUMMYFUNCTION("""COMPUTED_VALUE"""),"Scimitar")</f>
        <v>Scimitar</v>
      </c>
      <c r="X485" s="1" t="str">
        <f t="shared" si="1"/>
        <v/>
      </c>
    </row>
    <row r="486">
      <c r="A486" s="1" t="s">
        <v>992</v>
      </c>
      <c r="B486" s="18" t="str">
        <f>IFERROR(VLOOKUP($A486,Equipment!$A$2:$AH1001,MATCH("Description",Equipment!$A$1:$AH$1,0),FALSE),"")</f>
        <v>Mob Exclusive</v>
      </c>
      <c r="C486" s="18" t="str">
        <f>IFERROR(VLOOKUP($A486,Equipment!$A$2:$AH1001,MATCH("Type",Equipment!$A$1:$AH$1,0),FALSE),"")</f>
        <v/>
      </c>
      <c r="D486" s="18" t="str">
        <f>IFERROR(VLOOKUP($A486,Equipment!$A$2:$AH1001,MATCH("Slot",Equipment!$A$1:$AH$1,0),FALSE),"")</f>
        <v>Shoulders</v>
      </c>
      <c r="E486" s="20">
        <f>IFERROR(VLOOKUP($A486,Equipment!$A$2:$AH1001,MATCH("LevelReq",Equipment!$A$1:$AH$1,0),FALSE),"")</f>
        <v>200</v>
      </c>
      <c r="F486" s="18" t="str">
        <f>IFERROR(VLOOKUP($A486,Equipconvrt!$A$2:$AH1001,MATCH("Abilities",Equipconvrt!$A$1:$AH$1,0),FALSE),"")</f>
        <v>DEF: +50000, Fire DEF: +35000, Celestial DEF: +50000 ++X2 Earth Damage for self. ++X2 Defense for self</v>
      </c>
      <c r="G486" s="20">
        <f>IFERROR(VLOOKUP($A486,Equipment!$A$2:$AD1001,MATCH("Price",Equipment!$A$1:$AH$1,0),FALSE),"")</f>
        <v>363150000</v>
      </c>
      <c r="H486" s="4" t="b">
        <v>1</v>
      </c>
      <c r="I486" s="1" t="str">
        <f>IFERROR(VLOOKUP($A486,Equipment!$A$2:$AH1001,MATCH("EquipLoc",Equipment!$A$1:$AH$1,0),FALSE),"")</f>
        <v>Land of Spira</v>
      </c>
      <c r="W486" s="1" t="str">
        <f>IFERROR(__xludf.DUMMYFUNCTION("""COMPUTED_VALUE"""),"Gaia's Helmet of Earthen Fortitude")</f>
        <v>Gaia's Helmet of Earthen Fortitude</v>
      </c>
      <c r="X486" s="1" t="str">
        <f t="shared" si="1"/>
        <v/>
      </c>
    </row>
    <row r="487">
      <c r="A487" s="1" t="s">
        <v>993</v>
      </c>
      <c r="B487" s="18" t="str">
        <f>IFERROR(VLOOKUP($A487,Equipment!$A$2:$AH1001,MATCH("Description",Equipment!$A$1:$AH$1,0),FALSE),"")</f>
        <v>Mob Exclusive</v>
      </c>
      <c r="C487" s="18" t="str">
        <f>IFERROR(VLOOKUP($A487,Equipment!$A$2:$AH1001,MATCH("Type",Equipment!$A$1:$AH$1,0),FALSE),"")</f>
        <v/>
      </c>
      <c r="D487" s="18" t="str">
        <f>IFERROR(VLOOKUP($A487,Equipment!$A$2:$AH1001,MATCH("Slot",Equipment!$A$1:$AH$1,0),FALSE),"")</f>
        <v>Torso</v>
      </c>
      <c r="E487" s="20">
        <f>IFERROR(VLOOKUP($A487,Equipment!$A$2:$AH1001,MATCH("LevelReq",Equipment!$A$1:$AH$1,0),FALSE),"")</f>
        <v>200</v>
      </c>
      <c r="F487" s="18" t="str">
        <f>IFERROR(VLOOKUP($A487,Equipconvrt!$A$2:$AH1001,MATCH("Abilities",Equipconvrt!$A$1:$AH$1,0),FALSE),"")</f>
        <v>DEF: +100000, Fire DEF: +70000, Celestial DEF: +100000 ++X2 Earth Damage for self. ++X2 Defense for self</v>
      </c>
      <c r="G487" s="20">
        <f>IFERROR(VLOOKUP($A487,Equipment!$A$2:$AD1001,MATCH("Price",Equipment!$A$1:$AH$1,0),FALSE),"")</f>
        <v>1455300000</v>
      </c>
      <c r="H487" s="4" t="b">
        <v>1</v>
      </c>
      <c r="I487" s="1" t="str">
        <f>IFERROR(VLOOKUP($A487,Equipment!$A$2:$AH1001,MATCH("EquipLoc",Equipment!$A$1:$AH$1,0),FALSE),"")</f>
        <v>Land of Spira</v>
      </c>
      <c r="W487" s="1" t="str">
        <f>IFERROR(__xludf.DUMMYFUNCTION("""COMPUTED_VALUE"""),"Gaia's Pendant")</f>
        <v>Gaia's Pendant</v>
      </c>
      <c r="X487" s="1" t="str">
        <f t="shared" si="1"/>
        <v/>
      </c>
    </row>
    <row r="488">
      <c r="A488" s="1" t="s">
        <v>994</v>
      </c>
      <c r="B488" s="18" t="str">
        <f>IFERROR(VLOOKUP($A488,Equipment!$A$2:$AH1001,MATCH("Description",Equipment!$A$1:$AH$1,0),FALSE),"")</f>
        <v>Mob Exclusive</v>
      </c>
      <c r="C488" s="18" t="str">
        <f>IFERROR(VLOOKUP($A488,Equipment!$A$2:$AH1001,MATCH("Type",Equipment!$A$1:$AH$1,0),FALSE),"")</f>
        <v/>
      </c>
      <c r="D488" s="18" t="str">
        <f>IFERROR(VLOOKUP($A488,Equipment!$A$2:$AH1001,MATCH("Slot",Equipment!$A$1:$AH$1,0),FALSE),"")</f>
        <v>Ring</v>
      </c>
      <c r="E488" s="20">
        <f>IFERROR(VLOOKUP($A488,Equipment!$A$2:$AH1001,MATCH("LevelReq",Equipment!$A$1:$AH$1,0),FALSE),"")</f>
        <v>1</v>
      </c>
      <c r="F488" s="18" t="str">
        <f>IFERROR(VLOOKUP($A488,Equipconvrt!$A$2:$AH1001,MATCH("Abilities",Equipconvrt!$A$1:$AH$1,0),FALSE),"")</f>
        <v> ++X4 defense for self and allies, 50 sp</v>
      </c>
      <c r="G488" s="20">
        <f>IFERROR(VLOOKUP($A488,Equipment!$A$2:$AD1001,MATCH("Price",Equipment!$A$1:$AH$1,0),FALSE),"")</f>
        <v>0</v>
      </c>
      <c r="H488" s="4" t="b">
        <v>1</v>
      </c>
      <c r="I488" s="1" t="str">
        <f>IFERROR(VLOOKUP($A488,Equipment!$A$2:$AH1001,MATCH("EquipLoc",Equipment!$A$1:$AH$1,0),FALSE),"")</f>
        <v>Land of Spira</v>
      </c>
      <c r="W488" s="1" t="str">
        <f>IFERROR(__xludf.DUMMYFUNCTION("""COMPUTED_VALUE"""),"Gaia's Sandals of Earthen Fortitude")</f>
        <v>Gaia's Sandals of Earthen Fortitude</v>
      </c>
      <c r="X488" s="1" t="str">
        <f t="shared" si="1"/>
        <v/>
      </c>
    </row>
    <row r="489">
      <c r="A489" s="1" t="s">
        <v>995</v>
      </c>
      <c r="B489" s="18" t="str">
        <f>IFERROR(VLOOKUP($A489,Equipment!$A$2:$AH1001,MATCH("Description",Equipment!$A$1:$AH$1,0),FALSE),"")</f>
        <v>Quest Item</v>
      </c>
      <c r="C489" s="18" t="str">
        <f>IFERROR(VLOOKUP($A489,Equipment!$A$2:$AH1001,MATCH("Type",Equipment!$A$1:$AH$1,0),FALSE),"")</f>
        <v/>
      </c>
      <c r="D489" s="18" t="str">
        <f>IFERROR(VLOOKUP($A489,Equipment!$A$2:$AH1001,MATCH("Slot",Equipment!$A$1:$AH$1,0),FALSE),"")</f>
        <v>Head</v>
      </c>
      <c r="E489" s="20">
        <f>IFERROR(VLOOKUP($A489,Equipment!$A$2:$AH1001,MATCH("LevelReq",Equipment!$A$1:$AH$1,0),FALSE),"")</f>
        <v>200</v>
      </c>
      <c r="F489" s="18" t="str">
        <f>IFERROR(VLOOKUP($A489,Equipconvrt!$A$2:$AH1001,MATCH("Abilities",Equipconvrt!$A$1:$AH$1,0),FALSE),"")</f>
        <v>DEF: +20000, Fire DEF: +5000, Earth DEF: +35000, Celestial DEF: +20000 ++Gaia's Tenacity II: 10% Chance to revive after death +-Cannot be forged +-Cannot be duplicated +-(Paladin or Knight Class Only)</v>
      </c>
      <c r="G489" s="20">
        <f>IFERROR(VLOOKUP($A489,Equipment!$A$2:$AD1001,MATCH("Price",Equipment!$A$1:$AH$1,0),FALSE),"")</f>
        <v>127200000</v>
      </c>
      <c r="H489" s="4" t="b">
        <v>1</v>
      </c>
      <c r="I489" s="1" t="str">
        <f>IFERROR(VLOOKUP($A489,Equipment!$A$2:$AH1001,MATCH("EquipLoc",Equipment!$A$1:$AH$1,0),FALSE),"")</f>
        <v>Land of Spira</v>
      </c>
      <c r="W489" s="1" t="str">
        <f>IFERROR(__xludf.DUMMYFUNCTION("""COMPUTED_VALUE"""),"Gaia's Gloves")</f>
        <v>Gaia's Gloves</v>
      </c>
      <c r="X489" s="1" t="str">
        <f t="shared" si="1"/>
        <v/>
      </c>
    </row>
    <row r="490">
      <c r="A490" s="1" t="s">
        <v>996</v>
      </c>
      <c r="B490" s="18" t="str">
        <f>IFERROR(VLOOKUP($A490,Equipment!$A$2:$AH1001,MATCH("Description",Equipment!$A$1:$AH$1,0),FALSE),"")</f>
        <v>Quest Item</v>
      </c>
      <c r="C490" s="18" t="str">
        <f>IFERROR(VLOOKUP($A490,Equipment!$A$2:$AH1001,MATCH("Type",Equipment!$A$1:$AH$1,0),FALSE),"")</f>
        <v/>
      </c>
      <c r="D490" s="18" t="str">
        <f>IFERROR(VLOOKUP($A490,Equipment!$A$2:$AH1001,MATCH("Slot",Equipment!$A$1:$AH$1,0),FALSE),"")</f>
        <v>Shoulders</v>
      </c>
      <c r="E490" s="20">
        <f>IFERROR(VLOOKUP($A490,Equipment!$A$2:$AH1001,MATCH("LevelReq",Equipment!$A$1:$AH$1,0),FALSE),"")</f>
        <v>200</v>
      </c>
      <c r="F490" s="18" t="str">
        <f>IFERROR(VLOOKUP($A490,Equipconvrt!$A$2:$AH1001,MATCH("Abilities",Equipconvrt!$A$1:$AH$1,0),FALSE),"")</f>
        <v>DEF: +20000, Fire DEF: +5000, Earth DEF: +35000, Celestial DEF: +20000 ++Blessing of Stone I: 2X Earth Damage +-(Paladin or Knight Class Only)</v>
      </c>
      <c r="G490" s="20">
        <f>IFERROR(VLOOKUP($A490,Equipment!$A$2:$AD1001,MATCH("Price",Equipment!$A$1:$AH$1,0),FALSE),"")</f>
        <v>127200000</v>
      </c>
      <c r="H490" s="4" t="b">
        <v>1</v>
      </c>
      <c r="I490" s="1" t="str">
        <f>IFERROR(VLOOKUP($A490,Equipment!$A$2:$AH1001,MATCH("EquipLoc",Equipment!$A$1:$AH$1,0),FALSE),"")</f>
        <v>Land of Spira</v>
      </c>
      <c r="W490" s="1" t="str">
        <f>IFERROR(__xludf.DUMMYFUNCTION("""COMPUTED_VALUE"""),"Gaia's Gaiters")</f>
        <v>Gaia's Gaiters</v>
      </c>
      <c r="X490" s="1" t="str">
        <f t="shared" si="1"/>
        <v/>
      </c>
    </row>
    <row r="491">
      <c r="A491" s="4" t="s">
        <v>997</v>
      </c>
      <c r="B491" s="18" t="str">
        <f>IFERROR(VLOOKUP($A491,Equipment!$A$2:$AH1001,MATCH("Description",Equipment!$A$1:$AH$1,0),FALSE),"")</f>
        <v>Quest Item</v>
      </c>
      <c r="C491" s="18" t="str">
        <f>IFERROR(VLOOKUP($A491,Equipment!$A$2:$AH1001,MATCH("Type",Equipment!$A$1:$AH$1,0),FALSE),"")</f>
        <v/>
      </c>
      <c r="D491" s="18" t="str">
        <f>IFERROR(VLOOKUP($A491,Equipment!$A$2:$AH1001,MATCH("Slot",Equipment!$A$1:$AH$1,0),FALSE),"")</f>
        <v>Torso</v>
      </c>
      <c r="E491" s="20">
        <f>IFERROR(VLOOKUP($A491,Equipment!$A$2:$AH1001,MATCH("LevelReq",Equipment!$A$1:$AH$1,0),FALSE),"")</f>
        <v>200</v>
      </c>
      <c r="F491" s="18" t="str">
        <f>IFERROR(VLOOKUP($A491,Equipconvrt!$A$2:$AH1001,MATCH("Abilities",Equipconvrt!$A$1:$AH$1,0),FALSE),"")</f>
        <v>DEF: +50000, Fire DEF: +20000, Earth DEF: +70000, Celestial DEF: +50000 ++X2 defense for self and allies +-Paladin or Knight Class Only +-Can only equip one</v>
      </c>
      <c r="G491" s="20">
        <f>IFERROR(VLOOKUP($A491,Equipment!$A$2:$AD1001,MATCH("Price",Equipment!$A$1:$AH$1,0),FALSE),"")</f>
        <v>720100000</v>
      </c>
      <c r="H491" s="4" t="b">
        <v>1</v>
      </c>
      <c r="I491" s="1" t="str">
        <f>IFERROR(VLOOKUP($A491,Equipment!$A$2:$AH1001,MATCH("EquipLoc",Equipment!$A$1:$AH$1,0),FALSE),"")</f>
        <v>Land of Spira</v>
      </c>
      <c r="W491" s="1" t="str">
        <f>IFERROR(__xludf.DUMMYFUNCTION("""COMPUTED_VALUE"""),"Gaia's Pauldrons")</f>
        <v>Gaia's Pauldrons</v>
      </c>
      <c r="X491" s="1" t="str">
        <f t="shared" si="1"/>
        <v/>
      </c>
    </row>
    <row r="492">
      <c r="A492" s="1" t="s">
        <v>998</v>
      </c>
      <c r="B492" s="18" t="str">
        <f>IFERROR(VLOOKUP($A492,Equipment!$A$2:$AH1001,MATCH("Description",Equipment!$A$1:$AH$1,0),FALSE),"")</f>
        <v>Quest Item</v>
      </c>
      <c r="C492" s="18" t="str">
        <f>IFERROR(VLOOKUP($A492,Equipment!$A$2:$AH1001,MATCH("Type",Equipment!$A$1:$AH$1,0),FALSE),"")</f>
        <v/>
      </c>
      <c r="D492" s="18" t="str">
        <f>IFERROR(VLOOKUP($A492,Equipment!$A$2:$AH1001,MATCH("Slot",Equipment!$A$1:$AH$1,0),FALSE),"")</f>
        <v>Arms</v>
      </c>
      <c r="E492" s="20">
        <f>IFERROR(VLOOKUP($A492,Equipment!$A$2:$AH1001,MATCH("LevelReq",Equipment!$A$1:$AH$1,0),FALSE),"")</f>
        <v>200</v>
      </c>
      <c r="F492" s="18" t="str">
        <f>IFERROR(VLOOKUP($A492,Equipconvrt!$A$2:$AH1001,MATCH("Abilities",Equipconvrt!$A$1:$AH$1,0),FALSE),"")</f>
        <v>DEF: +20000, Fire DEF: +5000, Earth DEF: +35000, Celestial DEF: +20000 ++X2 defense for self and allies +-Paladin or Knight Class Only +-Can only equip one</v>
      </c>
      <c r="G492" s="20">
        <f>IFERROR(VLOOKUP($A492,Equipment!$A$2:$AD1001,MATCH("Price",Equipment!$A$1:$AH$1,0),FALSE),"")</f>
        <v>127200000</v>
      </c>
      <c r="H492" s="4" t="b">
        <v>1</v>
      </c>
      <c r="I492" s="1" t="str">
        <f>IFERROR(VLOOKUP($A492,Equipment!$A$2:$AH1001,MATCH("EquipLoc",Equipment!$A$1:$AH$1,0),FALSE),"")</f>
        <v>Land of Spira</v>
      </c>
      <c r="W492" s="1" t="str">
        <f>IFERROR(__xludf.DUMMYFUNCTION("""COMPUTED_VALUE"""),"Gaia's Chestpiece")</f>
        <v>Gaia's Chestpiece</v>
      </c>
      <c r="X492" s="1" t="str">
        <f t="shared" si="1"/>
        <v/>
      </c>
    </row>
    <row r="493">
      <c r="A493" s="1" t="s">
        <v>999</v>
      </c>
      <c r="B493" s="18" t="str">
        <f>IFERROR(VLOOKUP($A493,Equipment!$A$2:$AH1001,MATCH("Description",Equipment!$A$1:$AH$1,0),FALSE),"")</f>
        <v>Quest Item</v>
      </c>
      <c r="C493" s="18" t="str">
        <f>IFERROR(VLOOKUP($A493,Equipment!$A$2:$AH1001,MATCH("Type",Equipment!$A$1:$AH$1,0),FALSE),"")</f>
        <v/>
      </c>
      <c r="D493" s="18" t="str">
        <f>IFERROR(VLOOKUP($A493,Equipment!$A$2:$AH1001,MATCH("Slot",Equipment!$A$1:$AH$1,0),FALSE),"")</f>
        <v>Legs</v>
      </c>
      <c r="E493" s="20">
        <f>IFERROR(VLOOKUP($A493,Equipment!$A$2:$AH1001,MATCH("LevelReq",Equipment!$A$1:$AH$1,0),FALSE),"")</f>
        <v>200</v>
      </c>
      <c r="F493" s="18" t="str">
        <f>IFERROR(VLOOKUP($A493,Equipconvrt!$A$2:$AH1001,MATCH("Abilities",Equipconvrt!$A$1:$AH$1,0),FALSE),"")</f>
        <v>DEF: +20000, Fire DEF: +5000, Earth DEF: +35000, Celestial DEF: +20000 ++Blessing of Stone I: 2X Earth Damage +-Paladin or Knight Class Only +-Can only equip one</v>
      </c>
      <c r="G493" s="20">
        <f>IFERROR(VLOOKUP($A493,Equipment!$A$2:$AD1001,MATCH("Price",Equipment!$A$1:$AH$1,0),FALSE),"")</f>
        <v>127200000</v>
      </c>
      <c r="H493" s="4" t="b">
        <v>1</v>
      </c>
      <c r="I493" s="1" t="str">
        <f>IFERROR(VLOOKUP($A493,Equipment!$A$2:$AH1001,MATCH("EquipLoc",Equipment!$A$1:$AH$1,0),FALSE),"")</f>
        <v>Land of Spira</v>
      </c>
      <c r="W493" s="1" t="str">
        <f>IFERROR(__xludf.DUMMYFUNCTION("""COMPUTED_VALUE"""),"Gaia's Ring")</f>
        <v>Gaia's Ring</v>
      </c>
      <c r="X493" s="1" t="str">
        <f t="shared" si="1"/>
        <v/>
      </c>
    </row>
    <row r="494">
      <c r="A494" s="1" t="s">
        <v>1000</v>
      </c>
      <c r="B494" s="18" t="str">
        <f>IFERROR(VLOOKUP($A494,Equipment!$A$2:$AH1001,MATCH("Description",Equipment!$A$1:$AH$1,0),FALSE),"")</f>
        <v>Quest Item</v>
      </c>
      <c r="C494" s="18" t="str">
        <f>IFERROR(VLOOKUP($A494,Equipment!$A$2:$AH1001,MATCH("Type",Equipment!$A$1:$AH$1,0),FALSE),"")</f>
        <v/>
      </c>
      <c r="D494" s="18" t="str">
        <f>IFERROR(VLOOKUP($A494,Equipment!$A$2:$AH1001,MATCH("Slot",Equipment!$A$1:$AH$1,0),FALSE),"")</f>
        <v>Feet</v>
      </c>
      <c r="E494" s="20">
        <f>IFERROR(VLOOKUP($A494,Equipment!$A$2:$AH1001,MATCH("LevelReq",Equipment!$A$1:$AH$1,0),FALSE),"")</f>
        <v>200</v>
      </c>
      <c r="F494" s="18" t="str">
        <f>IFERROR(VLOOKUP($A494,Equipconvrt!$A$2:$AH1001,MATCH("Abilities",Equipconvrt!$A$1:$AH$1,0),FALSE),"")</f>
        <v>DEF: +20000, Fire DEF: +5000, Earth DEF: +35000, Celestial DEF: +20000 ++Blessing of Stone I: 2X Earth Damage +-Paladin or Knight Class Only +-Can only equip one</v>
      </c>
      <c r="G494" s="20">
        <f>IFERROR(VLOOKUP($A494,Equipment!$A$2:$AD1001,MATCH("Price",Equipment!$A$1:$AH$1,0),FALSE),"")</f>
        <v>127200000</v>
      </c>
      <c r="H494" s="4" t="b">
        <v>1</v>
      </c>
      <c r="I494" s="1" t="str">
        <f>IFERROR(VLOOKUP($A494,Equipment!$A$2:$AH1001,MATCH("EquipLoc",Equipment!$A$1:$AH$1,0),FALSE),"")</f>
        <v>Land of Spira</v>
      </c>
      <c r="W494" s="1" t="str">
        <f>IFERROR(__xludf.DUMMYFUNCTION("""COMPUTED_VALUE"""),"Paladin of Gaia's Bucket helm of Tenacity")</f>
        <v>Paladin of Gaia's Bucket helm of Tenacity</v>
      </c>
      <c r="X494" s="1" t="str">
        <f t="shared" si="1"/>
        <v/>
      </c>
    </row>
    <row r="495">
      <c r="A495" s="1" t="s">
        <v>1001</v>
      </c>
      <c r="B495" s="18" t="str">
        <f>IFERROR(VLOOKUP($A495,Equipment!$A$2:$AH1001,MATCH("Description",Equipment!$A$1:$AH$1,0),FALSE),"")</f>
        <v>Quest Item</v>
      </c>
      <c r="C495" s="18" t="str">
        <f>IFERROR(VLOOKUP($A495,Equipment!$A$2:$AH1001,MATCH("Type",Equipment!$A$1:$AH$1,0),FALSE),"")</f>
        <v/>
      </c>
      <c r="D495" s="18" t="str">
        <f>IFERROR(VLOOKUP($A495,Equipment!$A$2:$AH1001,MATCH("Slot",Equipment!$A$1:$AH$1,0),FALSE),"")</f>
        <v>Ring</v>
      </c>
      <c r="E495" s="20">
        <f>IFERROR(VLOOKUP($A495,Equipment!$A$2:$AH1001,MATCH("LevelReq",Equipment!$A$1:$AH$1,0),FALSE),"")</f>
        <v>1</v>
      </c>
      <c r="F495" s="18" t="str">
        <f>IFERROR(VLOOKUP($A495,Equipconvrt!$A$2:$AH1001,MATCH("Abilities",Equipconvrt!$A$1:$AH$1,0),FALSE),"")</f>
        <v> ++Blessing of Stone II: 4X Earth Damage 
++Gaia's Tenacity I: 5% chance to revive after death +-Paladin or Knight Class Only +-Cannot be forged +-Cannot be duplicated +-Can only equip one</v>
      </c>
      <c r="G495" s="20">
        <f>IFERROR(VLOOKUP($A495,Equipment!$A$2:$AD1001,MATCH("Price",Equipment!$A$1:$AH$1,0),FALSE),"")</f>
        <v>0</v>
      </c>
      <c r="H495" s="4" t="b">
        <v>1</v>
      </c>
      <c r="I495" s="1" t="str">
        <f>IFERROR(VLOOKUP($A495,Equipment!$A$2:$AH1001,MATCH("EquipLoc",Equipment!$A$1:$AH$1,0),FALSE),"")</f>
        <v>Land of Spira</v>
      </c>
      <c r="W495" s="1" t="str">
        <f>IFERROR(__xludf.DUMMYFUNCTION("""COMPUTED_VALUE"""),"Paladin of Gaia's Stone Pauldrons")</f>
        <v>Paladin of Gaia's Stone Pauldrons</v>
      </c>
      <c r="X495" s="1" t="str">
        <f t="shared" si="1"/>
        <v/>
      </c>
    </row>
    <row r="496">
      <c r="A496" s="1" t="s">
        <v>1002</v>
      </c>
      <c r="B496" s="18" t="str">
        <f>IFERROR(VLOOKUP($A496,Equipment!$A$2:$AH1001,MATCH("Description",Equipment!$A$1:$AH$1,0),FALSE),"")</f>
        <v>Quest Item</v>
      </c>
      <c r="C496" s="18" t="str">
        <f>IFERROR(VLOOKUP($A496,Equipment!$A$2:$AH1001,MATCH("Type",Equipment!$A$1:$AH$1,0),FALSE),"")</f>
        <v/>
      </c>
      <c r="D496" s="18" t="str">
        <f>IFERROR(VLOOKUP($A496,Equipment!$A$2:$AH1001,MATCH("Slot",Equipment!$A$1:$AH$1,0),FALSE),"")</f>
        <v>Neck</v>
      </c>
      <c r="E496" s="20">
        <f>IFERROR(VLOOKUP($A496,Equipment!$A$2:$AH1001,MATCH("LevelReq",Equipment!$A$1:$AH$1,0),FALSE),"")</f>
        <v>1</v>
      </c>
      <c r="F496" s="18" t="str">
        <f>IFERROR(VLOOKUP($A496,Equipconvrt!$A$2:$AH1001,MATCH("Abilities",Equipconvrt!$A$1:$AH$1,0),FALSE),"")</f>
        <v> ++Blessing of Stone II: 4X Earth Damage 
++Gaia's Blessing I: 4X defense for self and allies 100 sp (Once per battle) +-(Paladin or Knight Class Only)</v>
      </c>
      <c r="G496" s="20">
        <f>IFERROR(VLOOKUP($A496,Equipment!$A$2:$AD1001,MATCH("Price",Equipment!$A$1:$AH$1,0),FALSE),"")</f>
        <v>0</v>
      </c>
      <c r="H496" s="4" t="b">
        <v>1</v>
      </c>
      <c r="I496" s="1" t="str">
        <f>IFERROR(VLOOKUP($A496,Equipment!$A$2:$AH1001,MATCH("EquipLoc",Equipment!$A$1:$AH$1,0),FALSE),"")</f>
        <v>Land of Spira</v>
      </c>
      <c r="W496" s="1" t="str">
        <f>IFERROR(__xludf.DUMMYFUNCTION("""COMPUTED_VALUE"""),"Paladin of Gaia's Emblazoned Chestpiece")</f>
        <v>Paladin of Gaia's Emblazoned Chestpiece</v>
      </c>
      <c r="X496" s="1" t="str">
        <f t="shared" si="1"/>
        <v/>
      </c>
    </row>
    <row r="497">
      <c r="A497" s="1" t="s">
        <v>1003</v>
      </c>
      <c r="B497" s="18" t="str">
        <f>IFERROR(VLOOKUP($A497,Equipment!$A$2:$AH1001,MATCH("Description",Equipment!$A$1:$AH$1,0),FALSE),"")</f>
        <v>Mob Exclusive</v>
      </c>
      <c r="C497" s="18" t="str">
        <f>IFERROR(VLOOKUP($A497,Equipment!$A$2:$AH1001,MATCH("Type",Equipment!$A$1:$AH$1,0),FALSE),"")</f>
        <v>Axe</v>
      </c>
      <c r="D497" s="18" t="str">
        <f>IFERROR(VLOOKUP($A497,Equipment!$A$2:$AH1001,MATCH("Slot",Equipment!$A$1:$AH$1,0),FALSE),"")</f>
        <v>Hand</v>
      </c>
      <c r="E497" s="20">
        <f>IFERROR(VLOOKUP($A497,Equipment!$A$2:$AH1001,MATCH("LevelReq",Equipment!$A$1:$AH$1,0),FALSE),"")</f>
        <v>200</v>
      </c>
      <c r="F497" s="18" t="str">
        <f>IFERROR(VLOOKUP($A497,Equipconvrt!$A$2:$AH1001,MATCH("Abilities",Equipconvrt!$A$1:$AH$1,0),FALSE),"")</f>
        <v>DMG: +100000, Fire DMG: +100000, Celestial DMG: +50000 (Hephaestus' Set) ++Forged Fury: Attacks with this weapon hit all enemies (all enemies can roll to evade). ++X2 Weapon damage</v>
      </c>
      <c r="G497" s="20">
        <f>IFERROR(VLOOKUP($A497,Equipment!$A$2:$AD1001,MATCH("Price",Equipment!$A$1:$AH$1,0),FALSE),"")</f>
        <v>1247500000</v>
      </c>
      <c r="H497" s="4" t="b">
        <v>1</v>
      </c>
      <c r="I497" s="1" t="str">
        <f>IFERROR(VLOOKUP($A497,Equipment!$A$2:$AH1001,MATCH("EquipLoc",Equipment!$A$1:$AH$1,0),FALSE),"")</f>
        <v>Land of Spira</v>
      </c>
      <c r="W497" s="1" t="str">
        <f>IFERROR(__xludf.DUMMYFUNCTION("""COMPUTED_VALUE"""),"Paladin of Gaia's Vambraces")</f>
        <v>Paladin of Gaia's Vambraces</v>
      </c>
      <c r="X497" s="1" t="str">
        <f t="shared" si="1"/>
        <v/>
      </c>
    </row>
    <row r="498">
      <c r="A498" s="1" t="s">
        <v>1004</v>
      </c>
      <c r="B498" s="18" t="str">
        <f>IFERROR(VLOOKUP($A498,Equipment!$A$2:$AH1001,MATCH("Description",Equipment!$A$1:$AH$1,0),FALSE),"")</f>
        <v>Mob Exclusive</v>
      </c>
      <c r="C498" s="18" t="str">
        <f>IFERROR(VLOOKUP($A498,Equipment!$A$2:$AH1001,MATCH("Type",Equipment!$A$1:$AH$1,0),FALSE),"")</f>
        <v>Sword</v>
      </c>
      <c r="D498" s="18" t="str">
        <f>IFERROR(VLOOKUP($A498,Equipment!$A$2:$AH1001,MATCH("Slot",Equipment!$A$1:$AH$1,0),FALSE),"")</f>
        <v>Hand</v>
      </c>
      <c r="E498" s="20">
        <f>IFERROR(VLOOKUP($A498,Equipment!$A$2:$AH1001,MATCH("LevelReq",Equipment!$A$1:$AH$1,0),FALSE),"")</f>
        <v>200</v>
      </c>
      <c r="F498" s="18" t="str">
        <f>IFERROR(VLOOKUP($A498,Equipconvrt!$A$2:$AH1001,MATCH("Abilities",Equipconvrt!$A$1:$AH$1,0),FALSE),"")</f>
        <v>DMG: +100000, Fire DMG: +100000, Celestial DMG: +50000 (Hephaestus' Set) ++Elemental Gem Slash: This weapon will have a 25% chance each to cast the following powers when attacking with this weapon; Molten Ruby Spikes, Searing Sapphire Strike, Energizing Emerald Pulse.</v>
      </c>
      <c r="G498" s="20">
        <f>IFERROR(VLOOKUP($A498,Equipment!$A$2:$AD1001,MATCH("Price",Equipment!$A$1:$AH$1,0),FALSE),"")</f>
        <v>1247500000</v>
      </c>
      <c r="H498" s="4" t="b">
        <v>1</v>
      </c>
      <c r="I498" s="1" t="str">
        <f>IFERROR(VLOOKUP($A498,Equipment!$A$2:$AH1001,MATCH("EquipLoc",Equipment!$A$1:$AH$1,0),FALSE),"")</f>
        <v>Land of Spira</v>
      </c>
      <c r="W498" s="1" t="str">
        <f>IFERROR(__xludf.DUMMYFUNCTION("""COMPUTED_VALUE"""),"Paladin of Gaia's Plate Chausses")</f>
        <v>Paladin of Gaia's Plate Chausses</v>
      </c>
      <c r="X498" s="1" t="str">
        <f t="shared" si="1"/>
        <v/>
      </c>
    </row>
    <row r="499">
      <c r="A499" s="1" t="s">
        <v>1005</v>
      </c>
      <c r="B499" s="18" t="str">
        <f>IFERROR(VLOOKUP($A499,Equipment!$A$2:$AH1001,MATCH("Description",Equipment!$A$1:$AH$1,0),FALSE),"")</f>
        <v>Mob Exclusive</v>
      </c>
      <c r="C499" s="18" t="str">
        <f>IFERROR(VLOOKUP($A499,Equipment!$A$2:$AH1001,MATCH("Type",Equipment!$A$1:$AH$1,0),FALSE),"")</f>
        <v/>
      </c>
      <c r="D499" s="18" t="str">
        <f>IFERROR(VLOOKUP($A499,Equipment!$A$2:$AH1001,MATCH("Slot",Equipment!$A$1:$AH$1,0),FALSE),"")</f>
        <v>Head</v>
      </c>
      <c r="E499" s="20">
        <f>IFERROR(VLOOKUP($A499,Equipment!$A$2:$AH1001,MATCH("LevelReq",Equipment!$A$1:$AH$1,0),FALSE),"")</f>
        <v>4000</v>
      </c>
      <c r="F499" s="18" t="str">
        <f>IFERROR(VLOOKUP($A499,Equipconvrt!$A$2:$AH1001,MATCH("Abilities",Equipconvrt!$A$1:$AH$1,0),FALSE),"")</f>
        <v>DEF: +200000 (Hephaestus' Set) ++Immune to freezing. ++Hephaestus' Fury: shoot an eye ray causing 10,000 damage (you cannot dodge this). ++X2 defense for self</v>
      </c>
      <c r="G499" s="20">
        <f>IFERROR(VLOOKUP($A499,Equipment!$A$2:$AD1001,MATCH("Price",Equipment!$A$1:$AH$1,0),FALSE),"")</f>
        <v>798000000</v>
      </c>
      <c r="H499" s="4" t="b">
        <v>1</v>
      </c>
      <c r="I499" s="1" t="str">
        <f>IFERROR(VLOOKUP($A499,Equipment!$A$2:$AH1001,MATCH("EquipLoc",Equipment!$A$1:$AH$1,0),FALSE),"")</f>
        <v>Land of Spira</v>
      </c>
      <c r="W499" s="1" t="str">
        <f>IFERROR(__xludf.DUMMYFUNCTION("""COMPUTED_VALUE"""),"Paladin of Gaia's Sabatons")</f>
        <v>Paladin of Gaia's Sabatons</v>
      </c>
      <c r="X499" s="1" t="str">
        <f t="shared" si="1"/>
        <v/>
      </c>
    </row>
    <row r="500">
      <c r="A500" s="1" t="s">
        <v>1006</v>
      </c>
      <c r="B500" s="18" t="str">
        <f>IFERROR(VLOOKUP($A500,Equipment!$A$2:$AH1001,MATCH("Description",Equipment!$A$1:$AH$1,0),FALSE),"")</f>
        <v>Mob Exclusive</v>
      </c>
      <c r="C500" s="18" t="str">
        <f>IFERROR(VLOOKUP($A500,Equipment!$A$2:$AH1001,MATCH("Type",Equipment!$A$1:$AH$1,0),FALSE),"")</f>
        <v/>
      </c>
      <c r="D500" s="18" t="str">
        <f>IFERROR(VLOOKUP($A500,Equipment!$A$2:$AH1001,MATCH("Slot",Equipment!$A$1:$AH$1,0),FALSE),"")</f>
        <v>Shoulders</v>
      </c>
      <c r="E500" s="20">
        <f>IFERROR(VLOOKUP($A500,Equipment!$A$2:$AH1001,MATCH("LevelReq",Equipment!$A$1:$AH$1,0),FALSE),"")</f>
        <v>4000</v>
      </c>
      <c r="F500" s="18" t="str">
        <f>IFERROR(VLOOKUP($A500,Equipconvrt!$A$2:$AH1001,MATCH("Abilities",Equipconvrt!$A$1:$AH$1,0),FALSE),"")</f>
        <v>DEF: +200000 (Hephaestus' Set) ++Immune to Celestial. ++When Equipped you are invulnerable to damage unless you attack. ++When you battle with any undead you can deal X2 damage</v>
      </c>
      <c r="G500" s="20">
        <f>IFERROR(VLOOKUP($A500,Equipment!$A$2:$AD1001,MATCH("Price",Equipment!$A$1:$AH$1,0),FALSE),"")</f>
        <v>798000000</v>
      </c>
      <c r="H500" s="4" t="b">
        <v>1</v>
      </c>
      <c r="I500" s="1" t="str">
        <f>IFERROR(VLOOKUP($A500,Equipment!$A$2:$AH1001,MATCH("EquipLoc",Equipment!$A$1:$AH$1,0),FALSE),"")</f>
        <v>Land of Spira</v>
      </c>
      <c r="W500" s="1" t="str">
        <f>IFERROR(__xludf.DUMMYFUNCTION("""COMPUTED_VALUE"""),"Paladin of Gaia's Ruby Ring")</f>
        <v>Paladin of Gaia's Ruby Ring</v>
      </c>
      <c r="X500" s="1" t="str">
        <f t="shared" si="1"/>
        <v/>
      </c>
    </row>
    <row r="501">
      <c r="A501" s="1" t="s">
        <v>1007</v>
      </c>
      <c r="B501" s="18" t="str">
        <f>IFERROR(VLOOKUP($A501,Equipment!$A$2:$AH1001,MATCH("Description",Equipment!$A$1:$AH$1,0),FALSE),"")</f>
        <v>Mob Exclusive</v>
      </c>
      <c r="C501" s="18" t="str">
        <f>IFERROR(VLOOKUP($A501,Equipment!$A$2:$AH1001,MATCH("Type",Equipment!$A$1:$AH$1,0),FALSE),"")</f>
        <v/>
      </c>
      <c r="D501" s="18" t="str">
        <f>IFERROR(VLOOKUP($A501,Equipment!$A$2:$AH1001,MATCH("Slot",Equipment!$A$1:$AH$1,0),FALSE),"")</f>
        <v>Arms</v>
      </c>
      <c r="E501" s="20">
        <f>IFERROR(VLOOKUP($A501,Equipment!$A$2:$AH1001,MATCH("LevelReq",Equipment!$A$1:$AH$1,0),FALSE),"")</f>
        <v>4000</v>
      </c>
      <c r="F501" s="18" t="str">
        <f>IFERROR(VLOOKUP($A501,Equipconvrt!$A$2:$AH1001,MATCH("Abilities",Equipconvrt!$A$1:$AH$1,0),FALSE),"")</f>
        <v>DEF: +200000 (Hephaestus' Set) ++Immune to Chaos and Dark. ++Upon taking fire damage instead heal by 5X that fire damage. ++Take 2X water Damage</v>
      </c>
      <c r="G501" s="20">
        <f>IFERROR(VLOOKUP($A501,Equipment!$A$2:$AD1001,MATCH("Price",Equipment!$A$1:$AH$1,0),FALSE),"")</f>
        <v>798000000</v>
      </c>
      <c r="H501" s="4" t="b">
        <v>1</v>
      </c>
      <c r="I501" s="1" t="str">
        <f>IFERROR(VLOOKUP($A501,Equipment!$A$2:$AH1001,MATCH("EquipLoc",Equipment!$A$1:$AH$1,0),FALSE),"")</f>
        <v>Land of Spira</v>
      </c>
      <c r="W501" s="1" t="str">
        <f>IFERROR(__xludf.DUMMYFUNCTION("""COMPUTED_VALUE"""),"Paladin of Gaia's Emerald Pendant")</f>
        <v>Paladin of Gaia's Emerald Pendant</v>
      </c>
      <c r="X501" s="1" t="str">
        <f t="shared" si="1"/>
        <v/>
      </c>
    </row>
    <row r="502">
      <c r="A502" s="1" t="s">
        <v>1008</v>
      </c>
      <c r="B502" s="18" t="str">
        <f>IFERROR(VLOOKUP($A502,Equipment!$A$2:$AH1001,MATCH("Description",Equipment!$A$1:$AH$1,0),FALSE),"")</f>
        <v>Mob Exclusive</v>
      </c>
      <c r="C502" s="18" t="str">
        <f>IFERROR(VLOOKUP($A502,Equipment!$A$2:$AH1001,MATCH("Type",Equipment!$A$1:$AH$1,0),FALSE),"")</f>
        <v/>
      </c>
      <c r="D502" s="18" t="str">
        <f>IFERROR(VLOOKUP($A502,Equipment!$A$2:$AH1001,MATCH("Slot",Equipment!$A$1:$AH$1,0),FALSE),"")</f>
        <v>Legs</v>
      </c>
      <c r="E502" s="20">
        <f>IFERROR(VLOOKUP($A502,Equipment!$A$2:$AH1001,MATCH("LevelReq",Equipment!$A$1:$AH$1,0),FALSE),"")</f>
        <v>4000</v>
      </c>
      <c r="F502" s="18" t="str">
        <f>IFERROR(VLOOKUP($A502,Equipconvrt!$A$2:$AH1001,MATCH("Abilities",Equipconvrt!$A$1:$AH$1,0),FALSE),"")</f>
        <v>DEF: +200000 (Hephaestus' Set) ++When attacking with a weapon you have a 25% chance of attacking again with the same weapon. ++Increases all types of Damage by X2. ++Hephaetus's Undying Rage: Upon being killed or removed from battle revive with full health (once per battle)</v>
      </c>
      <c r="G502" s="20">
        <f>IFERROR(VLOOKUP($A502,Equipment!$A$2:$AD1001,MATCH("Price",Equipment!$A$1:$AH$1,0),FALSE),"")</f>
        <v>798000000</v>
      </c>
      <c r="H502" s="4" t="b">
        <v>1</v>
      </c>
      <c r="I502" s="1" t="str">
        <f>IFERROR(VLOOKUP($A502,Equipment!$A$2:$AH1001,MATCH("EquipLoc",Equipment!$A$1:$AH$1,0),FALSE),"")</f>
        <v>Land of Spira</v>
      </c>
      <c r="W502" s="1" t="str">
        <f>IFERROR(__xludf.DUMMYFUNCTION("""COMPUTED_VALUE"""),"The Blacksmith's Forged Battleaxe ")</f>
        <v>The Blacksmith's Forged Battleaxe </v>
      </c>
      <c r="X502" s="1" t="str">
        <f t="shared" si="1"/>
        <v/>
      </c>
    </row>
    <row r="503">
      <c r="A503" s="1" t="s">
        <v>1009</v>
      </c>
      <c r="B503" s="18" t="str">
        <f>IFERROR(VLOOKUP($A503,Equipment!$A$2:$AH1001,MATCH("Description",Equipment!$A$1:$AH$1,0),FALSE),"")</f>
        <v>Mob Exclusive</v>
      </c>
      <c r="C503" s="18" t="str">
        <f>IFERROR(VLOOKUP($A503,Equipment!$A$2:$AH1001,MATCH("Type",Equipment!$A$1:$AH$1,0),FALSE),"")</f>
        <v/>
      </c>
      <c r="D503" s="18" t="str">
        <f>IFERROR(VLOOKUP($A503,Equipment!$A$2:$AH1001,MATCH("Slot",Equipment!$A$1:$AH$1,0),FALSE),"")</f>
        <v>Feet</v>
      </c>
      <c r="E503" s="20">
        <f>IFERROR(VLOOKUP($A503,Equipment!$A$2:$AH1001,MATCH("LevelReq",Equipment!$A$1:$AH$1,0),FALSE),"")</f>
        <v>4000</v>
      </c>
      <c r="F503" s="18" t="str">
        <f>IFERROR(VLOOKUP($A503,Equipconvrt!$A$2:$AH1001,MATCH("Abilities",Equipconvrt!$A$1:$AH$1,0),FALSE),"")</f>
        <v>DEF: +200000 (Hephaestus' Set) ++At the start of your turn roll a d20 unaffected by roll bonuses 1-10 no effect 11-20 you act twice on your turn (does not stack with chaincast). ++Heavy Stomp: Causes enemies to be stunned for 1 round with a fail/succeed roll (cooldown: 3 rounds). ++all weapons deal X2 Damage</v>
      </c>
      <c r="G503" s="20">
        <f>IFERROR(VLOOKUP($A503,Equipment!$A$2:$AD1001,MATCH("Price",Equipment!$A$1:$AH$1,0),FALSE),"")</f>
        <v>798000000</v>
      </c>
      <c r="H503" s="4" t="b">
        <v>1</v>
      </c>
      <c r="I503" s="1" t="str">
        <f>IFERROR(VLOOKUP($A503,Equipment!$A$2:$AH1001,MATCH("EquipLoc",Equipment!$A$1:$AH$1,0),FALSE),"")</f>
        <v>Land of Spira</v>
      </c>
      <c r="W503" s="1" t="str">
        <f>IFERROR(__xludf.DUMMYFUNCTION("""COMPUTED_VALUE"""),"The Blacksmith's Forged Sword")</f>
        <v>The Blacksmith's Forged Sword</v>
      </c>
      <c r="X503" s="1" t="str">
        <f t="shared" si="1"/>
        <v/>
      </c>
    </row>
    <row r="504">
      <c r="A504" s="1" t="s">
        <v>1010</v>
      </c>
      <c r="B504" s="18" t="str">
        <f>IFERROR(VLOOKUP($A504,Equipment!$A$2:$AH1001,MATCH("Description",Equipment!$A$1:$AH$1,0),FALSE),"")</f>
        <v>Mob Exclusive</v>
      </c>
      <c r="C504" s="18" t="str">
        <f>IFERROR(VLOOKUP($A504,Equipment!$A$2:$AH1001,MATCH("Type",Equipment!$A$1:$AH$1,0),FALSE),"")</f>
        <v/>
      </c>
      <c r="D504" s="18" t="str">
        <f>IFERROR(VLOOKUP($A504,Equipment!$A$2:$AH1001,MATCH("Slot",Equipment!$A$1:$AH$1,0),FALSE),"")</f>
        <v>Torso</v>
      </c>
      <c r="E504" s="20">
        <f>IFERROR(VLOOKUP($A504,Equipment!$A$2:$AH1001,MATCH("LevelReq",Equipment!$A$1:$AH$1,0),FALSE),"")</f>
        <v>4000</v>
      </c>
      <c r="F504" s="18" t="str">
        <f>IFERROR(VLOOKUP($A504,Equipconvrt!$A$2:$AH1001,MATCH("Abilities",Equipconvrt!$A$1:$AH$1,0),FALSE),"")</f>
        <v>DEF: +200000 (Hephaestus' Set) ++10 to all d20 rolls. ++50% to all percentage based abilities. ++Upon taking damage 25% chance to blind the one that hits you giving them blindness 3</v>
      </c>
      <c r="G504" s="20">
        <f>IFERROR(VLOOKUP($A504,Equipment!$A$2:$AD1001,MATCH("Price",Equipment!$A$1:$AH$1,0),FALSE),"")</f>
        <v>798000000</v>
      </c>
      <c r="H504" s="4" t="b">
        <v>1</v>
      </c>
      <c r="I504" s="1" t="str">
        <f>IFERROR(VLOOKUP($A504,Equipment!$A$2:$AH1001,MATCH("EquipLoc",Equipment!$A$1:$AH$1,0),FALSE),"")</f>
        <v>Land of Spira</v>
      </c>
      <c r="W504" s="1" t="str">
        <f>IFERROR(__xludf.DUMMYFUNCTION("""COMPUTED_VALUE"""),"The Blacksmith's Forged Helmet")</f>
        <v>The Blacksmith's Forged Helmet</v>
      </c>
      <c r="X504" s="1" t="str">
        <f t="shared" si="1"/>
        <v/>
      </c>
    </row>
    <row r="505">
      <c r="A505" s="1" t="s">
        <v>1011</v>
      </c>
      <c r="B505" s="18" t="str">
        <f>IFERROR(VLOOKUP($A505,Equipment!$A$2:$AH1001,MATCH("Description",Equipment!$A$1:$AH$1,0),FALSE),"")</f>
        <v>Mob Exclusive</v>
      </c>
      <c r="C505" s="18" t="str">
        <f>IFERROR(VLOOKUP($A505,Equipment!$A$2:$AH1001,MATCH("Type",Equipment!$A$1:$AH$1,0),FALSE),"")</f>
        <v/>
      </c>
      <c r="D505" s="18" t="str">
        <f>IFERROR(VLOOKUP($A505,Equipment!$A$2:$AH1001,MATCH("Slot",Equipment!$A$1:$AH$1,0),FALSE),"")</f>
        <v>Ring</v>
      </c>
      <c r="E505" s="20">
        <f>IFERROR(VLOOKUP($A505,Equipment!$A$2:$AH1001,MATCH("LevelReq",Equipment!$A$1:$AH$1,0),FALSE),"")</f>
        <v>1</v>
      </c>
      <c r="F505" s="18" t="str">
        <f>IFERROR(VLOOKUP($A505,Equipconvrt!$A$2:$AH1001,MATCH("Abilities",Equipconvrt!$A$1:$AH$1,0),FALSE),"")</f>
        <v> (Hephaestus' Set) ++Increase all types of damage by X2. ++Causes instant death with a fail/succeed roll. ++Inflict half the damage you take back to the enemy that dealt it for the first 3 rounds of battle.</v>
      </c>
      <c r="G505" s="20">
        <f>IFERROR(VLOOKUP($A505,Equipment!$A$2:$AD1001,MATCH("Price",Equipment!$A$1:$AH$1,0),FALSE),"")</f>
        <v>0</v>
      </c>
      <c r="H505" s="4" t="b">
        <v>1</v>
      </c>
      <c r="I505" s="1" t="str">
        <f>IFERROR(VLOOKUP($A505,Equipment!$A$2:$AH1001,MATCH("EquipLoc",Equipment!$A$1:$AH$1,0),FALSE),"")</f>
        <v>Land of Spira</v>
      </c>
      <c r="W505" s="1" t="str">
        <f>IFERROR(__xludf.DUMMYFUNCTION("""COMPUTED_VALUE"""),"The Blacksmith's Forged Pauldrons")</f>
        <v>The Blacksmith's Forged Pauldrons</v>
      </c>
      <c r="X505" s="1" t="str">
        <f t="shared" si="1"/>
        <v/>
      </c>
    </row>
    <row r="506">
      <c r="A506" s="1" t="s">
        <v>1012</v>
      </c>
      <c r="B506" s="18" t="str">
        <f>IFERROR(VLOOKUP($A506,Equipment!$A$2:$AH1001,MATCH("Description",Equipment!$A$1:$AH$1,0),FALSE),"")</f>
        <v>Mob Exclusive</v>
      </c>
      <c r="C506" s="18" t="str">
        <f>IFERROR(VLOOKUP($A506,Equipment!$A$2:$AH1001,MATCH("Type",Equipment!$A$1:$AH$1,0),FALSE),"")</f>
        <v/>
      </c>
      <c r="D506" s="18" t="str">
        <f>IFERROR(VLOOKUP($A506,Equipment!$A$2:$AH1001,MATCH("Slot",Equipment!$A$1:$AH$1,0),FALSE),"")</f>
        <v>Neck</v>
      </c>
      <c r="E506" s="20">
        <f>IFERROR(VLOOKUP($A506,Equipment!$A$2:$AH1001,MATCH("LevelReq",Equipment!$A$1:$AH$1,0),FALSE),"")</f>
        <v>1</v>
      </c>
      <c r="F506" s="18" t="str">
        <f>IFERROR(VLOOKUP($A506,Equipconvrt!$A$2:$AH1001,MATCH("Abilities",Equipconvrt!$A$1:$AH$1,0),FALSE),"")</f>
        <v> (Hephaestus' Set) ++Forged items now deal double in damage for the wearer. ++If you kill an enemy with a weapon your HP and SP will fully be restored. ++Enemies deduct 2 from their rolls when targeting you</v>
      </c>
      <c r="G506" s="20">
        <f>IFERROR(VLOOKUP($A506,Equipment!$A$2:$AD1001,MATCH("Price",Equipment!$A$1:$AH$1,0),FALSE),"")</f>
        <v>0</v>
      </c>
      <c r="H506" s="4" t="b">
        <v>1</v>
      </c>
      <c r="I506" s="1" t="str">
        <f>IFERROR(VLOOKUP($A506,Equipment!$A$2:$AH1001,MATCH("EquipLoc",Equipment!$A$1:$AH$1,0),FALSE),"")</f>
        <v>Land of Spira</v>
      </c>
      <c r="W506" s="1" t="str">
        <f>IFERROR(__xludf.DUMMYFUNCTION("""COMPUTED_VALUE"""),"The Blacksmith's Forged Vambraces")</f>
        <v>The Blacksmith's Forged Vambraces</v>
      </c>
      <c r="X506" s="1" t="str">
        <f t="shared" si="1"/>
        <v/>
      </c>
    </row>
    <row r="507">
      <c r="A507" s="1" t="s">
        <v>1013</v>
      </c>
      <c r="B507" s="18" t="str">
        <f>IFERROR(VLOOKUP($A507,Equipment!$A$2:$AH1001,MATCH("Description",Equipment!$A$1:$AH$1,0),FALSE),"")</f>
        <v>Mob Exclusive</v>
      </c>
      <c r="C507" s="18" t="str">
        <f>IFERROR(VLOOKUP($A507,Equipment!$A$2:$AH1001,MATCH("Type",Equipment!$A$1:$AH$1,0),FALSE),"")</f>
        <v/>
      </c>
      <c r="D507" s="18" t="str">
        <f>IFERROR(VLOOKUP($A507,Equipment!$A$2:$AH1001,MATCH("Slot",Equipment!$A$1:$AH$1,0),FALSE),"")</f>
        <v>Ring</v>
      </c>
      <c r="E507" s="20">
        <f>IFERROR(VLOOKUP($A507,Equipment!$A$2:$AH1001,MATCH("LevelReq",Equipment!$A$1:$AH$1,0),FALSE),"")</f>
        <v>1</v>
      </c>
      <c r="F507" s="18" t="str">
        <f>IFERROR(VLOOKUP($A507,Equipconvrt!$A$2:$AH1001,MATCH("Abilities",Equipconvrt!$A$1:$AH$1,0),FALSE),"")</f>
        <v> (Hephaestus' Set) ++All attacks deal X10 damage against any enemies with the starting town of Forest View.</v>
      </c>
      <c r="G507" s="20">
        <f>IFERROR(VLOOKUP($A507,Equipment!$A$2:$AD1001,MATCH("Price",Equipment!$A$1:$AH$1,0),FALSE),"")</f>
        <v>0</v>
      </c>
      <c r="H507" s="4" t="b">
        <v>1</v>
      </c>
      <c r="I507" s="1" t="str">
        <f>IFERROR(VLOOKUP($A507,Equipment!$A$2:$AH1001,MATCH("EquipLoc",Equipment!$A$1:$AH$1,0),FALSE),"")</f>
        <v>Land of Spira</v>
      </c>
      <c r="W507" s="1" t="str">
        <f>IFERROR(__xludf.DUMMYFUNCTION("""COMPUTED_VALUE"""),"The Blacksmith's Forged Greaves")</f>
        <v>The Blacksmith's Forged Greaves</v>
      </c>
      <c r="X507" s="1" t="str">
        <f t="shared" si="1"/>
        <v/>
      </c>
    </row>
    <row r="508">
      <c r="A508" s="1" t="s">
        <v>1014</v>
      </c>
      <c r="B508" s="18" t="str">
        <f>IFERROR(VLOOKUP($A508,Equipment!$A$2:$AH1001,MATCH("Description",Equipment!$A$1:$AH$1,0),FALSE),"")</f>
        <v/>
      </c>
      <c r="C508" s="18" t="str">
        <f>IFERROR(VLOOKUP($A508,Equipment!$A$2:$AH1001,MATCH("Type",Equipment!$A$1:$AH$1,0),FALSE),"")</f>
        <v/>
      </c>
      <c r="D508" s="18" t="str">
        <f>IFERROR(VLOOKUP($A508,Equipment!$A$2:$AH1001,MATCH("Slot",Equipment!$A$1:$AH$1,0),FALSE),"")</f>
        <v>Ring</v>
      </c>
      <c r="E508" s="20">
        <f>IFERROR(VLOOKUP($A508,Equipment!$A$2:$AH1001,MATCH("LevelReq",Equipment!$A$1:$AH$1,0),FALSE),"")</f>
        <v>1</v>
      </c>
      <c r="F508" s="18" t="str">
        <f>IFERROR(VLOOKUP($A508,Equipconvrt!$A$2:$AH1001,MATCH("Abilities",Equipconvrt!$A$1:$AH$1,0),FALSE),"")</f>
        <v> ++Grants immunity to fire. ++Grants X2 damage. +-Can only equip one +-Cannot be duplicated</v>
      </c>
      <c r="G508" s="20">
        <f>IFERROR(VLOOKUP($A508,Equipment!$A$2:$AD1001,MATCH("Price",Equipment!$A$1:$AH$1,0),FALSE),"")</f>
        <v>0</v>
      </c>
      <c r="H508" s="1" t="b">
        <v>0</v>
      </c>
      <c r="I508" s="1" t="str">
        <f>IFERROR(VLOOKUP($A508,Equipment!$A$2:$AH1001,MATCH("EquipLoc",Equipment!$A$1:$AH$1,0),FALSE),"")</f>
        <v>Land of Spira</v>
      </c>
      <c r="W508" s="1" t="str">
        <f>IFERROR(__xludf.DUMMYFUNCTION("""COMPUTED_VALUE"""),"The Blacksmith's Forged Sabatons")</f>
        <v>The Blacksmith's Forged Sabatons</v>
      </c>
      <c r="X508" s="1" t="str">
        <f t="shared" si="1"/>
        <v/>
      </c>
    </row>
    <row r="509">
      <c r="A509" s="1" t="s">
        <v>1015</v>
      </c>
      <c r="B509" s="18" t="str">
        <f>IFERROR(VLOOKUP($A509,Equipment!$A$2:$AH1001,MATCH("Description",Equipment!$A$1:$AH$1,0),FALSE),"")</f>
        <v/>
      </c>
      <c r="C509" s="18" t="str">
        <f>IFERROR(VLOOKUP($A509,Equipment!$A$2:$AH1001,MATCH("Type",Equipment!$A$1:$AH$1,0),FALSE),"")</f>
        <v/>
      </c>
      <c r="D509" s="18" t="str">
        <f>IFERROR(VLOOKUP($A509,Equipment!$A$2:$AH1001,MATCH("Slot",Equipment!$A$1:$AH$1,0),FALSE),"")</f>
        <v>Ring</v>
      </c>
      <c r="E509" s="20">
        <f>IFERROR(VLOOKUP($A509,Equipment!$A$2:$AH1001,MATCH("LevelReq",Equipment!$A$1:$AH$1,0),FALSE),"")</f>
        <v>1</v>
      </c>
      <c r="F509" s="18" t="str">
        <f>IFERROR(VLOOKUP($A509,Equipconvrt!$A$2:$AH1001,MATCH("Abilities",Equipconvrt!$A$1:$AH$1,0),FALSE),"")</f>
        <v> ++Grants immunity to Earth. ++Grants X2 Defense. +-Can only equip one +-Cannot be duplicated</v>
      </c>
      <c r="G509" s="20">
        <f>IFERROR(VLOOKUP($A509,Equipment!$A$2:$AD1001,MATCH("Price",Equipment!$A$1:$AH$1,0),FALSE),"")</f>
        <v>0</v>
      </c>
      <c r="H509" s="1" t="b">
        <v>0</v>
      </c>
      <c r="I509" s="1" t="str">
        <f>IFERROR(VLOOKUP($A509,Equipment!$A$2:$AH1001,MATCH("EquipLoc",Equipment!$A$1:$AH$1,0),FALSE),"")</f>
        <v>Land of Spira</v>
      </c>
      <c r="W509" s="1" t="str">
        <f>IFERROR(__xludf.DUMMYFUNCTION("""COMPUTED_VALUE"""),"The Blacksmith's Forged Cuirasses")</f>
        <v>The Blacksmith's Forged Cuirasses</v>
      </c>
      <c r="X509" s="1" t="str">
        <f t="shared" si="1"/>
        <v/>
      </c>
    </row>
    <row r="510">
      <c r="A510" s="1" t="s">
        <v>1016</v>
      </c>
      <c r="B510" s="18" t="str">
        <f>IFERROR(VLOOKUP($A510,Equipment!$A$2:$AH1001,MATCH("Description",Equipment!$A$1:$AH$1,0),FALSE),"")</f>
        <v/>
      </c>
      <c r="C510" s="18" t="str">
        <f>IFERROR(VLOOKUP($A510,Equipment!$A$2:$AH1001,MATCH("Type",Equipment!$A$1:$AH$1,0),FALSE),"")</f>
        <v/>
      </c>
      <c r="D510" s="18" t="str">
        <f>IFERROR(VLOOKUP($A510,Equipment!$A$2:$AH1001,MATCH("Slot",Equipment!$A$1:$AH$1,0),FALSE),"")</f>
        <v>Ring</v>
      </c>
      <c r="E510" s="20">
        <f>IFERROR(VLOOKUP($A510,Equipment!$A$2:$AH1001,MATCH("LevelReq",Equipment!$A$1:$AH$1,0),FALSE),"")</f>
        <v>1</v>
      </c>
      <c r="F510" s="18" t="str">
        <f>IFERROR(VLOOKUP($A510,Equipconvrt!$A$2:$AH1001,MATCH("Abilities",Equipconvrt!$A$1:$AH$1,0),FALSE),"")</f>
        <v> ++Grants Immunity to Water. ++Grants +5 to evasion. +-Can only equip one +-Cannot be duplicated</v>
      </c>
      <c r="G510" s="20">
        <f>IFERROR(VLOOKUP($A510,Equipment!$A$2:$AD1001,MATCH("Price",Equipment!$A$1:$AH$1,0),FALSE),"")</f>
        <v>0</v>
      </c>
      <c r="H510" s="1" t="b">
        <v>0</v>
      </c>
      <c r="I510" s="1" t="str">
        <f>IFERROR(VLOOKUP($A510,Equipment!$A$2:$AH1001,MATCH("EquipLoc",Equipment!$A$1:$AH$1,0),FALSE),"")</f>
        <v>Land of Spira</v>
      </c>
      <c r="W510" s="1" t="str">
        <f>IFERROR(__xludf.DUMMYFUNCTION("""COMPUTED_VALUE"""),"The Blacksmith's Forged Ring")</f>
        <v>The Blacksmith's Forged Ring</v>
      </c>
      <c r="X510" s="1" t="str">
        <f t="shared" si="1"/>
        <v/>
      </c>
    </row>
    <row r="511">
      <c r="A511" s="1" t="s">
        <v>1017</v>
      </c>
      <c r="B511" s="18" t="str">
        <f>IFERROR(VLOOKUP($A511,Equipment!$A$2:$AH1001,MATCH("Description",Equipment!$A$1:$AH$1,0),FALSE),"")</f>
        <v/>
      </c>
      <c r="C511" s="18" t="str">
        <f>IFERROR(VLOOKUP($A511,Equipment!$A$2:$AH1001,MATCH("Type",Equipment!$A$1:$AH$1,0),FALSE),"")</f>
        <v/>
      </c>
      <c r="D511" s="18" t="str">
        <f>IFERROR(VLOOKUP($A511,Equipment!$A$2:$AH1001,MATCH("Slot",Equipment!$A$1:$AH$1,0),FALSE),"")</f>
        <v>Ring</v>
      </c>
      <c r="E511" s="20">
        <f>IFERROR(VLOOKUP($A511,Equipment!$A$2:$AH1001,MATCH("LevelReq",Equipment!$A$1:$AH$1,0),FALSE),"")</f>
        <v>1</v>
      </c>
      <c r="F511" s="18" t="str">
        <f>IFERROR(VLOOKUP($A511,Equipconvrt!$A$2:$AH1001,MATCH("Abilities",Equipconvrt!$A$1:$AH$1,0),FALSE),"")</f>
        <v> ++Grants X4 Delta damage. ++Take Half delta damage. +-Can only equip one +-Cannot be duplicated</v>
      </c>
      <c r="G511" s="20">
        <f>IFERROR(VLOOKUP($A511,Equipment!$A$2:$AD1001,MATCH("Price",Equipment!$A$1:$AH$1,0),FALSE),"")</f>
        <v>0</v>
      </c>
      <c r="H511" s="1" t="b">
        <v>0</v>
      </c>
      <c r="I511" s="1" t="str">
        <f>IFERROR(VLOOKUP($A511,Equipment!$A$2:$AH1001,MATCH("EquipLoc",Equipment!$A$1:$AH$1,0),FALSE),"")</f>
        <v>Land of Spira</v>
      </c>
      <c r="W511" s="1" t="str">
        <f>IFERROR(__xludf.DUMMYFUNCTION("""COMPUTED_VALUE"""),"The Blacksmith's Forged Pendant")</f>
        <v>The Blacksmith's Forged Pendant</v>
      </c>
      <c r="X511" s="1" t="str">
        <f t="shared" si="1"/>
        <v/>
      </c>
    </row>
    <row r="512">
      <c r="A512" s="1" t="s">
        <v>1018</v>
      </c>
      <c r="B512" s="18" t="str">
        <f>IFERROR(VLOOKUP($A512,Equipment!$A$2:$AH1001,MATCH("Description",Equipment!$A$1:$AH$1,0),FALSE),"")</f>
        <v/>
      </c>
      <c r="C512" s="18" t="str">
        <f>IFERROR(VLOOKUP($A512,Equipment!$A$2:$AH1001,MATCH("Type",Equipment!$A$1:$AH$1,0),FALSE),"")</f>
        <v/>
      </c>
      <c r="D512" s="18" t="str">
        <f>IFERROR(VLOOKUP($A512,Equipment!$A$2:$AH1001,MATCH("Slot",Equipment!$A$1:$AH$1,0),FALSE),"")</f>
        <v>Ring</v>
      </c>
      <c r="E512" s="20">
        <f>IFERROR(VLOOKUP($A512,Equipment!$A$2:$AH1001,MATCH("LevelReq",Equipment!$A$1:$AH$1,0),FALSE),"")</f>
        <v>1</v>
      </c>
      <c r="F512" s="18" t="str">
        <f>IFERROR(VLOOKUP($A512,Equipconvrt!$A$2:$AH1001,MATCH("Abilities",Equipconvrt!$A$1:$AH$1,0),FALSE),"")</f>
        <v> ++Grants Immunity to Order. ++Enemies halve their rolls when fleeing. +-Can only equip one +-Cannot be duplicated</v>
      </c>
      <c r="G512" s="20">
        <f>IFERROR(VLOOKUP($A512,Equipment!$A$2:$AD1001,MATCH("Price",Equipment!$A$1:$AH$1,0),FALSE),"")</f>
        <v>0</v>
      </c>
      <c r="H512" s="1" t="b">
        <v>0</v>
      </c>
      <c r="I512" s="1" t="str">
        <f>IFERROR(VLOOKUP($A512,Equipment!$A$2:$AH1001,MATCH("EquipLoc",Equipment!$A$1:$AH$1,0),FALSE),"")</f>
        <v>Land of Spira</v>
      </c>
      <c r="W512" s="1" t="str">
        <f>IFERROR(__xludf.DUMMYFUNCTION("""COMPUTED_VALUE"""),"The Blacksmith's Ring of Green Hatred")</f>
        <v>The Blacksmith's Ring of Green Hatred</v>
      </c>
      <c r="X512" s="1" t="str">
        <f t="shared" si="1"/>
        <v/>
      </c>
    </row>
    <row r="513">
      <c r="A513" s="1" t="s">
        <v>1019</v>
      </c>
      <c r="B513" s="18" t="str">
        <f>IFERROR(VLOOKUP($A513,Equipment!$A$2:$AH1001,MATCH("Description",Equipment!$A$1:$AH$1,0),FALSE),"")</f>
        <v/>
      </c>
      <c r="C513" s="18" t="str">
        <f>IFERROR(VLOOKUP($A513,Equipment!$A$2:$AH1001,MATCH("Type",Equipment!$A$1:$AH$1,0),FALSE),"")</f>
        <v/>
      </c>
      <c r="D513" s="18" t="str">
        <f>IFERROR(VLOOKUP($A513,Equipment!$A$2:$AH1001,MATCH("Slot",Equipment!$A$1:$AH$1,0),FALSE),"")</f>
        <v>Ring</v>
      </c>
      <c r="E513" s="20">
        <f>IFERROR(VLOOKUP($A513,Equipment!$A$2:$AH1001,MATCH("LevelReq",Equipment!$A$1:$AH$1,0),FALSE),"")</f>
        <v>1</v>
      </c>
      <c r="F513" s="18" t="str">
        <f>IFERROR(VLOOKUP($A513,Equipconvrt!$A$2:$AH1001,MATCH("Abilities",Equipconvrt!$A$1:$AH$1,0),FALSE),"")</f>
        <v> ++Grants Immunity to Natural attacks. ++Grants +5 Mobility. +-Can only equip one +-Cannot be duplicated</v>
      </c>
      <c r="G513" s="20">
        <f>IFERROR(VLOOKUP($A513,Equipment!$A$2:$AD1001,MATCH("Price",Equipment!$A$1:$AH$1,0),FALSE),"")</f>
        <v>0</v>
      </c>
      <c r="H513" s="1" t="b">
        <v>0</v>
      </c>
      <c r="I513" s="1" t="str">
        <f>IFERROR(VLOOKUP($A513,Equipment!$A$2:$AH1001,MATCH("EquipLoc",Equipment!$A$1:$AH$1,0),FALSE),"")</f>
        <v>Land of Spira</v>
      </c>
      <c r="W513" s="1" t="str">
        <f>IFERROR(__xludf.DUMMYFUNCTION("""COMPUTED_VALUE"""),"Ring o' Strength and Fire")</f>
        <v>Ring o' Strength and Fire</v>
      </c>
      <c r="X513" s="1" t="str">
        <f t="shared" si="1"/>
        <v/>
      </c>
    </row>
    <row r="514">
      <c r="A514" s="1" t="s">
        <v>1020</v>
      </c>
      <c r="B514" s="18" t="str">
        <f>IFERROR(VLOOKUP($A514,Equipment!$A$2:$AH1001,MATCH("Description",Equipment!$A$1:$AH$1,0),FALSE),"")</f>
        <v/>
      </c>
      <c r="C514" s="18" t="str">
        <f>IFERROR(VLOOKUP($A514,Equipment!$A$2:$AH1001,MATCH("Type",Equipment!$A$1:$AH$1,0),FALSE),"")</f>
        <v/>
      </c>
      <c r="D514" s="18" t="str">
        <f>IFERROR(VLOOKUP($A514,Equipment!$A$2:$AH1001,MATCH("Slot",Equipment!$A$1:$AH$1,0),FALSE),"")</f>
        <v>Ring</v>
      </c>
      <c r="E514" s="20">
        <f>IFERROR(VLOOKUP($A514,Equipment!$A$2:$AH1001,MATCH("LevelReq",Equipment!$A$1:$AH$1,0),FALSE),"")</f>
        <v>1</v>
      </c>
      <c r="F514" s="18" t="str">
        <f>IFERROR(VLOOKUP($A514,Equipconvrt!$A$2:$AH1001,MATCH("Abilities",Equipconvrt!$A$1:$AH$1,0),FALSE),"")</f>
        <v> ++Grants Immunity to Chaos. +5 to Intimidation. +-Can only equip one +-Cannot be duplicated</v>
      </c>
      <c r="G514" s="20">
        <f>IFERROR(VLOOKUP($A514,Equipment!$A$2:$AD1001,MATCH("Price",Equipment!$A$1:$AH$1,0),FALSE),"")</f>
        <v>0</v>
      </c>
      <c r="H514" s="1" t="b">
        <v>0</v>
      </c>
      <c r="I514" s="1" t="str">
        <f>IFERROR(VLOOKUP($A514,Equipment!$A$2:$AH1001,MATCH("EquipLoc",Equipment!$A$1:$AH$1,0),FALSE),"")</f>
        <v>Land of Spira</v>
      </c>
      <c r="W514" s="1" t="str">
        <f>IFERROR(__xludf.DUMMYFUNCTION("""COMPUTED_VALUE"""),"Ring o' Fortitude and Earth")</f>
        <v>Ring o' Fortitude and Earth</v>
      </c>
      <c r="X514" s="1" t="str">
        <f t="shared" si="1"/>
        <v/>
      </c>
    </row>
    <row r="515">
      <c r="A515" s="1" t="s">
        <v>1021</v>
      </c>
      <c r="B515" s="18" t="str">
        <f>IFERROR(VLOOKUP($A515,Equipment!$A$2:$AH1001,MATCH("Description",Equipment!$A$1:$AH$1,0),FALSE),"")</f>
        <v/>
      </c>
      <c r="C515" s="18" t="str">
        <f>IFERROR(VLOOKUP($A515,Equipment!$A$2:$AH1001,MATCH("Type",Equipment!$A$1:$AH$1,0),FALSE),"")</f>
        <v/>
      </c>
      <c r="D515" s="18" t="str">
        <f>IFERROR(VLOOKUP($A515,Equipment!$A$2:$AH1001,MATCH("Slot",Equipment!$A$1:$AH$1,0),FALSE),"")</f>
        <v>Ring</v>
      </c>
      <c r="E515" s="20">
        <f>IFERROR(VLOOKUP($A515,Equipment!$A$2:$AH1001,MATCH("LevelReq",Equipment!$A$1:$AH$1,0),FALSE),"")</f>
        <v>1</v>
      </c>
      <c r="F515" s="18" t="str">
        <f>IFERROR(VLOOKUP($A515,Equipconvrt!$A$2:$AH1001,MATCH("Abilities",Equipconvrt!$A$1:$AH$1,0),FALSE),"")</f>
        <v> ++Grants Immunity to Light. +5 to Charisma. +-Can only equip one +-Cannot be duplicated</v>
      </c>
      <c r="G515" s="20">
        <f>IFERROR(VLOOKUP($A515,Equipment!$A$2:$AD1001,MATCH("Price",Equipment!$A$1:$AH$1,0),FALSE),"")</f>
        <v>0</v>
      </c>
      <c r="H515" s="1" t="b">
        <v>0</v>
      </c>
      <c r="I515" s="1" t="str">
        <f>IFERROR(VLOOKUP($A515,Equipment!$A$2:$AH1001,MATCH("EquipLoc",Equipment!$A$1:$AH$1,0),FALSE),"")</f>
        <v>Land of Spira</v>
      </c>
      <c r="W515" s="1" t="str">
        <f>IFERROR(__xludf.DUMMYFUNCTION("""COMPUTED_VALUE"""),"Ring o' Agility and Water")</f>
        <v>Ring o' Agility and Water</v>
      </c>
      <c r="X515" s="1" t="str">
        <f t="shared" si="1"/>
        <v/>
      </c>
    </row>
    <row r="516">
      <c r="A516" s="1" t="s">
        <v>1022</v>
      </c>
      <c r="B516" s="18" t="str">
        <f>IFERROR(VLOOKUP($A516,Equipment!$A$2:$AH1001,MATCH("Description",Equipment!$A$1:$AH$1,0),FALSE),"")</f>
        <v/>
      </c>
      <c r="C516" s="18" t="str">
        <f>IFERROR(VLOOKUP($A516,Equipment!$A$2:$AH1001,MATCH("Type",Equipment!$A$1:$AH$1,0),FALSE),"")</f>
        <v/>
      </c>
      <c r="D516" s="18" t="str">
        <f>IFERROR(VLOOKUP($A516,Equipment!$A$2:$AH1001,MATCH("Slot",Equipment!$A$1:$AH$1,0),FALSE),"")</f>
        <v>Ring</v>
      </c>
      <c r="E516" s="20">
        <f>IFERROR(VLOOKUP($A516,Equipment!$A$2:$AH1001,MATCH("LevelReq",Equipment!$A$1:$AH$1,0),FALSE),"")</f>
        <v>1</v>
      </c>
      <c r="F516" s="18" t="str">
        <f>IFERROR(VLOOKUP($A516,Equipconvrt!$A$2:$AH1001,MATCH("Abilities",Equipconvrt!$A$1:$AH$1,0),FALSE),"")</f>
        <v> ++Grants Immunity to Blood. ++X4 Blood damage, ++Deal X4 damage to any enemy who attempted to attack you. +-Can only equip one +-Cannot be duplicated</v>
      </c>
      <c r="G516" s="20">
        <f>IFERROR(VLOOKUP($A516,Equipment!$A$2:$AD1001,MATCH("Price",Equipment!$A$1:$AH$1,0),FALSE),"")</f>
        <v>0</v>
      </c>
      <c r="H516" s="1" t="b">
        <v>0</v>
      </c>
      <c r="I516" s="1" t="str">
        <f>IFERROR(VLOOKUP($A516,Equipment!$A$2:$AH1001,MATCH("EquipLoc",Equipment!$A$1:$AH$1,0),FALSE),"")</f>
        <v>Land of Spira</v>
      </c>
      <c r="W516" s="1" t="str">
        <f>IFERROR(__xludf.DUMMYFUNCTION("""COMPUTED_VALUE"""),"Ring o' Power and Delta")</f>
        <v>Ring o' Power and Delta</v>
      </c>
      <c r="X516" s="1" t="str">
        <f t="shared" si="1"/>
        <v/>
      </c>
    </row>
    <row r="517">
      <c r="A517" s="4" t="s">
        <v>1023</v>
      </c>
      <c r="B517" s="18" t="str">
        <f>IFERROR(VLOOKUP($A517,Equipment!$A$2:$AH1001,MATCH("Description",Equipment!$A$1:$AH$1,0),FALSE),"")</f>
        <v/>
      </c>
      <c r="C517" s="18" t="str">
        <f>IFERROR(VLOOKUP($A517,Equipment!$A$2:$AH1001,MATCH("Type",Equipment!$A$1:$AH$1,0),FALSE),"")</f>
        <v/>
      </c>
      <c r="D517" s="18" t="str">
        <f>IFERROR(VLOOKUP($A517,Equipment!$A$2:$AH1001,MATCH("Slot",Equipment!$A$1:$AH$1,0),FALSE),"")</f>
        <v>Ring</v>
      </c>
      <c r="E517" s="20">
        <f>IFERROR(VLOOKUP($A517,Equipment!$A$2:$AH1001,MATCH("LevelReq",Equipment!$A$1:$AH$1,0),FALSE),"")</f>
        <v>1</v>
      </c>
      <c r="F517" s="18" t="str">
        <f>IFERROR(VLOOKUP($A517,Equipconvrt!$A$2:$AH1001,MATCH("Abilities",Equipconvrt!$A$1:$AH$1,0),FALSE),"")</f>
        <v> ++Grants Immunity to Spirit. ++As an action you can Create a clone of yourself who has the same stats as yourself once per battle, 200 sp. +-Can only equip one +-Cannot be duplicated</v>
      </c>
      <c r="G517" s="20">
        <f>IFERROR(VLOOKUP($A517,Equipment!$A$2:$AD1001,MATCH("Price",Equipment!$A$1:$AH$1,0),FALSE),"")</f>
        <v>0</v>
      </c>
      <c r="H517" s="1" t="b">
        <v>0</v>
      </c>
      <c r="I517" s="1" t="str">
        <f>IFERROR(VLOOKUP($A517,Equipment!$A$2:$AH1001,MATCH("EquipLoc",Equipment!$A$1:$AH$1,0),FALSE),"")</f>
        <v>Land of Spira</v>
      </c>
      <c r="W517" s="1" t="str">
        <f>IFERROR(__xludf.DUMMYFUNCTION("""COMPUTED_VALUE"""),"Ring o' Courage and Order")</f>
        <v>Ring o' Courage and Order</v>
      </c>
      <c r="X517" s="1" t="str">
        <f t="shared" si="1"/>
        <v/>
      </c>
    </row>
    <row r="518">
      <c r="A518" s="1" t="s">
        <v>1024</v>
      </c>
      <c r="B518" s="18" t="str">
        <f>IFERROR(VLOOKUP($A518,Equipment!$A$2:$AH1001,MATCH("Description",Equipment!$A$1:$AH$1,0),FALSE),"")</f>
        <v/>
      </c>
      <c r="C518" s="18" t="str">
        <f>IFERROR(VLOOKUP($A518,Equipment!$A$2:$AH1001,MATCH("Type",Equipment!$A$1:$AH$1,0),FALSE),"")</f>
        <v/>
      </c>
      <c r="D518" s="18" t="str">
        <f>IFERROR(VLOOKUP($A518,Equipment!$A$2:$AH1001,MATCH("Slot",Equipment!$A$1:$AH$1,0),FALSE),"")</f>
        <v>Ring</v>
      </c>
      <c r="E518" s="20">
        <f>IFERROR(VLOOKUP($A518,Equipment!$A$2:$AH1001,MATCH("LevelReq",Equipment!$A$1:$AH$1,0),FALSE),"")</f>
        <v>1</v>
      </c>
      <c r="F518" s="18" t="str">
        <f>IFERROR(VLOOKUP($A518,Equipconvrt!$A$2:$AH1001,MATCH("Abilities",Equipconvrt!$A$1:$AH$1,0),FALSE),"")</f>
        <v> ++Grants Immunity to Storm. ++20% chance to be unaffected by magic that affects you including your own. +-Can only equip one +-Cannot be duplicated</v>
      </c>
      <c r="G518" s="20">
        <f>IFERROR(VLOOKUP($A518,Equipment!$A$2:$AD1001,MATCH("Price",Equipment!$A$1:$AH$1,0),FALSE),"")</f>
        <v>0</v>
      </c>
      <c r="H518" s="1" t="b">
        <v>0</v>
      </c>
      <c r="I518" s="1" t="str">
        <f>IFERROR(VLOOKUP($A518,Equipment!$A$2:$AH1001,MATCH("EquipLoc",Equipment!$A$1:$AH$1,0),FALSE),"")</f>
        <v>Land of Spira</v>
      </c>
      <c r="W518" s="1" t="str">
        <f>IFERROR(__xludf.DUMMYFUNCTION("""COMPUTED_VALUE"""),"Ring o' Resilience and Physicality")</f>
        <v>Ring o' Resilience and Physicality</v>
      </c>
      <c r="X518" s="1" t="str">
        <f t="shared" si="1"/>
        <v/>
      </c>
    </row>
    <row r="519">
      <c r="A519" s="1" t="s">
        <v>1025</v>
      </c>
      <c r="B519" s="18" t="str">
        <f>IFERROR(VLOOKUP($A519,Equipment!$A$2:$AH1001,MATCH("Description",Equipment!$A$1:$AH$1,0),FALSE),"")</f>
        <v/>
      </c>
      <c r="C519" s="18" t="str">
        <f>IFERROR(VLOOKUP($A519,Equipment!$A$2:$AH1001,MATCH("Type",Equipment!$A$1:$AH$1,0),FALSE),"")</f>
        <v/>
      </c>
      <c r="D519" s="18" t="str">
        <f>IFERROR(VLOOKUP($A519,Equipment!$A$2:$AH1001,MATCH("Slot",Equipment!$A$1:$AH$1,0),FALSE),"")</f>
        <v>Ring</v>
      </c>
      <c r="E519" s="20">
        <f>IFERROR(VLOOKUP($A519,Equipment!$A$2:$AH1001,MATCH("LevelReq",Equipment!$A$1:$AH$1,0),FALSE),"")</f>
        <v>1</v>
      </c>
      <c r="F519" s="18" t="str">
        <f>IFERROR(VLOOKUP($A519,Equipconvrt!$A$2:$AH1001,MATCH("Abilities",Equipconvrt!$A$1:$AH$1,0),FALSE),"")</f>
        <v> ++You take half Damage from both Chaos and Light. ++Grants a 30% chance to be unaffected by status affects. +-Can only equip one +-Cannot be duplicated</v>
      </c>
      <c r="G519" s="20">
        <f>IFERROR(VLOOKUP($A519,Equipment!$A$2:$AD1001,MATCH("Price",Equipment!$A$1:$AH$1,0),FALSE),"")</f>
        <v>0</v>
      </c>
      <c r="H519" s="1" t="b">
        <v>0</v>
      </c>
      <c r="I519" s="1" t="str">
        <f>IFERROR(VLOOKUP($A519,Equipment!$A$2:$AH1001,MATCH("EquipLoc",Equipment!$A$1:$AH$1,0),FALSE),"")</f>
        <v>Land of Spira</v>
      </c>
      <c r="W519" s="1" t="str">
        <f>IFERROR(__xludf.DUMMYFUNCTION("""COMPUTED_VALUE"""),"Ring o' Insanity and Chaos")</f>
        <v>Ring o' Insanity and Chaos</v>
      </c>
      <c r="X519" s="1" t="str">
        <f t="shared" si="1"/>
        <v/>
      </c>
    </row>
    <row r="520">
      <c r="A520" s="1" t="s">
        <v>1026</v>
      </c>
      <c r="B520" s="18" t="str">
        <f>IFERROR(VLOOKUP($A520,Equipment!$A$2:$AH1001,MATCH("Description",Equipment!$A$1:$AH$1,0),FALSE),"")</f>
        <v/>
      </c>
      <c r="C520" s="18" t="str">
        <f>IFERROR(VLOOKUP($A520,Equipment!$A$2:$AH1001,MATCH("Type",Equipment!$A$1:$AH$1,0),FALSE),"")</f>
        <v/>
      </c>
      <c r="D520" s="18" t="str">
        <f>IFERROR(VLOOKUP($A520,Equipment!$A$2:$AH1001,MATCH("Slot",Equipment!$A$1:$AH$1,0),FALSE),"")</f>
        <v>Ring</v>
      </c>
      <c r="E520" s="20">
        <f>IFERROR(VLOOKUP($A520,Equipment!$A$2:$AH1001,MATCH("LevelReq",Equipment!$A$1:$AH$1,0),FALSE),"")</f>
        <v>1</v>
      </c>
      <c r="F520" s="18" t="str">
        <f>IFERROR(VLOOKUP($A520,Equipconvrt!$A$2:$AH1001,MATCH("Abilities",Equipconvrt!$A$1:$AH$1,0),FALSE),"")</f>
        <v> ++Grants X6 Celestial damage. Take half damage from celestial. +-Can only equip one +-Cannot be duplicated</v>
      </c>
      <c r="G520" s="20">
        <f>IFERROR(VLOOKUP($A520,Equipment!$A$2:$AD1001,MATCH("Price",Equipment!$A$1:$AH$1,0),FALSE),"")</f>
        <v>0</v>
      </c>
      <c r="H520" s="1" t="b">
        <v>0</v>
      </c>
      <c r="I520" s="1" t="str">
        <f>IFERROR(VLOOKUP($A520,Equipment!$A$2:$AH1001,MATCH("EquipLoc",Equipment!$A$1:$AH$1,0),FALSE),"")</f>
        <v>Land of Spira</v>
      </c>
      <c r="W520" s="1" t="str">
        <f>IFERROR(__xludf.DUMMYFUNCTION("""COMPUTED_VALUE"""),"Ring o' Debonair and Light")</f>
        <v>Ring o' Debonair and Light</v>
      </c>
      <c r="X520" s="1" t="str">
        <f t="shared" si="1"/>
        <v/>
      </c>
    </row>
    <row r="521">
      <c r="A521" s="1" t="s">
        <v>1027</v>
      </c>
      <c r="B521" s="18" t="str">
        <f>IFERROR(VLOOKUP($A521,Equipment!$A$2:$AH1001,MATCH("Description",Equipment!$A$1:$AH$1,0),FALSE),"")</f>
        <v/>
      </c>
      <c r="C521" s="18" t="str">
        <f>IFERROR(VLOOKUP($A521,Equipment!$A$2:$AH1001,MATCH("Type",Equipment!$A$1:$AH$1,0),FALSE),"")</f>
        <v/>
      </c>
      <c r="D521" s="18" t="str">
        <f>IFERROR(VLOOKUP($A521,Equipment!$A$2:$AH1001,MATCH("Slot",Equipment!$A$1:$AH$1,0),FALSE),"")</f>
        <v>Ring</v>
      </c>
      <c r="E521" s="20">
        <f>IFERROR(VLOOKUP($A521,Equipment!$A$2:$AH1001,MATCH("LevelReq",Equipment!$A$1:$AH$1,0),FALSE),"")</f>
        <v>1</v>
      </c>
      <c r="F521" s="18" t="str">
        <f>IFERROR(VLOOKUP($A521,Equipconvrt!$A$2:$AH1001,MATCH("Abilities",Equipconvrt!$A$1:$AH$1,0),FALSE),"")</f>
        <v> ++You take Half Damage from both Light and Dark. Grants immunity to Instant Death. +-Can only equip one +-Cannot be duplicated</v>
      </c>
      <c r="G521" s="20">
        <f>IFERROR(VLOOKUP($A521,Equipment!$A$2:$AD1001,MATCH("Price",Equipment!$A$1:$AH$1,0),FALSE),"")</f>
        <v>0</v>
      </c>
      <c r="H521" s="1" t="b">
        <v>0</v>
      </c>
      <c r="I521" s="1" t="str">
        <f>IFERROR(VLOOKUP($A521,Equipment!$A$2:$AH1001,MATCH("EquipLoc",Equipment!$A$1:$AH$1,0),FALSE),"")</f>
        <v>Land of Spira</v>
      </c>
      <c r="W521" s="1" t="str">
        <f>IFERROR(__xludf.DUMMYFUNCTION("""COMPUTED_VALUE"""),"Ring o' Spite and Blood")</f>
        <v>Ring o' Spite and Blood</v>
      </c>
      <c r="X521" s="1" t="str">
        <f t="shared" si="1"/>
        <v/>
      </c>
    </row>
    <row r="522">
      <c r="A522" s="1" t="s">
        <v>1028</v>
      </c>
      <c r="B522" s="18" t="str">
        <f>IFERROR(VLOOKUP($A522,Equipment!$A$2:$AH1001,MATCH("Description",Equipment!$A$1:$AH$1,0),FALSE),"")</f>
        <v/>
      </c>
      <c r="C522" s="18" t="str">
        <f>IFERROR(VLOOKUP($A522,Equipment!$A$2:$AH1001,MATCH("Type",Equipment!$A$1:$AH$1,0),FALSE),"")</f>
        <v/>
      </c>
      <c r="D522" s="18" t="str">
        <f>IFERROR(VLOOKUP($A522,Equipment!$A$2:$AH1001,MATCH("Slot",Equipment!$A$1:$AH$1,0),FALSE),"")</f>
        <v>Ring</v>
      </c>
      <c r="E522" s="20">
        <f>IFERROR(VLOOKUP($A522,Equipment!$A$2:$AH1001,MATCH("LevelReq",Equipment!$A$1:$AH$1,0),FALSE),"")</f>
        <v>1</v>
      </c>
      <c r="F522" s="18" t="str">
        <f>IFERROR(VLOOKUP($A522,Equipconvrt!$A$2:$AH1001,MATCH("Abilities",Equipconvrt!$A$1:$AH$1,0),FALSE),"")</f>
        <v> ++Grants Immunity to Astral. ++You roll twice when rolling to evade and take the higher result. +-Can only equip one +-Cannot be duplicated</v>
      </c>
      <c r="G522" s="20">
        <f>IFERROR(VLOOKUP($A522,Equipment!$A$2:$AD1001,MATCH("Price",Equipment!$A$1:$AH$1,0),FALSE),"")</f>
        <v>0</v>
      </c>
      <c r="H522" s="1" t="b">
        <v>0</v>
      </c>
      <c r="I522" s="1" t="str">
        <f>IFERROR(VLOOKUP($A522,Equipment!$A$2:$AH1001,MATCH("EquipLoc",Equipment!$A$1:$AH$1,0),FALSE),"")</f>
        <v>Land of Spira</v>
      </c>
      <c r="W522" s="1" t="str">
        <f>IFERROR(__xludf.DUMMYFUNCTION("""COMPUTED_VALUE"""),"Ring o' Neurodivergence and Spirit")</f>
        <v>Ring o' Neurodivergence and Spirit</v>
      </c>
      <c r="X522" s="1" t="str">
        <f t="shared" si="1"/>
        <v/>
      </c>
    </row>
    <row r="523">
      <c r="A523" s="1" t="s">
        <v>1029</v>
      </c>
      <c r="B523" s="18" t="str">
        <f>IFERROR(VLOOKUP($A523,Equipment!$A$2:$AH1001,MATCH("Description",Equipment!$A$1:$AH$1,0),FALSE),"")</f>
        <v/>
      </c>
      <c r="C523" s="18" t="str">
        <f>IFERROR(VLOOKUP($A523,Equipment!$A$2:$AH1001,MATCH("Type",Equipment!$A$1:$AH$1,0),FALSE),"")</f>
        <v/>
      </c>
      <c r="D523" s="18" t="str">
        <f>IFERROR(VLOOKUP($A523,Equipment!$A$2:$AH1001,MATCH("Slot",Equipment!$A$1:$AH$1,0),FALSE),"")</f>
        <v>Ring</v>
      </c>
      <c r="E523" s="20">
        <f>IFERROR(VLOOKUP($A523,Equipment!$A$2:$AH1001,MATCH("LevelReq",Equipment!$A$1:$AH$1,0),FALSE),"")</f>
        <v>1</v>
      </c>
      <c r="F523" s="18" t="str">
        <f>IFERROR(VLOOKUP($A523,Equipconvrt!$A$2:$AH1001,MATCH("Abilities",Equipconvrt!$A$1:$AH$1,0),FALSE),"")</f>
        <v> ++Grants Immunity to Voodoo. ++You automatically succeed at using confiscate and get a ++2 to any roll related to committing a crime. X4 Voodoo damage. +-Can only equip one +-Cannot be duplicated. +-Cannot become a Spira guard if you wear this.</v>
      </c>
      <c r="G523" s="20">
        <f>IFERROR(VLOOKUP($A523,Equipment!$A$2:$AD1001,MATCH("Price",Equipment!$A$1:$AH$1,0),FALSE),"")</f>
        <v>0</v>
      </c>
      <c r="H523" s="1" t="b">
        <v>0</v>
      </c>
      <c r="I523" s="1" t="str">
        <f>IFERROR(VLOOKUP($A523,Equipment!$A$2:$AH1001,MATCH("EquipLoc",Equipment!$A$1:$AH$1,0),FALSE),"")</f>
        <v>Land of Spira</v>
      </c>
      <c r="W523" s="1" t="str">
        <f>IFERROR(__xludf.DUMMYFUNCTION("""COMPUTED_VALUE"""),"Ring o' Impassivity and Storm")</f>
        <v>Ring o' Impassivity and Storm</v>
      </c>
      <c r="X523" s="1" t="str">
        <f t="shared" si="1"/>
        <v/>
      </c>
    </row>
    <row r="524">
      <c r="A524" s="1" t="s">
        <v>1030</v>
      </c>
      <c r="B524" s="18" t="str">
        <f>IFERROR(VLOOKUP($A524,Equipment!$A$2:$AH1001,MATCH("Description",Equipment!$A$1:$AH$1,0),FALSE),"")</f>
        <v>Quest Item</v>
      </c>
      <c r="C524" s="18" t="str">
        <f>IFERROR(VLOOKUP($A524,Equipment!$A$2:$AH1001,MATCH("Type",Equipment!$A$1:$AH$1,0),FALSE),"")</f>
        <v/>
      </c>
      <c r="D524" s="18" t="str">
        <f>IFERROR(VLOOKUP($A524,Equipment!$A$2:$AH1001,MATCH("Slot",Equipment!$A$1:$AH$1,0),FALSE),"")</f>
        <v>Hand</v>
      </c>
      <c r="E524" s="20">
        <f>IFERROR(VLOOKUP($A524,Equipment!$A$2:$AH1001,MATCH("LevelReq",Equipment!$A$1:$AH$1,0),FALSE),"")</f>
        <v>200</v>
      </c>
      <c r="F524" s="18" t="str">
        <f>IFERROR(VLOOKUP($A524,Equipconvrt!$A$2:$AH1001,MATCH("Abilities",Equipconvrt!$A$1:$AH$1,0),FALSE),"")</f>
        <v>DMG: +20000, Chaos DMG: +20000, Nature DMG: +20000, Celestial DMG: +5000 (Forest Paladin Set) ++X2 Nature damage. ++Verdant Shot: Fire a shot dealing your total defense as Nature damage 1000sp. +-Archer, Hunter, and Paladin of The Forest Class only.</v>
      </c>
      <c r="G524" s="20">
        <f>IFERROR(VLOOKUP($A524,Equipment!$A$2:$AD1001,MATCH("Price",Equipment!$A$1:$AH$1,0),FALSE),"")</f>
        <v>83850000</v>
      </c>
      <c r="H524" s="4" t="b">
        <v>1</v>
      </c>
      <c r="I524" s="1" t="str">
        <f>IFERROR(VLOOKUP($A524,Equipment!$A$2:$AH1001,MATCH("EquipLoc",Equipment!$A$1:$AH$1,0),FALSE),"")</f>
        <v>Land of Spira</v>
      </c>
      <c r="W524" s="1" t="str">
        <f>IFERROR(__xludf.DUMMYFUNCTION("""COMPUTED_VALUE"""),"Ring o' Rigidity and Stasis")</f>
        <v>Ring o' Rigidity and Stasis</v>
      </c>
      <c r="X524" s="1" t="str">
        <f t="shared" si="1"/>
        <v/>
      </c>
    </row>
    <row r="525">
      <c r="A525" s="1" t="s">
        <v>1031</v>
      </c>
      <c r="B525" s="18" t="str">
        <f>IFERROR(VLOOKUP($A525,Equipment!$A$2:$AH1001,MATCH("Description",Equipment!$A$1:$AH$1,0),FALSE),"")</f>
        <v>Quest Item</v>
      </c>
      <c r="C525" s="18" t="str">
        <f>IFERROR(VLOOKUP($A525,Equipment!$A$2:$AH1001,MATCH("Type",Equipment!$A$1:$AH$1,0),FALSE),"")</f>
        <v/>
      </c>
      <c r="D525" s="18" t="str">
        <f>IFERROR(VLOOKUP($A525,Equipment!$A$2:$AH1001,MATCH("Slot",Equipment!$A$1:$AH$1,0),FALSE),"")</f>
        <v>Hand</v>
      </c>
      <c r="E525" s="20">
        <f>IFERROR(VLOOKUP($A525,Equipment!$A$2:$AH1001,MATCH("LevelReq",Equipment!$A$1:$AH$1,0),FALSE),"")</f>
        <v>200</v>
      </c>
      <c r="F525" s="18" t="str">
        <f>IFERROR(VLOOKUP($A525,Equipconvrt!$A$2:$AH1001,MATCH("Abilities",Equipconvrt!$A$1:$AH$1,0),FALSE),"")</f>
        <v>DEF: +50000, Water DEF: +25000, Order DEF: +25000, Celestial DEF: +25000 (Forest Paladin Set) ++Counted as a weapon for the purpose of the parry ability. ++Nature's Law: When Fighting in a Natural Environment your total defense is doubled. +-Archer, Hunter, and Paladin of The Forest Class only.</v>
      </c>
      <c r="G525" s="20">
        <f>IFERROR(VLOOKUP($A525,Equipment!$A$2:$AD1001,MATCH("Price",Equipment!$A$1:$AH$1,0),FALSE),"")</f>
        <v>311250000</v>
      </c>
      <c r="H525" s="4" t="b">
        <v>1</v>
      </c>
      <c r="I525" s="1" t="str">
        <f>IFERROR(VLOOKUP($A525,Equipment!$A$2:$AH1001,MATCH("EquipLoc",Equipment!$A$1:$AH$1,0),FALSE),"")</f>
        <v>Land of Spira</v>
      </c>
      <c r="W525" s="1" t="str">
        <f>IFERROR(__xludf.DUMMYFUNCTION("""COMPUTED_VALUE"""),"Ring o' Loyalty and Celestial")</f>
        <v>Ring o' Loyalty and Celestial</v>
      </c>
      <c r="X525" s="1" t="str">
        <f t="shared" si="1"/>
        <v/>
      </c>
    </row>
    <row r="526">
      <c r="A526" s="1" t="s">
        <v>1032</v>
      </c>
      <c r="B526" s="18" t="str">
        <f>IFERROR(VLOOKUP($A526,Equipment!$A$2:$AH1001,MATCH("Description",Equipment!$A$1:$AH$1,0),FALSE),"")</f>
        <v>Quest Item</v>
      </c>
      <c r="C526" s="18" t="str">
        <f>IFERROR(VLOOKUP($A526,Equipment!$A$2:$AH1001,MATCH("Type",Equipment!$A$1:$AH$1,0),FALSE),"")</f>
        <v/>
      </c>
      <c r="D526" s="18" t="str">
        <f>IFERROR(VLOOKUP($A526,Equipment!$A$2:$AH1001,MATCH("Slot",Equipment!$A$1:$AH$1,0),FALSE),"")</f>
        <v>Head</v>
      </c>
      <c r="E526" s="20">
        <f>IFERROR(VLOOKUP($A526,Equipment!$A$2:$AH1001,MATCH("LevelReq",Equipment!$A$1:$AH$1,0),FALSE),"")</f>
        <v>200</v>
      </c>
      <c r="F526" s="18" t="str">
        <f>IFERROR(VLOOKUP($A526,Equipconvrt!$A$2:$AH1001,MATCH("Abilities",Equipconvrt!$A$1:$AH$1,0),FALSE),"")</f>
        <v>DEF: +20000, Water DEF: +10000, Order DEF: +10000, Celestial DEF: +10000 (Forest Paladin Set) ++Blessing of The Greens I: X2 Nature damage. ++Eagle Eyed: When in a forest you gain Truesight for the first round of battle. +-Archer, Hunter, and Paladin of The Forest Class only.</v>
      </c>
      <c r="G526" s="20">
        <f>IFERROR(VLOOKUP($A526,Equipment!$A$2:$AD1001,MATCH("Price",Equipment!$A$1:$AH$1,0),FALSE),"")</f>
        <v>49500000</v>
      </c>
      <c r="H526" s="4" t="b">
        <v>1</v>
      </c>
      <c r="I526" s="1" t="str">
        <f>IFERROR(VLOOKUP($A526,Equipment!$A$2:$AH1001,MATCH("EquipLoc",Equipment!$A$1:$AH$1,0),FALSE),"")</f>
        <v>Land of Spira</v>
      </c>
      <c r="W526" s="1" t="str">
        <f>IFERROR(__xludf.DUMMYFUNCTION("""COMPUTED_VALUE"""),"Ring o' Arrogance and Twilight")</f>
        <v>Ring o' Arrogance and Twilight</v>
      </c>
      <c r="X526" s="1" t="str">
        <f t="shared" si="1"/>
        <v/>
      </c>
    </row>
    <row r="527">
      <c r="A527" s="4" t="s">
        <v>1033</v>
      </c>
      <c r="B527" s="18" t="str">
        <f>IFERROR(VLOOKUP($A527,Equipment!$A$2:$AH1001,MATCH("Description",Equipment!$A$1:$AH$1,0),FALSE),"")</f>
        <v>Quest Item</v>
      </c>
      <c r="C527" s="18" t="str">
        <f>IFERROR(VLOOKUP($A527,Equipment!$A$2:$AH1001,MATCH("Type",Equipment!$A$1:$AH$1,0),FALSE),"")</f>
        <v/>
      </c>
      <c r="D527" s="18" t="str">
        <f>IFERROR(VLOOKUP($A527,Equipment!$A$2:$AH1001,MATCH("Slot",Equipment!$A$1:$AH$1,0),FALSE),"")</f>
        <v>Shoulders</v>
      </c>
      <c r="E527" s="20">
        <f>IFERROR(VLOOKUP($A527,Equipment!$A$2:$AH1001,MATCH("LevelReq",Equipment!$A$1:$AH$1,0),FALSE),"")</f>
        <v>200</v>
      </c>
      <c r="F527" s="18" t="str">
        <f>IFERROR(VLOOKUP($A527,Equipconvrt!$A$2:$AH1001,MATCH("Abilities",Equipconvrt!$A$1:$AH$1,0),FALSE),"")</f>
        <v>DEF: +20000, Water DEF: +10000, Order DEF: +10000, Celestial DEF: +10000 (Forest Paladin Set) ++Blessing of The Quiver I: X2 Bow damage. +-Archer, Hunter, and Paladin of The Forest Class only.</v>
      </c>
      <c r="G527" s="20">
        <f>IFERROR(VLOOKUP($A527,Equipment!$A$2:$AD1001,MATCH("Price",Equipment!$A$1:$AH$1,0),FALSE),"")</f>
        <v>49500000</v>
      </c>
      <c r="H527" s="4" t="b">
        <v>1</v>
      </c>
      <c r="I527" s="1" t="str">
        <f>IFERROR(VLOOKUP($A527,Equipment!$A$2:$AH1001,MATCH("EquipLoc",Equipment!$A$1:$AH$1,0),FALSE),"")</f>
        <v>Land of Spira</v>
      </c>
      <c r="W527" s="1" t="str">
        <f>IFERROR(__xludf.DUMMYFUNCTION("""COMPUTED_VALUE"""),"Ring o' Grace and Astral")</f>
        <v>Ring o' Grace and Astral</v>
      </c>
      <c r="X527" s="1" t="str">
        <f t="shared" si="1"/>
        <v/>
      </c>
    </row>
    <row r="528">
      <c r="A528" s="1" t="s">
        <v>1034</v>
      </c>
      <c r="B528" s="18" t="str">
        <f>IFERROR(VLOOKUP($A528,Equipment!$A$2:$AH1001,MATCH("Description",Equipment!$A$1:$AH$1,0),FALSE),"")</f>
        <v>Quest Item</v>
      </c>
      <c r="C528" s="18" t="str">
        <f>IFERROR(VLOOKUP($A528,Equipment!$A$2:$AH1001,MATCH("Type",Equipment!$A$1:$AH$1,0),FALSE),"")</f>
        <v/>
      </c>
      <c r="D528" s="18" t="str">
        <f>IFERROR(VLOOKUP($A528,Equipment!$A$2:$AH1001,MATCH("Slot",Equipment!$A$1:$AH$1,0),FALSE),"")</f>
        <v>Arms</v>
      </c>
      <c r="E528" s="20">
        <f>IFERROR(VLOOKUP($A528,Equipment!$A$2:$AH1001,MATCH("LevelReq",Equipment!$A$1:$AH$1,0),FALSE),"")</f>
        <v>200</v>
      </c>
      <c r="F528" s="18" t="str">
        <f>IFERROR(VLOOKUP($A528,Equipconvrt!$A$2:$AH1001,MATCH("Abilities",Equipconvrt!$A$1:$AH$1,0),FALSE),"")</f>
        <v>DEF: +20000, Water DEF: +10000, Order DEF: +10000, Celestial DEF: +10000 (Forest Paladin Set) ++Blessing of The Forest's Quiver: X2 Nature and Bow damage. ++Deadly Aim: Upon killing an enemy with a bow you double your next attack roll with a bow. +-Archer, Hunter, and Paladin of The Forest Class only.</v>
      </c>
      <c r="G528" s="20">
        <f>IFERROR(VLOOKUP($A528,Equipment!$A$2:$AD1001,MATCH("Price",Equipment!$A$1:$AH$1,0),FALSE),"")</f>
        <v>49500000</v>
      </c>
      <c r="H528" s="4" t="b">
        <v>1</v>
      </c>
      <c r="I528" s="1" t="str">
        <f>IFERROR(VLOOKUP($A528,Equipment!$A$2:$AH1001,MATCH("EquipLoc",Equipment!$A$1:$AH$1,0),FALSE),"")</f>
        <v>Land of Spira</v>
      </c>
      <c r="W528" s="1" t="str">
        <f>IFERROR(__xludf.DUMMYFUNCTION("""COMPUTED_VALUE"""),"Ring o' Villainy and Voodoo")</f>
        <v>Ring o' Villainy and Voodoo</v>
      </c>
      <c r="X528" s="1" t="str">
        <f t="shared" si="1"/>
        <v/>
      </c>
    </row>
    <row r="529">
      <c r="A529" s="1" t="s">
        <v>1035</v>
      </c>
      <c r="B529" s="18" t="str">
        <f>IFERROR(VLOOKUP($A529,Equipment!$A$2:$AH1001,MATCH("Description",Equipment!$A$1:$AH$1,0),FALSE),"")</f>
        <v>Quest Item</v>
      </c>
      <c r="C529" s="18" t="str">
        <f>IFERROR(VLOOKUP($A529,Equipment!$A$2:$AH1001,MATCH("Type",Equipment!$A$1:$AH$1,0),FALSE),"")</f>
        <v/>
      </c>
      <c r="D529" s="18" t="str">
        <f>IFERROR(VLOOKUP($A529,Equipment!$A$2:$AH1001,MATCH("Slot",Equipment!$A$1:$AH$1,0),FALSE),"")</f>
        <v>Torso</v>
      </c>
      <c r="E529" s="20">
        <f>IFERROR(VLOOKUP($A529,Equipment!$A$2:$AH1001,MATCH("LevelReq",Equipment!$A$1:$AH$1,0),FALSE),"")</f>
        <v>200</v>
      </c>
      <c r="F529" s="18" t="str">
        <f>IFERROR(VLOOKUP($A529,Equipconvrt!$A$2:$AH1001,MATCH("Abilities",Equipconvrt!$A$1:$AH$1,0),FALSE),"")</f>
        <v>DEF: +30000, Water DEF: +15000, Order DEF: +15000, Celestial DEF: +15000 (Forest Paladin Set) ++Blessing of The Greens I: X2 Nature damage. ++Barkskin: X2 defense for self. 50 sp. +-Archer, Hunter, and Paladin of The Forest Class only.</v>
      </c>
      <c r="G529" s="20">
        <f>IFERROR(VLOOKUP($A529,Equipment!$A$2:$AD1001,MATCH("Price",Equipment!$A$1:$AH$1,0),FALSE),"")</f>
        <v>111750000</v>
      </c>
      <c r="H529" s="4" t="b">
        <v>1</v>
      </c>
      <c r="I529" s="1" t="str">
        <f>IFERROR(VLOOKUP($A529,Equipment!$A$2:$AH1001,MATCH("EquipLoc",Equipment!$A$1:$AH$1,0),FALSE),"")</f>
        <v>Land of Spira</v>
      </c>
      <c r="W529" s="1" t="str">
        <f>IFERROR(__xludf.DUMMYFUNCTION("""COMPUTED_VALUE"""),"The Bow of The Verdant Forest")</f>
        <v>The Bow of The Verdant Forest</v>
      </c>
      <c r="X529" s="1" t="str">
        <f t="shared" si="1"/>
        <v/>
      </c>
    </row>
    <row r="530">
      <c r="A530" s="1" t="s">
        <v>1036</v>
      </c>
      <c r="B530" s="18" t="str">
        <f>IFERROR(VLOOKUP($A530,Equipment!$A$2:$AH1001,MATCH("Description",Equipment!$A$1:$AH$1,0),FALSE),"")</f>
        <v>Quest Item</v>
      </c>
      <c r="C530" s="18" t="str">
        <f>IFERROR(VLOOKUP($A530,Equipment!$A$2:$AH1001,MATCH("Type",Equipment!$A$1:$AH$1,0),FALSE),"")</f>
        <v/>
      </c>
      <c r="D530" s="18" t="str">
        <f>IFERROR(VLOOKUP($A530,Equipment!$A$2:$AH1001,MATCH("Slot",Equipment!$A$1:$AH$1,0),FALSE),"")</f>
        <v>Legs</v>
      </c>
      <c r="E530" s="20">
        <f>IFERROR(VLOOKUP($A530,Equipment!$A$2:$AH1001,MATCH("LevelReq",Equipment!$A$1:$AH$1,0),FALSE),"")</f>
        <v>200</v>
      </c>
      <c r="F530" s="18" t="str">
        <f>IFERROR(VLOOKUP($A530,Equipconvrt!$A$2:$AH1001,MATCH("Abilities",Equipconvrt!$A$1:$AH$1,0),FALSE),"")</f>
        <v>DEF: +20000, Water DEF: +10000, Order DEF: +10000, Celestial DEF: +10000 (Forest Paladin Set) ++Blessing of The Quiver I: X2 Bow damage. +-Archer, Hunter, and Paladin of The Forest Class only.</v>
      </c>
      <c r="G530" s="20">
        <f>IFERROR(VLOOKUP($A530,Equipment!$A$2:$AD1001,MATCH("Price",Equipment!$A$1:$AH$1,0),FALSE),"")</f>
        <v>49500000</v>
      </c>
      <c r="H530" s="4" t="b">
        <v>1</v>
      </c>
      <c r="I530" s="1" t="str">
        <f>IFERROR(VLOOKUP($A530,Equipment!$A$2:$AH1001,MATCH("EquipLoc",Equipment!$A$1:$AH$1,0),FALSE),"")</f>
        <v>Land of Spira</v>
      </c>
      <c r="W530" s="1" t="str">
        <f>IFERROR(__xludf.DUMMYFUNCTION("""COMPUTED_VALUE"""),"Enchanted Wooden Buckler of The Verdant Forest")</f>
        <v>Enchanted Wooden Buckler of The Verdant Forest</v>
      </c>
      <c r="X530" s="1" t="str">
        <f t="shared" si="1"/>
        <v/>
      </c>
    </row>
    <row r="531">
      <c r="A531" s="1" t="s">
        <v>1037</v>
      </c>
      <c r="B531" s="18" t="str">
        <f>IFERROR(VLOOKUP($A531,Equipment!$A$2:$AH1001,MATCH("Description",Equipment!$A$1:$AH$1,0),FALSE),"")</f>
        <v>Quest Item</v>
      </c>
      <c r="C531" s="18" t="str">
        <f>IFERROR(VLOOKUP($A531,Equipment!$A$2:$AH1001,MATCH("Type",Equipment!$A$1:$AH$1,0),FALSE),"")</f>
        <v/>
      </c>
      <c r="D531" s="18" t="str">
        <f>IFERROR(VLOOKUP($A531,Equipment!$A$2:$AH1001,MATCH("Slot",Equipment!$A$1:$AH$1,0),FALSE),"")</f>
        <v>Feet</v>
      </c>
      <c r="E531" s="20">
        <f>IFERROR(VLOOKUP($A531,Equipment!$A$2:$AH1001,MATCH("LevelReq",Equipment!$A$1:$AH$1,0),FALSE),"")</f>
        <v>200</v>
      </c>
      <c r="F531" s="18" t="str">
        <f>IFERROR(VLOOKUP($A531,Equipconvrt!$A$2:$AH1001,MATCH("Abilities",Equipconvrt!$A$1:$AH$1,0),FALSE),"")</f>
        <v>DEF: +20000, Water DEF: +10000, Order DEF: +10000, Celestial DEF: +10000 (Forest Paladin Set) Blessing of The Greens I: X2 Nature damage. Deal X4 Nature damage for the first bow attack you make under the effect of haste +-Archer, Hunter, and Paladin of The Forest Class only.</v>
      </c>
      <c r="G531" s="20">
        <f>IFERROR(VLOOKUP($A531,Equipment!$A$2:$AD1001,MATCH("Price",Equipment!$A$1:$AH$1,0),FALSE),"")</f>
        <v>49500000</v>
      </c>
      <c r="H531" s="4" t="b">
        <v>1</v>
      </c>
      <c r="I531" s="1" t="str">
        <f>IFERROR(VLOOKUP($A531,Equipment!$A$2:$AH1001,MATCH("EquipLoc",Equipment!$A$1:$AH$1,0),FALSE),"")</f>
        <v>Land of Spira</v>
      </c>
      <c r="W531" s="1" t="str">
        <f>IFERROR(__xludf.DUMMYFUNCTION("""COMPUTED_VALUE"""),"Cowl of the Eagle's Sight")</f>
        <v>Cowl of the Eagle's Sight</v>
      </c>
      <c r="X531" s="1" t="str">
        <f t="shared" si="1"/>
        <v/>
      </c>
    </row>
    <row r="532">
      <c r="A532" s="1" t="s">
        <v>1038</v>
      </c>
      <c r="B532" s="18" t="str">
        <f>IFERROR(VLOOKUP($A532,Equipment!$A$2:$AH1001,MATCH("Description",Equipment!$A$1:$AH$1,0),FALSE),"")</f>
        <v>Quest Item</v>
      </c>
      <c r="C532" s="18" t="str">
        <f>IFERROR(VLOOKUP($A532,Equipment!$A$2:$AH1001,MATCH("Type",Equipment!$A$1:$AH$1,0),FALSE),"")</f>
        <v/>
      </c>
      <c r="D532" s="18" t="str">
        <f>IFERROR(VLOOKUP($A532,Equipment!$A$2:$AH1001,MATCH("Slot",Equipment!$A$1:$AH$1,0),FALSE),"")</f>
        <v>Ring</v>
      </c>
      <c r="E532" s="20">
        <f>IFERROR(VLOOKUP($A532,Equipment!$A$2:$AH1001,MATCH("LevelReq",Equipment!$A$1:$AH$1,0),FALSE),"")</f>
        <v>1</v>
      </c>
      <c r="F532" s="18" t="str">
        <f>IFERROR(VLOOKUP($A532,Equipconvrt!$A$2:$AH1001,MATCH("Abilities",Equipconvrt!$A$1:$AH$1,0),FALSE),"")</f>
        <v> (Forest Paladin Set) ++Regrowth: Heals target by 5000 and grants them Invigorated 5, 75sp. ++X4 outgoing healing +-Archer, Hunter, and Paladin of The Forest Class only.</v>
      </c>
      <c r="G532" s="20">
        <f>IFERROR(VLOOKUP($A532,Equipment!$A$2:$AD1001,MATCH("Price",Equipment!$A$1:$AH$1,0),FALSE),"")</f>
        <v>0</v>
      </c>
      <c r="H532" s="4" t="b">
        <v>1</v>
      </c>
      <c r="I532" s="1" t="str">
        <f>IFERROR(VLOOKUP($A532,Equipment!$A$2:$AH1001,MATCH("EquipLoc",Equipment!$A$1:$AH$1,0),FALSE),"")</f>
        <v>Land of Spira</v>
      </c>
      <c r="W532" s="1" t="str">
        <f>IFERROR(__xludf.DUMMYFUNCTION("""COMPUTED_VALUE"""),"Ailettes of the Forest's Splendor")</f>
        <v>Ailettes of the Forest's Splendor</v>
      </c>
      <c r="X532" s="1" t="str">
        <f t="shared" si="1"/>
        <v/>
      </c>
    </row>
    <row r="533">
      <c r="A533" s="1" t="s">
        <v>1039</v>
      </c>
      <c r="B533" s="18" t="str">
        <f>IFERROR(VLOOKUP($A533,Equipment!$A$2:$AH1001,MATCH("Description",Equipment!$A$1:$AH$1,0),FALSE),"")</f>
        <v>Quest Item</v>
      </c>
      <c r="C533" s="18" t="str">
        <f>IFERROR(VLOOKUP($A533,Equipment!$A$2:$AH1001,MATCH("Type",Equipment!$A$1:$AH$1,0),FALSE),"")</f>
        <v/>
      </c>
      <c r="D533" s="18" t="str">
        <f>IFERROR(VLOOKUP($A533,Equipment!$A$2:$AH1001,MATCH("Slot",Equipment!$A$1:$AH$1,0),FALSE),"")</f>
        <v>Neck</v>
      </c>
      <c r="E533" s="20">
        <f>IFERROR(VLOOKUP($A533,Equipment!$A$2:$AH1001,MATCH("LevelReq",Equipment!$A$1:$AH$1,0),FALSE),"")</f>
        <v>1</v>
      </c>
      <c r="F533" s="18" t="str">
        <f>IFERROR(VLOOKUP($A533,Equipconvrt!$A$2:$AH1001,MATCH("Abilities",Equipconvrt!$A$1:$AH$1,0),FALSE),"")</f>
        <v> (Forest Paladin Set) ++Artemis' Godly Grace: Grants all allies Invigorated 5, Haste 3, Truesight 3, and 4X defense and Nature Damage, can only be casted once per battle, 500 sp +-Archer, Hunter, and Paladin of The Forest Class only.</v>
      </c>
      <c r="G533" s="20">
        <f>IFERROR(VLOOKUP($A533,Equipment!$A$2:$AD1001,MATCH("Price",Equipment!$A$1:$AH$1,0),FALSE),"")</f>
        <v>0</v>
      </c>
      <c r="H533" s="4" t="b">
        <v>1</v>
      </c>
      <c r="I533" s="1" t="str">
        <f>IFERROR(VLOOKUP($A533,Equipment!$A$2:$AH1001,MATCH("EquipLoc",Equipment!$A$1:$AH$1,0),FALSE),"")</f>
        <v>Land of Spira</v>
      </c>
      <c r="W533" s="1" t="str">
        <f>IFERROR(__xludf.DUMMYFUNCTION("""COMPUTED_VALUE"""),"Bracer of Trueshot")</f>
        <v>Bracer of Trueshot</v>
      </c>
      <c r="X533" s="1" t="str">
        <f t="shared" si="1"/>
        <v/>
      </c>
    </row>
    <row r="534">
      <c r="A534" s="1" t="s">
        <v>1040</v>
      </c>
      <c r="B534" s="18" t="str">
        <f>IFERROR(VLOOKUP($A534,Equipment!$A$2:$AH1001,MATCH("Description",Equipment!$A$1:$AH$1,0),FALSE),"")</f>
        <v>Mob Exclusive. The crown that was gifted to Aranyani upon her ascension to godhood</v>
      </c>
      <c r="C534" s="18" t="str">
        <f>IFERROR(VLOOKUP($A534,Equipment!$A$2:$AH1001,MATCH("Type",Equipment!$A$1:$AH$1,0),FALSE),"")</f>
        <v/>
      </c>
      <c r="D534" s="18" t="str">
        <f>IFERROR(VLOOKUP($A534,Equipment!$A$2:$AH1001,MATCH("Slot",Equipment!$A$1:$AH$1,0),FALSE),"")</f>
        <v>Head</v>
      </c>
      <c r="E534" s="20">
        <f>IFERROR(VLOOKUP($A534,Equipment!$A$2:$AH1001,MATCH("LevelReq",Equipment!$A$1:$AH$1,0),FALSE),"")</f>
        <v>2000</v>
      </c>
      <c r="F534" s="18" t="str">
        <f>IFERROR(VLOOKUP($A534,Equipconvrt!$A$2:$AH1001,MATCH("Abilities",Equipconvrt!$A$1:$AH$1,0),FALSE),"")</f>
        <v>DEF: +50000, Water DEF: +25000, Order DEF: +25000 ++Blessing of the Forest's Quiver II: X4 Nature and Bow damage. ++Eagle Eyed: When in a forest you gain Truesight for the first round of battle. ++Goddess's Cold Stare: 15% chance to Freeze all enemies (not affected by modifiers) 1000SP. +-can only be equipped by Artemis.</v>
      </c>
      <c r="G534" s="20">
        <f>IFERROR(VLOOKUP($A534,Equipment!$A$2:$AD1001,MATCH("Price",Equipment!$A$1:$AH$1,0),FALSE),"")</f>
        <v>199000000</v>
      </c>
      <c r="H534" s="4" t="b">
        <v>1</v>
      </c>
      <c r="I534" s="1" t="str">
        <f>IFERROR(VLOOKUP($A534,Equipment!$A$2:$AH1001,MATCH("EquipLoc",Equipment!$A$1:$AH$1,0),FALSE),"")</f>
        <v>Land of Spira</v>
      </c>
      <c r="W534" s="1" t="str">
        <f>IFERROR(__xludf.DUMMYFUNCTION("""COMPUTED_VALUE"""),"Leather Cuirass of Barkskin")</f>
        <v>Leather Cuirass of Barkskin</v>
      </c>
      <c r="X534" s="1" t="str">
        <f t="shared" si="1"/>
        <v/>
      </c>
    </row>
    <row r="535">
      <c r="A535" s="4" t="s">
        <v>1041</v>
      </c>
      <c r="B535" s="18" t="str">
        <f>IFERROR(VLOOKUP($A535,Equipment!$A$2:$AH1001,MATCH("Description",Equipment!$A$1:$AH$1,0),FALSE),"")</f>
        <v>Mob Exclusive.</v>
      </c>
      <c r="C535" s="18" t="str">
        <f>IFERROR(VLOOKUP($A535,Equipment!$A$2:$AH1001,MATCH("Type",Equipment!$A$1:$AH$1,0),FALSE),"")</f>
        <v>Bow</v>
      </c>
      <c r="D535" s="18" t="str">
        <f>IFERROR(VLOOKUP($A535,Equipment!$A$2:$AH1001,MATCH("Slot",Equipment!$A$1:$AH$1,0),FALSE),"")</f>
        <v>Hand</v>
      </c>
      <c r="E535" s="20">
        <f>IFERROR(VLOOKUP($A535,Equipment!$A$2:$AH1001,MATCH("LevelReq",Equipment!$A$1:$AH$1,0),FALSE),"")</f>
        <v>12000</v>
      </c>
      <c r="F535" s="18" t="str">
        <f>IFERROR(VLOOKUP($A535,Equipconvrt!$A$2:$AH1001,MATCH("Abilities",Equipconvrt!$A$1:$AH$1,0),FALSE),"")</f>
        <v>DMG: +200000, Chaos DMG: +200000, Nature DMG: +200000 ++Marked: When affected by Truesight you can mark a single target as per the effect "Marked" for 1 round. 20 sp. ++The target cannot resist or be immune to this weapon attack  +-can only be equipped by Artemis</v>
      </c>
      <c r="G535" s="20">
        <f>IFERROR(VLOOKUP($A535,Equipment!$A$2:$AD1001,MATCH("Price",Equipment!$A$1:$AH$1,0),FALSE),"")</f>
        <v>7194000000</v>
      </c>
      <c r="H535" s="4" t="b">
        <v>1</v>
      </c>
      <c r="I535" s="1" t="str">
        <f>IFERROR(VLOOKUP($A535,Equipment!$A$2:$AH1001,MATCH("EquipLoc",Equipment!$A$1:$AH$1,0),FALSE),"")</f>
        <v>Land of Spira</v>
      </c>
      <c r="W535" s="1" t="str">
        <f>IFERROR(__xludf.DUMMYFUNCTION("""COMPUTED_VALUE"""),"Greaves of The Verdant Forest")</f>
        <v>Greaves of The Verdant Forest</v>
      </c>
      <c r="X535" s="1" t="str">
        <f t="shared" si="1"/>
        <v/>
      </c>
    </row>
    <row r="536">
      <c r="A536" s="1" t="s">
        <v>1042</v>
      </c>
      <c r="B536" s="18" t="str">
        <f>IFERROR(VLOOKUP($A536,Equipment!$A$2:$AH1001,MATCH("Description",Equipment!$A$1:$AH$1,0),FALSE),"")</f>
        <v>Mob Exclusive</v>
      </c>
      <c r="C536" s="18" t="str">
        <f>IFERROR(VLOOKUP($A536,Equipment!$A$2:$AH1001,MATCH("Type",Equipment!$A$1:$AH$1,0),FALSE),"")</f>
        <v>Buckler</v>
      </c>
      <c r="D536" s="18" t="str">
        <f>IFERROR(VLOOKUP($A536,Equipment!$A$2:$AH1001,MATCH("Slot",Equipment!$A$1:$AH$1,0),FALSE),"")</f>
        <v>Hand</v>
      </c>
      <c r="E536" s="20">
        <f>IFERROR(VLOOKUP($A536,Equipment!$A$2:$AH1001,MATCH("LevelReq",Equipment!$A$1:$AH$1,0),FALSE),"")</f>
        <v>6000</v>
      </c>
      <c r="F536" s="18" t="str">
        <f>IFERROR(VLOOKUP($A536,Equipconvrt!$A$2:$AH1001,MATCH("Abilities",Equipconvrt!$A$1:$AH$1,0),FALSE),"")</f>
        <v>DEF: +150000, Water DEF: +75000, Order DEF: +75000 ++Living Shield: When hit by a weapon attack 50% chance to inflict slowness 3 and disarm 3, +-can only be equipped by Artemis.</v>
      </c>
      <c r="G536" s="20">
        <f>IFERROR(VLOOKUP($A536,Equipment!$A$2:$AD1001,MATCH("Price",Equipment!$A$1:$AH$1,0),FALSE),"")</f>
        <v>1797000000</v>
      </c>
      <c r="H536" s="4" t="b">
        <v>1</v>
      </c>
      <c r="I536" s="1" t="str">
        <f>IFERROR(VLOOKUP($A536,Equipment!$A$2:$AH1001,MATCH("EquipLoc",Equipment!$A$1:$AH$1,0),FALSE),"")</f>
        <v>Land of Spira</v>
      </c>
      <c r="W536" s="1" t="str">
        <f>IFERROR(__xludf.DUMMYFUNCTION("""COMPUTED_VALUE"""),"Boots of The Verdant Forest")</f>
        <v>Boots of The Verdant Forest</v>
      </c>
      <c r="X536" s="1" t="str">
        <f t="shared" si="1"/>
        <v/>
      </c>
    </row>
    <row r="537">
      <c r="A537" s="4" t="s">
        <v>1043</v>
      </c>
      <c r="B537" s="18" t="str">
        <f>IFERROR(VLOOKUP($A537,Equipment!$A$2:$AH1001,MATCH("Description",Equipment!$A$1:$AH$1,0),FALSE),"")</f>
        <v>Mob Exclusive</v>
      </c>
      <c r="C537" s="18" t="str">
        <f>IFERROR(VLOOKUP($A537,Equipment!$A$2:$AH1001,MATCH("Type",Equipment!$A$1:$AH$1,0),FALSE),"")</f>
        <v/>
      </c>
      <c r="D537" s="18" t="str">
        <f>IFERROR(VLOOKUP($A537,Equipment!$A$2:$AH1001,MATCH("Slot",Equipment!$A$1:$AH$1,0),FALSE),"")</f>
        <v>Shoulders</v>
      </c>
      <c r="E537" s="20">
        <f>IFERROR(VLOOKUP($A537,Equipment!$A$2:$AH1001,MATCH("LevelReq",Equipment!$A$1:$AH$1,0),FALSE),"")</f>
        <v>1</v>
      </c>
      <c r="F537" s="18" t="str">
        <f>IFERROR(VLOOKUP($A537,Equipconvrt!$A$2:$AH1001,MATCH("Abilities",Equipconvrt!$A$1:$AH$1,0),FALSE),"")</f>
        <v> ++Blessing of the Forest's Quiver II: X4 Nature and Bow damage. ++Godspeed: Wearer Gets 2 actions every round. ++Quick Shot: Attack twice with your bow 10000 sp. +-can only be equipped by Artemis.</v>
      </c>
      <c r="G537" s="20">
        <f>IFERROR(VLOOKUP($A537,Equipment!$A$2:$AD1001,MATCH("Price",Equipment!$A$1:$AH$1,0),FALSE),"")</f>
        <v>0</v>
      </c>
      <c r="H537" s="4" t="b">
        <v>1</v>
      </c>
      <c r="I537" s="1" t="str">
        <f>IFERROR(VLOOKUP($A537,Equipment!$A$2:$AH1001,MATCH("EquipLoc",Equipment!$A$1:$AH$1,0),FALSE),"")</f>
        <v>Land of Spira</v>
      </c>
      <c r="W537" s="1" t="str">
        <f>IFERROR(__xludf.DUMMYFUNCTION("""COMPUTED_VALUE"""),"Emerald Ring of The Forest")</f>
        <v>Emerald Ring of The Forest</v>
      </c>
      <c r="X537" s="1" t="str">
        <f t="shared" si="1"/>
        <v/>
      </c>
    </row>
    <row r="538">
      <c r="A538" s="1" t="s">
        <v>1044</v>
      </c>
      <c r="B538" s="18" t="str">
        <f>IFERROR(VLOOKUP($A538,Equipment!$A$2:$AH1001,MATCH("Description",Equipment!$A$1:$AH$1,0),FALSE),"")</f>
        <v>Mob Exclusive</v>
      </c>
      <c r="C538" s="18" t="str">
        <f>IFERROR(VLOOKUP($A538,Equipment!$A$2:$AH1001,MATCH("Type",Equipment!$A$1:$AH$1,0),FALSE),"")</f>
        <v/>
      </c>
      <c r="D538" s="18" t="str">
        <f>IFERROR(VLOOKUP($A538,Equipment!$A$2:$AH1001,MATCH("Slot",Equipment!$A$1:$AH$1,0),FALSE),"")</f>
        <v>Torso</v>
      </c>
      <c r="E538" s="20">
        <f>IFERROR(VLOOKUP($A538,Equipment!$A$2:$AH1001,MATCH("LevelReq",Equipment!$A$1:$AH$1,0),FALSE),"")</f>
        <v>4000</v>
      </c>
      <c r="F538" s="18" t="str">
        <f>IFERROR(VLOOKUP($A538,Equipconvrt!$A$2:$AH1001,MATCH("Abilities",Equipconvrt!$A$1:$AH$1,0),FALSE),"")</f>
        <v>DEF: +100000, Water DEF: +50000, Order DEF: +50000 ++Blessing of the Forest's Quiver II: X4 Nature and Bow damage. ++Godly Charm: 10% chance at the start of battle to force an enemy to fight for you +-can only be equipped by Artemis.</v>
      </c>
      <c r="G538" s="20">
        <f>IFERROR(VLOOKUP($A538,Equipment!$A$2:$AD1001,MATCH("Price",Equipment!$A$1:$AH$1,0),FALSE),"")</f>
        <v>798000000</v>
      </c>
      <c r="H538" s="4" t="b">
        <v>1</v>
      </c>
      <c r="I538" s="1" t="str">
        <f>IFERROR(VLOOKUP($A538,Equipment!$A$2:$AH1001,MATCH("EquipLoc",Equipment!$A$1:$AH$1,0),FALSE),"")</f>
        <v>Land of Spira</v>
      </c>
      <c r="W538" s="1" t="str">
        <f>IFERROR(__xludf.DUMMYFUNCTION("""COMPUTED_VALUE"""),"Emerald Amulet of The Forest")</f>
        <v>Emerald Amulet of The Forest</v>
      </c>
      <c r="X538" s="1" t="str">
        <f t="shared" si="1"/>
        <v/>
      </c>
    </row>
    <row r="539">
      <c r="A539" s="1" t="s">
        <v>1045</v>
      </c>
      <c r="B539" s="18" t="str">
        <f>IFERROR(VLOOKUP($A539,Equipment!$A$2:$AH1001,MATCH("Description",Equipment!$A$1:$AH$1,0),FALSE),"")</f>
        <v>Mob Exclusive</v>
      </c>
      <c r="C539" s="18" t="str">
        <f>IFERROR(VLOOKUP($A539,Equipment!$A$2:$AH1001,MATCH("Type",Equipment!$A$1:$AH$1,0),FALSE),"")</f>
        <v/>
      </c>
      <c r="D539" s="18" t="str">
        <f>IFERROR(VLOOKUP($A539,Equipment!$A$2:$AH1001,MATCH("Slot",Equipment!$A$1:$AH$1,0),FALSE),"")</f>
        <v>Arms</v>
      </c>
      <c r="E539" s="20">
        <f>IFERROR(VLOOKUP($A539,Equipment!$A$2:$AH1001,MATCH("LevelReq",Equipment!$A$1:$AH$1,0),FALSE),"")</f>
        <v>2000</v>
      </c>
      <c r="F539" s="18" t="str">
        <f>IFERROR(VLOOKUP($A539,Equipconvrt!$A$2:$AH1001,MATCH("Abilities",Equipconvrt!$A$1:$AH$1,0),FALSE),"")</f>
        <v>DEF: +50000, Water DEF: +25000, Order DEF: +25000 ++Blessing of the Forest's Quiver II: X4 Nature and Bow damage. ++Godly Archery: When you hit an enemy with your bow you gain the effects of Haste +-can only be equipped by Artemis.</v>
      </c>
      <c r="G539" s="20">
        <f>IFERROR(VLOOKUP($A539,Equipment!$A$2:$AD1001,MATCH("Price",Equipment!$A$1:$AH$1,0),FALSE),"")</f>
        <v>199000000</v>
      </c>
      <c r="H539" s="4" t="b">
        <v>1</v>
      </c>
      <c r="I539" s="1" t="str">
        <f>IFERROR(VLOOKUP($A539,Equipment!$A$2:$AH1001,MATCH("EquipLoc",Equipment!$A$1:$AH$1,0),FALSE),"")</f>
        <v>Land of Spira</v>
      </c>
      <c r="W539" s="1" t="str">
        <f>IFERROR(__xludf.DUMMYFUNCTION("""COMPUTED_VALUE"""),"Artemis' Crown of The Forest")</f>
        <v>Artemis' Crown of The Forest</v>
      </c>
      <c r="X539" s="1" t="str">
        <f t="shared" si="1"/>
        <v/>
      </c>
    </row>
    <row r="540">
      <c r="A540" s="1" t="s">
        <v>1046</v>
      </c>
      <c r="B540" s="18" t="str">
        <f>IFERROR(VLOOKUP($A540,Equipment!$A$2:$AH1001,MATCH("Description",Equipment!$A$1:$AH$1,0),FALSE),"")</f>
        <v>Mob Exclusive</v>
      </c>
      <c r="C540" s="18" t="str">
        <f>IFERROR(VLOOKUP($A540,Equipment!$A$2:$AH1001,MATCH("Type",Equipment!$A$1:$AH$1,0),FALSE),"")</f>
        <v/>
      </c>
      <c r="D540" s="18" t="str">
        <f>IFERROR(VLOOKUP($A540,Equipment!$A$2:$AH1001,MATCH("Slot",Equipment!$A$1:$AH$1,0),FALSE),"")</f>
        <v>Legs</v>
      </c>
      <c r="E540" s="20">
        <f>IFERROR(VLOOKUP($A540,Equipment!$A$2:$AH1001,MATCH("LevelReq",Equipment!$A$1:$AH$1,0),FALSE),"")</f>
        <v>2000</v>
      </c>
      <c r="F540" s="18" t="str">
        <f>IFERROR(VLOOKUP($A540,Equipconvrt!$A$2:$AH1001,MATCH("Abilities",Equipconvrt!$A$1:$AH$1,0),FALSE),"")</f>
        <v>DEF: +50000, Water DEF: +25000, Order DEF: +25000 ++Blessing of The Greens II: X4 Nature Damage +-can only be equipped by Artemis</v>
      </c>
      <c r="G540" s="20">
        <f>IFERROR(VLOOKUP($A540,Equipment!$A$2:$AD1001,MATCH("Price",Equipment!$A$1:$AH$1,0),FALSE),"")</f>
        <v>199000000</v>
      </c>
      <c r="H540" s="4" t="b">
        <v>1</v>
      </c>
      <c r="I540" s="1" t="str">
        <f>IFERROR(VLOOKUP($A540,Equipment!$A$2:$AH1001,MATCH("EquipLoc",Equipment!$A$1:$AH$1,0),FALSE),"")</f>
        <v>Land of Spira</v>
      </c>
      <c r="W540" s="1" t="str">
        <f>IFERROR(__xludf.DUMMYFUNCTION("""COMPUTED_VALUE"""),"Artemis' Bow of Divine Wrath")</f>
        <v>Artemis' Bow of Divine Wrath</v>
      </c>
      <c r="X540" s="1" t="str">
        <f t="shared" si="1"/>
        <v/>
      </c>
    </row>
    <row r="541">
      <c r="A541" s="1" t="s">
        <v>1047</v>
      </c>
      <c r="B541" s="18" t="str">
        <f>IFERROR(VLOOKUP($A541,Equipment!$A$2:$AH1001,MATCH("Description",Equipment!$A$1:$AH$1,0),FALSE),"")</f>
        <v>Mob Exclusive</v>
      </c>
      <c r="C541" s="18" t="str">
        <f>IFERROR(VLOOKUP($A541,Equipment!$A$2:$AH1001,MATCH("Type",Equipment!$A$1:$AH$1,0),FALSE),"")</f>
        <v/>
      </c>
      <c r="D541" s="18" t="str">
        <f>IFERROR(VLOOKUP($A541,Equipment!$A$2:$AH1001,MATCH("Slot",Equipment!$A$1:$AH$1,0),FALSE),"")</f>
        <v>Feet</v>
      </c>
      <c r="E541" s="20">
        <f>IFERROR(VLOOKUP($A541,Equipment!$A$2:$AH1001,MATCH("LevelReq",Equipment!$A$1:$AH$1,0),FALSE),"")</f>
        <v>2000</v>
      </c>
      <c r="F541" s="18" t="str">
        <f>IFERROR(VLOOKUP($A541,Equipconvrt!$A$2:$AH1001,MATCH("Abilities",Equipconvrt!$A$1:$AH$1,0),FALSE),"")</f>
        <v>DEF: +50000, Water DEF: +25000, Order DEF: +25000 ++Blessing of Speed: when affected by haste you gain an extra action. +-can only be equipped by Artemis.</v>
      </c>
      <c r="G541" s="20">
        <f>IFERROR(VLOOKUP($A541,Equipment!$A$2:$AD1001,MATCH("Price",Equipment!$A$1:$AH$1,0),FALSE),"")</f>
        <v>199000000</v>
      </c>
      <c r="H541" s="4" t="b">
        <v>1</v>
      </c>
      <c r="I541" s="1" t="str">
        <f>IFERROR(VLOOKUP($A541,Equipment!$A$2:$AH1001,MATCH("EquipLoc",Equipment!$A$1:$AH$1,0),FALSE),"")</f>
        <v>Land of Spira</v>
      </c>
      <c r="W541" s="1" t="str">
        <f>IFERROR(__xludf.DUMMYFUNCTION("""COMPUTED_VALUE"""),"Artemis' Shield of Divine Grace")</f>
        <v>Artemis' Shield of Divine Grace</v>
      </c>
      <c r="X541" s="1" t="str">
        <f t="shared" si="1"/>
        <v/>
      </c>
    </row>
    <row r="542">
      <c r="A542" s="1" t="s">
        <v>1048</v>
      </c>
      <c r="B542" s="18" t="str">
        <f>IFERROR(VLOOKUP($A542,Equipment!$A$2:$AH1001,MATCH("Description",Equipment!$A$1:$AH$1,0),FALSE),"")</f>
        <v>Mob Exclusive</v>
      </c>
      <c r="C542" s="18" t="str">
        <f>IFERROR(VLOOKUP($A542,Equipment!$A$2:$AH1001,MATCH("Type",Equipment!$A$1:$AH$1,0),FALSE),"")</f>
        <v/>
      </c>
      <c r="D542" s="18" t="str">
        <f>IFERROR(VLOOKUP($A542,Equipment!$A$2:$AH1001,MATCH("Slot",Equipment!$A$1:$AH$1,0),FALSE),"")</f>
        <v>Ring</v>
      </c>
      <c r="E542" s="20">
        <f>IFERROR(VLOOKUP($A542,Equipment!$A$2:$AH1001,MATCH("LevelReq",Equipment!$A$1:$AH$1,0),FALSE),"")</f>
        <v>1</v>
      </c>
      <c r="F542" s="18" t="str">
        <f>IFERROR(VLOOKUP($A542,Equipconvrt!$A$2:$AH1001,MATCH("Abilities",Equipconvrt!$A$1:$AH$1,0),FALSE),"")</f>
        <v> ++10% chance to revive after dying once. +-can only be equipped by Artemis.</v>
      </c>
      <c r="G542" s="20">
        <f>IFERROR(VLOOKUP($A542,Equipment!$A$2:$AD1001,MATCH("Price",Equipment!$A$1:$AH$1,0),FALSE),"")</f>
        <v>0</v>
      </c>
      <c r="H542" s="4" t="b">
        <v>1</v>
      </c>
      <c r="I542" s="1" t="str">
        <f>IFERROR(VLOOKUP($A542,Equipment!$A$2:$AH1001,MATCH("EquipLoc",Equipment!$A$1:$AH$1,0),FALSE),"")</f>
        <v>Land of Spira</v>
      </c>
      <c r="W542" s="1" t="str">
        <f>IFERROR(__xludf.DUMMYFUNCTION("""COMPUTED_VALUE"""),"Artemis' Divine Quiver")</f>
        <v>Artemis' Divine Quiver</v>
      </c>
      <c r="X542" s="1" t="str">
        <f t="shared" si="1"/>
        <v/>
      </c>
    </row>
    <row r="543">
      <c r="A543" s="1" t="s">
        <v>1049</v>
      </c>
      <c r="B543" s="18" t="str">
        <f>IFERROR(VLOOKUP($A543,Equipment!$A$2:$AH1001,MATCH("Description",Equipment!$A$1:$AH$1,0),FALSE),"")</f>
        <v>Mob Exclusive</v>
      </c>
      <c r="C543" s="18" t="str">
        <f>IFERROR(VLOOKUP($A543,Equipment!$A$2:$AH1001,MATCH("Type",Equipment!$A$1:$AH$1,0),FALSE),"")</f>
        <v/>
      </c>
      <c r="D543" s="18" t="str">
        <f>IFERROR(VLOOKUP($A543,Equipment!$A$2:$AH1001,MATCH("Slot",Equipment!$A$1:$AH$1,0),FALSE),"")</f>
        <v>Neck</v>
      </c>
      <c r="E543" s="20">
        <f>IFERROR(VLOOKUP($A543,Equipment!$A$2:$AH1001,MATCH("LevelReq",Equipment!$A$1:$AH$1,0),FALSE),"")</f>
        <v>1</v>
      </c>
      <c r="F543" s="18" t="str">
        <f>IFERROR(VLOOKUP($A543,Equipconvrt!$A$2:$AH1001,MATCH("Abilities",Equipconvrt!$A$1:$AH$1,0),FALSE),"")</f>
        <v> Upon killing an enemy you emit a sharp aura with a 10% chance of instant death to all enemies. +-can only be equipped by Artemis.</v>
      </c>
      <c r="G543" s="20">
        <f>IFERROR(VLOOKUP($A543,Equipment!$A$2:$AD1001,MATCH("Price",Equipment!$A$1:$AH$1,0),FALSE),"")</f>
        <v>0</v>
      </c>
      <c r="H543" s="4" t="b">
        <v>1</v>
      </c>
      <c r="I543" s="1" t="str">
        <f>IFERROR(VLOOKUP($A543,Equipment!$A$2:$AH1001,MATCH("EquipLoc",Equipment!$A$1:$AH$1,0),FALSE),"")</f>
        <v>Land of Spira</v>
      </c>
      <c r="W543" s="1" t="str">
        <f>IFERROR(__xludf.DUMMYFUNCTION("""COMPUTED_VALUE"""),"Artemis' Toga of Divine Beauty")</f>
        <v>Artemis' Toga of Divine Beauty</v>
      </c>
      <c r="X543" s="1" t="str">
        <f t="shared" si="1"/>
        <v/>
      </c>
    </row>
    <row r="544">
      <c r="A544" s="1" t="s">
        <v>1050</v>
      </c>
      <c r="B544" s="18" t="str">
        <f>IFERROR(VLOOKUP($A544,Equipment!$A$2:$AH1001,MATCH("Description",Equipment!$A$1:$AH$1,0),FALSE),"")</f>
        <v>Quest Item</v>
      </c>
      <c r="C544" s="18" t="str">
        <f>IFERROR(VLOOKUP($A544,Equipment!$A$2:$AH1001,MATCH("Type",Equipment!$A$1:$AH$1,0),FALSE),"")</f>
        <v/>
      </c>
      <c r="D544" s="18" t="str">
        <f>IFERROR(VLOOKUP($A544,Equipment!$A$2:$AH1001,MATCH("Slot",Equipment!$A$1:$AH$1,0),FALSE),"")</f>
        <v>Head</v>
      </c>
      <c r="E544" s="20">
        <f>IFERROR(VLOOKUP($A544,Equipment!$A$2:$AH1001,MATCH("LevelReq",Equipment!$A$1:$AH$1,0),FALSE),"")</f>
        <v>200</v>
      </c>
      <c r="F544" s="18" t="str">
        <f>IFERROR(VLOOKUP($A544,Equipconvrt!$A$2:$AH1001,MATCH("Abilities",Equipconvrt!$A$1:$AH$1,0),FALSE),"")</f>
        <v>DEF: +25000, Fire DEF: +10000, Water DEF: +5000, Nature DEF: +25000, Celestial DEF: +10000 ++X2 Firearm damage. ++Weakness Detection: When attacking an enemy with fire vulnerability roll twice and take the higher roll for all attacks against that enemy. +-Forged Paladin Class Only.</v>
      </c>
      <c r="G544" s="20">
        <f>IFERROR(VLOOKUP($A544,Equipment!$A$2:$AD1001,MATCH("Price",Equipment!$A$1:$AH$1,0),FALSE),"")</f>
        <v>111750000</v>
      </c>
      <c r="H544" s="4" t="b">
        <v>1</v>
      </c>
      <c r="I544" s="1" t="str">
        <f>IFERROR(VLOOKUP($A544,Equipment!$A$2:$AH1001,MATCH("EquipLoc",Equipment!$A$1:$AH$1,0),FALSE),"")</f>
        <v>Land of Spira</v>
      </c>
      <c r="W544" s="1" t="str">
        <f>IFERROR(__xludf.DUMMYFUNCTION("""COMPUTED_VALUE"""),"Artemis' Bracer of The Archer Goddess")</f>
        <v>Artemis' Bracer of The Archer Goddess</v>
      </c>
      <c r="X544" s="1" t="str">
        <f t="shared" si="1"/>
        <v/>
      </c>
    </row>
    <row r="545">
      <c r="A545" s="1" t="s">
        <v>1051</v>
      </c>
      <c r="B545" s="18" t="str">
        <f>IFERROR(VLOOKUP($A545,Equipment!$A$2:$AH1001,MATCH("Description",Equipment!$A$1:$AH$1,0),FALSE),"")</f>
        <v>Quest Item</v>
      </c>
      <c r="C545" s="18" t="str">
        <f>IFERROR(VLOOKUP($A545,Equipment!$A$2:$AH1001,MATCH("Type",Equipment!$A$1:$AH$1,0),FALSE),"")</f>
        <v/>
      </c>
      <c r="D545" s="18" t="str">
        <f>IFERROR(VLOOKUP($A545,Equipment!$A$2:$AH1001,MATCH("Slot",Equipment!$A$1:$AH$1,0),FALSE),"")</f>
        <v>Shoulders</v>
      </c>
      <c r="E545" s="20">
        <f>IFERROR(VLOOKUP($A545,Equipment!$A$2:$AH1001,MATCH("LevelReq",Equipment!$A$1:$AH$1,0),FALSE),"")</f>
        <v>200</v>
      </c>
      <c r="F545" s="18" t="str">
        <f>IFERROR(VLOOKUP($A545,Equipconvrt!$A$2:$AH1001,MATCH("Abilities",Equipconvrt!$A$1:$AH$1,0),FALSE),"")</f>
        <v>DEF: +25000, Fire DEF: +10000, Water DEF: +5000, Nature DEF: +25000, Celestial DEF: +10000 ++When hit with a non-natural attack inflict the attacker with Burn 1000 for 3 rounds +-Forged Paladin Class Only.</v>
      </c>
      <c r="G545" s="20">
        <f>IFERROR(VLOOKUP($A545,Equipment!$A$2:$AD1001,MATCH("Price",Equipment!$A$1:$AH$1,0),FALSE),"")</f>
        <v>111750000</v>
      </c>
      <c r="H545" s="4" t="b">
        <v>1</v>
      </c>
      <c r="I545" s="1" t="str">
        <f>IFERROR(VLOOKUP($A545,Equipment!$A$2:$AH1001,MATCH("EquipLoc",Equipment!$A$1:$AH$1,0),FALSE),"")</f>
        <v>Land of Spira</v>
      </c>
      <c r="W545" s="1" t="str">
        <f>IFERROR(__xludf.DUMMYFUNCTION("""COMPUTED_VALUE"""),"Artemis' Leggings of Divine Agility")</f>
        <v>Artemis' Leggings of Divine Agility</v>
      </c>
      <c r="X545" s="1" t="str">
        <f t="shared" si="1"/>
        <v/>
      </c>
    </row>
    <row r="546">
      <c r="A546" s="1" t="s">
        <v>1052</v>
      </c>
      <c r="B546" s="18" t="str">
        <f>IFERROR(VLOOKUP($A546,Equipment!$A$2:$AH1001,MATCH("Description",Equipment!$A$1:$AH$1,0),FALSE),"")</f>
        <v>Quest Item</v>
      </c>
      <c r="C546" s="18" t="str">
        <f>IFERROR(VLOOKUP($A546,Equipment!$A$2:$AH1001,MATCH("Type",Equipment!$A$1:$AH$1,0),FALSE),"")</f>
        <v/>
      </c>
      <c r="D546" s="18" t="str">
        <f>IFERROR(VLOOKUP($A546,Equipment!$A$2:$AH1001,MATCH("Slot",Equipment!$A$1:$AH$1,0),FALSE),"")</f>
        <v>Torso</v>
      </c>
      <c r="E546" s="20">
        <f>IFERROR(VLOOKUP($A546,Equipment!$A$2:$AH1001,MATCH("LevelReq",Equipment!$A$1:$AH$1,0),FALSE),"")</f>
        <v>200</v>
      </c>
      <c r="F546" s="18" t="str">
        <f>IFERROR(VLOOKUP($A546,Equipconvrt!$A$2:$AH1001,MATCH("Abilities",Equipconvrt!$A$1:$AH$1,0),FALSE),"")</f>
        <v>DEF: +35000, Fire DEF: +15000, Water DEF: +5000, Nature DEF: +30000, Celestial DEF: +15000 ++X4 Fire damage. ++fire immunity +-Forged Paladin Class Only.</v>
      </c>
      <c r="G546" s="20">
        <f>IFERROR(VLOOKUP($A546,Equipment!$A$2:$AD1001,MATCH("Price",Equipment!$A$1:$AH$1,0),FALSE),"")</f>
        <v>199000000</v>
      </c>
      <c r="H546" s="4" t="b">
        <v>1</v>
      </c>
      <c r="I546" s="1" t="str">
        <f>IFERROR(VLOOKUP($A546,Equipment!$A$2:$AH1001,MATCH("EquipLoc",Equipment!$A$1:$AH$1,0),FALSE),"")</f>
        <v>Land of Spira</v>
      </c>
      <c r="W546" s="1" t="str">
        <f>IFERROR(__xludf.DUMMYFUNCTION("""COMPUTED_VALUE"""),"Artemis' Sandals of Divine Speed")</f>
        <v>Artemis' Sandals of Divine Speed</v>
      </c>
      <c r="X546" s="1" t="str">
        <f t="shared" si="1"/>
        <v/>
      </c>
    </row>
    <row r="547">
      <c r="A547" s="1" t="s">
        <v>1053</v>
      </c>
      <c r="B547" s="18" t="str">
        <f>IFERROR(VLOOKUP($A547,Equipment!$A$2:$AH1001,MATCH("Description",Equipment!$A$1:$AH$1,0),FALSE),"")</f>
        <v>Quest Item</v>
      </c>
      <c r="C547" s="18" t="str">
        <f>IFERROR(VLOOKUP($A547,Equipment!$A$2:$AH1001,MATCH("Type",Equipment!$A$1:$AH$1,0),FALSE),"")</f>
        <v/>
      </c>
      <c r="D547" s="18" t="str">
        <f>IFERROR(VLOOKUP($A547,Equipment!$A$2:$AH1001,MATCH("Slot",Equipment!$A$1:$AH$1,0),FALSE),"")</f>
        <v>Arms</v>
      </c>
      <c r="E547" s="20">
        <f>IFERROR(VLOOKUP($A547,Equipment!$A$2:$AH1001,MATCH("LevelReq",Equipment!$A$1:$AH$1,0),FALSE),"")</f>
        <v>200</v>
      </c>
      <c r="F547" s="18" t="str">
        <f>IFERROR(VLOOKUP($A547,Equipconvrt!$A$2:$AH1001,MATCH("Abilities",Equipconvrt!$A$1:$AH$1,0),FALSE),"")</f>
        <v>DEF: +25000, Fire DEF: +10000, Water DEF: +5000, Nature DEF: +25000, Celestial DEF: +10000 ++When attacking with a firearm deal X4 damage. ++The target cannot resist or be immune to fire damage dealt by firearms. +-Forged Paladin Class Only.</v>
      </c>
      <c r="G547" s="20">
        <f>IFERROR(VLOOKUP($A547,Equipment!$A$2:$AD1001,MATCH("Price",Equipment!$A$1:$AH$1,0),FALSE),"")</f>
        <v>111750000</v>
      </c>
      <c r="H547" s="4" t="b">
        <v>1</v>
      </c>
      <c r="I547" s="1" t="str">
        <f>IFERROR(VLOOKUP($A547,Equipment!$A$2:$AH1001,MATCH("EquipLoc",Equipment!$A$1:$AH$1,0),FALSE),"")</f>
        <v>Land of Spira</v>
      </c>
      <c r="W547" s="1" t="str">
        <f>IFERROR(__xludf.DUMMYFUNCTION("""COMPUTED_VALUE"""),"Artemis' Ring")</f>
        <v>Artemis' Ring</v>
      </c>
      <c r="X547" s="1" t="str">
        <f t="shared" si="1"/>
        <v/>
      </c>
    </row>
    <row r="548">
      <c r="A548" s="1" t="s">
        <v>1054</v>
      </c>
      <c r="B548" s="18" t="str">
        <f>IFERROR(VLOOKUP($A548,Equipment!$A$2:$AH1001,MATCH("Description",Equipment!$A$1:$AH$1,0),FALSE),"")</f>
        <v>Quest Item</v>
      </c>
      <c r="C548" s="18" t="str">
        <f>IFERROR(VLOOKUP($A548,Equipment!$A$2:$AH1001,MATCH("Type",Equipment!$A$1:$AH$1,0),FALSE),"")</f>
        <v>Firearm</v>
      </c>
      <c r="D548" s="18" t="str">
        <f>IFERROR(VLOOKUP($A548,Equipment!$A$2:$AH1001,MATCH("Slot",Equipment!$A$1:$AH$1,0),FALSE),"")</f>
        <v>Hand</v>
      </c>
      <c r="E548" s="20">
        <f>IFERROR(VLOOKUP($A548,Equipment!$A$2:$AH1001,MATCH("LevelReq",Equipment!$A$1:$AH$1,0),FALSE),"")</f>
        <v>200</v>
      </c>
      <c r="F548" s="18" t="str">
        <f>IFERROR(VLOOKUP($A548,Equipconvrt!$A$2:$AH1001,MATCH("Abilities",Equipconvrt!$A$1:$AH$1,0),FALSE),"")</f>
        <v>DMG: +50000, Fire DMG: +25000, Celestial DMG: +25000 ++X2 Firearm Damage. ++When equipped with the rest of the Forged Paladin gear deal X6 damage with this weapon. +-Forged Paladin Class Only.</v>
      </c>
      <c r="G548" s="20">
        <f>IFERROR(VLOOKUP($A548,Equipment!$A$2:$AD1001,MATCH("Price",Equipment!$A$1:$AH$1,0),FALSE),"")</f>
        <v>199000000</v>
      </c>
      <c r="H548" s="4" t="b">
        <v>1</v>
      </c>
      <c r="I548" s="1" t="str">
        <f>IFERROR(VLOOKUP($A548,Equipment!$A$2:$AH1001,MATCH("EquipLoc",Equipment!$A$1:$AH$1,0),FALSE),"")</f>
        <v>Land of Spira</v>
      </c>
      <c r="W548" s="1" t="str">
        <f>IFERROR(__xludf.DUMMYFUNCTION("""COMPUTED_VALUE"""),"Artemis' Fang Necklace")</f>
        <v>Artemis' Fang Necklace</v>
      </c>
      <c r="X548" s="1" t="str">
        <f t="shared" si="1"/>
        <v/>
      </c>
    </row>
    <row r="549">
      <c r="A549" s="1" t="s">
        <v>1055</v>
      </c>
      <c r="B549" s="18" t="str">
        <f>IFERROR(VLOOKUP($A549,Equipment!$A$2:$AH1001,MATCH("Description",Equipment!$A$1:$AH$1,0),FALSE),"")</f>
        <v>Quest Item</v>
      </c>
      <c r="C549" s="18" t="str">
        <f>IFERROR(VLOOKUP($A549,Equipment!$A$2:$AH1001,MATCH("Type",Equipment!$A$1:$AH$1,0),FALSE),"")</f>
        <v>Towershield</v>
      </c>
      <c r="D549" s="18" t="str">
        <f>IFERROR(VLOOKUP($A549,Equipment!$A$2:$AH1001,MATCH("Slot",Equipment!$A$1:$AH$1,0),FALSE),"")</f>
        <v>Hand</v>
      </c>
      <c r="E549" s="20">
        <f>IFERROR(VLOOKUP($A549,Equipment!$A$2:$AH1001,MATCH("LevelReq",Equipment!$A$1:$AH$1,0),FALSE),"")</f>
        <v>200</v>
      </c>
      <c r="F549" s="18" t="str">
        <f>IFERROR(VLOOKUP($A549,Equipconvrt!$A$2:$AH1001,MATCH("Abilities",Equipconvrt!$A$1:$AH$1,0),FALSE),"")</f>
        <v>DEF: +50000, Fire DEF: +25000, Water DEF: +15000, Nature DEF: +50000, Celestial DEF: +25000 ++X2 defense. ++When equipped with the rest of the Forged Paladin gear gain X6 defense. +-Forged Paladin Class Only.</v>
      </c>
      <c r="G549" s="20">
        <f>IFERROR(VLOOKUP($A549,Equipment!$A$2:$AD1001,MATCH("Price",Equipment!$A$1:$AH$1,0),FALSE),"")</f>
        <v>542850000</v>
      </c>
      <c r="H549" s="4" t="b">
        <v>1</v>
      </c>
      <c r="I549" s="1" t="str">
        <f>IFERROR(VLOOKUP($A549,Equipment!$A$2:$AH1001,MATCH("EquipLoc",Equipment!$A$1:$AH$1,0),FALSE),"")</f>
        <v>Land of Spira</v>
      </c>
      <c r="W549" s="1" t="str">
        <f>IFERROR(__xludf.DUMMYFUNCTION("""COMPUTED_VALUE"""),"Forged Paladin's Helm")</f>
        <v>Forged Paladin's Helm</v>
      </c>
      <c r="X549" s="1" t="str">
        <f t="shared" si="1"/>
        <v/>
      </c>
    </row>
    <row r="550">
      <c r="A550" s="1" t="s">
        <v>1056</v>
      </c>
      <c r="B550" s="18" t="str">
        <f>IFERROR(VLOOKUP($A550,Equipment!$A$2:$AH1001,MATCH("Description",Equipment!$A$1:$AH$1,0),FALSE),"")</f>
        <v>Quest Item</v>
      </c>
      <c r="C550" s="18" t="str">
        <f>IFERROR(VLOOKUP($A550,Equipment!$A$2:$AH1001,MATCH("Type",Equipment!$A$1:$AH$1,0),FALSE),"")</f>
        <v/>
      </c>
      <c r="D550" s="18" t="str">
        <f>IFERROR(VLOOKUP($A550,Equipment!$A$2:$AH1001,MATCH("Slot",Equipment!$A$1:$AH$1,0),FALSE),"")</f>
        <v>Legs</v>
      </c>
      <c r="E550" s="20">
        <f>IFERROR(VLOOKUP($A550,Equipment!$A$2:$AH1001,MATCH("LevelReq",Equipment!$A$1:$AH$1,0),FALSE),"")</f>
        <v>200</v>
      </c>
      <c r="F550" s="18" t="str">
        <f>IFERROR(VLOOKUP($A550,Equipconvrt!$A$2:$AH1001,MATCH("Abilities",Equipconvrt!$A$1:$AH$1,0),FALSE),"")</f>
        <v>DEF: +25000, Fire DEF: +10000, Water DEF: +5000, Nature DEF: +25000, Celestial DEF: +10000 ++When affected by Burn, Heal by the damage instead. +-Forged Paladin Class Only.</v>
      </c>
      <c r="G550" s="20">
        <f>IFERROR(VLOOKUP($A550,Equipment!$A$2:$AD1001,MATCH("Price",Equipment!$A$1:$AH$1,0),FALSE),"")</f>
        <v>111750000</v>
      </c>
      <c r="H550" s="4" t="b">
        <v>1</v>
      </c>
      <c r="I550" s="1" t="str">
        <f>IFERROR(VLOOKUP($A550,Equipment!$A$2:$AH1001,MATCH("EquipLoc",Equipment!$A$1:$AH$1,0),FALSE),"")</f>
        <v>Land of Spira</v>
      </c>
      <c r="W550" s="1" t="str">
        <f>IFERROR(__xludf.DUMMYFUNCTION("""COMPUTED_VALUE"""),"Forged Paladin's Pauldrons")</f>
        <v>Forged Paladin's Pauldrons</v>
      </c>
      <c r="X550" s="1" t="str">
        <f t="shared" si="1"/>
        <v/>
      </c>
    </row>
    <row r="551">
      <c r="A551" s="1" t="s">
        <v>1057</v>
      </c>
      <c r="B551" s="18" t="str">
        <f>IFERROR(VLOOKUP($A551,Equipment!$A$2:$AH1001,MATCH("Description",Equipment!$A$1:$AH$1,0),FALSE),"")</f>
        <v>Quest Item</v>
      </c>
      <c r="C551" s="18" t="str">
        <f>IFERROR(VLOOKUP($A551,Equipment!$A$2:$AH1001,MATCH("Type",Equipment!$A$1:$AH$1,0),FALSE),"")</f>
        <v/>
      </c>
      <c r="D551" s="18" t="str">
        <f>IFERROR(VLOOKUP($A551,Equipment!$A$2:$AH1001,MATCH("Slot",Equipment!$A$1:$AH$1,0),FALSE),"")</f>
        <v>Feet</v>
      </c>
      <c r="E551" s="20">
        <f>IFERROR(VLOOKUP($A551,Equipment!$A$2:$AH1001,MATCH("LevelReq",Equipment!$A$1:$AH$1,0),FALSE),"")</f>
        <v>200</v>
      </c>
      <c r="F551" s="18" t="str">
        <f>IFERROR(VLOOKUP($A551,Equipconvrt!$A$2:$AH1001,MATCH("Abilities",Equipconvrt!$A$1:$AH$1,0),FALSE),"")</f>
        <v>DEF: +25000, Fire DEF: +10000, Water DEF: +5000, Nature DEF: +25000, Celestial DEF: +10000 ++When attacking with a fire spell add ++5 to roll. +-Forged Paladin Class Only.</v>
      </c>
      <c r="G551" s="20">
        <f>IFERROR(VLOOKUP($A551,Equipment!$A$2:$AD1001,MATCH("Price",Equipment!$A$1:$AH$1,0),FALSE),"")</f>
        <v>111750000</v>
      </c>
      <c r="H551" s="4" t="b">
        <v>1</v>
      </c>
      <c r="I551" s="1" t="str">
        <f>IFERROR(VLOOKUP($A551,Equipment!$A$2:$AH1001,MATCH("EquipLoc",Equipment!$A$1:$AH$1,0),FALSE),"")</f>
        <v>Land of Spira</v>
      </c>
      <c r="W551" s="1" t="str">
        <f>IFERROR(__xludf.DUMMYFUNCTION("""COMPUTED_VALUE"""),"Forged Paladin's Plate")</f>
        <v>Forged Paladin's Plate</v>
      </c>
      <c r="X551" s="1" t="str">
        <f t="shared" si="1"/>
        <v/>
      </c>
    </row>
    <row r="552">
      <c r="A552" s="1" t="s">
        <v>1058</v>
      </c>
      <c r="B552" s="18" t="str">
        <f>IFERROR(VLOOKUP($A552,Equipment!$A$2:$AH1001,MATCH("Description",Equipment!$A$1:$AH$1,0),FALSE),"")</f>
        <v>Quest Item</v>
      </c>
      <c r="C552" s="18" t="str">
        <f>IFERROR(VLOOKUP($A552,Equipment!$A$2:$AH1001,MATCH("Type",Equipment!$A$1:$AH$1,0),FALSE),"")</f>
        <v/>
      </c>
      <c r="D552" s="18" t="str">
        <f>IFERROR(VLOOKUP($A552,Equipment!$A$2:$AH1001,MATCH("Slot",Equipment!$A$1:$AH$1,0),FALSE),"")</f>
        <v>Ring</v>
      </c>
      <c r="E552" s="20">
        <f>IFERROR(VLOOKUP($A552,Equipment!$A$2:$AH1001,MATCH("LevelReq",Equipment!$A$1:$AH$1,0),FALSE),"")</f>
        <v>1</v>
      </c>
      <c r="F552" s="18" t="str">
        <f>IFERROR(VLOOKUP($A552,Equipconvrt!$A$2:$AH1001,MATCH("Abilities",Equipconvrt!$A$1:$AH$1,0),FALSE),"")</f>
        <v> ++When you attack an enemy with a firearm, inflict Marked 3. +-Forged Paladin Class Only.</v>
      </c>
      <c r="G552" s="20">
        <f>IFERROR(VLOOKUP($A552,Equipment!$A$2:$AD1001,MATCH("Price",Equipment!$A$1:$AH$1,0),FALSE),"")</f>
        <v>0</v>
      </c>
      <c r="H552" s="4" t="b">
        <v>1</v>
      </c>
      <c r="I552" s="1" t="str">
        <f>IFERROR(VLOOKUP($A552,Equipment!$A$2:$AH1001,MATCH("EquipLoc",Equipment!$A$1:$AH$1,0),FALSE),"")</f>
        <v>Land of Spira</v>
      </c>
      <c r="W552" s="1" t="str">
        <f>IFERROR(__xludf.DUMMYFUNCTION("""COMPUTED_VALUE"""),"Forged Paladin's Vambraces")</f>
        <v>Forged Paladin's Vambraces</v>
      </c>
      <c r="X552" s="1" t="str">
        <f t="shared" si="1"/>
        <v/>
      </c>
    </row>
    <row r="553">
      <c r="A553" s="1" t="s">
        <v>1059</v>
      </c>
      <c r="B553" s="18" t="str">
        <f>IFERROR(VLOOKUP($A553,Equipment!$A$2:$AH1001,MATCH("Description",Equipment!$A$1:$AH$1,0),FALSE),"")</f>
        <v>Quest Item</v>
      </c>
      <c r="C553" s="18" t="str">
        <f>IFERROR(VLOOKUP($A553,Equipment!$A$2:$AH1001,MATCH("Type",Equipment!$A$1:$AH$1,0),FALSE),"")</f>
        <v/>
      </c>
      <c r="D553" s="18" t="str">
        <f>IFERROR(VLOOKUP($A553,Equipment!$A$2:$AH1001,MATCH("Slot",Equipment!$A$1:$AH$1,0),FALSE),"")</f>
        <v>Neck</v>
      </c>
      <c r="E553" s="20">
        <f>IFERROR(VLOOKUP($A553,Equipment!$A$2:$AH1001,MATCH("LevelReq",Equipment!$A$1:$AH$1,0),FALSE),"")</f>
        <v>1</v>
      </c>
      <c r="F553" s="18" t="str">
        <f>IFERROR(VLOOKUP($A553,Equipconvrt!$A$2:$AH1001,MATCH("Abilities",Equipconvrt!$A$1:$AH$1,0),FALSE),"")</f>
        <v> ++When being attacked with any form of firearm deal half damage back to the enemy that attacked you. +-Forged Paladin Class Only.</v>
      </c>
      <c r="G553" s="20">
        <f>IFERROR(VLOOKUP($A553,Equipment!$A$2:$AD1001,MATCH("Price",Equipment!$A$1:$AH$1,0),FALSE),"")</f>
        <v>0</v>
      </c>
      <c r="H553" s="4" t="b">
        <v>1</v>
      </c>
      <c r="I553" s="1" t="str">
        <f>IFERROR(VLOOKUP($A553,Equipment!$A$2:$AH1001,MATCH("EquipLoc",Equipment!$A$1:$AH$1,0),FALSE),"")</f>
        <v>Land of Spira</v>
      </c>
      <c r="W553" s="1" t="str">
        <f>IFERROR(__xludf.DUMMYFUNCTION("""COMPUTED_VALUE"""),"Forged Firearm")</f>
        <v>Forged Firearm</v>
      </c>
      <c r="X553" s="1" t="str">
        <f t="shared" si="1"/>
        <v/>
      </c>
    </row>
    <row r="554">
      <c r="A554" s="1" t="s">
        <v>1060</v>
      </c>
      <c r="B554" s="18" t="str">
        <f>IFERROR(VLOOKUP($A554,Equipment!$A$2:$AH1001,MATCH("Description",Equipment!$A$1:$AH$1,0),FALSE),"")</f>
        <v>Quest Item</v>
      </c>
      <c r="C554" s="18" t="str">
        <f>IFERROR(VLOOKUP($A554,Equipment!$A$2:$AH1001,MATCH("Type",Equipment!$A$1:$AH$1,0),FALSE),"")</f>
        <v/>
      </c>
      <c r="D554" s="18" t="str">
        <f>IFERROR(VLOOKUP($A554,Equipment!$A$2:$AH1001,MATCH("Slot",Equipment!$A$1:$AH$1,0),FALSE),"")</f>
        <v>Head</v>
      </c>
      <c r="E554" s="20">
        <f>IFERROR(VLOOKUP($A554,Equipment!$A$2:$AH1001,MATCH("LevelReq",Equipment!$A$1:$AH$1,0),FALSE),"")</f>
        <v>400</v>
      </c>
      <c r="F554" s="18" t="str">
        <f>IFERROR(VLOOKUP($A554,Equipconvrt!$A$2:$AH1001,MATCH("Abilities",Equipconvrt!$A$1:$AH$1,0),FALSE),"")</f>
        <v>DEF: +20000 ++20,000 ACC and ATK. ++Upon reaching 5 stacks of Disoriented inflict Marked 3 on all enemies. +-Paladin of The Party and Bard Class only.</v>
      </c>
      <c r="G554" s="20">
        <f>IFERROR(VLOOKUP($A554,Equipment!$A$2:$AD1001,MATCH("Price",Equipment!$A$1:$AH$1,0),FALSE),"")</f>
        <v>7800000</v>
      </c>
      <c r="H554" s="4" t="b">
        <v>1</v>
      </c>
      <c r="I554" s="1" t="str">
        <f>IFERROR(VLOOKUP($A554,Equipment!$A$2:$AH1001,MATCH("EquipLoc",Equipment!$A$1:$AH$1,0),FALSE),"")</f>
        <v>Solreach</v>
      </c>
      <c r="W554" s="1" t="str">
        <f>IFERROR(__xludf.DUMMYFUNCTION("""COMPUTED_VALUE"""),"Forged Towershield")</f>
        <v>Forged Towershield</v>
      </c>
      <c r="X554" s="1" t="str">
        <f t="shared" si="1"/>
        <v/>
      </c>
    </row>
    <row r="555">
      <c r="A555" s="1" t="s">
        <v>1061</v>
      </c>
      <c r="B555" s="18" t="str">
        <f>IFERROR(VLOOKUP($A555,Equipment!$A$2:$AH1001,MATCH("Description",Equipment!$A$1:$AH$1,0),FALSE),"")</f>
        <v>Quest Item</v>
      </c>
      <c r="C555" s="18" t="str">
        <f>IFERROR(VLOOKUP($A555,Equipment!$A$2:$AH1001,MATCH("Type",Equipment!$A$1:$AH$1,0),FALSE),"")</f>
        <v/>
      </c>
      <c r="D555" s="18" t="str">
        <f>IFERROR(VLOOKUP($A555,Equipment!$A$2:$AH1001,MATCH("Slot",Equipment!$A$1:$AH$1,0),FALSE),"")</f>
        <v>Shoulders</v>
      </c>
      <c r="E555" s="20">
        <f>IFERROR(VLOOKUP($A555,Equipment!$A$2:$AH1001,MATCH("LevelReq",Equipment!$A$1:$AH$1,0),FALSE),"")</f>
        <v>400</v>
      </c>
      <c r="F555" s="18" t="str">
        <f>IFERROR(VLOOKUP($A555,Equipconvrt!$A$2:$AH1001,MATCH("Abilities",Equipconvrt!$A$1:$AH$1,0),FALSE),"")</f>
        <v>DEF: +20000 ++ 20,000 ACC and ATK. ++When casting any form of buffing spell, double the effects for the rest of the round. +-Paladin of The Party and Bard Class only.</v>
      </c>
      <c r="G555" s="20">
        <f>IFERROR(VLOOKUP($A555,Equipment!$A$2:$AD1001,MATCH("Price",Equipment!$A$1:$AH$1,0),FALSE),"")</f>
        <v>7800000</v>
      </c>
      <c r="H555" s="4" t="b">
        <v>1</v>
      </c>
      <c r="I555" s="1" t="str">
        <f>IFERROR(VLOOKUP($A555,Equipment!$A$2:$AH1001,MATCH("EquipLoc",Equipment!$A$1:$AH$1,0),FALSE),"")</f>
        <v>Solreach</v>
      </c>
      <c r="W555" s="1" t="str">
        <f>IFERROR(__xludf.DUMMYFUNCTION("""COMPUTED_VALUE"""),"Forged Leg guard")</f>
        <v>Forged Leg guard</v>
      </c>
      <c r="X555" s="1" t="str">
        <f t="shared" si="1"/>
        <v/>
      </c>
    </row>
    <row r="556">
      <c r="A556" s="1" t="s">
        <v>1062</v>
      </c>
      <c r="B556" s="18" t="str">
        <f>IFERROR(VLOOKUP($A556,Equipment!$A$2:$AH1001,MATCH("Description",Equipment!$A$1:$AH$1,0),FALSE),"")</f>
        <v>Quest Item</v>
      </c>
      <c r="C556" s="18" t="str">
        <f>IFERROR(VLOOKUP($A556,Equipment!$A$2:$AH1001,MATCH("Type",Equipment!$A$1:$AH$1,0),FALSE),"")</f>
        <v/>
      </c>
      <c r="D556" s="18" t="str">
        <f>IFERROR(VLOOKUP($A556,Equipment!$A$2:$AH1001,MATCH("Slot",Equipment!$A$1:$AH$1,0),FALSE),"")</f>
        <v>Torso</v>
      </c>
      <c r="E556" s="20">
        <f>IFERROR(VLOOKUP($A556,Equipment!$A$2:$AH1001,MATCH("LevelReq",Equipment!$A$1:$AH$1,0),FALSE),"")</f>
        <v>800</v>
      </c>
      <c r="F556" s="18" t="str">
        <f>IFERROR(VLOOKUP($A556,Equipconvrt!$A$2:$AH1001,MATCH("Abilities",Equipconvrt!$A$1:$AH$1,0),FALSE),"")</f>
        <v>DEF: +40000 ++20,000 ACC and ATK. ++Upon surpassing 3 stacks of Disoriented you gain Invigorated until you drop below 3 stacks of Disoriented. +-Paladin of The Party and Bard Class only.</v>
      </c>
      <c r="G556" s="20">
        <f>IFERROR(VLOOKUP($A556,Equipment!$A$2:$AD1001,MATCH("Price",Equipment!$A$1:$AH$1,0),FALSE),"")</f>
        <v>31600000</v>
      </c>
      <c r="H556" s="4" t="b">
        <v>1</v>
      </c>
      <c r="I556" s="1" t="str">
        <f>IFERROR(VLOOKUP($A556,Equipment!$A$2:$AH1001,MATCH("EquipLoc",Equipment!$A$1:$AH$1,0),FALSE),"")</f>
        <v>Solreach</v>
      </c>
      <c r="W556" s="1" t="str">
        <f>IFERROR(__xludf.DUMMYFUNCTION("""COMPUTED_VALUE"""),"Forged Sabatons")</f>
        <v>Forged Sabatons</v>
      </c>
      <c r="X556" s="1" t="str">
        <f t="shared" si="1"/>
        <v/>
      </c>
    </row>
    <row r="557">
      <c r="A557" s="1" t="s">
        <v>1063</v>
      </c>
      <c r="B557" s="18" t="str">
        <f>IFERROR(VLOOKUP($A557,Equipment!$A$2:$AH1001,MATCH("Description",Equipment!$A$1:$AH$1,0),FALSE),"")</f>
        <v>Quest Item</v>
      </c>
      <c r="C557" s="18" t="str">
        <f>IFERROR(VLOOKUP($A557,Equipment!$A$2:$AH1001,MATCH("Type",Equipment!$A$1:$AH$1,0),FALSE),"")</f>
        <v/>
      </c>
      <c r="D557" s="18" t="str">
        <f>IFERROR(VLOOKUP($A557,Equipment!$A$2:$AH1001,MATCH("Slot",Equipment!$A$1:$AH$1,0),FALSE),"")</f>
        <v>Arms</v>
      </c>
      <c r="E557" s="20">
        <f>IFERROR(VLOOKUP($A557,Equipment!$A$2:$AH1001,MATCH("LevelReq",Equipment!$A$1:$AH$1,0),FALSE),"")</f>
        <v>400</v>
      </c>
      <c r="F557" s="18" t="str">
        <f>IFERROR(VLOOKUP($A557,Equipconvrt!$A$2:$AH1001,MATCH("Abilities",Equipconvrt!$A$1:$AH$1,0),FALSE),"")</f>
        <v>DEF: +20000 ++20,000 ACC and ATK. ++When using the entire Minstrel set you Double the DEF, ACC, and ATK of all allies. +-Paladin of The Party and Bard Class only.</v>
      </c>
      <c r="G557" s="20">
        <f>IFERROR(VLOOKUP($A557,Equipment!$A$2:$AD1001,MATCH("Price",Equipment!$A$1:$AH$1,0),FALSE),"")</f>
        <v>7800000</v>
      </c>
      <c r="H557" s="4" t="b">
        <v>1</v>
      </c>
      <c r="I557" s="1" t="str">
        <f>IFERROR(VLOOKUP($A557,Equipment!$A$2:$AH1001,MATCH("EquipLoc",Equipment!$A$1:$AH$1,0),FALSE),"")</f>
        <v>Solreach</v>
      </c>
      <c r="W557" s="1" t="str">
        <f>IFERROR(__xludf.DUMMYFUNCTION("""COMPUTED_VALUE"""),"Scrap Ring")</f>
        <v>Scrap Ring</v>
      </c>
      <c r="X557" s="1" t="str">
        <f t="shared" si="1"/>
        <v/>
      </c>
    </row>
    <row r="558">
      <c r="A558" s="1" t="s">
        <v>1064</v>
      </c>
      <c r="B558" s="18" t="str">
        <f>IFERROR(VLOOKUP($A558,Equipment!$A$2:$AH1001,MATCH("Description",Equipment!$A$1:$AH$1,0),FALSE),"")</f>
        <v>Quest Item</v>
      </c>
      <c r="C558" s="18" t="str">
        <f>IFERROR(VLOOKUP($A558,Equipment!$A$2:$AH1001,MATCH("Type",Equipment!$A$1:$AH$1,0),FALSE),"")</f>
        <v>Instrument</v>
      </c>
      <c r="D558" s="18" t="str">
        <f>IFERROR(VLOOKUP($A558,Equipment!$A$2:$AH1001,MATCH("Slot",Equipment!$A$1:$AH$1,0),FALSE),"")</f>
        <v>Hand</v>
      </c>
      <c r="E558" s="20">
        <f>IFERROR(VLOOKUP($A558,Equipment!$A$2:$AH1001,MATCH("LevelReq",Equipment!$A$1:$AH$1,0),FALSE),"")</f>
        <v>900</v>
      </c>
      <c r="F558" s="18" t="str">
        <f>IFERROR(VLOOKUP($A558,Equipconvrt!$A$2:$AH1001,MATCH("Abilities",Equipconvrt!$A$1:$AH$1,0),FALSE),"")</f>
        <v>DMG: +20000, Acoustic DMG: +25000 ++When attacking an enemy with this weapon gain 1 stack of Disoriented. ++May The Show Go On!: Expend all stacks of Disoriented dealing X*15000 Acoustic Damage for every stack of Disoriented expended,100 sp. +-Paladin of The Party and Bard Class only.</v>
      </c>
      <c r="G558" s="20">
        <f>IFERROR(VLOOKUP($A558,Equipment!$A$2:$AD1001,MATCH("Price",Equipment!$A$1:$AH$1,0),FALSE),"")</f>
        <v>40050000</v>
      </c>
      <c r="H558" s="4" t="b">
        <v>1</v>
      </c>
      <c r="I558" s="1" t="str">
        <f>IFERROR(VLOOKUP($A558,Equipment!$A$2:$AH1001,MATCH("EquipLoc",Equipment!$A$1:$AH$1,0),FALSE),"")</f>
        <v>Solreach</v>
      </c>
      <c r="W558" s="1" t="str">
        <f>IFERROR(__xludf.DUMMYFUNCTION("""COMPUTED_VALUE"""),"Scrap Gorget")</f>
        <v>Scrap Gorget</v>
      </c>
      <c r="X558" s="1" t="str">
        <f t="shared" si="1"/>
        <v/>
      </c>
    </row>
    <row r="559">
      <c r="A559" s="1" t="s">
        <v>1065</v>
      </c>
      <c r="B559" s="18" t="str">
        <f>IFERROR(VLOOKUP($A559,Equipment!$A$2:$AH1001,MATCH("Description",Equipment!$A$1:$AH$1,0),FALSE),"")</f>
        <v>Quest Item</v>
      </c>
      <c r="C559" s="18" t="str">
        <f>IFERROR(VLOOKUP($A559,Equipment!$A$2:$AH1001,MATCH("Type",Equipment!$A$1:$AH$1,0),FALSE),"")</f>
        <v>Buckler</v>
      </c>
      <c r="D559" s="18" t="str">
        <f>IFERROR(VLOOKUP($A559,Equipment!$A$2:$AH1001,MATCH("Slot",Equipment!$A$1:$AH$1,0),FALSE),"")</f>
        <v>Hand</v>
      </c>
      <c r="E559" s="20">
        <f>IFERROR(VLOOKUP($A559,Equipment!$A$2:$AH1001,MATCH("LevelReq",Equipment!$A$1:$AH$1,0),FALSE),"")</f>
        <v>1500</v>
      </c>
      <c r="F559" s="18" t="str">
        <f>IFERROR(VLOOKUP($A559,Equipconvrt!$A$2:$AH1001,MATCH("Abilities",Equipconvrt!$A$1:$AH$1,0),FALSE),"")</f>
        <v>DEF: +50000, Acoustic DEF: +25000 ++Free Wine for All!: When hitting an enemy with this Buckler inflict 3 stacks of Disoriented on that enemy. +-That all you got?: When hit by any attack take 2 stacks of Disoriented. +-Paladin of The Party and Bard Class only.</v>
      </c>
      <c r="G559" s="20">
        <f>IFERROR(VLOOKUP($A559,Equipment!$A$2:$AD1001,MATCH("Price",Equipment!$A$1:$AH$1,0),FALSE),"")</f>
        <v>111750000</v>
      </c>
      <c r="H559" s="4" t="b">
        <v>1</v>
      </c>
      <c r="I559" s="1" t="str">
        <f>IFERROR(VLOOKUP($A559,Equipment!$A$2:$AH1001,MATCH("EquipLoc",Equipment!$A$1:$AH$1,0),FALSE),"")</f>
        <v>Solreach</v>
      </c>
      <c r="W559" s="1" t="str">
        <f>IFERROR(__xludf.DUMMYFUNCTION("""COMPUTED_VALUE"""),"Minstrel's Cap")</f>
        <v>Minstrel's Cap</v>
      </c>
      <c r="X559" s="1" t="str">
        <f t="shared" si="1"/>
        <v/>
      </c>
    </row>
    <row r="560">
      <c r="A560" s="1" t="s">
        <v>1066</v>
      </c>
      <c r="B560" s="18" t="str">
        <f>IFERROR(VLOOKUP($A560,Equipment!$A$2:$AH1001,MATCH("Description",Equipment!$A$1:$AH$1,0),FALSE),"")</f>
        <v>Quest Item</v>
      </c>
      <c r="C560" s="18" t="str">
        <f>IFERROR(VLOOKUP($A560,Equipment!$A$2:$AH1001,MATCH("Type",Equipment!$A$1:$AH$1,0),FALSE),"")</f>
        <v/>
      </c>
      <c r="D560" s="18" t="str">
        <f>IFERROR(VLOOKUP($A560,Equipment!$A$2:$AH1001,MATCH("Slot",Equipment!$A$1:$AH$1,0),FALSE),"")</f>
        <v>Legs</v>
      </c>
      <c r="E560" s="20">
        <f>IFERROR(VLOOKUP($A560,Equipment!$A$2:$AH1001,MATCH("LevelReq",Equipment!$A$1:$AH$1,0),FALSE),"")</f>
        <v>400</v>
      </c>
      <c r="F560" s="18" t="str">
        <f>IFERROR(VLOOKUP($A560,Equipconvrt!$A$2:$AH1001,MATCH("Abilities",Equipconvrt!$A$1:$AH$1,0),FALSE),"")</f>
        <v>DEF: +20000 ++20,000 ACC and ATK. ++X2 Acoustic Damage +-Paladin of The Party and Bard Class only.</v>
      </c>
      <c r="G560" s="20">
        <f>IFERROR(VLOOKUP($A560,Equipment!$A$2:$AD1001,MATCH("Price",Equipment!$A$1:$AH$1,0),FALSE),"")</f>
        <v>7800000</v>
      </c>
      <c r="H560" s="4" t="b">
        <v>1</v>
      </c>
      <c r="I560" s="1" t="str">
        <f>IFERROR(VLOOKUP($A560,Equipment!$A$2:$AH1001,MATCH("EquipLoc",Equipment!$A$1:$AH$1,0),FALSE),"")</f>
        <v>Solreach</v>
      </c>
      <c r="W560" s="1" t="str">
        <f>IFERROR(__xludf.DUMMYFUNCTION("""COMPUTED_VALUE"""),"Minstrel's Cape")</f>
        <v>Minstrel's Cape</v>
      </c>
      <c r="X560" s="1" t="str">
        <f t="shared" si="1"/>
        <v/>
      </c>
    </row>
    <row r="561">
      <c r="A561" s="1" t="s">
        <v>1067</v>
      </c>
      <c r="B561" s="18" t="str">
        <f>IFERROR(VLOOKUP($A561,Equipment!$A$2:$AH1001,MATCH("Description",Equipment!$A$1:$AH$1,0),FALSE),"")</f>
        <v>Quest Item</v>
      </c>
      <c r="C561" s="18" t="str">
        <f>IFERROR(VLOOKUP($A561,Equipment!$A$2:$AH1001,MATCH("Type",Equipment!$A$1:$AH$1,0),FALSE),"")</f>
        <v/>
      </c>
      <c r="D561" s="18" t="str">
        <f>IFERROR(VLOOKUP($A561,Equipment!$A$2:$AH1001,MATCH("Slot",Equipment!$A$1:$AH$1,0),FALSE),"")</f>
        <v>Feet</v>
      </c>
      <c r="E561" s="20">
        <f>IFERROR(VLOOKUP($A561,Equipment!$A$2:$AH1001,MATCH("LevelReq",Equipment!$A$1:$AH$1,0),FALSE),"")</f>
        <v>400</v>
      </c>
      <c r="F561" s="18" t="str">
        <f>IFERROR(VLOOKUP($A561,Equipconvrt!$A$2:$AH1001,MATCH("Abilities",Equipconvrt!$A$1:$AH$1,0),FALSE),"")</f>
        <v>DEF: +20000 ++20,000 ACC and ATK. ++Never Ending Dance of The Divine: Upon reaching 5 stacks of Disoriented inflict Haste 3 to all allies +-Paladin of The Party and Bard Class only.</v>
      </c>
      <c r="G561" s="20">
        <f>IFERROR(VLOOKUP($A561,Equipment!$A$2:$AD1001,MATCH("Price",Equipment!$A$1:$AH$1,0),FALSE),"")</f>
        <v>7800000</v>
      </c>
      <c r="H561" s="4" t="b">
        <v>1</v>
      </c>
      <c r="I561" s="1" t="str">
        <f>IFERROR(VLOOKUP($A561,Equipment!$A$2:$AH1001,MATCH("EquipLoc",Equipment!$A$1:$AH$1,0),FALSE),"")</f>
        <v>Solreach</v>
      </c>
      <c r="W561" s="1" t="str">
        <f>IFERROR(__xludf.DUMMYFUNCTION("""COMPUTED_VALUE"""),"Minstrel's Doublet")</f>
        <v>Minstrel's Doublet</v>
      </c>
      <c r="X561" s="1" t="str">
        <f t="shared" si="1"/>
        <v/>
      </c>
    </row>
    <row r="562">
      <c r="A562" s="4" t="s">
        <v>1068</v>
      </c>
      <c r="B562" s="18" t="str">
        <f>IFERROR(VLOOKUP($A562,Equipment!$A$2:$AH1001,MATCH("Description",Equipment!$A$1:$AH$1,0),FALSE),"")</f>
        <v>Quest Item</v>
      </c>
      <c r="C562" s="18" t="str">
        <f>IFERROR(VLOOKUP($A562,Equipment!$A$2:$AH1001,MATCH("Type",Equipment!$A$1:$AH$1,0),FALSE),"")</f>
        <v/>
      </c>
      <c r="D562" s="18" t="str">
        <f>IFERROR(VLOOKUP($A562,Equipment!$A$2:$AH1001,MATCH("Slot",Equipment!$A$1:$AH$1,0),FALSE),"")</f>
        <v>Ring</v>
      </c>
      <c r="E562" s="20">
        <f>IFERROR(VLOOKUP($A562,Equipment!$A$2:$AH1001,MATCH("LevelReq",Equipment!$A$1:$AH$1,0),FALSE),"")</f>
        <v>1</v>
      </c>
      <c r="F562" s="18" t="str">
        <f>IFERROR(VLOOKUP($A562,Equipconvrt!$A$2:$AH1001,MATCH("Abilities",Equipconvrt!$A$1:$AH$1,0),FALSE),"")</f>
        <v> ++Upon Reaching 10 stacks of Disoriented remove a random enemy from battle whilst also being removed from battle yourself. +-Paladin of The Party and Bard Class only.</v>
      </c>
      <c r="G562" s="20">
        <f>IFERROR(VLOOKUP($A562,Equipment!$A$2:$AD1001,MATCH("Price",Equipment!$A$1:$AH$1,0),FALSE),"")</f>
        <v>0</v>
      </c>
      <c r="H562" s="4" t="b">
        <v>1</v>
      </c>
      <c r="I562" s="1" t="str">
        <f>IFERROR(VLOOKUP($A562,Equipment!$A$2:$AH1001,MATCH("EquipLoc",Equipment!$A$1:$AH$1,0),FALSE),"")</f>
        <v>Solreach</v>
      </c>
      <c r="W562" s="1" t="str">
        <f>IFERROR(__xludf.DUMMYFUNCTION("""COMPUTED_VALUE"""),"Minstrel's Cuffs")</f>
        <v>Minstrel's Cuffs</v>
      </c>
      <c r="X562" s="1" t="str">
        <f t="shared" si="1"/>
        <v/>
      </c>
    </row>
    <row r="563">
      <c r="A563" s="1" t="s">
        <v>1069</v>
      </c>
      <c r="B563" s="18" t="str">
        <f>IFERROR(VLOOKUP($A563,Equipment!$A$2:$AH1001,MATCH("Description",Equipment!$A$1:$AH$1,0),FALSE),"")</f>
        <v>Quest Item</v>
      </c>
      <c r="C563" s="18" t="str">
        <f>IFERROR(VLOOKUP($A563,Equipment!$A$2:$AH1001,MATCH("Type",Equipment!$A$1:$AH$1,0),FALSE),"")</f>
        <v/>
      </c>
      <c r="D563" s="18" t="str">
        <f>IFERROR(VLOOKUP($A563,Equipment!$A$2:$AH1001,MATCH("Slot",Equipment!$A$1:$AH$1,0),FALSE),"")</f>
        <v>Neck</v>
      </c>
      <c r="E563" s="20">
        <f>IFERROR(VLOOKUP($A563,Equipment!$A$2:$AH1001,MATCH("LevelReq",Equipment!$A$1:$AH$1,0),FALSE),"")</f>
        <v>1</v>
      </c>
      <c r="F563" s="18" t="str">
        <f>IFERROR(VLOOKUP($A563,Equipconvrt!$A$2:$AH1001,MATCH("Abilities",Equipconvrt!$A$1:$AH$1,0),FALSE),"")</f>
        <v> ++When dealing Acoustic damage to any enemy there is a 5% chance for that enemy to be pacified for 3 rounds +-Paladin of The Party and Bard Class only.</v>
      </c>
      <c r="G563" s="20">
        <f>IFERROR(VLOOKUP($A563,Equipment!$A$2:$AD1001,MATCH("Price",Equipment!$A$1:$AH$1,0),FALSE),"")</f>
        <v>0</v>
      </c>
      <c r="H563" s="4" t="b">
        <v>1</v>
      </c>
      <c r="I563" s="1" t="str">
        <f>IFERROR(VLOOKUP($A563,Equipment!$A$2:$AH1001,MATCH("EquipLoc",Equipment!$A$1:$AH$1,0),FALSE),"")</f>
        <v>Solreach</v>
      </c>
      <c r="W563" s="1" t="str">
        <f>IFERROR(__xludf.DUMMYFUNCTION("""COMPUTED_VALUE"""),"Heavenly Lute")</f>
        <v>Heavenly Lute</v>
      </c>
      <c r="X563" s="1" t="str">
        <f t="shared" si="1"/>
        <v/>
      </c>
    </row>
    <row r="564">
      <c r="A564" s="1" t="s">
        <v>1070</v>
      </c>
      <c r="B564" s="18" t="str">
        <f>IFERROR(VLOOKUP($A564,Equipment!$A$2:$AH1001,MATCH("Description",Equipment!$A$1:$AH$1,0),FALSE),"")</f>
        <v/>
      </c>
      <c r="C564" s="18" t="str">
        <f>IFERROR(VLOOKUP($A564,Equipment!$A$2:$AH1001,MATCH("Type",Equipment!$A$1:$AH$1,0),FALSE),"")</f>
        <v/>
      </c>
      <c r="D564" s="18" t="str">
        <f>IFERROR(VLOOKUP($A564,Equipment!$A$2:$AH1001,MATCH("Slot",Equipment!$A$1:$AH$1,0),FALSE),"")</f>
        <v>Shoulders</v>
      </c>
      <c r="E564" s="20">
        <f>IFERROR(VLOOKUP($A564,Equipment!$A$2:$AH1001,MATCH("LevelReq",Equipment!$A$1:$AH$1,0),FALSE),"")</f>
        <v>800</v>
      </c>
      <c r="F564" s="18" t="str">
        <f>IFERROR(VLOOKUP($A564,Equipconvrt!$A$2:$AH1001,MATCH("Abilities",Equipconvrt!$A$1:$AH$1,0),FALSE),"")</f>
        <v>DEF: +20000, Water DEF: +20000 ++Waves of Entitlement - x5 additional Water damage</v>
      </c>
      <c r="G564" s="20">
        <f>IFERROR(VLOOKUP($A564,Equipment!$A$2:$AD1001,MATCH("Price",Equipment!$A$1:$AH$1,0),FALSE),"")</f>
        <v>31600000</v>
      </c>
      <c r="H564" s="1" t="b">
        <v>0</v>
      </c>
      <c r="I564" s="1" t="str">
        <f>IFERROR(VLOOKUP($A564,Equipment!$A$2:$AH1001,MATCH("EquipLoc",Equipment!$A$1:$AH$1,0),FALSE),"")</f>
        <v>Land of Spira</v>
      </c>
      <c r="W564" s="1" t="str">
        <f>IFERROR(__xludf.DUMMYFUNCTION("""COMPUTED_VALUE"""),"Wine Stained Buckler With Portable Alcoholism")</f>
        <v>Wine Stained Buckler With Portable Alcoholism</v>
      </c>
      <c r="X564" s="1" t="str">
        <f t="shared" si="1"/>
        <v/>
      </c>
    </row>
    <row r="565">
      <c r="A565" s="1" t="s">
        <v>1071</v>
      </c>
      <c r="B565" s="18" t="str">
        <f>IFERROR(VLOOKUP($A565,Equipment!$A$2:$AH1001,MATCH("Description",Equipment!$A$1:$AH$1,0),FALSE),"")</f>
        <v/>
      </c>
      <c r="C565" s="18" t="str">
        <f>IFERROR(VLOOKUP($A565,Equipment!$A$2:$AH1001,MATCH("Type",Equipment!$A$1:$AH$1,0),FALSE),"")</f>
        <v/>
      </c>
      <c r="D565" s="18" t="str">
        <f>IFERROR(VLOOKUP($A565,Equipment!$A$2:$AH1001,MATCH("Slot",Equipment!$A$1:$AH$1,0),FALSE),"")</f>
        <v>Torso</v>
      </c>
      <c r="E565" s="20">
        <f>IFERROR(VLOOKUP($A565,Equipment!$A$2:$AH1001,MATCH("LevelReq",Equipment!$A$1:$AH$1,0),FALSE),"")</f>
        <v>800</v>
      </c>
      <c r="F565" s="18" t="str">
        <f>IFERROR(VLOOKUP($A565,Equipconvrt!$A$2:$AH1001,MATCH("Abilities",Equipconvrt!$A$1:$AH$1,0),FALSE),"")</f>
        <v>DEF: +20000, Water DEF: +20000 ++Waves of Entitlement - x5 additional Water damage</v>
      </c>
      <c r="G565" s="20">
        <f>IFERROR(VLOOKUP($A565,Equipment!$A$2:$AD1001,MATCH("Price",Equipment!$A$1:$AH$1,0),FALSE),"")</f>
        <v>31600000</v>
      </c>
      <c r="H565" s="1" t="b">
        <v>0</v>
      </c>
      <c r="I565" s="1" t="str">
        <f>IFERROR(VLOOKUP($A565,Equipment!$A$2:$AH1001,MATCH("EquipLoc",Equipment!$A$1:$AH$1,0),FALSE),"")</f>
        <v>Land of Spira</v>
      </c>
      <c r="W565" s="1" t="str">
        <f>IFERROR(__xludf.DUMMYFUNCTION("""COMPUTED_VALUE"""),"Minstrel's Tights")</f>
        <v>Minstrel's Tights</v>
      </c>
      <c r="X565" s="1" t="str">
        <f t="shared" si="1"/>
        <v/>
      </c>
    </row>
    <row r="566">
      <c r="A566" s="1" t="s">
        <v>1072</v>
      </c>
      <c r="B566" s="18" t="str">
        <f>IFERROR(VLOOKUP($A566,Equipment!$A$2:$AH1001,MATCH("Description",Equipment!$A$1:$AH$1,0),FALSE),"")</f>
        <v/>
      </c>
      <c r="C566" s="18" t="str">
        <f>IFERROR(VLOOKUP($A566,Equipment!$A$2:$AH1001,MATCH("Type",Equipment!$A$1:$AH$1,0),FALSE),"")</f>
        <v/>
      </c>
      <c r="D566" s="18" t="str">
        <f>IFERROR(VLOOKUP($A566,Equipment!$A$2:$AH1001,MATCH("Slot",Equipment!$A$1:$AH$1,0),FALSE),"")</f>
        <v>Arms</v>
      </c>
      <c r="E566" s="20">
        <f>IFERROR(VLOOKUP($A566,Equipment!$A$2:$AH1001,MATCH("LevelReq",Equipment!$A$1:$AH$1,0),FALSE),"")</f>
        <v>800</v>
      </c>
      <c r="F566" s="18" t="str">
        <f>IFERROR(VLOOKUP($A566,Equipconvrt!$A$2:$AH1001,MATCH("Abilities",Equipconvrt!$A$1:$AH$1,0),FALSE),"")</f>
        <v>DEF: +20000, Water DEF: +20000 ++Waves of Entitlement - x5 additional Water damage</v>
      </c>
      <c r="G566" s="20">
        <f>IFERROR(VLOOKUP($A566,Equipment!$A$2:$AD1001,MATCH("Price",Equipment!$A$1:$AH$1,0),FALSE),"")</f>
        <v>31600000</v>
      </c>
      <c r="H566" s="1" t="b">
        <v>0</v>
      </c>
      <c r="I566" s="1" t="str">
        <f>IFERROR(VLOOKUP($A566,Equipment!$A$2:$AH1001,MATCH("EquipLoc",Equipment!$A$1:$AH$1,0),FALSE),"")</f>
        <v>Land of Spira</v>
      </c>
      <c r="W566" s="1" t="str">
        <f>IFERROR(__xludf.DUMMYFUNCTION("""COMPUTED_VALUE"""),"Minstrel's Boots")</f>
        <v>Minstrel's Boots</v>
      </c>
      <c r="X566" s="1" t="str">
        <f t="shared" si="1"/>
        <v/>
      </c>
    </row>
    <row r="567">
      <c r="A567" s="1" t="s">
        <v>1073</v>
      </c>
      <c r="B567" s="18" t="str">
        <f>IFERROR(VLOOKUP($A567,Equipment!$A$2:$AH1001,MATCH("Description",Equipment!$A$1:$AH$1,0),FALSE),"")</f>
        <v/>
      </c>
      <c r="C567" s="18" t="str">
        <f>IFERROR(VLOOKUP($A567,Equipment!$A$2:$AH1001,MATCH("Type",Equipment!$A$1:$AH$1,0),FALSE),"")</f>
        <v>Spear</v>
      </c>
      <c r="D567" s="18" t="str">
        <f>IFERROR(VLOOKUP($A567,Equipment!$A$2:$AH1001,MATCH("Slot",Equipment!$A$1:$AH$1,0),FALSE),"")</f>
        <v>Hand</v>
      </c>
      <c r="E567" s="20">
        <f>IFERROR(VLOOKUP($A567,Equipment!$A$2:$AH1001,MATCH("LevelReq",Equipment!$A$1:$AH$1,0),FALSE),"")</f>
        <v>200</v>
      </c>
      <c r="F567" s="18" t="str">
        <f>IFERROR(VLOOKUP($A567,Equipconvrt!$A$2:$AH1001,MATCH("Abilities",Equipconvrt!$A$1:$AH$1,0),FALSE),"")</f>
        <v>DMG: +20000, Water DMG: +20000, Celestial DMG: +20000 ++Waves of Entitlement II - x10 additional Water damage. 20% chance of Slowness 3 to the target. +-Cannot be duplicated</v>
      </c>
      <c r="G567" s="20">
        <f>IFERROR(VLOOKUP($A567,Equipment!$A$2:$AD1001,MATCH("Price",Equipment!$A$1:$AH$1,0),FALSE),"")</f>
        <v>71400000</v>
      </c>
      <c r="H567" s="1" t="b">
        <v>0</v>
      </c>
      <c r="I567" s="1" t="str">
        <f>IFERROR(VLOOKUP($A567,Equipment!$A$2:$AH1001,MATCH("EquipLoc",Equipment!$A$1:$AH$1,0),FALSE),"")</f>
        <v>Land of Spira</v>
      </c>
      <c r="W567" s="1" t="str">
        <f>IFERROR(__xludf.DUMMYFUNCTION("""COMPUTED_VALUE"""),"Brass Ring of Blackout Drunkenness")</f>
        <v>Brass Ring of Blackout Drunkenness</v>
      </c>
      <c r="X567" s="1" t="str">
        <f t="shared" si="1"/>
        <v/>
      </c>
    </row>
    <row r="568">
      <c r="A568" s="1" t="s">
        <v>1074</v>
      </c>
      <c r="B568" s="18" t="str">
        <f>IFERROR(VLOOKUP($A568,Equipment!$A$2:$AH1001,MATCH("Description",Equipment!$A$1:$AH$1,0),FALSE),"")</f>
        <v/>
      </c>
      <c r="C568" s="18" t="str">
        <f>IFERROR(VLOOKUP($A568,Equipment!$A$2:$AH1001,MATCH("Type",Equipment!$A$1:$AH$1,0),FALSE),"")</f>
        <v/>
      </c>
      <c r="D568" s="18" t="str">
        <f>IFERROR(VLOOKUP($A568,Equipment!$A$2:$AH1001,MATCH("Slot",Equipment!$A$1:$AH$1,0),FALSE),"")</f>
        <v>Feet</v>
      </c>
      <c r="E568" s="20">
        <f>IFERROR(VLOOKUP($A568,Equipment!$A$2:$AH1001,MATCH("LevelReq",Equipment!$A$1:$AH$1,0),FALSE),"")</f>
        <v>800</v>
      </c>
      <c r="F568" s="18" t="str">
        <f>IFERROR(VLOOKUP($A568,Equipconvrt!$A$2:$AH1001,MATCH("Abilities",Equipconvrt!$A$1:$AH$1,0),FALSE),"")</f>
        <v>DEF: +20000, Water DEF: +20000 ++Waves of Entitlement - x5 additional Water damage</v>
      </c>
      <c r="G568" s="20">
        <f>IFERROR(VLOOKUP($A568,Equipment!$A$2:$AD1001,MATCH("Price",Equipment!$A$1:$AH$1,0),FALSE),"")</f>
        <v>31600000</v>
      </c>
      <c r="H568" s="1" t="b">
        <v>0</v>
      </c>
      <c r="I568" s="1" t="str">
        <f>IFERROR(VLOOKUP($A568,Equipment!$A$2:$AH1001,MATCH("EquipLoc",Equipment!$A$1:$AH$1,0),FALSE),"")</f>
        <v>Land of Spira</v>
      </c>
      <c r="W568" s="1" t="str">
        <f>IFERROR(__xludf.DUMMYFUNCTION("""COMPUTED_VALUE"""),"Wreath of The Party's Fervor")</f>
        <v>Wreath of The Party's Fervor</v>
      </c>
      <c r="X568" s="1" t="str">
        <f t="shared" si="1"/>
        <v/>
      </c>
    </row>
    <row r="569">
      <c r="A569" s="1" t="s">
        <v>1075</v>
      </c>
      <c r="B569" s="18" t="str">
        <f>IFERROR(VLOOKUP($A569,Equipment!$A$2:$AH1001,MATCH("Description",Equipment!$A$1:$AH$1,0),FALSE),"")</f>
        <v/>
      </c>
      <c r="C569" s="18" t="str">
        <f>IFERROR(VLOOKUP($A569,Equipment!$A$2:$AH1001,MATCH("Type",Equipment!$A$1:$AH$1,0),FALSE),"")</f>
        <v>Knife</v>
      </c>
      <c r="D569" s="18" t="str">
        <f>IFERROR(VLOOKUP($A569,Equipment!$A$2:$AH1001,MATCH("Slot",Equipment!$A$1:$AH$1,0),FALSE),"")</f>
        <v>Hand</v>
      </c>
      <c r="E569" s="20">
        <f>IFERROR(VLOOKUP($A569,Equipment!$A$2:$AH1001,MATCH("LevelReq",Equipment!$A$1:$AH$1,0),FALSE),"")</f>
        <v>1000</v>
      </c>
      <c r="F569" s="18" t="str">
        <f>IFERROR(VLOOKUP($A569,Equipconvrt!$A$2:$AH1001,MATCH("Abilities",Equipconvrt!$A$1:$AH$1,0),FALSE),"")</f>
        <v>DMG: +50000 ++10% chance to steal gilders upon hitting an enemy guilders stolen are equivalent to 1,000*d20</v>
      </c>
      <c r="G569" s="20">
        <f>IFERROR(VLOOKUP($A569,Equipment!$A$2:$AD1001,MATCH("Price",Equipment!$A$1:$AH$1,0),FALSE),"")</f>
        <v>49500000</v>
      </c>
      <c r="H569" s="1" t="b">
        <v>0</v>
      </c>
      <c r="I569" s="1" t="str">
        <f>IFERROR(VLOOKUP($A569,Equipment!$A$2:$AH1001,MATCH("EquipLoc",Equipment!$A$1:$AH$1,0),FALSE),"")</f>
        <v>Land of Spira</v>
      </c>
      <c r="W569" s="1" t="str">
        <f>IFERROR(__xludf.DUMMYFUNCTION("""COMPUTED_VALUE"""),"Pauldrons of Tritonoch")</f>
        <v>Pauldrons of Tritonoch</v>
      </c>
      <c r="X569" s="1" t="str">
        <f t="shared" si="1"/>
        <v/>
      </c>
    </row>
    <row r="570">
      <c r="A570" s="1" t="s">
        <v>1076</v>
      </c>
      <c r="B570" s="18" t="str">
        <f>IFERROR(VLOOKUP($A570,Equipment!$A$2:$AH1001,MATCH("Description",Equipment!$A$1:$AH$1,0),FALSE),"")</f>
        <v/>
      </c>
      <c r="C570" s="18" t="str">
        <f>IFERROR(VLOOKUP($A570,Equipment!$A$2:$AH1001,MATCH("Type",Equipment!$A$1:$AH$1,0),FALSE),"")</f>
        <v/>
      </c>
      <c r="D570" s="18" t="str">
        <f>IFERROR(VLOOKUP($A570,Equipment!$A$2:$AH1001,MATCH("Slot",Equipment!$A$1:$AH$1,0),FALSE),"")</f>
        <v>Head</v>
      </c>
      <c r="E570" s="20">
        <f>IFERROR(VLOOKUP($A570,Equipment!$A$2:$AH1001,MATCH("LevelReq",Equipment!$A$1:$AH$1,0),FALSE),"")</f>
        <v>1000</v>
      </c>
      <c r="F570" s="18" t="str">
        <f>IFERROR(VLOOKUP($A570,Equipconvrt!$A$2:$AH1001,MATCH("Abilities",Equipconvrt!$A$1:$AH$1,0),FALSE),"")</f>
        <v>DEF: +50000</v>
      </c>
      <c r="G570" s="20">
        <f>IFERROR(VLOOKUP($A570,Equipment!$A$2:$AD1001,MATCH("Price",Equipment!$A$1:$AH$1,0),FALSE),"")</f>
        <v>49500000</v>
      </c>
      <c r="H570" s="1" t="b">
        <v>0</v>
      </c>
      <c r="I570" s="1" t="str">
        <f>IFERROR(VLOOKUP($A570,Equipment!$A$2:$AH1001,MATCH("EquipLoc",Equipment!$A$1:$AH$1,0),FALSE),"")</f>
        <v>Land of Spira</v>
      </c>
      <c r="W570" s="1" t="str">
        <f>IFERROR(__xludf.DUMMYFUNCTION("""COMPUTED_VALUE"""),"Chestplate of Tritonoch")</f>
        <v>Chestplate of Tritonoch</v>
      </c>
      <c r="X570" s="1" t="str">
        <f t="shared" si="1"/>
        <v/>
      </c>
    </row>
    <row r="571">
      <c r="A571" s="1" t="s">
        <v>1077</v>
      </c>
      <c r="B571" s="18" t="str">
        <f>IFERROR(VLOOKUP($A571,Equipment!$A$2:$AH1001,MATCH("Description",Equipment!$A$1:$AH$1,0),FALSE),"")</f>
        <v/>
      </c>
      <c r="C571" s="18" t="str">
        <f>IFERROR(VLOOKUP($A571,Equipment!$A$2:$AH1001,MATCH("Type",Equipment!$A$1:$AH$1,0),FALSE),"")</f>
        <v/>
      </c>
      <c r="D571" s="18" t="str">
        <f>IFERROR(VLOOKUP($A571,Equipment!$A$2:$AH1001,MATCH("Slot",Equipment!$A$1:$AH$1,0),FALSE),"")</f>
        <v>Shoulders</v>
      </c>
      <c r="E571" s="20">
        <f>IFERROR(VLOOKUP($A571,Equipment!$A$2:$AH1001,MATCH("LevelReq",Equipment!$A$1:$AH$1,0),FALSE),"")</f>
        <v>1000</v>
      </c>
      <c r="F571" s="18" t="str">
        <f>IFERROR(VLOOKUP($A571,Equipconvrt!$A$2:$AH1001,MATCH("Abilities",Equipconvrt!$A$1:$AH$1,0),FALSE),"")</f>
        <v>DEF: +50000</v>
      </c>
      <c r="G571" s="20">
        <f>IFERROR(VLOOKUP($A571,Equipment!$A$2:$AD1001,MATCH("Price",Equipment!$A$1:$AH$1,0),FALSE),"")</f>
        <v>49500000</v>
      </c>
      <c r="H571" s="1" t="b">
        <v>0</v>
      </c>
      <c r="I571" s="1" t="str">
        <f>IFERROR(VLOOKUP($A571,Equipment!$A$2:$AH1001,MATCH("EquipLoc",Equipment!$A$1:$AH$1,0),FALSE),"")</f>
        <v>Land of Spira</v>
      </c>
      <c r="W571" s="1" t="str">
        <f>IFERROR(__xludf.DUMMYFUNCTION("""COMPUTED_VALUE"""),"Vambraces of Tritonoch")</f>
        <v>Vambraces of Tritonoch</v>
      </c>
      <c r="X571" s="1" t="str">
        <f t="shared" si="1"/>
        <v/>
      </c>
    </row>
    <row r="572">
      <c r="A572" s="1" t="s">
        <v>1078</v>
      </c>
      <c r="B572" s="18" t="str">
        <f>IFERROR(VLOOKUP($A572,Equipment!$A$2:$AH1001,MATCH("Description",Equipment!$A$1:$AH$1,0),FALSE),"")</f>
        <v/>
      </c>
      <c r="C572" s="18" t="str">
        <f>IFERROR(VLOOKUP($A572,Equipment!$A$2:$AH1001,MATCH("Type",Equipment!$A$1:$AH$1,0),FALSE),"")</f>
        <v/>
      </c>
      <c r="D572" s="18" t="str">
        <f>IFERROR(VLOOKUP($A572,Equipment!$A$2:$AH1001,MATCH("Slot",Equipment!$A$1:$AH$1,0),FALSE),"")</f>
        <v>Torso</v>
      </c>
      <c r="E572" s="20">
        <f>IFERROR(VLOOKUP($A572,Equipment!$A$2:$AH1001,MATCH("LevelReq",Equipment!$A$1:$AH$1,0),FALSE),"")</f>
        <v>1000</v>
      </c>
      <c r="F572" s="18" t="str">
        <f>IFERROR(VLOOKUP($A572,Equipconvrt!$A$2:$AH1001,MATCH("Abilities",Equipconvrt!$A$1:$AH$1,0),FALSE),"")</f>
        <v>DEF: +50000 ++X2 damage with Knives</v>
      </c>
      <c r="G572" s="20">
        <f>IFERROR(VLOOKUP($A572,Equipment!$A$2:$AD1001,MATCH("Price",Equipment!$A$1:$AH$1,0),FALSE),"")</f>
        <v>49500000</v>
      </c>
      <c r="H572" s="1" t="b">
        <v>0</v>
      </c>
      <c r="I572" s="1" t="str">
        <f>IFERROR(VLOOKUP($A572,Equipment!$A$2:$AH1001,MATCH("EquipLoc",Equipment!$A$1:$AH$1,0),FALSE),"")</f>
        <v>Land of Spira</v>
      </c>
      <c r="W572" s="1" t="str">
        <f>IFERROR(__xludf.DUMMYFUNCTION("""COMPUTED_VALUE"""),"Trident of Tritonoch")</f>
        <v>Trident of Tritonoch</v>
      </c>
      <c r="X572" s="1" t="str">
        <f t="shared" si="1"/>
        <v/>
      </c>
    </row>
    <row r="573">
      <c r="A573" s="1" t="s">
        <v>1079</v>
      </c>
      <c r="B573" s="18" t="str">
        <f>IFERROR(VLOOKUP($A573,Equipment!$A$2:$AH1001,MATCH("Description",Equipment!$A$1:$AH$1,0),FALSE),"")</f>
        <v/>
      </c>
      <c r="C573" s="18" t="str">
        <f>IFERROR(VLOOKUP($A573,Equipment!$A$2:$AH1001,MATCH("Type",Equipment!$A$1:$AH$1,0),FALSE),"")</f>
        <v/>
      </c>
      <c r="D573" s="18" t="str">
        <f>IFERROR(VLOOKUP($A573,Equipment!$A$2:$AH1001,MATCH("Slot",Equipment!$A$1:$AH$1,0),FALSE),"")</f>
        <v>Arms</v>
      </c>
      <c r="E573" s="20">
        <f>IFERROR(VLOOKUP($A573,Equipment!$A$2:$AH1001,MATCH("LevelReq",Equipment!$A$1:$AH$1,0),FALSE),"")</f>
        <v>1000</v>
      </c>
      <c r="F573" s="18" t="str">
        <f>IFERROR(VLOOKUP($A573,Equipconvrt!$A$2:$AH1001,MATCH("Abilities",Equipconvrt!$A$1:$AH$1,0),FALSE),"")</f>
        <v>DEF: +50000</v>
      </c>
      <c r="G573" s="20">
        <f>IFERROR(VLOOKUP($A573,Equipment!$A$2:$AD1001,MATCH("Price",Equipment!$A$1:$AH$1,0),FALSE),"")</f>
        <v>49500000</v>
      </c>
      <c r="H573" s="1" t="b">
        <v>0</v>
      </c>
      <c r="I573" s="1" t="str">
        <f>IFERROR(VLOOKUP($A573,Equipment!$A$2:$AH1001,MATCH("EquipLoc",Equipment!$A$1:$AH$1,0),FALSE),"")</f>
        <v>Land of Spira</v>
      </c>
      <c r="W573" s="1" t="str">
        <f>IFERROR(__xludf.DUMMYFUNCTION("""COMPUTED_VALUE"""),"Boots of Tritonoch")</f>
        <v>Boots of Tritonoch</v>
      </c>
      <c r="X573" s="1" t="str">
        <f t="shared" si="1"/>
        <v/>
      </c>
    </row>
    <row r="574">
      <c r="A574" s="1" t="s">
        <v>1080</v>
      </c>
      <c r="B574" s="18" t="str">
        <f>IFERROR(VLOOKUP($A574,Equipment!$A$2:$AH1001,MATCH("Description",Equipment!$A$1:$AH$1,0),FALSE),"")</f>
        <v/>
      </c>
      <c r="C574" s="18" t="str">
        <f>IFERROR(VLOOKUP($A574,Equipment!$A$2:$AH1001,MATCH("Type",Equipment!$A$1:$AH$1,0),FALSE),"")</f>
        <v/>
      </c>
      <c r="D574" s="18" t="str">
        <f>IFERROR(VLOOKUP($A574,Equipment!$A$2:$AH1001,MATCH("Slot",Equipment!$A$1:$AH$1,0),FALSE),"")</f>
        <v>Legs</v>
      </c>
      <c r="E574" s="20">
        <f>IFERROR(VLOOKUP($A574,Equipment!$A$2:$AH1001,MATCH("LevelReq",Equipment!$A$1:$AH$1,0),FALSE),"")</f>
        <v>1000</v>
      </c>
      <c r="F574" s="18" t="str">
        <f>IFERROR(VLOOKUP($A574,Equipconvrt!$A$2:$AH1001,MATCH("Abilities",Equipconvrt!$A$1:$AH$1,0),FALSE),"")</f>
        <v>DEF: +50000</v>
      </c>
      <c r="G574" s="20">
        <f>IFERROR(VLOOKUP($A574,Equipment!$A$2:$AD1001,MATCH("Price",Equipment!$A$1:$AH$1,0),FALSE),"")</f>
        <v>49500000</v>
      </c>
      <c r="H574" s="1" t="b">
        <v>0</v>
      </c>
      <c r="I574" s="1" t="str">
        <f>IFERROR(VLOOKUP($A574,Equipment!$A$2:$AH1001,MATCH("EquipLoc",Equipment!$A$1:$AH$1,0),FALSE),"")</f>
        <v>Land of Spira</v>
      </c>
      <c r="W574" s="1" t="str">
        <f>IFERROR(__xludf.DUMMYFUNCTION("""COMPUTED_VALUE"""),"Steel Bandit Dagger")</f>
        <v>Steel Bandit Dagger</v>
      </c>
      <c r="X574" s="1" t="str">
        <f t="shared" si="1"/>
        <v/>
      </c>
    </row>
    <row r="575">
      <c r="A575" s="1" t="s">
        <v>1081</v>
      </c>
      <c r="B575" s="18" t="str">
        <f>IFERROR(VLOOKUP($A575,Equipment!$A$2:$AH1001,MATCH("Description",Equipment!$A$1:$AH$1,0),FALSE),"")</f>
        <v/>
      </c>
      <c r="C575" s="18" t="str">
        <f>IFERROR(VLOOKUP($A575,Equipment!$A$2:$AH1001,MATCH("Type",Equipment!$A$1:$AH$1,0),FALSE),"")</f>
        <v/>
      </c>
      <c r="D575" s="18" t="str">
        <f>IFERROR(VLOOKUP($A575,Equipment!$A$2:$AH1001,MATCH("Slot",Equipment!$A$1:$AH$1,0),FALSE),"")</f>
        <v>Feet</v>
      </c>
      <c r="E575" s="20">
        <f>IFERROR(VLOOKUP($A575,Equipment!$A$2:$AH1001,MATCH("LevelReq",Equipment!$A$1:$AH$1,0),FALSE),"")</f>
        <v>1000</v>
      </c>
      <c r="F575" s="18" t="str">
        <f>IFERROR(VLOOKUP($A575,Equipconvrt!$A$2:$AH1001,MATCH("Abilities",Equipconvrt!$A$1:$AH$1,0),FALSE),"")</f>
        <v>DEF: +50000  ++5 to all confiscate, pickpocket, or take rolls</v>
      </c>
      <c r="G575" s="20">
        <f>IFERROR(VLOOKUP($A575,Equipment!$A$2:$AD1001,MATCH("Price",Equipment!$A$1:$AH$1,0),FALSE),"")</f>
        <v>49500000</v>
      </c>
      <c r="H575" s="1" t="b">
        <v>0</v>
      </c>
      <c r="I575" s="1" t="str">
        <f>IFERROR(VLOOKUP($A575,Equipment!$A$2:$AH1001,MATCH("EquipLoc",Equipment!$A$1:$AH$1,0),FALSE),"")</f>
        <v>Land of Spira</v>
      </c>
      <c r="W575" s="1" t="str">
        <f>IFERROR(__xludf.DUMMYFUNCTION("""COMPUTED_VALUE"""),"Bandit Hide Helm")</f>
        <v>Bandit Hide Helm</v>
      </c>
      <c r="X575" s="1" t="str">
        <f t="shared" si="1"/>
        <v/>
      </c>
    </row>
    <row r="576">
      <c r="A576" s="1" t="s">
        <v>1082</v>
      </c>
      <c r="B576" s="18" t="str">
        <f>IFERROR(VLOOKUP($A576,Equipment!$A$2:$AH1001,MATCH("Description",Equipment!$A$1:$AH$1,0),FALSE),"")</f>
        <v/>
      </c>
      <c r="C576" s="18" t="str">
        <f>IFERROR(VLOOKUP($A576,Equipment!$A$2:$AH1001,MATCH("Type",Equipment!$A$1:$AH$1,0),FALSE),"")</f>
        <v>Club</v>
      </c>
      <c r="D576" s="18" t="str">
        <f>IFERROR(VLOOKUP($A576,Equipment!$A$2:$AH1001,MATCH("Slot",Equipment!$A$1:$AH$1,0),FALSE),"")</f>
        <v>Hand</v>
      </c>
      <c r="E576" s="20">
        <f>IFERROR(VLOOKUP($A576,Equipment!$A$2:$AH1001,MATCH("LevelReq",Equipment!$A$1:$AH$1,0),FALSE),"")</f>
        <v>3000</v>
      </c>
      <c r="F576" s="18" t="str">
        <f>IFERROR(VLOOKUP($A576,Equipconvrt!$A$2:$AH1001,MATCH("Abilities",Equipconvrt!$A$1:$AH$1,0),FALSE),"")</f>
        <v>DMG: +150000 ++10% chance to disarm your enemy when hitting them</v>
      </c>
      <c r="G576" s="20">
        <f>IFERROR(VLOOKUP($A576,Equipment!$A$2:$AD1001,MATCH("Price",Equipment!$A$1:$AH$1,0),FALSE),"")</f>
        <v>448500000</v>
      </c>
      <c r="H576" s="1" t="b">
        <v>0</v>
      </c>
      <c r="I576" s="1" t="str">
        <f>IFERROR(VLOOKUP($A576,Equipment!$A$2:$AH1001,MATCH("EquipLoc",Equipment!$A$1:$AH$1,0),FALSE),"")</f>
        <v>Dragonscale Island</v>
      </c>
      <c r="W576" s="1" t="str">
        <f>IFERROR(__xludf.DUMMYFUNCTION("""COMPUTED_VALUE"""),"Bandit Hide Padding")</f>
        <v>Bandit Hide Padding</v>
      </c>
      <c r="X576" s="1" t="str">
        <f t="shared" si="1"/>
        <v/>
      </c>
    </row>
    <row r="577">
      <c r="A577" s="1" t="s">
        <v>1083</v>
      </c>
      <c r="B577" s="18" t="str">
        <f>IFERROR(VLOOKUP($A577,Equipment!$A$2:$AH1001,MATCH("Description",Equipment!$A$1:$AH$1,0),FALSE),"")</f>
        <v>the tantamount Ninja weapon, requires a level of dexterity you probably don't possess</v>
      </c>
      <c r="C577" s="18" t="str">
        <f>IFERROR(VLOOKUP($A577,Equipment!$A$2:$AH1001,MATCH("Type",Equipment!$A$1:$AH$1,0),FALSE),"")</f>
        <v>Boomerang</v>
      </c>
      <c r="D577" s="18" t="str">
        <f>IFERROR(VLOOKUP($A577,Equipment!$A$2:$AH1001,MATCH("Slot",Equipment!$A$1:$AH$1,0),FALSE),"")</f>
        <v>Hand</v>
      </c>
      <c r="E577" s="20">
        <f>IFERROR(VLOOKUP($A577,Equipment!$A$2:$AH1001,MATCH("LevelReq",Equipment!$A$1:$AH$1,0),FALSE),"")</f>
        <v>1500</v>
      </c>
      <c r="F577" s="18" t="str">
        <f>IFERROR(VLOOKUP($A577,Equipconvrt!$A$2:$AH1001,MATCH("Abilities",Equipconvrt!$A$1:$AH$1,0),FALSE),"")</f>
        <v>DMG: +50000, Blood DMG: +25000 ++Returns when thrown, can throw up to 4 in one attack (roll 1d4 to determine)</v>
      </c>
      <c r="G577" s="20">
        <f>IFERROR(VLOOKUP($A577,Equipment!$A$2:$AD1001,MATCH("Price",Equipment!$A$1:$AH$1,0),FALSE),"")</f>
        <v>111750000</v>
      </c>
      <c r="H577" s="1" t="b">
        <v>0</v>
      </c>
      <c r="I577" s="1" t="str">
        <f>IFERROR(VLOOKUP($A577,Equipment!$A$2:$AH1001,MATCH("EquipLoc",Equipment!$A$1:$AH$1,0),FALSE),"")</f>
        <v>Dragonscale Island</v>
      </c>
      <c r="W577" s="1" t="str">
        <f>IFERROR(__xludf.DUMMYFUNCTION("""COMPUTED_VALUE"""),"Bandit Hide Chestplate")</f>
        <v>Bandit Hide Chestplate</v>
      </c>
      <c r="X577" s="1" t="str">
        <f t="shared" si="1"/>
        <v/>
      </c>
    </row>
    <row r="578">
      <c r="A578" s="1" t="s">
        <v>1084</v>
      </c>
      <c r="B578" s="18" t="str">
        <f>IFERROR(VLOOKUP($A578,Equipment!$A$2:$AH1001,MATCH("Description",Equipment!$A$1:$AH$1,0),FALSE),"")</f>
        <v>Poisoners first, and most trusty weapon. Nearly as old as the poison masters themselves these weapons have been part of the </v>
      </c>
      <c r="C578" s="18" t="str">
        <f>IFERROR(VLOOKUP($A578,Equipment!$A$2:$AH1001,MATCH("Type",Equipment!$A$1:$AH$1,0),FALSE),"")</f>
        <v>Firearm</v>
      </c>
      <c r="D578" s="18" t="str">
        <f>IFERROR(VLOOKUP($A578,Equipment!$A$2:$AH1001,MATCH("Slot",Equipment!$A$1:$AH$1,0),FALSE),"")</f>
        <v>Hand</v>
      </c>
      <c r="E578" s="20">
        <f>IFERROR(VLOOKUP($A578,Equipment!$A$2:$AH1001,MATCH("LevelReq",Equipment!$A$1:$AH$1,0),FALSE),"")</f>
        <v>2000</v>
      </c>
      <c r="F578" s="18" t="str">
        <f>IFERROR(VLOOKUP($A578,Equipconvrt!$A$2:$AH1001,MATCH("Abilities",Equipconvrt!$A$1:$AH$1,0),FALSE),"")</f>
        <v>DMG: +75000, Voodoo DMG: +25000 ++Inflicts Poison 2500 for 2 rounds. ++Uses darts as ammo</v>
      </c>
      <c r="G578" s="20">
        <f>IFERROR(VLOOKUP($A578,Equipment!$A$2:$AD1001,MATCH("Price",Equipment!$A$1:$AH$1,0),FALSE),"")</f>
        <v>199000000</v>
      </c>
      <c r="H578" s="1" t="b">
        <v>0</v>
      </c>
      <c r="I578" s="1" t="str">
        <f>IFERROR(VLOOKUP($A578,Equipment!$A$2:$AH1001,MATCH("EquipLoc",Equipment!$A$1:$AH$1,0),FALSE),"")</f>
        <v>Dragonscale Island</v>
      </c>
      <c r="W578" s="1" t="str">
        <f>IFERROR(__xludf.DUMMYFUNCTION("""COMPUTED_VALUE"""),"Bandit Hide Vambraces")</f>
        <v>Bandit Hide Vambraces</v>
      </c>
      <c r="X578" s="1" t="str">
        <f t="shared" si="1"/>
        <v/>
      </c>
    </row>
    <row r="579">
      <c r="A579" s="1" t="s">
        <v>1085</v>
      </c>
      <c r="B579" s="18" t="str">
        <f>IFERROR(VLOOKUP($A579,Equipment!$A$2:$AH1001,MATCH("Description",Equipment!$A$1:$AH$1,0),FALSE),"")</f>
        <v>A needle dipped in master Wushang's thousand poisons or some other Wuxia novel esque bullshit</v>
      </c>
      <c r="C579" s="18" t="str">
        <f>IFERROR(VLOOKUP($A579,Equipment!$A$2:$AH1001,MATCH("Type",Equipment!$A$1:$AH$1,0),FALSE),"")</f>
        <v>Knife</v>
      </c>
      <c r="D579" s="18" t="str">
        <f>IFERROR(VLOOKUP($A579,Equipment!$A$2:$AH1001,MATCH("Slot",Equipment!$A$1:$AH$1,0),FALSE),"")</f>
        <v>Hand</v>
      </c>
      <c r="E579" s="20">
        <f>IFERROR(VLOOKUP($A579,Equipment!$A$2:$AH1001,MATCH("LevelReq",Equipment!$A$1:$AH$1,0),FALSE),"")</f>
        <v>2000</v>
      </c>
      <c r="F579" s="18" t="str">
        <f>IFERROR(VLOOKUP($A579,Equipconvrt!$A$2:$AH1001,MATCH("Abilities",Equipconvrt!$A$1:$AH$1,0),FALSE),"")</f>
        <v>DMG: +75000, Voodoo DMG: +25000 ++When rolling a Natural 19 or 20 deals X3 Damage. ++Inflicts Poison 100</v>
      </c>
      <c r="G579" s="20">
        <f>IFERROR(VLOOKUP($A579,Equipment!$A$2:$AD1001,MATCH("Price",Equipment!$A$1:$AH$1,0),FALSE),"")</f>
        <v>199000000</v>
      </c>
      <c r="H579" s="1" t="b">
        <v>0</v>
      </c>
      <c r="I579" s="1" t="str">
        <f>IFERROR(VLOOKUP($A579,Equipment!$A$2:$AH1001,MATCH("EquipLoc",Equipment!$A$1:$AH$1,0),FALSE),"")</f>
        <v>Dragonscale Island</v>
      </c>
      <c r="W579" s="1" t="str">
        <f>IFERROR(__xludf.DUMMYFUNCTION("""COMPUTED_VALUE"""),"Bandit Hide Greaves")</f>
        <v>Bandit Hide Greaves</v>
      </c>
      <c r="X579" s="1" t="str">
        <f t="shared" si="1"/>
        <v/>
      </c>
    </row>
    <row r="580">
      <c r="A580" s="1" t="s">
        <v>1086</v>
      </c>
      <c r="B580" s="18" t="str">
        <f>IFERROR(VLOOKUP($A580,Equipment!$A$2:$AH1001,MATCH("Description",Equipment!$A$1:$AH$1,0),FALSE),"")</f>
        <v>The sword of weebs and actual samurai alike, surprisingly yes, weebs do exist in Spira</v>
      </c>
      <c r="C580" s="18" t="str">
        <f>IFERROR(VLOOKUP($A580,Equipment!$A$2:$AH1001,MATCH("Type",Equipment!$A$1:$AH$1,0),FALSE),"")</f>
        <v>Sword</v>
      </c>
      <c r="D580" s="18" t="str">
        <f>IFERROR(VLOOKUP($A580,Equipment!$A$2:$AH1001,MATCH("Slot",Equipment!$A$1:$AH$1,0),FALSE),"")</f>
        <v>Hand</v>
      </c>
      <c r="E580" s="20">
        <f>IFERROR(VLOOKUP($A580,Equipment!$A$2:$AH1001,MATCH("LevelReq",Equipment!$A$1:$AH$1,0),FALSE),"")</f>
        <v>2500</v>
      </c>
      <c r="F580" s="18" t="str">
        <f>IFERROR(VLOOKUP($A580,Equipconvrt!$A$2:$AH1001,MATCH("Abilities",Equipconvrt!$A$1:$AH$1,0),FALSE),"")</f>
        <v>DMG: +125000 ++Triples the chance for the sword ability to activate, +-Cannot be Forged</v>
      </c>
      <c r="G580" s="20">
        <f>IFERROR(VLOOKUP($A580,Equipment!$A$2:$AD1001,MATCH("Price",Equipment!$A$1:$AH$1,0),FALSE),"")</f>
        <v>311250000</v>
      </c>
      <c r="H580" s="1" t="b">
        <v>0</v>
      </c>
      <c r="I580" s="1" t="str">
        <f>IFERROR(VLOOKUP($A580,Equipment!$A$2:$AH1001,MATCH("EquipLoc",Equipment!$A$1:$AH$1,0),FALSE),"")</f>
        <v>Dragonscale Island</v>
      </c>
      <c r="W580" s="1" t="str">
        <f>IFERROR(__xludf.DUMMYFUNCTION("""COMPUTED_VALUE"""),"Bandit Hide Boots")</f>
        <v>Bandit Hide Boots</v>
      </c>
      <c r="X580" s="1" t="str">
        <f t="shared" si="1"/>
        <v/>
      </c>
    </row>
    <row r="581">
      <c r="A581" s="1" t="s">
        <v>1087</v>
      </c>
      <c r="B581" s="18" t="str">
        <f>IFERROR(VLOOKUP($A581,Equipment!$A$2:$AH1001,MATCH("Description",Equipment!$A$1:$AH$1,0),FALSE),"")</f>
        <v>Armor given to newbie Ninja's who have yet to choose a master</v>
      </c>
      <c r="C581" s="18" t="str">
        <f>IFERROR(VLOOKUP($A581,Equipment!$A$2:$AH1001,MATCH("Type",Equipment!$A$1:$AH$1,0),FALSE),"")</f>
        <v/>
      </c>
      <c r="D581" s="18" t="str">
        <f>IFERROR(VLOOKUP($A581,Equipment!$A$2:$AH1001,MATCH("Slot",Equipment!$A$1:$AH$1,0),FALSE),"")</f>
        <v>Head</v>
      </c>
      <c r="E581" s="20">
        <f>IFERROR(VLOOKUP($A581,Equipment!$A$2:$AH1001,MATCH("LevelReq",Equipment!$A$1:$AH$1,0),FALSE),"")</f>
        <v>2500</v>
      </c>
      <c r="F581" s="18" t="str">
        <f>IFERROR(VLOOKUP($A581,Equipconvrt!$A$2:$AH1001,MATCH("Abilities",Equipconvrt!$A$1:$AH$1,0),FALSE),"")</f>
        <v>DEF: +125000 ++X2 damage with Knives</v>
      </c>
      <c r="G581" s="20">
        <f>IFERROR(VLOOKUP($A581,Equipment!$A$2:$AD1001,MATCH("Price",Equipment!$A$1:$AH$1,0),FALSE),"")</f>
        <v>311250000</v>
      </c>
      <c r="H581" s="1" t="b">
        <v>0</v>
      </c>
      <c r="I581" s="1" t="str">
        <f>IFERROR(VLOOKUP($A581,Equipment!$A$2:$AH1001,MATCH("EquipLoc",Equipment!$A$1:$AH$1,0),FALSE),"")</f>
        <v>Dragonscale Island</v>
      </c>
      <c r="W581" s="1" t="str">
        <f>IFERROR(__xludf.DUMMYFUNCTION("""COMPUTED_VALUE"""),"Nunchucks")</f>
        <v>Nunchucks</v>
      </c>
      <c r="X581" s="1" t="str">
        <f t="shared" si="1"/>
        <v/>
      </c>
    </row>
    <row r="582">
      <c r="A582" s="1" t="s">
        <v>1088</v>
      </c>
      <c r="B582" s="18" t="str">
        <f>IFERROR(VLOOKUP($A582,Equipment!$A$2:$AH1001,MATCH("Description",Equipment!$A$1:$AH$1,0),FALSE),"")</f>
        <v>Armor given to newbie Ninja's who have yet to choose a master</v>
      </c>
      <c r="C582" s="18" t="str">
        <f>IFERROR(VLOOKUP($A582,Equipment!$A$2:$AH1001,MATCH("Type",Equipment!$A$1:$AH$1,0),FALSE),"")</f>
        <v/>
      </c>
      <c r="D582" s="18" t="str">
        <f>IFERROR(VLOOKUP($A582,Equipment!$A$2:$AH1001,MATCH("Slot",Equipment!$A$1:$AH$1,0),FALSE),"")</f>
        <v>Shoulders</v>
      </c>
      <c r="E582" s="20">
        <f>IFERROR(VLOOKUP($A582,Equipment!$A$2:$AH1001,MATCH("LevelReq",Equipment!$A$1:$AH$1,0),FALSE),"")</f>
        <v>2500</v>
      </c>
      <c r="F582" s="18" t="str">
        <f>IFERROR(VLOOKUP($A582,Equipconvrt!$A$2:$AH1001,MATCH("Abilities",Equipconvrt!$A$1:$AH$1,0),FALSE),"")</f>
        <v>DEF: +125000 ++X2 damage with Knives</v>
      </c>
      <c r="G582" s="20">
        <f>IFERROR(VLOOKUP($A582,Equipment!$A$2:$AD1001,MATCH("Price",Equipment!$A$1:$AH$1,0),FALSE),"")</f>
        <v>311250000</v>
      </c>
      <c r="H582" s="1" t="b">
        <v>0</v>
      </c>
      <c r="I582" s="1" t="str">
        <f>IFERROR(VLOOKUP($A582,Equipment!$A$2:$AH1001,MATCH("EquipLoc",Equipment!$A$1:$AH$1,0),FALSE),"")</f>
        <v>Dragonscale Island</v>
      </c>
      <c r="W582" s="1" t="str">
        <f>IFERROR(__xludf.DUMMYFUNCTION("""COMPUTED_VALUE"""),"Shuriken (Enhanced)")</f>
        <v>Shuriken (Enhanced)</v>
      </c>
      <c r="X582" s="1" t="str">
        <f t="shared" si="1"/>
        <v/>
      </c>
    </row>
    <row r="583">
      <c r="A583" s="1" t="s">
        <v>1089</v>
      </c>
      <c r="B583" s="18" t="str">
        <f>IFERROR(VLOOKUP($A583,Equipment!$A$2:$AH1001,MATCH("Description",Equipment!$A$1:$AH$1,0),FALSE),"")</f>
        <v>Armor given to newbie Ninja's who have yet to choose a master</v>
      </c>
      <c r="C583" s="18" t="str">
        <f>IFERROR(VLOOKUP($A583,Equipment!$A$2:$AH1001,MATCH("Type",Equipment!$A$1:$AH$1,0),FALSE),"")</f>
        <v/>
      </c>
      <c r="D583" s="18" t="str">
        <f>IFERROR(VLOOKUP($A583,Equipment!$A$2:$AH1001,MATCH("Slot",Equipment!$A$1:$AH$1,0),FALSE),"")</f>
        <v>Torso</v>
      </c>
      <c r="E583" s="20">
        <f>IFERROR(VLOOKUP($A583,Equipment!$A$2:$AH1001,MATCH("LevelReq",Equipment!$A$1:$AH$1,0),FALSE),"")</f>
        <v>2500</v>
      </c>
      <c r="F583" s="18" t="str">
        <f>IFERROR(VLOOKUP($A583,Equipconvrt!$A$2:$AH1001,MATCH("Abilities",Equipconvrt!$A$1:$AH$1,0),FALSE),"")</f>
        <v>DEF: +125000 ++X2 damage with Knives</v>
      </c>
      <c r="G583" s="20">
        <f>IFERROR(VLOOKUP($A583,Equipment!$A$2:$AD1001,MATCH("Price",Equipment!$A$1:$AH$1,0),FALSE),"")</f>
        <v>311250000</v>
      </c>
      <c r="H583" s="1" t="b">
        <v>0</v>
      </c>
      <c r="I583" s="1" t="str">
        <f>IFERROR(VLOOKUP($A583,Equipment!$A$2:$AH1001,MATCH("EquipLoc",Equipment!$A$1:$AH$1,0),FALSE),"")</f>
        <v>Dragonscale Island</v>
      </c>
      <c r="W583" s="1" t="str">
        <f>IFERROR(__xludf.DUMMYFUNCTION("""COMPUTED_VALUE"""),"Poison Dart Gun")</f>
        <v>Poison Dart Gun</v>
      </c>
      <c r="X583" s="1" t="str">
        <f t="shared" si="1"/>
        <v/>
      </c>
    </row>
    <row r="584">
      <c r="A584" s="1" t="s">
        <v>1090</v>
      </c>
      <c r="B584" s="18" t="str">
        <f>IFERROR(VLOOKUP($A584,Equipment!$A$2:$AH1001,MATCH("Description",Equipment!$A$1:$AH$1,0),FALSE),"")</f>
        <v>Armor given to newbie Ninja's who have yet to choose a master</v>
      </c>
      <c r="C584" s="18" t="str">
        <f>IFERROR(VLOOKUP($A584,Equipment!$A$2:$AH1001,MATCH("Type",Equipment!$A$1:$AH$1,0),FALSE),"")</f>
        <v/>
      </c>
      <c r="D584" s="18" t="str">
        <f>IFERROR(VLOOKUP($A584,Equipment!$A$2:$AH1001,MATCH("Slot",Equipment!$A$1:$AH$1,0),FALSE),"")</f>
        <v>Arms</v>
      </c>
      <c r="E584" s="20">
        <f>IFERROR(VLOOKUP($A584,Equipment!$A$2:$AH1001,MATCH("LevelReq",Equipment!$A$1:$AH$1,0),FALSE),"")</f>
        <v>2500</v>
      </c>
      <c r="F584" s="18" t="str">
        <f>IFERROR(VLOOKUP($A584,Equipconvrt!$A$2:$AH1001,MATCH("Abilities",Equipconvrt!$A$1:$AH$1,0),FALSE),"")</f>
        <v>DEF: +125000 ++X2 damage with Knives</v>
      </c>
      <c r="G584" s="20">
        <f>IFERROR(VLOOKUP($A584,Equipment!$A$2:$AD1001,MATCH("Price",Equipment!$A$1:$AH$1,0),FALSE),"")</f>
        <v>311250000</v>
      </c>
      <c r="H584" s="1" t="b">
        <v>0</v>
      </c>
      <c r="I584" s="1" t="str">
        <f>IFERROR(VLOOKUP($A584,Equipment!$A$2:$AH1001,MATCH("EquipLoc",Equipment!$A$1:$AH$1,0),FALSE),"")</f>
        <v>Dragonscale Island</v>
      </c>
      <c r="W584" s="1" t="str">
        <f>IFERROR(__xludf.DUMMYFUNCTION("""COMPUTED_VALUE"""),"Poison Tipped Needle")</f>
        <v>Poison Tipped Needle</v>
      </c>
      <c r="X584" s="1" t="str">
        <f t="shared" si="1"/>
        <v/>
      </c>
    </row>
    <row r="585">
      <c r="A585" s="1" t="s">
        <v>1091</v>
      </c>
      <c r="B585" s="18" t="str">
        <f>IFERROR(VLOOKUP($A585,Equipment!$A$2:$AH1001,MATCH("Description",Equipment!$A$1:$AH$1,0),FALSE),"")</f>
        <v>Armor given to newbie Ninja's who have yet to choose a master</v>
      </c>
      <c r="C585" s="18" t="str">
        <f>IFERROR(VLOOKUP($A585,Equipment!$A$2:$AH1001,MATCH("Type",Equipment!$A$1:$AH$1,0),FALSE),"")</f>
        <v/>
      </c>
      <c r="D585" s="18" t="str">
        <f>IFERROR(VLOOKUP($A585,Equipment!$A$2:$AH1001,MATCH("Slot",Equipment!$A$1:$AH$1,0),FALSE),"")</f>
        <v>Legs</v>
      </c>
      <c r="E585" s="20">
        <f>IFERROR(VLOOKUP($A585,Equipment!$A$2:$AH1001,MATCH("LevelReq",Equipment!$A$1:$AH$1,0),FALSE),"")</f>
        <v>2500</v>
      </c>
      <c r="F585" s="18" t="str">
        <f>IFERROR(VLOOKUP($A585,Equipconvrt!$A$2:$AH1001,MATCH("Abilities",Equipconvrt!$A$1:$AH$1,0),FALSE),"")</f>
        <v>DEF: +125000 ++X2 damage with Knives</v>
      </c>
      <c r="G585" s="20">
        <f>IFERROR(VLOOKUP($A585,Equipment!$A$2:$AD1001,MATCH("Price",Equipment!$A$1:$AH$1,0),FALSE),"")</f>
        <v>311250000</v>
      </c>
      <c r="H585" s="1" t="b">
        <v>0</v>
      </c>
      <c r="I585" s="1" t="str">
        <f>IFERROR(VLOOKUP($A585,Equipment!$A$2:$AH1001,MATCH("EquipLoc",Equipment!$A$1:$AH$1,0),FALSE),"")</f>
        <v>Dragonscale Island</v>
      </c>
      <c r="W585" s="1" t="str">
        <f>IFERROR(__xludf.DUMMYFUNCTION("""COMPUTED_VALUE"""),"Katana (Enhanced)")</f>
        <v>Katana (Enhanced)</v>
      </c>
      <c r="X585" s="1" t="str">
        <f t="shared" si="1"/>
        <v/>
      </c>
    </row>
    <row r="586">
      <c r="A586" s="1" t="s">
        <v>1092</v>
      </c>
      <c r="B586" s="18" t="str">
        <f>IFERROR(VLOOKUP($A586,Equipment!$A$2:$AH1001,MATCH("Description",Equipment!$A$1:$AH$1,0),FALSE),"")</f>
        <v>Armor given to newbie Ninja's who have yet to choose a master</v>
      </c>
      <c r="C586" s="18" t="str">
        <f>IFERROR(VLOOKUP($A586,Equipment!$A$2:$AH1001,MATCH("Type",Equipment!$A$1:$AH$1,0),FALSE),"")</f>
        <v/>
      </c>
      <c r="D586" s="18" t="str">
        <f>IFERROR(VLOOKUP($A586,Equipment!$A$2:$AH1001,MATCH("Slot",Equipment!$A$1:$AH$1,0),FALSE),"")</f>
        <v>Feet</v>
      </c>
      <c r="E586" s="20">
        <f>IFERROR(VLOOKUP($A586,Equipment!$A$2:$AH1001,MATCH("LevelReq",Equipment!$A$1:$AH$1,0),FALSE),"")</f>
        <v>2500</v>
      </c>
      <c r="F586" s="18" t="str">
        <f>IFERROR(VLOOKUP($A586,Equipconvrt!$A$2:$AH1001,MATCH("Abilities",Equipconvrt!$A$1:$AH$1,0),FALSE),"")</f>
        <v>DEF: +125000 ++X2 damage with Knives</v>
      </c>
      <c r="G586" s="20">
        <f>IFERROR(VLOOKUP($A586,Equipment!$A$2:$AD1001,MATCH("Price",Equipment!$A$1:$AH$1,0),FALSE),"")</f>
        <v>311250000</v>
      </c>
      <c r="H586" s="1" t="b">
        <v>0</v>
      </c>
      <c r="I586" s="1" t="str">
        <f>IFERROR(VLOOKUP($A586,Equipment!$A$2:$AH1001,MATCH("EquipLoc",Equipment!$A$1:$AH$1,0),FALSE),"")</f>
        <v>Dragonscale Island</v>
      </c>
      <c r="W586" s="1" t="str">
        <f>IFERROR(__xludf.DUMMYFUNCTION("""COMPUTED_VALUE"""),"Ninja Initiate's Cowl")</f>
        <v>Ninja Initiate's Cowl</v>
      </c>
      <c r="X586" s="1" t="str">
        <f t="shared" si="1"/>
        <v/>
      </c>
    </row>
    <row r="587">
      <c r="A587" s="1" t="s">
        <v>1093</v>
      </c>
      <c r="B587" s="18" t="str">
        <f>IFERROR(VLOOKUP($A587,Equipment!$A$2:$AH1001,MATCH("Description",Equipment!$A$1:$AH$1,0),FALSE),"")</f>
        <v>A weapon designed for redirecting an enemies blade and then striking for their vitals</v>
      </c>
      <c r="C587" s="18" t="str">
        <f>IFERROR(VLOOKUP($A587,Equipment!$A$2:$AH1001,MATCH("Type",Equipment!$A$1:$AH$1,0),FALSE),"")</f>
        <v>Knife</v>
      </c>
      <c r="D587" s="18" t="str">
        <f>IFERROR(VLOOKUP($A587,Equipment!$A$2:$AH1001,MATCH("Slot",Equipment!$A$1:$AH$1,0),FALSE),"")</f>
        <v>Hand</v>
      </c>
      <c r="E587" s="20">
        <f>IFERROR(VLOOKUP($A587,Equipment!$A$2:$AH1001,MATCH("LevelReq",Equipment!$A$1:$AH$1,0),FALSE),"")</f>
        <v>2500</v>
      </c>
      <c r="F587" s="18" t="str">
        <f>IFERROR(VLOOKUP($A587,Equipconvrt!$A$2:$AH1001,MATCH("Abilities",Equipconvrt!$A$1:$AH$1,0),FALSE),"")</f>
        <v>DEF: +125000 ++Defensive Fighting: This weapon uses it's DEF as damage for attacks made with the weapon. ++Dastardly Deflection: 25% chance to parry any weapon attacks targeting the user.</v>
      </c>
      <c r="G587" s="20">
        <f>IFERROR(VLOOKUP($A587,Equipment!$A$2:$AD1001,MATCH("Price",Equipment!$A$1:$AH$1,0),FALSE),"")</f>
        <v>311250000</v>
      </c>
      <c r="H587" s="1" t="b">
        <v>0</v>
      </c>
      <c r="I587" s="1" t="str">
        <f>IFERROR(VLOOKUP($A587,Equipment!$A$2:$AH1001,MATCH("EquipLoc",Equipment!$A$1:$AH$1,0),FALSE),"")</f>
        <v>Dragonscale Island</v>
      </c>
      <c r="W587" s="1" t="str">
        <f>IFERROR(__xludf.DUMMYFUNCTION("""COMPUTED_VALUE"""),"Ninja Initiate's Cape")</f>
        <v>Ninja Initiate's Cape</v>
      </c>
      <c r="X587" s="1" t="str">
        <f t="shared" si="1"/>
        <v/>
      </c>
    </row>
    <row r="588">
      <c r="A588" s="1" t="s">
        <v>1094</v>
      </c>
      <c r="B588" s="18" t="str">
        <f>IFERROR(VLOOKUP($A588,Equipment!$A$2:$AH1001,MATCH("Description",Equipment!$A$1:$AH$1,0),FALSE),"")</f>
        <v>The Armor of the Poison masters. Completely covers the bodies of the Poison master which has decayed beyond recognition from their continued usage of poison.</v>
      </c>
      <c r="C588" s="18" t="str">
        <f>IFERROR(VLOOKUP($A588,Equipment!$A$2:$AH1001,MATCH("Type",Equipment!$A$1:$AH$1,0),FALSE),"")</f>
        <v/>
      </c>
      <c r="D588" s="18" t="str">
        <f>IFERROR(VLOOKUP($A588,Equipment!$A$2:$AH1001,MATCH("Slot",Equipment!$A$1:$AH$1,0),FALSE),"")</f>
        <v>Head</v>
      </c>
      <c r="E588" s="20">
        <f>IFERROR(VLOOKUP($A588,Equipment!$A$2:$AH1001,MATCH("LevelReq",Equipment!$A$1:$AH$1,0),FALSE),"")</f>
        <v>2500</v>
      </c>
      <c r="F588" s="18" t="str">
        <f>IFERROR(VLOOKUP($A588,Equipconvrt!$A$2:$AH1001,MATCH("Abilities",Equipconvrt!$A$1:$AH$1,0),FALSE),"")</f>
        <v>DEF: +125000 ++X2 Poison damage</v>
      </c>
      <c r="G588" s="20">
        <f>IFERROR(VLOOKUP($A588,Equipment!$A$2:$AD1001,MATCH("Price",Equipment!$A$1:$AH$1,0),FALSE),"")</f>
        <v>311250000</v>
      </c>
      <c r="H588" s="1" t="b">
        <v>0</v>
      </c>
      <c r="I588" s="1" t="str">
        <f>IFERROR(VLOOKUP($A588,Equipment!$A$2:$AH1001,MATCH("EquipLoc",Equipment!$A$1:$AH$1,0),FALSE),"")</f>
        <v>Dragonscale Island</v>
      </c>
      <c r="W588" s="1" t="str">
        <f>IFERROR(__xludf.DUMMYFUNCTION("""COMPUTED_VALUE"""),"Ninja Initiate's Vest")</f>
        <v>Ninja Initiate's Vest</v>
      </c>
      <c r="X588" s="1" t="str">
        <f t="shared" si="1"/>
        <v/>
      </c>
    </row>
    <row r="589">
      <c r="A589" s="1" t="s">
        <v>1095</v>
      </c>
      <c r="B589" s="18" t="str">
        <f>IFERROR(VLOOKUP($A589,Equipment!$A$2:$AH1001,MATCH("Description",Equipment!$A$1:$AH$1,0),FALSE),"")</f>
        <v>The Armor of the Poison masters. Completely covers the bodies of the Poison master which has decayed beyond recognition from their continued usage of poison.</v>
      </c>
      <c r="C589" s="18" t="str">
        <f>IFERROR(VLOOKUP($A589,Equipment!$A$2:$AH1001,MATCH("Type",Equipment!$A$1:$AH$1,0),FALSE),"")</f>
        <v/>
      </c>
      <c r="D589" s="18" t="str">
        <f>IFERROR(VLOOKUP($A589,Equipment!$A$2:$AH1001,MATCH("Slot",Equipment!$A$1:$AH$1,0),FALSE),"")</f>
        <v>Shoulders</v>
      </c>
      <c r="E589" s="20">
        <f>IFERROR(VLOOKUP($A589,Equipment!$A$2:$AH1001,MATCH("LevelReq",Equipment!$A$1:$AH$1,0),FALSE),"")</f>
        <v>2500</v>
      </c>
      <c r="F589" s="18" t="str">
        <f>IFERROR(VLOOKUP($A589,Equipconvrt!$A$2:$AH1001,MATCH("Abilities",Equipconvrt!$A$1:$AH$1,0),FALSE),"")</f>
        <v>DEF: +125000 ++X2 Poison damage</v>
      </c>
      <c r="G589" s="20">
        <f>IFERROR(VLOOKUP($A589,Equipment!$A$2:$AD1001,MATCH("Price",Equipment!$A$1:$AH$1,0),FALSE),"")</f>
        <v>311250000</v>
      </c>
      <c r="H589" s="1" t="b">
        <v>0</v>
      </c>
      <c r="I589" s="1" t="str">
        <f>IFERROR(VLOOKUP($A589,Equipment!$A$2:$AH1001,MATCH("EquipLoc",Equipment!$A$1:$AH$1,0),FALSE),"")</f>
        <v>Dragonscale Island</v>
      </c>
      <c r="W589" s="1" t="str">
        <f>IFERROR(__xludf.DUMMYFUNCTION("""COMPUTED_VALUE"""),"Ninja Initiate's Gloves")</f>
        <v>Ninja Initiate's Gloves</v>
      </c>
      <c r="X589" s="1" t="str">
        <f t="shared" si="1"/>
        <v/>
      </c>
    </row>
    <row r="590">
      <c r="A590" s="1" t="s">
        <v>1096</v>
      </c>
      <c r="B590" s="18" t="str">
        <f>IFERROR(VLOOKUP($A590,Equipment!$A$2:$AH1001,MATCH("Description",Equipment!$A$1:$AH$1,0),FALSE),"")</f>
        <v>The Armor of the Poison masters. Completely covers the bodies of the Poison master which has decayed beyond recognition from their continued usage of poison.</v>
      </c>
      <c r="C590" s="18" t="str">
        <f>IFERROR(VLOOKUP($A590,Equipment!$A$2:$AH1001,MATCH("Type",Equipment!$A$1:$AH$1,0),FALSE),"")</f>
        <v/>
      </c>
      <c r="D590" s="18" t="str">
        <f>IFERROR(VLOOKUP($A590,Equipment!$A$2:$AH1001,MATCH("Slot",Equipment!$A$1:$AH$1,0),FALSE),"")</f>
        <v>Torso</v>
      </c>
      <c r="E590" s="20">
        <f>IFERROR(VLOOKUP($A590,Equipment!$A$2:$AH1001,MATCH("LevelReq",Equipment!$A$1:$AH$1,0),FALSE),"")</f>
        <v>2500</v>
      </c>
      <c r="F590" s="18" t="str">
        <f>IFERROR(VLOOKUP($A590,Equipconvrt!$A$2:$AH1001,MATCH("Abilities",Equipconvrt!$A$1:$AH$1,0),FALSE),"")</f>
        <v>DEF: +125000</v>
      </c>
      <c r="G590" s="20">
        <f>IFERROR(VLOOKUP($A590,Equipment!$A$2:$AD1001,MATCH("Price",Equipment!$A$1:$AH$1,0),FALSE),"")</f>
        <v>311250000</v>
      </c>
      <c r="H590" s="1" t="b">
        <v>0</v>
      </c>
      <c r="I590" s="1" t="str">
        <f>IFERROR(VLOOKUP($A590,Equipment!$A$2:$AH1001,MATCH("EquipLoc",Equipment!$A$1:$AH$1,0),FALSE),"")</f>
        <v>Dragonscale Island</v>
      </c>
      <c r="W590" s="1" t="str">
        <f>IFERROR(__xludf.DUMMYFUNCTION("""COMPUTED_VALUE"""),"Ninja Initiate's Sarouel")</f>
        <v>Ninja Initiate's Sarouel</v>
      </c>
      <c r="X590" s="1" t="str">
        <f t="shared" si="1"/>
        <v/>
      </c>
    </row>
    <row r="591">
      <c r="A591" s="1" t="s">
        <v>1097</v>
      </c>
      <c r="B591" s="18" t="str">
        <f>IFERROR(VLOOKUP($A591,Equipment!$A$2:$AH1001,MATCH("Description",Equipment!$A$1:$AH$1,0),FALSE),"")</f>
        <v>The Armor of the Poison masters. Completely covers the bodies of the Poison master which has decayed beyond recognition from their continued usage of poison.</v>
      </c>
      <c r="C591" s="18" t="str">
        <f>IFERROR(VLOOKUP($A591,Equipment!$A$2:$AH1001,MATCH("Type",Equipment!$A$1:$AH$1,0),FALSE),"")</f>
        <v/>
      </c>
      <c r="D591" s="18" t="str">
        <f>IFERROR(VLOOKUP($A591,Equipment!$A$2:$AH1001,MATCH("Slot",Equipment!$A$1:$AH$1,0),FALSE),"")</f>
        <v>Arms</v>
      </c>
      <c r="E591" s="20">
        <f>IFERROR(VLOOKUP($A591,Equipment!$A$2:$AH1001,MATCH("LevelReq",Equipment!$A$1:$AH$1,0),FALSE),"")</f>
        <v>2500</v>
      </c>
      <c r="F591" s="18" t="str">
        <f>IFERROR(VLOOKUP($A591,Equipconvrt!$A$2:$AH1001,MATCH("Abilities",Equipconvrt!$A$1:$AH$1,0),FALSE),"")</f>
        <v>DEF: +125000 ++Poison Immunity</v>
      </c>
      <c r="G591" s="20">
        <f>IFERROR(VLOOKUP($A591,Equipment!$A$2:$AD1001,MATCH("Price",Equipment!$A$1:$AH$1,0),FALSE),"")</f>
        <v>311250000</v>
      </c>
      <c r="H591" s="1" t="b">
        <v>0</v>
      </c>
      <c r="I591" s="1" t="str">
        <f>IFERROR(VLOOKUP($A591,Equipment!$A$2:$AH1001,MATCH("EquipLoc",Equipment!$A$1:$AH$1,0),FALSE),"")</f>
        <v>Dragonscale Island</v>
      </c>
      <c r="W591" s="1" t="str">
        <f>IFERROR(__xludf.DUMMYFUNCTION("""COMPUTED_VALUE"""),"Ninja Initiate's Sandals")</f>
        <v>Ninja Initiate's Sandals</v>
      </c>
      <c r="X591" s="1" t="str">
        <f t="shared" si="1"/>
        <v/>
      </c>
    </row>
    <row r="592">
      <c r="A592" s="1" t="s">
        <v>1098</v>
      </c>
      <c r="B592" s="18" t="str">
        <f>IFERROR(VLOOKUP($A592,Equipment!$A$2:$AH1001,MATCH("Description",Equipment!$A$1:$AH$1,0),FALSE),"")</f>
        <v>The Armor of the Poison masters. Completely covers the bodies of the Poison master which has decayed beyond recognition from their continued usage of poison.</v>
      </c>
      <c r="C592" s="18" t="str">
        <f>IFERROR(VLOOKUP($A592,Equipment!$A$2:$AH1001,MATCH("Type",Equipment!$A$1:$AH$1,0),FALSE),"")</f>
        <v/>
      </c>
      <c r="D592" s="18" t="str">
        <f>IFERROR(VLOOKUP($A592,Equipment!$A$2:$AH1001,MATCH("Slot",Equipment!$A$1:$AH$1,0),FALSE),"")</f>
        <v>Legs</v>
      </c>
      <c r="E592" s="20">
        <f>IFERROR(VLOOKUP($A592,Equipment!$A$2:$AH1001,MATCH("LevelReq",Equipment!$A$1:$AH$1,0),FALSE),"")</f>
        <v>2500</v>
      </c>
      <c r="F592" s="18" t="str">
        <f>IFERROR(VLOOKUP($A592,Equipconvrt!$A$2:$AH1001,MATCH("Abilities",Equipconvrt!$A$1:$AH$1,0),FALSE),"")</f>
        <v>DEF: +125000</v>
      </c>
      <c r="G592" s="20">
        <f>IFERROR(VLOOKUP($A592,Equipment!$A$2:$AD1001,MATCH("Price",Equipment!$A$1:$AH$1,0),FALSE),"")</f>
        <v>311250000</v>
      </c>
      <c r="H592" s="1" t="b">
        <v>0</v>
      </c>
      <c r="I592" s="1" t="str">
        <f>IFERROR(VLOOKUP($A592,Equipment!$A$2:$AH1001,MATCH("EquipLoc",Equipment!$A$1:$AH$1,0),FALSE),"")</f>
        <v>Dragonscale Island</v>
      </c>
      <c r="W592" s="1" t="str">
        <f>IFERROR(__xludf.DUMMYFUNCTION("""COMPUTED_VALUE"""),"Sai")</f>
        <v>Sai</v>
      </c>
      <c r="X592" s="1" t="str">
        <f t="shared" si="1"/>
        <v/>
      </c>
    </row>
    <row r="593">
      <c r="A593" s="1" t="s">
        <v>1099</v>
      </c>
      <c r="B593" s="18" t="str">
        <f>IFERROR(VLOOKUP($A593,Equipment!$A$2:$AH1001,MATCH("Description",Equipment!$A$1:$AH$1,0),FALSE),"")</f>
        <v>The Armor of the Poison masters. Completely covers the bodies of the Poison master which has decayed beyond recognition from their continued usage of poison.</v>
      </c>
      <c r="C593" s="18" t="str">
        <f>IFERROR(VLOOKUP($A593,Equipment!$A$2:$AH1001,MATCH("Type",Equipment!$A$1:$AH$1,0),FALSE),"")</f>
        <v/>
      </c>
      <c r="D593" s="18" t="str">
        <f>IFERROR(VLOOKUP($A593,Equipment!$A$2:$AH1001,MATCH("Slot",Equipment!$A$1:$AH$1,0),FALSE),"")</f>
        <v>Feet</v>
      </c>
      <c r="E593" s="20">
        <f>IFERROR(VLOOKUP($A593,Equipment!$A$2:$AH1001,MATCH("LevelReq",Equipment!$A$1:$AH$1,0),FALSE),"")</f>
        <v>2500</v>
      </c>
      <c r="F593" s="18" t="str">
        <f>IFERROR(VLOOKUP($A593,Equipconvrt!$A$2:$AH1001,MATCH("Abilities",Equipconvrt!$A$1:$AH$1,0),FALSE),"")</f>
        <v>DEF: +125000 ++When an enemy is Poisoned gain Haste 3</v>
      </c>
      <c r="G593" s="20">
        <f>IFERROR(VLOOKUP($A593,Equipment!$A$2:$AD1001,MATCH("Price",Equipment!$A$1:$AH$1,0),FALSE),"")</f>
        <v>311250000</v>
      </c>
      <c r="H593" s="1" t="b">
        <v>0</v>
      </c>
      <c r="I593" s="1" t="str">
        <f>IFERROR(VLOOKUP($A593,Equipment!$A$2:$AH1001,MATCH("EquipLoc",Equipment!$A$1:$AH$1,0),FALSE),"")</f>
        <v>Dragonscale Island</v>
      </c>
      <c r="W593" s="1" t="str">
        <f>IFERROR(__xludf.DUMMYFUNCTION("""COMPUTED_VALUE"""),"Poison Master's Mask")</f>
        <v>Poison Master's Mask</v>
      </c>
      <c r="X593" s="1" t="str">
        <f t="shared" si="1"/>
        <v/>
      </c>
    </row>
    <row r="594">
      <c r="A594" s="1" t="s">
        <v>1100</v>
      </c>
      <c r="B594" s="18" t="str">
        <f>IFERROR(VLOOKUP($A594,Equipment!$A$2:$AH1001,MATCH("Description",Equipment!$A$1:$AH$1,0),FALSE),"")</f>
        <v>The armor of intermediate ninja's who have decided to pursue the art of the ambush to the extreme</v>
      </c>
      <c r="C594" s="18" t="str">
        <f>IFERROR(VLOOKUP($A594,Equipment!$A$2:$AH1001,MATCH("Type",Equipment!$A$1:$AH$1,0),FALSE),"")</f>
        <v/>
      </c>
      <c r="D594" s="18" t="str">
        <f>IFERROR(VLOOKUP($A594,Equipment!$A$2:$AH1001,MATCH("Slot",Equipment!$A$1:$AH$1,0),FALSE),"")</f>
        <v>Head</v>
      </c>
      <c r="E594" s="20">
        <f>IFERROR(VLOOKUP($A594,Equipment!$A$2:$AH1001,MATCH("LevelReq",Equipment!$A$1:$AH$1,0),FALSE),"")</f>
        <v>2500</v>
      </c>
      <c r="F594" s="18" t="str">
        <f>IFERROR(VLOOKUP($A594,Equipconvrt!$A$2:$AH1001,MATCH("Abilities",Equipconvrt!$A$1:$AH$1,0),FALSE),"")</f>
        <v>DEF: +125000 ++Conceal is Guaranteed to cast if the last action you took was a weapon attack</v>
      </c>
      <c r="G594" s="20">
        <f>IFERROR(VLOOKUP($A594,Equipment!$A$2:$AD1001,MATCH("Price",Equipment!$A$1:$AH$1,0),FALSE),"")</f>
        <v>311250000</v>
      </c>
      <c r="H594" s="1" t="b">
        <v>0</v>
      </c>
      <c r="I594" s="1" t="str">
        <f>IFERROR(VLOOKUP($A594,Equipment!$A$2:$AH1001,MATCH("EquipLoc",Equipment!$A$1:$AH$1,0),FALSE),"")</f>
        <v>Dragonscale Island</v>
      </c>
      <c r="W594" s="1" t="str">
        <f>IFERROR(__xludf.DUMMYFUNCTION("""COMPUTED_VALUE"""),"Poison Master's Cape")</f>
        <v>Poison Master's Cape</v>
      </c>
      <c r="X594" s="1" t="str">
        <f t="shared" si="1"/>
        <v/>
      </c>
    </row>
    <row r="595">
      <c r="A595" s="1" t="s">
        <v>1101</v>
      </c>
      <c r="B595" s="18" t="str">
        <f>IFERROR(VLOOKUP($A595,Equipment!$A$2:$AH1001,MATCH("Description",Equipment!$A$1:$AH$1,0),FALSE),"")</f>
        <v>The armor of intermediate ninja's who have decided to pursue the art of the ambush to the extreme</v>
      </c>
      <c r="C595" s="18" t="str">
        <f>IFERROR(VLOOKUP($A595,Equipment!$A$2:$AH1001,MATCH("Type",Equipment!$A$1:$AH$1,0),FALSE),"")</f>
        <v/>
      </c>
      <c r="D595" s="18" t="str">
        <f>IFERROR(VLOOKUP($A595,Equipment!$A$2:$AH1001,MATCH("Slot",Equipment!$A$1:$AH$1,0),FALSE),"")</f>
        <v>Shoulders</v>
      </c>
      <c r="E595" s="20">
        <f>IFERROR(VLOOKUP($A595,Equipment!$A$2:$AH1001,MATCH("LevelReq",Equipment!$A$1:$AH$1,0),FALSE),"")</f>
        <v>2500</v>
      </c>
      <c r="F595" s="18" t="str">
        <f>IFERROR(VLOOKUP($A595,Equipconvrt!$A$2:$AH1001,MATCH("Abilities",Equipconvrt!$A$1:$AH$1,0),FALSE),"")</f>
        <v>DEF: +125000 ++Conceal: upon entering combat you are invulnerable for 1 round or until you attack</v>
      </c>
      <c r="G595" s="20">
        <f>IFERROR(VLOOKUP($A595,Equipment!$A$2:$AD1001,MATCH("Price",Equipment!$A$1:$AH$1,0),FALSE),"")</f>
        <v>311250000</v>
      </c>
      <c r="H595" s="1" t="b">
        <v>0</v>
      </c>
      <c r="I595" s="1" t="str">
        <f>IFERROR(VLOOKUP($A595,Equipment!$A$2:$AH1001,MATCH("EquipLoc",Equipment!$A$1:$AH$1,0),FALSE),"")</f>
        <v>Dragonscale Island</v>
      </c>
      <c r="W595" s="1" t="str">
        <f>IFERROR(__xludf.DUMMYFUNCTION("""COMPUTED_VALUE"""),"Poison Master's Robe")</f>
        <v>Poison Master's Robe</v>
      </c>
      <c r="X595" s="1" t="str">
        <f t="shared" si="1"/>
        <v/>
      </c>
    </row>
    <row r="596">
      <c r="A596" s="1" t="s">
        <v>1102</v>
      </c>
      <c r="B596" s="18" t="str">
        <f>IFERROR(VLOOKUP($A596,Equipment!$A$2:$AH1001,MATCH("Description",Equipment!$A$1:$AH$1,0),FALSE),"")</f>
        <v>The armor of intermediate ninja's who have decided to pursue the art of the ambush to the extreme</v>
      </c>
      <c r="C596" s="18" t="str">
        <f>IFERROR(VLOOKUP($A596,Equipment!$A$2:$AH1001,MATCH("Type",Equipment!$A$1:$AH$1,0),FALSE),"")</f>
        <v/>
      </c>
      <c r="D596" s="18" t="str">
        <f>IFERROR(VLOOKUP($A596,Equipment!$A$2:$AH1001,MATCH("Slot",Equipment!$A$1:$AH$1,0),FALSE),"")</f>
        <v>Torso</v>
      </c>
      <c r="E596" s="20">
        <f>IFERROR(VLOOKUP($A596,Equipment!$A$2:$AH1001,MATCH("LevelReq",Equipment!$A$1:$AH$1,0),FALSE),"")</f>
        <v>2500</v>
      </c>
      <c r="F596" s="18" t="str">
        <f>IFERROR(VLOOKUP($A596,Equipconvrt!$A$2:$AH1001,MATCH("Abilities",Equipconvrt!$A$1:$AH$1,0),FALSE),"")</f>
        <v>DEF: +125000 ++When breaking concealment deal X2 damage</v>
      </c>
      <c r="G596" s="20">
        <f>IFERROR(VLOOKUP($A596,Equipment!$A$2:$AD1001,MATCH("Price",Equipment!$A$1:$AH$1,0),FALSE),"")</f>
        <v>311250000</v>
      </c>
      <c r="H596" s="1" t="b">
        <v>0</v>
      </c>
      <c r="I596" s="1" t="str">
        <f>IFERROR(VLOOKUP($A596,Equipment!$A$2:$AH1001,MATCH("EquipLoc",Equipment!$A$1:$AH$1,0),FALSE),"")</f>
        <v>Dragonscale Island</v>
      </c>
      <c r="W596" s="1" t="str">
        <f>IFERROR(__xludf.DUMMYFUNCTION("""COMPUTED_VALUE"""),"Poison Master's Heavy Duty Gloves")</f>
        <v>Poison Master's Heavy Duty Gloves</v>
      </c>
      <c r="X596" s="1" t="str">
        <f t="shared" si="1"/>
        <v/>
      </c>
    </row>
    <row r="597">
      <c r="A597" s="1" t="s">
        <v>1103</v>
      </c>
      <c r="B597" s="18" t="str">
        <f>IFERROR(VLOOKUP($A597,Equipment!$A$2:$AH1001,MATCH("Description",Equipment!$A$1:$AH$1,0),FALSE),"")</f>
        <v>The armor of intermediate ninja's who have decided to pursue the art of the ambush to the extreme</v>
      </c>
      <c r="C597" s="18" t="str">
        <f>IFERROR(VLOOKUP($A597,Equipment!$A$2:$AH1001,MATCH("Type",Equipment!$A$1:$AH$1,0),FALSE),"")</f>
        <v/>
      </c>
      <c r="D597" s="18" t="str">
        <f>IFERROR(VLOOKUP($A597,Equipment!$A$2:$AH1001,MATCH("Slot",Equipment!$A$1:$AH$1,0),FALSE),"")</f>
        <v>Arms</v>
      </c>
      <c r="E597" s="20">
        <f>IFERROR(VLOOKUP($A597,Equipment!$A$2:$AH1001,MATCH("LevelReq",Equipment!$A$1:$AH$1,0),FALSE),"")</f>
        <v>2500</v>
      </c>
      <c r="F597" s="18" t="str">
        <f>IFERROR(VLOOKUP($A597,Equipconvrt!$A$2:$AH1001,MATCH("Abilities",Equipconvrt!$A$1:$AH$1,0),FALSE),"")</f>
        <v>DEF: +125000 ++X2 damage with knives, ++Knife ability is 3 times as likely to activate. +-Cannot be forged +-Cannot be duplicated</v>
      </c>
      <c r="G597" s="20">
        <f>IFERROR(VLOOKUP($A597,Equipment!$A$2:$AD1001,MATCH("Price",Equipment!$A$1:$AH$1,0),FALSE),"")</f>
        <v>311250000</v>
      </c>
      <c r="H597" s="1" t="b">
        <v>0</v>
      </c>
      <c r="I597" s="1" t="str">
        <f>IFERROR(VLOOKUP($A597,Equipment!$A$2:$AH1001,MATCH("EquipLoc",Equipment!$A$1:$AH$1,0),FALSE),"")</f>
        <v>Dragonscale Island</v>
      </c>
      <c r="W597" s="1" t="str">
        <f>IFERROR(__xludf.DUMMYFUNCTION("""COMPUTED_VALUE"""),"Poison Master's Sarouel")</f>
        <v>Poison Master's Sarouel</v>
      </c>
      <c r="X597" s="1" t="str">
        <f t="shared" si="1"/>
        <v/>
      </c>
    </row>
    <row r="598">
      <c r="A598" s="1" t="s">
        <v>1104</v>
      </c>
      <c r="B598" s="18" t="str">
        <f>IFERROR(VLOOKUP($A598,Equipment!$A$2:$AH1001,MATCH("Description",Equipment!$A$1:$AH$1,0),FALSE),"")</f>
        <v>The armor of intermediate ninja's who have decided to pursue the art of the ambush to the extreme</v>
      </c>
      <c r="C598" s="18" t="str">
        <f>IFERROR(VLOOKUP($A598,Equipment!$A$2:$AH1001,MATCH("Type",Equipment!$A$1:$AH$1,0),FALSE),"")</f>
        <v/>
      </c>
      <c r="D598" s="18" t="str">
        <f>IFERROR(VLOOKUP($A598,Equipment!$A$2:$AH1001,MATCH("Slot",Equipment!$A$1:$AH$1,0),FALSE),"")</f>
        <v>Legs</v>
      </c>
      <c r="E598" s="20">
        <f>IFERROR(VLOOKUP($A598,Equipment!$A$2:$AH1001,MATCH("LevelReq",Equipment!$A$1:$AH$1,0),FALSE),"")</f>
        <v>2500</v>
      </c>
      <c r="F598" s="18" t="str">
        <f>IFERROR(VLOOKUP($A598,Equipconvrt!$A$2:$AH1001,MATCH("Abilities",Equipconvrt!$A$1:$AH$1,0),FALSE),"")</f>
        <v>DEF: +125000 ++X2 damage with knives</v>
      </c>
      <c r="G598" s="20">
        <f>IFERROR(VLOOKUP($A598,Equipment!$A$2:$AD1001,MATCH("Price",Equipment!$A$1:$AH$1,0),FALSE),"")</f>
        <v>311250000</v>
      </c>
      <c r="H598" s="1" t="b">
        <v>0</v>
      </c>
      <c r="I598" s="1" t="str">
        <f>IFERROR(VLOOKUP($A598,Equipment!$A$2:$AH1001,MATCH("EquipLoc",Equipment!$A$1:$AH$1,0),FALSE),"")</f>
        <v>Dragonscale Island</v>
      </c>
      <c r="W598" s="1" t="str">
        <f>IFERROR(__xludf.DUMMYFUNCTION("""COMPUTED_VALUE"""),"Poison Master's Boots")</f>
        <v>Poison Master's Boots</v>
      </c>
      <c r="X598" s="1" t="str">
        <f t="shared" si="1"/>
        <v/>
      </c>
    </row>
    <row r="599">
      <c r="A599" s="1" t="s">
        <v>1105</v>
      </c>
      <c r="B599" s="18" t="str">
        <f>IFERROR(VLOOKUP($A599,Equipment!$A$2:$AH1001,MATCH("Description",Equipment!$A$1:$AH$1,0),FALSE),"")</f>
        <v>The armor of intermediate ninja's who have decided to pursue the art of the ambush to the extreme</v>
      </c>
      <c r="C599" s="18" t="str">
        <f>IFERROR(VLOOKUP($A599,Equipment!$A$2:$AH1001,MATCH("Type",Equipment!$A$1:$AH$1,0),FALSE),"")</f>
        <v/>
      </c>
      <c r="D599" s="18" t="str">
        <f>IFERROR(VLOOKUP($A599,Equipment!$A$2:$AH1001,MATCH("Slot",Equipment!$A$1:$AH$1,0),FALSE),"")</f>
        <v>Feet</v>
      </c>
      <c r="E599" s="20">
        <f>IFERROR(VLOOKUP($A599,Equipment!$A$2:$AH1001,MATCH("LevelReq",Equipment!$A$1:$AH$1,0),FALSE),"")</f>
        <v>2500</v>
      </c>
      <c r="F599" s="18" t="str">
        <f>IFERROR(VLOOKUP($A599,Equipconvrt!$A$2:$AH1001,MATCH("Abilities",Equipconvrt!$A$1:$AH$1,0),FALSE),"")</f>
        <v>DEF: +125000 ++When breaking concealment gain invigorate 5</v>
      </c>
      <c r="G599" s="20">
        <f>IFERROR(VLOOKUP($A599,Equipment!$A$2:$AD1001,MATCH("Price",Equipment!$A$1:$AH$1,0),FALSE),"")</f>
        <v>311250000</v>
      </c>
      <c r="H599" s="1" t="b">
        <v>0</v>
      </c>
      <c r="I599" s="1" t="str">
        <f>IFERROR(VLOOKUP($A599,Equipment!$A$2:$AH1001,MATCH("EquipLoc",Equipment!$A$1:$AH$1,0),FALSE),"")</f>
        <v>Dragonscale Island</v>
      </c>
      <c r="W599" s="1" t="str">
        <f>IFERROR(__xludf.DUMMYFUNCTION("""COMPUTED_VALUE"""),"Ambusher's Cowl")</f>
        <v>Ambusher's Cowl</v>
      </c>
      <c r="X599" s="1" t="str">
        <f t="shared" si="1"/>
        <v/>
      </c>
    </row>
    <row r="600">
      <c r="A600" s="1" t="s">
        <v>1106</v>
      </c>
      <c r="B600" s="18" t="str">
        <f>IFERROR(VLOOKUP($A600,Equipment!$A$2:$AH1001,MATCH("Description",Equipment!$A$1:$AH$1,0),FALSE),"")</f>
        <v>(Quest Item) This knife holds all the grief of Inugima, the man who turned his back on his clan and lived in grief for his decision until the day he died. The blade is stained red with the blood of Inugima's family and now is stained with his as well. It still seems to hold some special power and you guess it's story probably isn't over yet.</v>
      </c>
      <c r="C600" s="18" t="str">
        <f>IFERROR(VLOOKUP($A600,Equipment!$A$2:$AH1001,MATCH("Type",Equipment!$A$1:$AH$1,0),FALSE),"")</f>
        <v>Knife</v>
      </c>
      <c r="D600" s="18" t="str">
        <f>IFERROR(VLOOKUP($A600,Equipment!$A$2:$AH1001,MATCH("Slot",Equipment!$A$1:$AH$1,0),FALSE),"")</f>
        <v>Hand</v>
      </c>
      <c r="E600" s="20">
        <f>IFERROR(VLOOKUP($A600,Equipment!$A$2:$AH1001,MATCH("LevelReq",Equipment!$A$1:$AH$1,0),FALSE),"")</f>
        <v>200</v>
      </c>
      <c r="F600" s="18" t="str">
        <f>IFERROR(VLOOKUP($A600,Equipconvrt!$A$2:$AH1001,MATCH("Abilities",Equipconvrt!$A$1:$AH$1,0),FALSE),"")</f>
        <v>DMG: +50000, Chaos DMG: +50000, Voodoo DMG: +50000, Blood DMG: +100000, Celestial DMG: +50000 (Knife) ++The Cursed Knife Forged in Blood: X4 blood damage. ++The Blood of the Backstabbed: When hitting an enemy from concealment you gain a further X4 blood damage for the rest of battle and Invigorated 3. ++Repentance: Stab yourself and use your blood to attack you enemy dealing 100000 blood damage and 1000 bleed on hit 5000 hp +-Cannot be Duplicated</v>
      </c>
      <c r="G600" s="20">
        <f>IFERROR(VLOOKUP($A600,Equipment!$A$2:$AD1001,MATCH("Price",Equipment!$A$1:$AH$1,0),FALSE),"")</f>
        <v>1797000000</v>
      </c>
      <c r="H600" s="4" t="b">
        <v>1</v>
      </c>
      <c r="I600" s="1" t="str">
        <f>IFERROR(VLOOKUP($A600,Equipment!$A$2:$AH1001,MATCH("EquipLoc",Equipment!$A$1:$AH$1,0),FALSE),"")</f>
        <v>Dragonscale Island</v>
      </c>
      <c r="W600" s="1" t="str">
        <f>IFERROR(__xludf.DUMMYFUNCTION("""COMPUTED_VALUE"""),"Ambusher's Cape")</f>
        <v>Ambusher's Cape</v>
      </c>
      <c r="X600" s="1" t="str">
        <f t="shared" si="1"/>
        <v/>
      </c>
    </row>
    <row r="601">
      <c r="A601" s="1" t="s">
        <v>1107</v>
      </c>
      <c r="B601" s="18" t="str">
        <f>IFERROR(VLOOKUP($A601,Equipment!$A$2:$AH1001,MATCH("Description",Equipment!$A$1:$AH$1,0),FALSE),"")</f>
        <v>(Quest Item) This blade, Bathed in the light of the fallen moon Goddess holds the power of the moon itself within, it was brought into being when a blade forged in the blood of those betrayed and broken by one they loved was brought to the once beautiful shrine of the betrayed Goddess where it was reformed with the power of the goddess's will and holds within it her wish to protect those around her.</v>
      </c>
      <c r="C601" s="18" t="str">
        <f>IFERROR(VLOOKUP($A601,Equipment!$A$2:$AH1001,MATCH("Type",Equipment!$A$1:$AH$1,0),FALSE),"")</f>
        <v>Sword</v>
      </c>
      <c r="D601" s="18" t="str">
        <f>IFERROR(VLOOKUP($A601,Equipment!$A$2:$AH1001,MATCH("Slot",Equipment!$A$1:$AH$1,0),FALSE),"")</f>
        <v>Hand</v>
      </c>
      <c r="E601" s="20">
        <f>IFERROR(VLOOKUP($A601,Equipment!$A$2:$AH1001,MATCH("LevelReq",Equipment!$A$1:$AH$1,0),FALSE),"")</f>
        <v>200</v>
      </c>
      <c r="F601" s="18" t="str">
        <f>IFERROR(VLOOKUP($A601,Equipconvrt!$A$2:$AH1001,MATCH("Abilities",Equipconvrt!$A$1:$AH$1,0),FALSE),"")</f>
        <v>DEF: +200000, Light DEF: +100000, Astral DEF: +200000, Celestial DEF: +100000 (Sword) ++The Blade Blessed By The Stars Above: X6 Astral Damage and this blade uses it's defense as damage. ++To Protect Those You Love: When fighting with at least 2 allies deal X6 further damage with this weapon. ++Forgiveness: Raise your sword into the sky drowning the battlefield in the light of the moon no matter what time it is or where you are. This moonlight protects you and your allies granting you all X2 Defense and Nullifies all Dark and Chaos spells cast on the battlefield regardless of who casts them. +-Cannot be Duplicated</v>
      </c>
      <c r="G601" s="20">
        <f>IFERROR(VLOOKUP($A601,Equipment!$A$2:$AD1001,MATCH("Price",Equipment!$A$1:$AH$1,0),FALSE),"")</f>
        <v>7194000000</v>
      </c>
      <c r="H601" s="4" t="b">
        <v>1</v>
      </c>
      <c r="I601" s="1" t="str">
        <f>IFERROR(VLOOKUP($A601,Equipment!$A$2:$AH1001,MATCH("EquipLoc",Equipment!$A$1:$AH$1,0),FALSE),"")</f>
        <v>Abstara</v>
      </c>
      <c r="W601" s="1" t="str">
        <f>IFERROR(__xludf.DUMMYFUNCTION("""COMPUTED_VALUE"""),"Ambusher's Vest")</f>
        <v>Ambusher's Vest</v>
      </c>
      <c r="X601" s="1" t="str">
        <f t="shared" si="1"/>
        <v/>
      </c>
    </row>
    <row r="602">
      <c r="A602" s="1" t="s">
        <v>1108</v>
      </c>
      <c r="B602" s="18" t="str">
        <f>IFERROR(VLOOKUP($A602,Equipment!$A$2:$AH1001,MATCH("Description",Equipment!$A$1:$AH$1,0),FALSE),"")</f>
        <v>Mob Exclusive</v>
      </c>
      <c r="C602" s="18" t="str">
        <f>IFERROR(VLOOKUP($A602,Equipment!$A$2:$AH1001,MATCH("Type",Equipment!$A$1:$AH$1,0),FALSE),"")</f>
        <v/>
      </c>
      <c r="D602" s="18" t="str">
        <f>IFERROR(VLOOKUP($A602,Equipment!$A$2:$AH1001,MATCH("Slot",Equipment!$A$1:$AH$1,0),FALSE),"")</f>
        <v>Head</v>
      </c>
      <c r="E602" s="20">
        <f>IFERROR(VLOOKUP($A602,Equipment!$A$2:$AH1001,MATCH("LevelReq",Equipment!$A$1:$AH$1,0),FALSE),"")</f>
        <v>1</v>
      </c>
      <c r="F602" s="18" t="str">
        <f>IFERROR(VLOOKUP($A602,Equipconvrt!$A$2:$AH1001,MATCH("Abilities",Equipconvrt!$A$1:$AH$1,0),FALSE),"")</f>
        <v/>
      </c>
      <c r="G602" s="20">
        <f>IFERROR(VLOOKUP($A602,Equipment!$A$2:$AD1001,MATCH("Price",Equipment!$A$1:$AH$1,0),FALSE),"")</f>
        <v>0</v>
      </c>
      <c r="H602" s="4" t="b">
        <v>1</v>
      </c>
      <c r="I602" s="1" t="str">
        <f>IFERROR(VLOOKUP($A602,Equipment!$A$2:$AH1001,MATCH("EquipLoc",Equipment!$A$1:$AH$1,0),FALSE),"")</f>
        <v>Dragonscale Island</v>
      </c>
      <c r="W602" s="1" t="str">
        <f>IFERROR(__xludf.DUMMYFUNCTION("""COMPUTED_VALUE"""),"Ambusher's Gloves")</f>
        <v>Ambusher's Gloves</v>
      </c>
      <c r="X602" s="1" t="str">
        <f t="shared" si="1"/>
        <v/>
      </c>
    </row>
    <row r="603">
      <c r="A603" s="1" t="s">
        <v>1109</v>
      </c>
      <c r="B603" s="18" t="str">
        <f>IFERROR(VLOOKUP($A603,Equipment!$A$2:$AH1001,MATCH("Description",Equipment!$A$1:$AH$1,0),FALSE),"")</f>
        <v>Mob Exclusive</v>
      </c>
      <c r="C603" s="18" t="str">
        <f>IFERROR(VLOOKUP($A603,Equipment!$A$2:$AH1001,MATCH("Type",Equipment!$A$1:$AH$1,0),FALSE),"")</f>
        <v/>
      </c>
      <c r="D603" s="18" t="str">
        <f>IFERROR(VLOOKUP($A603,Equipment!$A$2:$AH1001,MATCH("Slot",Equipment!$A$1:$AH$1,0),FALSE),"")</f>
        <v>Shoulders</v>
      </c>
      <c r="E603" s="20">
        <f>IFERROR(VLOOKUP($A603,Equipment!$A$2:$AH1001,MATCH("LevelReq",Equipment!$A$1:$AH$1,0),FALSE),"")</f>
        <v>1</v>
      </c>
      <c r="F603" s="18" t="str">
        <f>IFERROR(VLOOKUP($A603,Equipconvrt!$A$2:$AH1001,MATCH("Abilities",Equipconvrt!$A$1:$AH$1,0),FALSE),"")</f>
        <v/>
      </c>
      <c r="G603" s="20">
        <f>IFERROR(VLOOKUP($A603,Equipment!$A$2:$AD1001,MATCH("Price",Equipment!$A$1:$AH$1,0),FALSE),"")</f>
        <v>0</v>
      </c>
      <c r="H603" s="4" t="b">
        <v>1</v>
      </c>
      <c r="I603" s="1" t="str">
        <f>IFERROR(VLOOKUP($A603,Equipment!$A$2:$AH1001,MATCH("EquipLoc",Equipment!$A$1:$AH$1,0),FALSE),"")</f>
        <v>Dragonscale Island</v>
      </c>
      <c r="W603" s="1" t="str">
        <f>IFERROR(__xludf.DUMMYFUNCTION("""COMPUTED_VALUE"""),"Ambusher's Sarouel")</f>
        <v>Ambusher's Sarouel</v>
      </c>
      <c r="X603" s="1" t="str">
        <f t="shared" si="1"/>
        <v/>
      </c>
    </row>
    <row r="604">
      <c r="A604" s="1" t="s">
        <v>1110</v>
      </c>
      <c r="B604" s="18" t="str">
        <f>IFERROR(VLOOKUP($A604,Equipment!$A$2:$AH1001,MATCH("Description",Equipment!$A$1:$AH$1,0),FALSE),"")</f>
        <v>Mob Exclusive</v>
      </c>
      <c r="C604" s="18" t="str">
        <f>IFERROR(VLOOKUP($A604,Equipment!$A$2:$AH1001,MATCH("Type",Equipment!$A$1:$AH$1,0),FALSE),"")</f>
        <v/>
      </c>
      <c r="D604" s="18" t="str">
        <f>IFERROR(VLOOKUP($A604,Equipment!$A$2:$AH1001,MATCH("Slot",Equipment!$A$1:$AH$1,0),FALSE),"")</f>
        <v>Torso</v>
      </c>
      <c r="E604" s="20">
        <f>IFERROR(VLOOKUP($A604,Equipment!$A$2:$AH1001,MATCH("LevelReq",Equipment!$A$1:$AH$1,0),FALSE),"")</f>
        <v>1</v>
      </c>
      <c r="F604" s="18" t="str">
        <f>IFERROR(VLOOKUP($A604,Equipconvrt!$A$2:$AH1001,MATCH("Abilities",Equipconvrt!$A$1:$AH$1,0),FALSE),"")</f>
        <v/>
      </c>
      <c r="G604" s="20">
        <f>IFERROR(VLOOKUP($A604,Equipment!$A$2:$AD1001,MATCH("Price",Equipment!$A$1:$AH$1,0),FALSE),"")</f>
        <v>0</v>
      </c>
      <c r="H604" s="4" t="b">
        <v>1</v>
      </c>
      <c r="I604" s="1" t="str">
        <f>IFERROR(VLOOKUP($A604,Equipment!$A$2:$AH1001,MATCH("EquipLoc",Equipment!$A$1:$AH$1,0),FALSE),"")</f>
        <v>Dragonscale Island</v>
      </c>
      <c r="W604" s="1" t="str">
        <f>IFERROR(__xludf.DUMMYFUNCTION("""COMPUTED_VALUE"""),"Ambusher's Sandals")</f>
        <v>Ambusher's Sandals</v>
      </c>
      <c r="X604" s="1" t="str">
        <f t="shared" si="1"/>
        <v/>
      </c>
    </row>
    <row r="605">
      <c r="A605" s="1" t="s">
        <v>1111</v>
      </c>
      <c r="B605" s="18" t="str">
        <f>IFERROR(VLOOKUP($A605,Equipment!$A$2:$AH1001,MATCH("Description",Equipment!$A$1:$AH$1,0),FALSE),"")</f>
        <v>Mob Exclusive</v>
      </c>
      <c r="C605" s="18" t="str">
        <f>IFERROR(VLOOKUP($A605,Equipment!$A$2:$AH1001,MATCH("Type",Equipment!$A$1:$AH$1,0),FALSE),"")</f>
        <v/>
      </c>
      <c r="D605" s="18" t="str">
        <f>IFERROR(VLOOKUP($A605,Equipment!$A$2:$AH1001,MATCH("Slot",Equipment!$A$1:$AH$1,0),FALSE),"")</f>
        <v>Arms</v>
      </c>
      <c r="E605" s="20">
        <f>IFERROR(VLOOKUP($A605,Equipment!$A$2:$AH1001,MATCH("LevelReq",Equipment!$A$1:$AH$1,0),FALSE),"")</f>
        <v>1</v>
      </c>
      <c r="F605" s="18" t="str">
        <f>IFERROR(VLOOKUP($A605,Equipconvrt!$A$2:$AH1001,MATCH("Abilities",Equipconvrt!$A$1:$AH$1,0),FALSE),"")</f>
        <v/>
      </c>
      <c r="G605" s="20">
        <f>IFERROR(VLOOKUP($A605,Equipment!$A$2:$AD1001,MATCH("Price",Equipment!$A$1:$AH$1,0),FALSE),"")</f>
        <v>0</v>
      </c>
      <c r="H605" s="4" t="b">
        <v>1</v>
      </c>
      <c r="I605" s="1" t="str">
        <f>IFERROR(VLOOKUP($A605,Equipment!$A$2:$AH1001,MATCH("EquipLoc",Equipment!$A$1:$AH$1,0),FALSE),"")</f>
        <v>Dragonscale Island</v>
      </c>
      <c r="W605" s="1" t="str">
        <f>IFERROR(__xludf.DUMMYFUNCTION("""COMPUTED_VALUE"""),"Blade of Ancestral Blood")</f>
        <v>Blade of Ancestral Blood</v>
      </c>
      <c r="X605" s="1" t="str">
        <f t="shared" si="1"/>
        <v/>
      </c>
    </row>
    <row r="606">
      <c r="A606" s="1" t="s">
        <v>1112</v>
      </c>
      <c r="B606" s="18" t="str">
        <f>IFERROR(VLOOKUP($A606,Equipment!$A$2:$AH1001,MATCH("Description",Equipment!$A$1:$AH$1,0),FALSE),"")</f>
        <v>Mob Exclusive</v>
      </c>
      <c r="C606" s="18" t="str">
        <f>IFERROR(VLOOKUP($A606,Equipment!$A$2:$AH1001,MATCH("Type",Equipment!$A$1:$AH$1,0),FALSE),"")</f>
        <v/>
      </c>
      <c r="D606" s="18" t="str">
        <f>IFERROR(VLOOKUP($A606,Equipment!$A$2:$AH1001,MATCH("Slot",Equipment!$A$1:$AH$1,0),FALSE),"")</f>
        <v>Legs</v>
      </c>
      <c r="E606" s="20">
        <f>IFERROR(VLOOKUP($A606,Equipment!$A$2:$AH1001,MATCH("LevelReq",Equipment!$A$1:$AH$1,0),FALSE),"")</f>
        <v>1</v>
      </c>
      <c r="F606" s="18" t="str">
        <f>IFERROR(VLOOKUP($A606,Equipconvrt!$A$2:$AH1001,MATCH("Abilities",Equipconvrt!$A$1:$AH$1,0),FALSE),"")</f>
        <v/>
      </c>
      <c r="G606" s="20">
        <f>IFERROR(VLOOKUP($A606,Equipment!$A$2:$AD1001,MATCH("Price",Equipment!$A$1:$AH$1,0),FALSE),"")</f>
        <v>0</v>
      </c>
      <c r="H606" s="4" t="b">
        <v>1</v>
      </c>
      <c r="I606" s="1" t="str">
        <f>IFERROR(VLOOKUP($A606,Equipment!$A$2:$AH1001,MATCH("EquipLoc",Equipment!$A$1:$AH$1,0),FALSE),"")</f>
        <v>Dragonscale Island</v>
      </c>
      <c r="W606" s="1" t="str">
        <f>IFERROR(__xludf.DUMMYFUNCTION("""COMPUTED_VALUE"""),"Lunaris, Sword of The Moon")</f>
        <v>Lunaris, Sword of The Moon</v>
      </c>
      <c r="X606" s="1" t="str">
        <f t="shared" si="1"/>
        <v/>
      </c>
    </row>
    <row r="607">
      <c r="A607" s="1" t="s">
        <v>1113</v>
      </c>
      <c r="B607" s="18" t="str">
        <f>IFERROR(VLOOKUP($A607,Equipment!$A$2:$AH1001,MATCH("Description",Equipment!$A$1:$AH$1,0),FALSE),"")</f>
        <v>Mob Exclusive</v>
      </c>
      <c r="C607" s="18" t="str">
        <f>IFERROR(VLOOKUP($A607,Equipment!$A$2:$AH1001,MATCH("Type",Equipment!$A$1:$AH$1,0),FALSE),"")</f>
        <v/>
      </c>
      <c r="D607" s="18" t="str">
        <f>IFERROR(VLOOKUP($A607,Equipment!$A$2:$AH1001,MATCH("Slot",Equipment!$A$1:$AH$1,0),FALSE),"")</f>
        <v>Feet</v>
      </c>
      <c r="E607" s="20">
        <f>IFERROR(VLOOKUP($A607,Equipment!$A$2:$AH1001,MATCH("LevelReq",Equipment!$A$1:$AH$1,0),FALSE),"")</f>
        <v>1</v>
      </c>
      <c r="F607" s="18" t="str">
        <f>IFERROR(VLOOKUP($A607,Equipconvrt!$A$2:$AH1001,MATCH("Abilities",Equipconvrt!$A$1:$AH$1,0),FALSE),"")</f>
        <v/>
      </c>
      <c r="G607" s="20">
        <f>IFERROR(VLOOKUP($A607,Equipment!$A$2:$AD1001,MATCH("Price",Equipment!$A$1:$AH$1,0),FALSE),"")</f>
        <v>0</v>
      </c>
      <c r="H607" s="4" t="b">
        <v>1</v>
      </c>
      <c r="I607" s="1" t="str">
        <f>IFERROR(VLOOKUP($A607,Equipment!$A$2:$AH1001,MATCH("EquipLoc",Equipment!$A$1:$AH$1,0),FALSE),"")</f>
        <v>Dragonscale Island</v>
      </c>
      <c r="W607" s="1" t="str">
        <f>IFERROR(__xludf.DUMMYFUNCTION("""COMPUTED_VALUE"""),"Master Inugima's Cowl")</f>
        <v>Master Inugima's Cowl</v>
      </c>
      <c r="X607" s="1" t="str">
        <f t="shared" si="1"/>
        <v/>
      </c>
    </row>
    <row r="608">
      <c r="A608" s="1" t="s">
        <v>1114</v>
      </c>
      <c r="B608" s="18" t="str">
        <f>IFERROR(VLOOKUP($A608,Equipment!$A$2:$AH1001,MATCH("Description",Equipment!$A$1:$AH$1,0),FALSE),"")</f>
        <v>Mob Exclusive</v>
      </c>
      <c r="C608" s="18" t="str">
        <f>IFERROR(VLOOKUP($A608,Equipment!$A$2:$AH1001,MATCH("Type",Equipment!$A$1:$AH$1,0),FALSE),"")</f>
        <v/>
      </c>
      <c r="D608" s="18" t="str">
        <f>IFERROR(VLOOKUP($A608,Equipment!$A$2:$AH1001,MATCH("Slot",Equipment!$A$1:$AH$1,0),FALSE),"")</f>
        <v>Finger</v>
      </c>
      <c r="E608" s="20">
        <f>IFERROR(VLOOKUP($A608,Equipment!$A$2:$AH1001,MATCH("LevelReq",Equipment!$A$1:$AH$1,0),FALSE),"")</f>
        <v>1</v>
      </c>
      <c r="F608" s="18" t="str">
        <f>IFERROR(VLOOKUP($A608,Equipconvrt!$A$2:$AH1001,MATCH("Abilities",Equipconvrt!$A$1:$AH$1,0),FALSE),"")</f>
        <v> ++Grants Immunity being unable to act from any sources including sleep, stun, frozen, etc. +-Can only be equipped by Master Inugima Equipping this ring will devour the soul of he who equips it killing them permanently</v>
      </c>
      <c r="G608" s="20">
        <f>IFERROR(VLOOKUP($A608,Equipment!$A$2:$AD1001,MATCH("Price",Equipment!$A$1:$AH$1,0),FALSE),"")</f>
        <v>0</v>
      </c>
      <c r="H608" s="4" t="b">
        <v>1</v>
      </c>
      <c r="I608" s="1" t="str">
        <f>IFERROR(VLOOKUP($A608,Equipment!$A$2:$AH1001,MATCH("EquipLoc",Equipment!$A$1:$AH$1,0),FALSE),"")</f>
        <v>Dragonscale Island</v>
      </c>
      <c r="W608" s="1" t="str">
        <f>IFERROR(__xludf.DUMMYFUNCTION("""COMPUTED_VALUE"""),"Master Inugima's Cape")</f>
        <v>Master Inugima's Cape</v>
      </c>
      <c r="X608" s="1" t="str">
        <f t="shared" si="1"/>
        <v/>
      </c>
    </row>
    <row r="609">
      <c r="A609" s="1" t="s">
        <v>1115</v>
      </c>
      <c r="B609" s="18" t="str">
        <f>IFERROR(VLOOKUP($A609,Equipment!$A$2:$AH1001,MATCH("Description",Equipment!$A$1:$AH$1,0),FALSE),"")</f>
        <v>Mob Exclusive</v>
      </c>
      <c r="C609" s="18" t="str">
        <f>IFERROR(VLOOKUP($A609,Equipment!$A$2:$AH1001,MATCH("Type",Equipment!$A$1:$AH$1,0),FALSE),"")</f>
        <v/>
      </c>
      <c r="D609" s="18" t="str">
        <f>IFERROR(VLOOKUP($A609,Equipment!$A$2:$AH1001,MATCH("Slot",Equipment!$A$1:$AH$1,0),FALSE),"")</f>
        <v>Neck</v>
      </c>
      <c r="E609" s="20">
        <f>IFERROR(VLOOKUP($A609,Equipment!$A$2:$AH1001,MATCH("LevelReq",Equipment!$A$1:$AH$1,0),FALSE),"")</f>
        <v>1</v>
      </c>
      <c r="F609" s="18" t="str">
        <f>IFERROR(VLOOKUP($A609,Equipconvrt!$A$2:$AH1001,MATCH("Abilities",Equipconvrt!$A$1:$AH$1,0),FALSE),"")</f>
        <v/>
      </c>
      <c r="G609" s="20">
        <f>IFERROR(VLOOKUP($A609,Equipment!$A$2:$AD1001,MATCH("Price",Equipment!$A$1:$AH$1,0),FALSE),"")</f>
        <v>0</v>
      </c>
      <c r="H609" s="4" t="b">
        <v>1</v>
      </c>
      <c r="I609" s="1" t="str">
        <f>IFERROR(VLOOKUP($A609,Equipment!$A$2:$AH1001,MATCH("EquipLoc",Equipment!$A$1:$AH$1,0),FALSE),"")</f>
        <v>Dragonscale Island</v>
      </c>
      <c r="W609" s="1" t="str">
        <f>IFERROR(__xludf.DUMMYFUNCTION("""COMPUTED_VALUE"""),"Master Inugima's Cloak")</f>
        <v>Master Inugima's Cloak</v>
      </c>
      <c r="X609" s="1" t="str">
        <f t="shared" si="1"/>
        <v/>
      </c>
    </row>
    <row r="610">
      <c r="A610" s="1" t="s">
        <v>1116</v>
      </c>
      <c r="B610" s="18" t="str">
        <f>IFERROR(VLOOKUP($A610,Equipment!$A$2:$AH1001,MATCH("Description",Equipment!$A$1:$AH$1,0),FALSE),"")</f>
        <v>Thanksgiving Event Item</v>
      </c>
      <c r="C610" s="18" t="str">
        <f>IFERROR(VLOOKUP($A610,Equipment!$A$2:$AH1001,MATCH("Type",Equipment!$A$1:$AH$1,0),FALSE),"")</f>
        <v/>
      </c>
      <c r="D610" s="18" t="str">
        <f>IFERROR(VLOOKUP($A610,Equipment!$A$2:$AH1001,MATCH("Slot",Equipment!$A$1:$AH$1,0),FALSE),"")</f>
        <v>Neck</v>
      </c>
      <c r="E610" s="20">
        <f>IFERROR(VLOOKUP($A610,Equipment!$A$2:$AH1001,MATCH("LevelReq",Equipment!$A$1:$AH$1,0),FALSE),"")</f>
        <v>1</v>
      </c>
      <c r="F610" s="18" t="str">
        <f>IFERROR(VLOOKUP($A610,Equipconvrt!$A$2:$AH1001,MATCH("Abilities",Equipconvrt!$A$1:$AH$1,0),FALSE),"")</f>
        <v> ++Allows you to give up your next turn turn to give a party member a second turn. +-one use per battle +-Cannot be duplicated.</v>
      </c>
      <c r="G610" s="20">
        <f>IFERROR(VLOOKUP($A610,Equipment!$A$2:$AD1001,MATCH("Price",Equipment!$A$1:$AH$1,0),FALSE),"")</f>
        <v>0</v>
      </c>
      <c r="H610" s="4" t="b">
        <v>1</v>
      </c>
      <c r="I610" s="1" t="str">
        <f>IFERROR(VLOOKUP($A610,Equipment!$A$2:$AH1001,MATCH("EquipLoc",Equipment!$A$1:$AH$1,0),FALSE),"")</f>
        <v>Land of Spira</v>
      </c>
      <c r="W610" s="1" t="str">
        <f>IFERROR(__xludf.DUMMYFUNCTION("""COMPUTED_VALUE"""),"Master Inugima's Gloves")</f>
        <v>Master Inugima's Gloves</v>
      </c>
      <c r="X610" s="1" t="str">
        <f t="shared" si="1"/>
        <v/>
      </c>
    </row>
    <row r="611">
      <c r="A611" s="1" t="s">
        <v>1117</v>
      </c>
      <c r="B611" s="18" t="str">
        <f>IFERROR(VLOOKUP($A611,Equipment!$A$2:$AH1001,MATCH("Description",Equipment!$A$1:$AH$1,0),FALSE),"")</f>
        <v>Thanksgiving Event Item</v>
      </c>
      <c r="C611" s="18" t="str">
        <f>IFERROR(VLOOKUP($A611,Equipment!$A$2:$AH1001,MATCH("Type",Equipment!$A$1:$AH$1,0),FALSE),"")</f>
        <v/>
      </c>
      <c r="D611" s="18" t="str">
        <f>IFERROR(VLOOKUP($A611,Equipment!$A$2:$AH1001,MATCH("Slot",Equipment!$A$1:$AH$1,0),FALSE),"")</f>
        <v>Head</v>
      </c>
      <c r="E611" s="20">
        <f>IFERROR(VLOOKUP($A611,Equipment!$A$2:$AH1001,MATCH("LevelReq",Equipment!$A$1:$AH$1,0),FALSE),"")</f>
        <v>1</v>
      </c>
      <c r="F611" s="18" t="str">
        <f>IFERROR(VLOOKUP($A611,Equipconvrt!$A$2:$AH1001,MATCH("Abilities",Equipconvrt!$A$1:$AH$1,0),FALSE),"")</f>
        <v> ++Double the hunger, thirst, and energy you receive when consuming a consumable. +-Cannot be duplicated.</v>
      </c>
      <c r="G611" s="20">
        <f>IFERROR(VLOOKUP($A611,Equipment!$A$2:$AD1001,MATCH("Price",Equipment!$A$1:$AH$1,0),FALSE),"")</f>
        <v>0</v>
      </c>
      <c r="H611" s="4" t="b">
        <v>1</v>
      </c>
      <c r="I611" s="1" t="str">
        <f>IFERROR(VLOOKUP($A611,Equipment!$A$2:$AH1001,MATCH("EquipLoc",Equipment!$A$1:$AH$1,0),FALSE),"")</f>
        <v>Land of Spira</v>
      </c>
      <c r="W611" s="1" t="str">
        <f>IFERROR(__xludf.DUMMYFUNCTION("""COMPUTED_VALUE"""),"Master Inugima's Sarouel")</f>
        <v>Master Inugima's Sarouel</v>
      </c>
      <c r="X611" s="1" t="str">
        <f t="shared" si="1"/>
        <v/>
      </c>
    </row>
    <row r="612">
      <c r="A612" s="1" t="s">
        <v>125</v>
      </c>
      <c r="B612" s="18" t="str">
        <f>IFERROR(VLOOKUP($A612,Equipment!$A$2:$AH1001,MATCH("Description",Equipment!$A$1:$AH$1,0),FALSE),"")</f>
        <v>A flute carved from dragon bone that exudes an enchanting aura when played. It is said that this flute was given as a gift to the dragonoids to signal peace between them and the dragons.</v>
      </c>
      <c r="C612" s="18" t="str">
        <f>IFERROR(VLOOKUP($A612,Equipment!$A$2:$AH1001,MATCH("Type",Equipment!$A$1:$AH$1,0),FALSE),"")</f>
        <v>Instrument</v>
      </c>
      <c r="D612" s="18" t="str">
        <f>IFERROR(VLOOKUP($A612,Equipment!$A$2:$AH1001,MATCH("Slot",Equipment!$A$1:$AH$1,0),FALSE),"")</f>
        <v>Hand</v>
      </c>
      <c r="E612" s="20">
        <f>IFERROR(VLOOKUP($A612,Equipment!$A$2:$AH1001,MATCH("LevelReq",Equipment!$A$1:$AH$1,0),FALSE),"")</f>
        <v>100</v>
      </c>
      <c r="F612" s="18" t="str">
        <f>IFERROR(VLOOKUP($A612,Equipconvrt!$A$2:$AH1001,MATCH("Abilities",Equipconvrt!$A$1:$AH$1,0),FALSE),"")</f>
        <v>, Acoustic DMG: +5000 ++Summons 1 of the following dragons with a d4 roll: Fire Dragon, Poison Dragon, Storm Dragon, Ancient Water Dragon, Level determined by dm/gm. +-one use per battle</v>
      </c>
      <c r="G612" s="20">
        <f>IFERROR(VLOOKUP($A612,Equipment!$A$2:$AD1001,MATCH("Price",Equipment!$A$1:$AH$1,0),FALSE),"")</f>
        <v>450000</v>
      </c>
      <c r="H612" s="4" t="b">
        <v>1</v>
      </c>
      <c r="I612" s="1" t="str">
        <f>IFERROR(VLOOKUP($A612,Equipment!$A$2:$AH1001,MATCH("EquipLoc",Equipment!$A$1:$AH$1,0),FALSE),"")</f>
        <v>Dragonscale Island</v>
      </c>
      <c r="W612" s="1" t="str">
        <f>IFERROR(__xludf.DUMMYFUNCTION("""COMPUTED_VALUE"""),"Master Inugima's Boots")</f>
        <v>Master Inugima's Boots</v>
      </c>
      <c r="X612" s="1" t="str">
        <f t="shared" si="1"/>
        <v/>
      </c>
    </row>
    <row r="613">
      <c r="A613" s="1" t="s">
        <v>1118</v>
      </c>
      <c r="B613" s="18" t="str">
        <f>IFERROR(VLOOKUP($A613,Equipment!$A$2:$AH1001,MATCH("Description",Equipment!$A$1:$AH$1,0),FALSE),"")</f>
        <v>The helmet is made of a dark steel which invades the weares mind, originally takes the appearance of a hood but becomes covers more of the wearers face and becomes more bestial looking as the wearer gives in to their insanity more and more.</v>
      </c>
      <c r="C613" s="18" t="str">
        <f>IFERROR(VLOOKUP($A613,Equipment!$A$2:$AH1001,MATCH("Type",Equipment!$A$1:$AH$1,0),FALSE),"")</f>
        <v/>
      </c>
      <c r="D613" s="18" t="str">
        <f>IFERROR(VLOOKUP($A613,Equipment!$A$2:$AH1001,MATCH("Slot",Equipment!$A$1:$AH$1,0),FALSE),"")</f>
        <v>Head</v>
      </c>
      <c r="E613" s="20">
        <f>IFERROR(VLOOKUP($A613,Equipment!$A$2:$AH1001,MATCH("LevelReq",Equipment!$A$1:$AH$1,0),FALSE),"")</f>
        <v>200</v>
      </c>
      <c r="F613" s="18" t="str">
        <f>IFERROR(VLOOKUP($A613,Equipconvrt!$A$2:$AH1001,MATCH("Abilities",Equipconvrt!$A$1:$AH$1,0),FALSE),"")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++Unbroken will - You become immune to all effects that would prevent you from taking your turn.</v>
      </c>
      <c r="G613" s="20">
        <f>IFERROR(VLOOKUP($A613,Equipment!$A$2:$AD1001,MATCH("Price",Equipment!$A$1:$AH$1,0),FALSE),"")</f>
        <v>798000000</v>
      </c>
      <c r="H613" s="1" t="b">
        <v>0</v>
      </c>
      <c r="I613" s="1" t="str">
        <f>IFERROR(VLOOKUP($A613,Equipment!$A$2:$AH1001,MATCH("EquipLoc",Equipment!$A$1:$AH$1,0),FALSE),"")</f>
        <v>Land of Spira</v>
      </c>
      <c r="W613" s="1" t="str">
        <f>IFERROR(__xludf.DUMMYFUNCTION("""COMPUTED_VALUE"""),"Master Inugima's Ring")</f>
        <v>Master Inugima's Ring</v>
      </c>
      <c r="X613" s="1" t="str">
        <f t="shared" si="1"/>
        <v/>
      </c>
    </row>
    <row r="614">
      <c r="A614" s="1" t="s">
        <v>1119</v>
      </c>
      <c r="B614" s="18" t="str">
        <f>IFERROR(VLOOKUP($A614,Equipment!$A$2:$AH1001,MATCH("Description",Equipment!$A$1:$AH$1,0),FALSE),"")</f>
        <v>(Quest Item) This knife holds all the grief of Inugima, the man who turned his back on his clan and lived in grief for his descision until the day he died. The blade is stained red with the blood of Inugima's family and now is stained with his as well. It still seems to hold some special power and you guess it's story probably isn't over yet.</v>
      </c>
      <c r="C614" s="18" t="str">
        <f>IFERROR(VLOOKUP($A614,Equipment!$A$2:$AH1001,MATCH("Type",Equipment!$A$1:$AH$1,0),FALSE),"")</f>
        <v/>
      </c>
      <c r="D614" s="18" t="str">
        <f>IFERROR(VLOOKUP($A614,Equipment!$A$2:$AH1001,MATCH("Slot",Equipment!$A$1:$AH$1,0),FALSE),"")</f>
        <v>Shoulders</v>
      </c>
      <c r="E614" s="20">
        <f>IFERROR(VLOOKUP($A614,Equipment!$A$2:$AH1001,MATCH("LevelReq",Equipment!$A$1:$AH$1,0),FALSE),"")</f>
        <v>200</v>
      </c>
      <c r="F614" s="18" t="str">
        <f>IFERROR(VLOOKUP($A614,Equipconvrt!$A$2:$AH1001,MATCH("Abilities",Equipconvrt!$A$1:$AH$1,0),FALSE),"")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++Adrenaline - Upon being hit with any attack gain 1 stack of Insanity.</v>
      </c>
      <c r="G614" s="20">
        <f>IFERROR(VLOOKUP($A614,Equipment!$A$2:$AD1001,MATCH("Price",Equipment!$A$1:$AH$1,0),FALSE),"")</f>
        <v>798000000</v>
      </c>
      <c r="H614" s="1" t="b">
        <v>0</v>
      </c>
      <c r="I614" s="1" t="str">
        <f>IFERROR(VLOOKUP($A614,Equipment!$A$2:$AH1001,MATCH("EquipLoc",Equipment!$A$1:$AH$1,0),FALSE),"")</f>
        <v>Land of Spira</v>
      </c>
      <c r="W614" s="1" t="str">
        <f>IFERROR(__xludf.DUMMYFUNCTION("""COMPUTED_VALUE"""),"Master Inugima's Pendant")</f>
        <v>Master Inugima's Pendant</v>
      </c>
      <c r="X614" s="1" t="str">
        <f t="shared" si="1"/>
        <v/>
      </c>
    </row>
    <row r="615">
      <c r="A615" s="1" t="s">
        <v>1120</v>
      </c>
      <c r="B615" s="18" t="str">
        <f>IFERROR(VLOOKUP($A615,Equipment!$A$2:$AH1001,MATCH("Description",Equipment!$A$1:$AH$1,0),FALSE),"")</f>
        <v>The Harbinger's armor is made of a dark steel which drives its wearer progressively further whilst in combat. The armor takes the rage of its wearer and multiplies it tenfold whilst breaking off the subconscious limiters on a wearers strength.</v>
      </c>
      <c r="C615" s="18" t="str">
        <f>IFERROR(VLOOKUP($A615,Equipment!$A$2:$AH1001,MATCH("Type",Equipment!$A$1:$AH$1,0),FALSE),"")</f>
        <v/>
      </c>
      <c r="D615" s="18" t="str">
        <f>IFERROR(VLOOKUP($A615,Equipment!$A$2:$AH1001,MATCH("Slot",Equipment!$A$1:$AH$1,0),FALSE),"")</f>
        <v>Torso</v>
      </c>
      <c r="E615" s="20">
        <f>IFERROR(VLOOKUP($A615,Equipment!$A$2:$AH1001,MATCH("LevelReq",Equipment!$A$1:$AH$1,0),FALSE),"")</f>
        <v>200</v>
      </c>
      <c r="F615" s="18" t="str">
        <f>IFERROR(VLOOKUP($A615,Equipconvrt!$A$2:$AH1001,MATCH("Abilities",Equipconvrt!$A$1:$AH$1,0),FALSE),"")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++Bloodlust - Upon targeting any enemy with an attack gain 2 stacks of insanity</v>
      </c>
      <c r="G615" s="20">
        <f>IFERROR(VLOOKUP($A615,Equipment!$A$2:$AD1001,MATCH("Price",Equipment!$A$1:$AH$1,0),FALSE),"")</f>
        <v>798000000</v>
      </c>
      <c r="H615" s="1" t="b">
        <v>0</v>
      </c>
      <c r="I615" s="1" t="str">
        <f>IFERROR(VLOOKUP($A615,Equipment!$A$2:$AH1001,MATCH("EquipLoc",Equipment!$A$1:$AH$1,0),FALSE),"")</f>
        <v>Land of Spira</v>
      </c>
      <c r="W615" s="1" t="str">
        <f>IFERROR(__xludf.DUMMYFUNCTION("""COMPUTED_VALUE"""),"Amulet of Giving")</f>
        <v>Amulet of Giving</v>
      </c>
      <c r="X615" s="1" t="str">
        <f t="shared" si="1"/>
        <v/>
      </c>
    </row>
    <row r="616">
      <c r="A616" s="1" t="s">
        <v>1121</v>
      </c>
      <c r="B616" s="18" t="str">
        <f>IFERROR(VLOOKUP($A616,Equipment!$A$2:$AH1001,MATCH("Description",Equipment!$A$1:$AH$1,0),FALSE),"")</f>
        <v>Some have witnessed how the wearers of this mythical armor seem completely unreactive to the pain and it is speculated that the armor itself temporarily cuts off all feelings of pain to keep the wearer fighting.</v>
      </c>
      <c r="C616" s="18" t="str">
        <f>IFERROR(VLOOKUP($A616,Equipment!$A$2:$AH1001,MATCH("Type",Equipment!$A$1:$AH$1,0),FALSE),"")</f>
        <v/>
      </c>
      <c r="D616" s="18" t="str">
        <f>IFERROR(VLOOKUP($A616,Equipment!$A$2:$AH1001,MATCH("Slot",Equipment!$A$1:$AH$1,0),FALSE),"")</f>
        <v>Arms</v>
      </c>
      <c r="E616" s="20">
        <f>IFERROR(VLOOKUP($A616,Equipment!$A$2:$AH1001,MATCH("LevelReq",Equipment!$A$1:$AH$1,0),FALSE),"")</f>
        <v>200</v>
      </c>
      <c r="F616" s="18" t="str">
        <f>IFERROR(VLOOKUP($A616,Equipconvrt!$A$2:$AH1001,MATCH("Abilities",Equipconvrt!$A$1:$AH$1,0),FALSE),"")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++To Break From Your Shackles - You lash out cleaving your way through reality creating a small distortion dealing 500,000 delta damage to all enemies and allies and inflict Shuttering 5, requiring everyone to roll a fail or succeed roll to bind themselves to this plane or have a party member who succeeded use an action to help them, or if they fail 5 times they will be lost to the void forever, consumes 10 stacks of insanity to cast (Permadeath)(considered an instant death effect for purposes of immunity)</v>
      </c>
      <c r="G616" s="20">
        <f>IFERROR(VLOOKUP($A616,Equipment!$A$2:$AD1001,MATCH("Price",Equipment!$A$1:$AH$1,0),FALSE),"")</f>
        <v>798000000</v>
      </c>
      <c r="H616" s="1" t="b">
        <v>0</v>
      </c>
      <c r="I616" s="1" t="str">
        <f>IFERROR(VLOOKUP($A616,Equipment!$A$2:$AH1001,MATCH("EquipLoc",Equipment!$A$1:$AH$1,0),FALSE),"")</f>
        <v>Land of Spira</v>
      </c>
      <c r="W616" s="1" t="str">
        <f>IFERROR(__xludf.DUMMYFUNCTION("""COMPUTED_VALUE"""),"Pilgrim's Hat")</f>
        <v>Pilgrim's Hat</v>
      </c>
      <c r="X616" s="1" t="str">
        <f t="shared" si="1"/>
        <v/>
      </c>
    </row>
    <row r="617">
      <c r="A617" s="1" t="s">
        <v>1122</v>
      </c>
      <c r="B617" s="18" t="str">
        <f>IFERROR(VLOOKUP($A617,Equipment!$A$2:$AH1001,MATCH("Description",Equipment!$A$1:$AH$1,0),FALSE),"")</f>
        <v>Even with broken bones the armor will not allow the wearer to stop fighting, spikes will form from the armor piercing into the damaged limbs and letting the wearer continue controller these destroyed limbs via the armor itself.</v>
      </c>
      <c r="C617" s="18" t="str">
        <f>IFERROR(VLOOKUP($A617,Equipment!$A$2:$AH1001,MATCH("Type",Equipment!$A$1:$AH$1,0),FALSE),"")</f>
        <v/>
      </c>
      <c r="D617" s="18" t="str">
        <f>IFERROR(VLOOKUP($A617,Equipment!$A$2:$AH1001,MATCH("Slot",Equipment!$A$1:$AH$1,0),FALSE),"")</f>
        <v>Legs</v>
      </c>
      <c r="E617" s="20">
        <f>IFERROR(VLOOKUP($A617,Equipment!$A$2:$AH1001,MATCH("LevelReq",Equipment!$A$1:$AH$1,0),FALSE),"")</f>
        <v>200</v>
      </c>
      <c r="F617" s="18" t="str">
        <f>IFERROR(VLOOKUP($A617,Equipconvrt!$A$2:$AH1001,MATCH("Abilities",Equipconvrt!$A$1:$AH$1,0),FALSE),"")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++Voidal Instinct - 50% chance to avoid all delta attacks and instant death effects
++To the Last Drop of Blood - Grants immunity to slowness.</v>
      </c>
      <c r="G617" s="20">
        <f>IFERROR(VLOOKUP($A617,Equipment!$A$2:$AD1001,MATCH("Price",Equipment!$A$1:$AH$1,0),FALSE),"")</f>
        <v>798000000</v>
      </c>
      <c r="H617" s="1" t="b">
        <v>0</v>
      </c>
      <c r="I617" s="1" t="str">
        <f>IFERROR(VLOOKUP($A617,Equipment!$A$2:$AH1001,MATCH("EquipLoc",Equipment!$A$1:$AH$1,0),FALSE),"")</f>
        <v>Land of Spira</v>
      </c>
      <c r="W617" s="1" t="str">
        <f>IFERROR(__xludf.DUMMYFUNCTION("""COMPUTED_VALUE"""),"Dragon Flute")</f>
        <v>Dragon Flute</v>
      </c>
      <c r="X617" s="1" t="str">
        <f t="shared" si="1"/>
        <v/>
      </c>
    </row>
    <row r="618">
      <c r="A618" s="1" t="s">
        <v>1123</v>
      </c>
      <c r="B618" s="18" t="str">
        <f>IFERROR(VLOOKUP($A618,Equipment!$A$2:$AH1001,MATCH("Description",Equipment!$A$1:$AH$1,0),FALSE),"")</f>
        <v/>
      </c>
      <c r="C618" s="18" t="str">
        <f>IFERROR(VLOOKUP($A618,Equipment!$A$2:$AH1001,MATCH("Type",Equipment!$A$1:$AH$1,0),FALSE),"")</f>
        <v/>
      </c>
      <c r="D618" s="18" t="str">
        <f>IFERROR(VLOOKUP($A618,Equipment!$A$2:$AH1001,MATCH("Slot",Equipment!$A$1:$AH$1,0),FALSE),"")</f>
        <v>Feet</v>
      </c>
      <c r="E618" s="20">
        <f>IFERROR(VLOOKUP($A618,Equipment!$A$2:$AH1001,MATCH("LevelReq",Equipment!$A$1:$AH$1,0),FALSE),"")</f>
        <v>200</v>
      </c>
      <c r="F618" s="18" t="str">
        <f>IFERROR(VLOOKUP($A618,Equipconvrt!$A$2:$AH1001,MATCH("Abilities",Equipconvrt!$A$1:$AH$1,0),FALSE),"")</f>
        <v>DEF: +50000, Fire DEF: +10000, Water DEF: +10000, Storm DEF: +10000, Earth DEF: +10000, Light DEF: +10000, Dark DEF: +10000, Spirit DEF: +10000, Order DEF: +10000, Chaos DEF: +10000, Nature DEF: +10000, Voodoo DEF: +10000, Blood DEF: +10000, Zen DEF: +10000, Astral DEF: +10000, Celestial DEF: +10000 ++Leg Sweep - Strike at an opponent's legs making a hit or miss attack (adding mobility) on hit you knock the opponent to the ground inflicting them with slowness 3</v>
      </c>
      <c r="G618" s="20">
        <f>IFERROR(VLOOKUP($A618,Equipment!$A$2:$AD1001,MATCH("Price",Equipment!$A$1:$AH$1,0),FALSE),"")</f>
        <v>798000000</v>
      </c>
      <c r="H618" s="1" t="b">
        <v>0</v>
      </c>
      <c r="I618" s="1" t="str">
        <f>IFERROR(VLOOKUP($A618,Equipment!$A$2:$AH1001,MATCH("EquipLoc",Equipment!$A$1:$AH$1,0),FALSE),"")</f>
        <v>Land of Spira</v>
      </c>
      <c r="W618" s="1" t="str">
        <f>IFERROR(__xludf.DUMMYFUNCTION("""COMPUTED_VALUE"""),"Harbingers' Helm of the Unrestrained (Spira)")</f>
        <v>Harbingers' Helm of the Unrestrained (Spira)</v>
      </c>
      <c r="X618" s="1" t="str">
        <f t="shared" si="1"/>
        <v/>
      </c>
    </row>
    <row r="619">
      <c r="A619" s="1" t="s">
        <v>1124</v>
      </c>
      <c r="B619" s="18" t="str">
        <f>IFERROR(VLOOKUP($A619,Equipment!$A$2:$AH1001,MATCH("Description",Equipment!$A$1:$AH$1,0),FALSE),"")</f>
        <v/>
      </c>
      <c r="C619" s="18" t="str">
        <f>IFERROR(VLOOKUP($A619,Equipment!$A$2:$AH1001,MATCH("Type",Equipment!$A$1:$AH$1,0),FALSE),"")</f>
        <v/>
      </c>
      <c r="D619" s="18" t="str">
        <f>IFERROR(VLOOKUP($A619,Equipment!$A$2:$AH1001,MATCH("Slot",Equipment!$A$1:$AH$1,0),FALSE),"")</f>
        <v>Finger</v>
      </c>
      <c r="E619" s="20">
        <f>IFERROR(VLOOKUP($A619,Equipment!$A$2:$AH1001,MATCH("LevelReq",Equipment!$A$1:$AH$1,0),FALSE),"")</f>
        <v>1</v>
      </c>
      <c r="F619" s="18" t="str">
        <f>IFERROR(VLOOKUP($A619,Equipconvrt!$A$2:$AH1001,MATCH("Abilities",Equipconvrt!$A$1:$AH$1,0),FALSE),"")</f>
        <v> ++Pervading Madness - at the start of each of your turns flip a coin with heads being 1 and tails being 2 or roll a d2, gain that many stacks of insanity</v>
      </c>
      <c r="G619" s="20">
        <f>IFERROR(VLOOKUP($A619,Equipment!$A$2:$AD1001,MATCH("Price",Equipment!$A$1:$AH$1,0),FALSE),"")</f>
        <v>0</v>
      </c>
      <c r="H619" s="1" t="b">
        <v>0</v>
      </c>
      <c r="I619" s="1" t="str">
        <f>IFERROR(VLOOKUP($A619,Equipment!$A$2:$AH1001,MATCH("EquipLoc",Equipment!$A$1:$AH$1,0),FALSE),"")</f>
        <v>Land of Spira</v>
      </c>
      <c r="W619" s="1" t="str">
        <f>IFERROR(__xludf.DUMMYFUNCTION("""COMPUTED_VALUE"""),"Harbingers' Shifting Pauldrons (Spira)")</f>
        <v>Harbingers' Shifting Pauldrons (Spira)</v>
      </c>
      <c r="X619" s="1" t="str">
        <f t="shared" si="1"/>
        <v/>
      </c>
    </row>
    <row r="620">
      <c r="A620" s="1" t="s">
        <v>1125</v>
      </c>
      <c r="B620" s="18" t="str">
        <f>IFERROR(VLOOKUP($A620,Equipment!$A$2:$AH1001,MATCH("Description",Equipment!$A$1:$AH$1,0),FALSE),"")</f>
        <v/>
      </c>
      <c r="C620" s="18" t="str">
        <f>IFERROR(VLOOKUP($A620,Equipment!$A$2:$AH1001,MATCH("Type",Equipment!$A$1:$AH$1,0),FALSE),"")</f>
        <v/>
      </c>
      <c r="D620" s="18" t="str">
        <f>IFERROR(VLOOKUP($A620,Equipment!$A$2:$AH1001,MATCH("Slot",Equipment!$A$1:$AH$1,0),FALSE),"")</f>
        <v>Neck</v>
      </c>
      <c r="E620" s="20">
        <f>IFERROR(VLOOKUP($A620,Equipment!$A$2:$AH1001,MATCH("LevelReq",Equipment!$A$1:$AH$1,0),FALSE),"")</f>
        <v>1</v>
      </c>
      <c r="F620" s="18" t="str">
        <f>IFERROR(VLOOKUP($A620,Equipconvrt!$A$2:$AH1001,MATCH("Abilities",Equipconvrt!$A$1:$AH$1,0),FALSE),"")</f>
        <v> ++To the Death! - Upon taking lethal damage resist it with 1 hp and gain 10 stacks of insanity (once per battle)</v>
      </c>
      <c r="G620" s="20">
        <f>IFERROR(VLOOKUP($A620,Equipment!$A$2:$AD1001,MATCH("Price",Equipment!$A$1:$AH$1,0),FALSE),"")</f>
        <v>0</v>
      </c>
      <c r="H620" s="1" t="b">
        <v>0</v>
      </c>
      <c r="I620" s="1" t="str">
        <f>IFERROR(VLOOKUP($A620,Equipment!$A$2:$AH1001,MATCH("EquipLoc",Equipment!$A$1:$AH$1,0),FALSE),"")</f>
        <v>Land of Spira</v>
      </c>
      <c r="W620" s="1" t="str">
        <f>IFERROR(__xludf.DUMMYFUNCTION("""COMPUTED_VALUE"""),"Harbingers' Emblazoned Chest of The Encroaching Void (Spira)")</f>
        <v>Harbingers' Emblazoned Chest of The Encroaching Void (Spira)</v>
      </c>
      <c r="X620" s="1" t="str">
        <f t="shared" si="1"/>
        <v/>
      </c>
    </row>
    <row r="621">
      <c r="A621" s="1" t="s">
        <v>1126</v>
      </c>
      <c r="B621" s="18" t="str">
        <f>IFERROR(VLOOKUP($A621,Equipment!$A$2:$AH1001,MATCH("Description",Equipment!$A$1:$AH$1,0),FALSE),"")</f>
        <v/>
      </c>
      <c r="C621" s="18" t="str">
        <f>IFERROR(VLOOKUP($A621,Equipment!$A$2:$AH1001,MATCH("Type",Equipment!$A$1:$AH$1,0),FALSE),"")</f>
        <v>Gauntlet</v>
      </c>
      <c r="D621" s="18" t="str">
        <f>IFERROR(VLOOKUP($A621,Equipment!$A$2:$AH1001,MATCH("Slot",Equipment!$A$1:$AH$1,0),FALSE),"")</f>
        <v>Hand</v>
      </c>
      <c r="E621" s="20">
        <f>IFERROR(VLOOKUP($A621,Equipment!$A$2:$AH1001,MATCH("LevelReq",Equipment!$A$1:$AH$1,0),FALSE),"")</f>
        <v>200</v>
      </c>
      <c r="F621" s="18" t="str">
        <f>IFERROR(VLOOKUP($A621,Equipconvrt!$A$2:$AH1001,MATCH("Abilities",Equipconvrt!$A$1:$AH$1,0),FALSE),"")</f>
        <v>DEF: +50000, Celestial DEF: +50000 ++One fist of Iron -  When attacking with this weapon you can choose to attack with the Harbingers' Claw of Steel in the same action. ++Throat Grab - make a hit or miss attack to prevent an enemy from acting on their turn as long as they remain grappled. To break free from the grapple the enemy must roll evasion to attempt to break free from your grasp at the end of each of your turns. ++20% chance to remove enemy from battle</v>
      </c>
      <c r="G621" s="20">
        <f>IFERROR(VLOOKUP($A621,Equipment!$A$2:$AD1001,MATCH("Price",Equipment!$A$1:$AH$1,0),FALSE),"")</f>
        <v>199000000</v>
      </c>
      <c r="H621" s="1" t="b">
        <v>0</v>
      </c>
      <c r="I621" s="1" t="str">
        <f>IFERROR(VLOOKUP($A621,Equipment!$A$2:$AH1001,MATCH("EquipLoc",Equipment!$A$1:$AH$1,0),FALSE),"")</f>
        <v>Land of Spira</v>
      </c>
      <c r="W621" s="1" t="str">
        <f>IFERROR(__xludf.DUMMYFUNCTION("""COMPUTED_VALUE"""),"Harbingers' Broken Fettering (Spira)")</f>
        <v>Harbingers' Broken Fettering (Spira)</v>
      </c>
      <c r="X621" s="1" t="str">
        <f t="shared" si="1"/>
        <v/>
      </c>
    </row>
    <row r="622">
      <c r="A622" s="1" t="s">
        <v>1127</v>
      </c>
      <c r="B622" s="18" t="str">
        <f>IFERROR(VLOOKUP($A622,Equipment!$A$2:$AH1001,MATCH("Description",Equipment!$A$1:$AH$1,0),FALSE),"")</f>
        <v/>
      </c>
      <c r="C622" s="18" t="str">
        <f>IFERROR(VLOOKUP($A622,Equipment!$A$2:$AH1001,MATCH("Type",Equipment!$A$1:$AH$1,0),FALSE),"")</f>
        <v>Claw</v>
      </c>
      <c r="D622" s="18" t="str">
        <f>IFERROR(VLOOKUP($A622,Equipment!$A$2:$AH1001,MATCH("Slot",Equipment!$A$1:$AH$1,0),FALSE),"")</f>
        <v>Hand</v>
      </c>
      <c r="E622" s="20">
        <f>IFERROR(VLOOKUP($A622,Equipment!$A$2:$AH1001,MATCH("LevelReq",Equipment!$A$1:$AH$1,0),FALSE),"")</f>
        <v>200</v>
      </c>
      <c r="F622" s="18" t="str">
        <f>IFERROR(VLOOKUP($A622,Equipconvrt!$A$2:$AH1001,MATCH("Abilities",Equipconvrt!$A$1:$AH$1,0),FALSE),"")</f>
        <v>DMG: +50000, Delta DMG: +25000, Celestial DMG: +25000 ++And Another of Steel - When attacking with this weapon you can choose to attack with the Harbingers' Fist of Iron in the same action. ++Elemental Rend - inflicts 1000 damage per round of each element (Excluding Acoustic, Zen, Time, Physical, Melee, and Ranged) when attacking an enemy ++Maddening Blows - targeting an enemy with this weapon inflicts you with 1 stack of insanity</v>
      </c>
      <c r="G622" s="20">
        <f>IFERROR(VLOOKUP($A622,Equipment!$A$2:$AD1001,MATCH("Price",Equipment!$A$1:$AH$1,0),FALSE),"")</f>
        <v>199000000</v>
      </c>
      <c r="H622" s="1" t="b">
        <v>0</v>
      </c>
      <c r="I622" s="1" t="str">
        <f>IFERROR(VLOOKUP($A622,Equipment!$A$2:$AH1001,MATCH("EquipLoc",Equipment!$A$1:$AH$1,0),FALSE),"")</f>
        <v>Land of Spira</v>
      </c>
      <c r="W622" s="1" t="str">
        <f>IFERROR(__xludf.DUMMYFUNCTION("""COMPUTED_VALUE"""),"Harbingers' Ethereal Chausses (Spira)")</f>
        <v>Harbingers' Ethereal Chausses (Spira)</v>
      </c>
      <c r="X622" s="1" t="str">
        <f t="shared" si="1"/>
        <v/>
      </c>
    </row>
    <row r="623">
      <c r="A623" s="4" t="s">
        <v>1128</v>
      </c>
      <c r="B623" s="18" t="str">
        <f>IFERROR(VLOOKUP($A623,Equipment!$A$2:$AH1001,MATCH("Description",Equipment!$A$1:$AH$1,0),FALSE),"")</f>
        <v/>
      </c>
      <c r="C623" s="18" t="str">
        <f>IFERROR(VLOOKUP($A623,Equipment!$A$2:$AH1001,MATCH("Type",Equipment!$A$1:$AH$1,0),FALSE),"")</f>
        <v>Claw</v>
      </c>
      <c r="D623" s="18" t="str">
        <f>IFERROR(VLOOKUP($A623,Equipment!$A$2:$AH1001,MATCH("Slot",Equipment!$A$1:$AH$1,0),FALSE),"")</f>
        <v>Hand</v>
      </c>
      <c r="E623" s="20">
        <f>IFERROR(VLOOKUP($A623,Equipment!$A$2:$AH1001,MATCH("LevelReq",Equipment!$A$1:$AH$1,0),FALSE),"")</f>
        <v>200</v>
      </c>
      <c r="F623" s="18" t="str">
        <f>IFERROR(VLOOKUP($A623,Equipconvrt!$A$2:$AH1001,MATCH("Abilities",Equipconvrt!$A$1:$AH$1,0),FALSE),"")</f>
        <v>DMG: +10000 ++Eagles Removal - 20% Chance to remove the target from battle. </v>
      </c>
      <c r="G623" s="20">
        <f>IFERROR(VLOOKUP($A623,Equipment!$A$2:$AD1001,MATCH("Price",Equipment!$A$1:$AH$1,0),FALSE),"")</f>
        <v>1900000</v>
      </c>
      <c r="H623" s="1" t="b">
        <v>0</v>
      </c>
      <c r="I623" s="1" t="str">
        <f>IFERROR(VLOOKUP($A623,Equipment!$A$2:$AH1001,MATCH("EquipLoc",Equipment!$A$1:$AH$1,0),FALSE),"")</f>
        <v>Land of Spira</v>
      </c>
      <c r="W623" s="1" t="str">
        <f>IFERROR(__xludf.DUMMYFUNCTION("""COMPUTED_VALUE"""),"Harbingers' Spiked Sabatons (Spira)")</f>
        <v>Harbingers' Spiked Sabatons (Spira)</v>
      </c>
      <c r="X623" s="1" t="str">
        <f t="shared" si="1"/>
        <v/>
      </c>
    </row>
    <row r="624">
      <c r="A624" s="4" t="s">
        <v>1129</v>
      </c>
      <c r="B624" s="18" t="str">
        <f>IFERROR(VLOOKUP($A624,Equipment!$A$2:$AH1001,MATCH("Description",Equipment!$A$1:$AH$1,0),FALSE),"")</f>
        <v/>
      </c>
      <c r="C624" s="18" t="str">
        <f>IFERROR(VLOOKUP($A624,Equipment!$A$2:$AH1001,MATCH("Type",Equipment!$A$1:$AH$1,0),FALSE),"")</f>
        <v>Gauntlet</v>
      </c>
      <c r="D624" s="18" t="str">
        <f>IFERROR(VLOOKUP($A624,Equipment!$A$2:$AH1001,MATCH("Slot",Equipment!$A$1:$AH$1,0),FALSE),"")</f>
        <v>Hand</v>
      </c>
      <c r="E624" s="20">
        <f>IFERROR(VLOOKUP($A624,Equipment!$A$2:$AH1001,MATCH("LevelReq",Equipment!$A$1:$AH$1,0),FALSE),"")</f>
        <v>200</v>
      </c>
      <c r="F624" s="18" t="str">
        <f>IFERROR(VLOOKUP($A624,Equipconvrt!$A$2:$AH1001,MATCH("Abilities",Equipconvrt!$A$1:$AH$1,0),FALSE),"")</f>
        <v>DMG: +5000, Light DMG: +2500, Order DMG: +2500</v>
      </c>
      <c r="G624" s="20">
        <f>IFERROR(VLOOKUP($A624,Equipment!$A$2:$AD1001,MATCH("Price",Equipment!$A$1:$AH$1,0),FALSE),"")</f>
        <v>1900000</v>
      </c>
      <c r="H624" s="1" t="b">
        <v>0</v>
      </c>
      <c r="I624" s="1" t="str">
        <f>IFERROR(VLOOKUP($A624,Equipment!$A$2:$AH1001,MATCH("EquipLoc",Equipment!$A$1:$AH$1,0),FALSE),"")</f>
        <v>Land of Spira</v>
      </c>
      <c r="W624" s="1" t="str">
        <f>IFERROR(__xludf.DUMMYFUNCTION("""COMPUTED_VALUE"""),"Harbingers' Vow (Spira)")</f>
        <v>Harbingers' Vow (Spira)</v>
      </c>
      <c r="X624" s="1" t="str">
        <f t="shared" si="1"/>
        <v/>
      </c>
    </row>
    <row r="625">
      <c r="A625" s="4" t="s">
        <v>1130</v>
      </c>
      <c r="B625" s="18" t="str">
        <f>IFERROR(VLOOKUP($A625,Equipment!$A$2:$AH1001,MATCH("Description",Equipment!$A$1:$AH$1,0),FALSE),"")</f>
        <v/>
      </c>
      <c r="C625" s="18" t="str">
        <f>IFERROR(VLOOKUP($A625,Equipment!$A$2:$AH1001,MATCH("Type",Equipment!$A$1:$AH$1,0),FALSE),"")</f>
        <v>Bow</v>
      </c>
      <c r="D625" s="18" t="str">
        <f>IFERROR(VLOOKUP($A625,Equipment!$A$2:$AH1001,MATCH("Slot",Equipment!$A$1:$AH$1,0),FALSE),"")</f>
        <v>Hand</v>
      </c>
      <c r="E625" s="20">
        <f>IFERROR(VLOOKUP($A625,Equipment!$A$2:$AH1001,MATCH("LevelReq",Equipment!$A$1:$AH$1,0),FALSE),"")</f>
        <v>200</v>
      </c>
      <c r="F625" s="18" t="str">
        <f>IFERROR(VLOOKUP($A625,Equipconvrt!$A$2:$AH1001,MATCH("Abilities",Equipconvrt!$A$1:$AH$1,0),FALSE),"")</f>
        <v>DMG: +10000</v>
      </c>
      <c r="G625" s="20">
        <f>IFERROR(VLOOKUP($A625,Equipment!$A$2:$AD1001,MATCH("Price",Equipment!$A$1:$AH$1,0),FALSE),"")</f>
        <v>1900000</v>
      </c>
      <c r="H625" s="1" t="b">
        <v>0</v>
      </c>
      <c r="I625" s="1" t="str">
        <f>IFERROR(VLOOKUP($A625,Equipment!$A$2:$AH1001,MATCH("EquipLoc",Equipment!$A$1:$AH$1,0),FALSE),"")</f>
        <v>Land of Spira</v>
      </c>
      <c r="W625" s="1" t="str">
        <f>IFERROR(__xludf.DUMMYFUNCTION("""COMPUTED_VALUE"""),"Harbingers' Resolve (Spira)")</f>
        <v>Harbingers' Resolve (Spira)</v>
      </c>
      <c r="X625" s="1" t="str">
        <f t="shared" si="1"/>
        <v/>
      </c>
    </row>
    <row r="626">
      <c r="A626" s="4" t="s">
        <v>1131</v>
      </c>
      <c r="B626" s="18" t="str">
        <f>IFERROR(VLOOKUP($A626,Equipment!$A$2:$AH1001,MATCH("Description",Equipment!$A$1:$AH$1,0),FALSE),"")</f>
        <v/>
      </c>
      <c r="C626" s="18" t="str">
        <f>IFERROR(VLOOKUP($A626,Equipment!$A$2:$AH1001,MATCH("Type",Equipment!$A$1:$AH$1,0),FALSE),"")</f>
        <v>Firearm</v>
      </c>
      <c r="D626" s="18" t="str">
        <f>IFERROR(VLOOKUP($A626,Equipment!$A$2:$AH1001,MATCH("Slot",Equipment!$A$1:$AH$1,0),FALSE),"")</f>
        <v>Hand</v>
      </c>
      <c r="E626" s="20">
        <f>IFERROR(VLOOKUP($A626,Equipment!$A$2:$AH1001,MATCH("LevelReq",Equipment!$A$1:$AH$1,0),FALSE),"")</f>
        <v>200</v>
      </c>
      <c r="F626" s="18" t="str">
        <f>IFERROR(VLOOKUP($A626,Equipconvrt!$A$2:$AH1001,MATCH("Abilities",Equipconvrt!$A$1:$AH$1,0),FALSE),"")</f>
        <v>DMG: +10000</v>
      </c>
      <c r="G626" s="20">
        <f>IFERROR(VLOOKUP($A626,Equipment!$A$2:$AD1001,MATCH("Price",Equipment!$A$1:$AH$1,0),FALSE),"")</f>
        <v>1900000</v>
      </c>
      <c r="H626" s="1" t="b">
        <v>0</v>
      </c>
      <c r="I626" s="1" t="str">
        <f>IFERROR(VLOOKUP($A626,Equipment!$A$2:$AH1001,MATCH("EquipLoc",Equipment!$A$1:$AH$1,0),FALSE),"")</f>
        <v>Land of Spira</v>
      </c>
      <c r="W626" s="1" t="str">
        <f>IFERROR(__xludf.DUMMYFUNCTION("""COMPUTED_VALUE"""),"Harbingers' Fist of Iron (Spira)")</f>
        <v>Harbingers' Fist of Iron (Spira)</v>
      </c>
      <c r="X626" s="1" t="str">
        <f t="shared" si="1"/>
        <v/>
      </c>
    </row>
    <row r="627">
      <c r="A627" s="4" t="s">
        <v>1132</v>
      </c>
      <c r="B627" s="18" t="str">
        <f>IFERROR(VLOOKUP($A627,Equipment!$A$2:$AH1001,MATCH("Description",Equipment!$A$1:$AH$1,0),FALSE),"")</f>
        <v/>
      </c>
      <c r="C627" s="18" t="str">
        <f>IFERROR(VLOOKUP($A627,Equipment!$A$2:$AH1001,MATCH("Type",Equipment!$A$1:$AH$1,0),FALSE),"")</f>
        <v/>
      </c>
      <c r="D627" s="18" t="str">
        <f>IFERROR(VLOOKUP($A627,Equipment!$A$2:$AH1001,MATCH("Slot",Equipment!$A$1:$AH$1,0),FALSE),"")</f>
        <v>Head</v>
      </c>
      <c r="E627" s="20">
        <f>IFERROR(VLOOKUP($A627,Equipment!$A$2:$AH1001,MATCH("LevelReq",Equipment!$A$1:$AH$1,0),FALSE),"")</f>
        <v>200</v>
      </c>
      <c r="F627" s="18" t="str">
        <f>IFERROR(VLOOKUP($A627,Equipconvrt!$A$2:$AH1001,MATCH("Abilities",Equipconvrt!$A$1:$AH$1,0),FALSE),"")</f>
        <v>DEF: +10000 ++ +5 to intimidation, ++Soul Shake: Allows to cast "Shaken Soul"</v>
      </c>
      <c r="G627" s="20">
        <f>IFERROR(VLOOKUP($A627,Equipment!$A$2:$AD1001,MATCH("Price",Equipment!$A$1:$AH$1,0),FALSE),"")</f>
        <v>1900000</v>
      </c>
      <c r="H627" s="4" t="b">
        <v>1</v>
      </c>
      <c r="I627" s="1" t="str">
        <f>IFERROR(VLOOKUP($A627,Equipment!$A$2:$AH1001,MATCH("EquipLoc",Equipment!$A$1:$AH$1,0),FALSE),"")</f>
        <v>Land of Spira</v>
      </c>
      <c r="W627" s="1" t="str">
        <f>IFERROR(__xludf.DUMMYFUNCTION("""COMPUTED_VALUE"""),"Harbingers' Claw of Steel (Spira)")</f>
        <v>Harbingers' Claw of Steel (Spira)</v>
      </c>
      <c r="X627" s="1" t="str">
        <f t="shared" si="1"/>
        <v/>
      </c>
    </row>
    <row r="628">
      <c r="A628" s="4" t="s">
        <v>1133</v>
      </c>
      <c r="B628" s="18" t="str">
        <f>IFERROR(VLOOKUP($A628,Equipment!$A$2:$AH1001,MATCH("Description",Equipment!$A$1:$AH$1,0),FALSE),"")</f>
        <v/>
      </c>
      <c r="C628" s="18" t="str">
        <f>IFERROR(VLOOKUP($A628,Equipment!$A$2:$AH1001,MATCH("Type",Equipment!$A$1:$AH$1,0),FALSE),"")</f>
        <v>Scythe</v>
      </c>
      <c r="D628" s="18" t="str">
        <f>IFERROR(VLOOKUP($A628,Equipment!$A$2:$AH1001,MATCH("Slot",Equipment!$A$1:$AH$1,0),FALSE),"")</f>
        <v>Hand</v>
      </c>
      <c r="E628" s="20">
        <f>IFERROR(VLOOKUP($A628,Equipment!$A$2:$AH1001,MATCH("LevelReq",Equipment!$A$1:$AH$1,0),FALSE),"")</f>
        <v>1000</v>
      </c>
      <c r="F628" s="18" t="str">
        <f>IFERROR(VLOOKUP($A628,Equipconvrt!$A$2:$AH1001,MATCH("Abilities",Equipconvrt!$A$1:$AH$1,0),FALSE),"")</f>
        <v>, Spirit DMG: +50000</v>
      </c>
      <c r="G628" s="20">
        <f>IFERROR(VLOOKUP($A628,Equipment!$A$2:$AD1001,MATCH("Price",Equipment!$A$1:$AH$1,0),FALSE),"")</f>
        <v>49500000</v>
      </c>
      <c r="H628" s="1" t="b">
        <v>0</v>
      </c>
      <c r="I628" s="1" t="str">
        <f>IFERROR(VLOOKUP($A628,Equipment!$A$2:$AH1001,MATCH("EquipLoc",Equipment!$A$1:$AH$1,0),FALSE),"")</f>
        <v>Land of Spira</v>
      </c>
      <c r="W628" s="1" t="str">
        <f>IFERROR(__xludf.DUMMYFUNCTION("""COMPUTED_VALUE"""),"Eagles Claw")</f>
        <v>Eagles Claw</v>
      </c>
      <c r="X628" s="1" t="str">
        <f t="shared" si="1"/>
        <v/>
      </c>
    </row>
    <row r="629">
      <c r="A629" s="4" t="s">
        <v>1134</v>
      </c>
      <c r="B629" s="18" t="str">
        <f>IFERROR(VLOOKUP($A629,Equipment!$A$2:$AH1001,MATCH("Description",Equipment!$A$1:$AH$1,0),FALSE),"")</f>
        <v/>
      </c>
      <c r="C629" s="18" t="str">
        <f>IFERROR(VLOOKUP($A629,Equipment!$A$2:$AH1001,MATCH("Type",Equipment!$A$1:$AH$1,0),FALSE),"")</f>
        <v>Knife</v>
      </c>
      <c r="D629" s="18" t="str">
        <f>IFERROR(VLOOKUP($A629,Equipment!$A$2:$AH1001,MATCH("Slot",Equipment!$A$1:$AH$1,0),FALSE),"")</f>
        <v>Hand</v>
      </c>
      <c r="E629" s="20">
        <f>IFERROR(VLOOKUP($A629,Equipment!$A$2:$AH1001,MATCH("LevelReq",Equipment!$A$1:$AH$1,0),FALSE),"")</f>
        <v>10</v>
      </c>
      <c r="F629" s="18" t="str">
        <f>IFERROR(VLOOKUP($A629,Equipconvrt!$A$2:$AH1001,MATCH("Abilities",Equipconvrt!$A$1:$AH$1,0),FALSE),"")</f>
        <v>DMG: +500 ++Increases damage by X2 for every time you hit an enemy with this weapon during a single battle (Goes back to normal damage after battle)</v>
      </c>
      <c r="G629" s="20">
        <f>IFERROR(VLOOKUP($A629,Equipment!$A$2:$AD1001,MATCH("Price",Equipment!$A$1:$AH$1,0),FALSE),"")</f>
        <v>1000</v>
      </c>
      <c r="H629" s="1" t="b">
        <v>0</v>
      </c>
      <c r="I629" s="1" t="str">
        <f>IFERROR(VLOOKUP($A629,Equipment!$A$2:$AH1001,MATCH("EquipLoc",Equipment!$A$1:$AH$1,0),FALSE),"")</f>
        <v>Land of Spira</v>
      </c>
      <c r="W629" s="1" t="str">
        <f>IFERROR(__xludf.DUMMYFUNCTION("""COMPUTED_VALUE"""),"Golden Gauntlet")</f>
        <v>Golden Gauntlet</v>
      </c>
      <c r="X629" s="1" t="str">
        <f t="shared" si="1"/>
        <v/>
      </c>
    </row>
    <row r="630">
      <c r="A630" s="4" t="s">
        <v>1135</v>
      </c>
      <c r="B630" s="18" t="str">
        <f>IFERROR(VLOOKUP($A630,Equipment!$A$2:$AH1001,MATCH("Description",Equipment!$A$1:$AH$1,0),FALSE),"")</f>
        <v/>
      </c>
      <c r="C630" s="18" t="str">
        <f>IFERROR(VLOOKUP($A630,Equipment!$A$2:$AH1001,MATCH("Type",Equipment!$A$1:$AH$1,0),FALSE),"")</f>
        <v>Spear</v>
      </c>
      <c r="D630" s="18" t="str">
        <f>IFERROR(VLOOKUP($A630,Equipment!$A$2:$AH1001,MATCH("Slot",Equipment!$A$1:$AH$1,0),FALSE),"")</f>
        <v>Hand</v>
      </c>
      <c r="E630" s="20">
        <f>IFERROR(VLOOKUP($A630,Equipment!$A$2:$AH1001,MATCH("LevelReq",Equipment!$A$1:$AH$1,0),FALSE),"")</f>
        <v>200</v>
      </c>
      <c r="F630" s="18" t="str">
        <f>IFERROR(VLOOKUP($A630,Equipconvrt!$A$2:$AH1001,MATCH("Abilities",Equipconvrt!$A$1:$AH$1,0),FALSE),"")</f>
        <v>DMG: +10000 ++Charge - The first attack made with this weapon deals X2 damage</v>
      </c>
      <c r="G630" s="20">
        <f>IFERROR(VLOOKUP($A630,Equipment!$A$2:$AD1001,MATCH("Price",Equipment!$A$1:$AH$1,0),FALSE),"")</f>
        <v>1900000</v>
      </c>
      <c r="H630" s="1" t="b">
        <v>0</v>
      </c>
      <c r="I630" s="1" t="str">
        <f>IFERROR(VLOOKUP($A630,Equipment!$A$2:$AH1001,MATCH("EquipLoc",Equipment!$A$1:$AH$1,0),FALSE),"")</f>
        <v>Land of Spira</v>
      </c>
      <c r="W630" s="1" t="str">
        <f>IFERROR(__xludf.DUMMYFUNCTION("""COMPUTED_VALUE"""),"Hand Crossbow")</f>
        <v>Hand Crossbow</v>
      </c>
      <c r="X630" s="1" t="str">
        <f t="shared" si="1"/>
        <v/>
      </c>
    </row>
    <row r="631">
      <c r="A631" s="4" t="s">
        <v>1136</v>
      </c>
      <c r="B631" s="18" t="str">
        <f>IFERROR(VLOOKUP($A631,Equipment!$A$2:$AH1001,MATCH("Description",Equipment!$A$1:$AH$1,0),FALSE),"")</f>
        <v/>
      </c>
      <c r="C631" s="18" t="str">
        <f>IFERROR(VLOOKUP($A631,Equipment!$A$2:$AH1001,MATCH("Type",Equipment!$A$1:$AH$1,0),FALSE),"")</f>
        <v>Axe</v>
      </c>
      <c r="D631" s="18" t="str">
        <f>IFERROR(VLOOKUP($A631,Equipment!$A$2:$AH1001,MATCH("Slot",Equipment!$A$1:$AH$1,0),FALSE),"")</f>
        <v>Hand</v>
      </c>
      <c r="E631" s="20">
        <f>IFERROR(VLOOKUP($A631,Equipment!$A$2:$AH1001,MATCH("LevelReq",Equipment!$A$1:$AH$1,0),FALSE),"")</f>
        <v>40</v>
      </c>
      <c r="F631" s="18" t="str">
        <f>IFERROR(VLOOKUP($A631,Equipconvrt!$A$2:$AH1001,MATCH("Abilities",Equipconvrt!$A$1:$AH$1,0),FALSE),"")</f>
        <v>DMG: +1000, Earth DMG: +1000</v>
      </c>
      <c r="G631" s="20">
        <f>IFERROR(VLOOKUP($A631,Equipment!$A$2:$AD1001,MATCH("Price",Equipment!$A$1:$AH$1,0),FALSE),"")</f>
        <v>60000</v>
      </c>
      <c r="H631" s="1" t="b">
        <v>0</v>
      </c>
      <c r="I631" s="1" t="str">
        <f>IFERROR(VLOOKUP($A631,Equipment!$A$2:$AH1001,MATCH("EquipLoc",Equipment!$A$1:$AH$1,0),FALSE),"")</f>
        <v>Land of Spira</v>
      </c>
      <c r="W631" s="1" t="str">
        <f>IFERROR(__xludf.DUMMYFUNCTION("""COMPUTED_VALUE"""),"Flintlock Pistol")</f>
        <v>Flintlock Pistol</v>
      </c>
      <c r="X631" s="1" t="str">
        <f t="shared" si="1"/>
        <v/>
      </c>
    </row>
    <row r="632">
      <c r="A632" s="4" t="s">
        <v>1137</v>
      </c>
      <c r="B632" s="18" t="str">
        <f>IFERROR(VLOOKUP($A632,Equipment!$A$2:$AH1001,MATCH("Description",Equipment!$A$1:$AH$1,0),FALSE),"")</f>
        <v/>
      </c>
      <c r="C632" s="18" t="str">
        <f>IFERROR(VLOOKUP($A632,Equipment!$A$2:$AH1001,MATCH("Type",Equipment!$A$1:$AH$1,0),FALSE),"")</f>
        <v>Knife</v>
      </c>
      <c r="D632" s="18" t="str">
        <f>IFERROR(VLOOKUP($A632,Equipment!$A$2:$AH1001,MATCH("Slot",Equipment!$A$1:$AH$1,0),FALSE),"")</f>
        <v>Hand</v>
      </c>
      <c r="E632" s="20">
        <f>IFERROR(VLOOKUP($A632,Equipment!$A$2:$AH1001,MATCH("LevelReq",Equipment!$A$1:$AH$1,0),FALSE),"")</f>
        <v>200</v>
      </c>
      <c r="F632" s="18" t="str">
        <f>IFERROR(VLOOKUP($A632,Equipconvrt!$A$2:$AH1001,MATCH("Abilities",Equipconvrt!$A$1:$AH$1,0),FALSE),"")</f>
        <v>DMG: +10000</v>
      </c>
      <c r="G632" s="20">
        <f>IFERROR(VLOOKUP($A632,Equipment!$A$2:$AD1001,MATCH("Price",Equipment!$A$1:$AH$1,0),FALSE),"")</f>
        <v>1900000</v>
      </c>
      <c r="H632" s="1" t="b">
        <v>0</v>
      </c>
      <c r="I632" s="1" t="str">
        <f>IFERROR(VLOOKUP($A632,Equipment!$A$2:$AH1001,MATCH("EquipLoc",Equipment!$A$1:$AH$1,0),FALSE),"")</f>
        <v>Land of Spira</v>
      </c>
      <c r="W632" s="1" t="str">
        <f>IFERROR(__xludf.DUMMYFUNCTION("""COMPUTED_VALUE"""),"Head of Gévaudan")</f>
        <v>Head of Gévaudan</v>
      </c>
      <c r="X632" s="1" t="str">
        <f t="shared" si="1"/>
        <v/>
      </c>
    </row>
    <row r="633">
      <c r="A633" s="4" t="s">
        <v>1138</v>
      </c>
      <c r="B633" s="18" t="str">
        <f>IFERROR(VLOOKUP($A633,Equipment!$A$2:$AH1001,MATCH("Description",Equipment!$A$1:$AH$1,0),FALSE),"")</f>
        <v/>
      </c>
      <c r="C633" s="18" t="str">
        <f>IFERROR(VLOOKUP($A633,Equipment!$A$2:$AH1001,MATCH("Type",Equipment!$A$1:$AH$1,0),FALSE),"")</f>
        <v>Axe</v>
      </c>
      <c r="D633" s="18" t="str">
        <f>IFERROR(VLOOKUP($A633,Equipment!$A$2:$AH1001,MATCH("Slot",Equipment!$A$1:$AH$1,0),FALSE),"")</f>
        <v>Hand</v>
      </c>
      <c r="E633" s="20">
        <f>IFERROR(VLOOKUP($A633,Equipment!$A$2:$AH1001,MATCH("LevelReq",Equipment!$A$1:$AH$1,0),FALSE),"")</f>
        <v>1200</v>
      </c>
      <c r="F633" s="18" t="str">
        <f>IFERROR(VLOOKUP($A633,Equipconvrt!$A$2:$AH1001,MATCH("Abilities",Equipconvrt!$A$1:$AH$1,0),FALSE),"")</f>
        <v>DMG: +50000, Blood DMG: +10000 ++Spinning Chain - Make a hit or miss attack (Adding Mobility) on hit set an enemies defense to 0 for 1 round 500 sp</v>
      </c>
      <c r="G633" s="20">
        <f>IFERROR(VLOOKUP($A633,Equipment!$A$2:$AD1001,MATCH("Price",Equipment!$A$1:$AH$1,0),FALSE),"")</f>
        <v>71400000</v>
      </c>
      <c r="H633" s="1" t="b">
        <v>0</v>
      </c>
      <c r="I633" s="1" t="str">
        <f>IFERROR(VLOOKUP($A633,Equipment!$A$2:$AH1001,MATCH("EquipLoc",Equipment!$A$1:$AH$1,0),FALSE),"")</f>
        <v>Land of Spira</v>
      </c>
      <c r="W633" s="1" t="str">
        <f>IFERROR(__xludf.DUMMYFUNCTION("""COMPUTED_VALUE"""),"Phantasmal Scythe")</f>
        <v>Phantasmal Scythe</v>
      </c>
      <c r="X633" s="1" t="str">
        <f t="shared" si="1"/>
        <v/>
      </c>
    </row>
    <row r="634">
      <c r="A634" s="4" t="s">
        <v>1139</v>
      </c>
      <c r="B634" s="18" t="str">
        <f>IFERROR(VLOOKUP($A634,Equipment!$A$2:$AH1001,MATCH("Description",Equipment!$A$1:$AH$1,0),FALSE),"")</f>
        <v/>
      </c>
      <c r="C634" s="18" t="str">
        <f>IFERROR(VLOOKUP($A634,Equipment!$A$2:$AH1001,MATCH("Type",Equipment!$A$1:$AH$1,0),FALSE),"")</f>
        <v>Club</v>
      </c>
      <c r="D634" s="18" t="str">
        <f>IFERROR(VLOOKUP($A634,Equipment!$A$2:$AH1001,MATCH("Slot",Equipment!$A$1:$AH$1,0),FALSE),"")</f>
        <v>Hand</v>
      </c>
      <c r="E634" s="20">
        <f>IFERROR(VLOOKUP($A634,Equipment!$A$2:$AH1001,MATCH("LevelReq",Equipment!$A$1:$AH$1,0),FALSE),"")</f>
        <v>500</v>
      </c>
      <c r="F634" s="18" t="str">
        <f>IFERROR(VLOOKUP($A634,Equipconvrt!$A$2:$AH1001,MATCH("Abilities",Equipconvrt!$A$1:$AH$1,0),FALSE),"")</f>
        <v>DMG: +25000 ++Abrasive Blow - hitting an enemy with this weapon causes them to be Injured graveky inflicting them with slowness until healed by any means.</v>
      </c>
      <c r="G634" s="20">
        <f>IFERROR(VLOOKUP($A634,Equipment!$A$2:$AD1001,MATCH("Price",Equipment!$A$1:$AH$1,0),FALSE),"")</f>
        <v>12250000</v>
      </c>
      <c r="H634" s="1" t="b">
        <v>0</v>
      </c>
      <c r="I634" s="1" t="str">
        <f>IFERROR(VLOOKUP($A634,Equipment!$A$2:$AH1001,MATCH("EquipLoc",Equipment!$A$1:$AH$1,0),FALSE),"")</f>
        <v>Land of Spira</v>
      </c>
      <c r="W634" s="1" t="str">
        <f>IFERROR(__xludf.DUMMYFUNCTION("""COMPUTED_VALUE"""),"Piranha Tooth Dagger")</f>
        <v>Piranha Tooth Dagger</v>
      </c>
      <c r="X634" s="1" t="str">
        <f t="shared" si="1"/>
        <v/>
      </c>
    </row>
    <row r="635">
      <c r="A635" s="4" t="s">
        <v>1140</v>
      </c>
      <c r="B635" s="18" t="str">
        <f>IFERROR(VLOOKUP($A635,Equipment!$A$2:$AH1001,MATCH("Description",Equipment!$A$1:$AH$1,0),FALSE),"")</f>
        <v/>
      </c>
      <c r="C635" s="18" t="str">
        <f>IFERROR(VLOOKUP($A635,Equipment!$A$2:$AH1001,MATCH("Type",Equipment!$A$1:$AH$1,0),FALSE),"")</f>
        <v>Gauntlet</v>
      </c>
      <c r="D635" s="18" t="str">
        <f>IFERROR(VLOOKUP($A635,Equipment!$A$2:$AH1001,MATCH("Slot",Equipment!$A$1:$AH$1,0),FALSE),"")</f>
        <v>Hand</v>
      </c>
      <c r="E635" s="20">
        <f>IFERROR(VLOOKUP($A635,Equipment!$A$2:$AH1001,MATCH("LevelReq",Equipment!$A$1:$AH$1,0),FALSE),"")</f>
        <v>400</v>
      </c>
      <c r="F635" s="18" t="str">
        <f>IFERROR(VLOOKUP($A635,Equipconvrt!$A$2:$AH1001,MATCH("Abilities",Equipconvrt!$A$1:$AH$1,0),FALSE),"")</f>
        <v>DEF: +20000 ++Slimey Grasp - When these gloves are equipped the natural power "take" Is guaranteed to succeed.</v>
      </c>
      <c r="G635" s="20">
        <f>IFERROR(VLOOKUP($A635,Equipment!$A$2:$AD1001,MATCH("Price",Equipment!$A$1:$AH$1,0),FALSE),"")</f>
        <v>7800000</v>
      </c>
      <c r="H635" s="1" t="b">
        <v>0</v>
      </c>
      <c r="I635" s="1" t="str">
        <f>IFERROR(VLOOKUP($A635,Equipment!$A$2:$AH1001,MATCH("EquipLoc",Equipment!$A$1:$AH$1,0),FALSE),"")</f>
        <v>Land of Spira</v>
      </c>
      <c r="W635" s="1" t="str">
        <f>IFERROR(__xludf.DUMMYFUNCTION("""COMPUTED_VALUE"""),"Rhino Horn Spear")</f>
        <v>Rhino Horn Spear</v>
      </c>
      <c r="X635" s="1" t="str">
        <f t="shared" si="1"/>
        <v/>
      </c>
    </row>
    <row r="636">
      <c r="A636" s="4" t="s">
        <v>1141</v>
      </c>
      <c r="B636" s="18" t="str">
        <f>IFERROR(VLOOKUP($A636,Equipment!$A$2:$AH1001,MATCH("Description",Equipment!$A$1:$AH$1,0),FALSE),"")</f>
        <v/>
      </c>
      <c r="C636" s="18" t="str">
        <f>IFERROR(VLOOKUP($A636,Equipment!$A$2:$AH1001,MATCH("Type",Equipment!$A$1:$AH$1,0),FALSE),"")</f>
        <v>Scythe</v>
      </c>
      <c r="D636" s="18" t="str">
        <f>IFERROR(VLOOKUP($A636,Equipment!$A$2:$AH1001,MATCH("Slot",Equipment!$A$1:$AH$1,0),FALSE),"")</f>
        <v>Hand</v>
      </c>
      <c r="E636" s="20">
        <f>IFERROR(VLOOKUP($A636,Equipment!$A$2:$AH1001,MATCH("LevelReq",Equipment!$A$1:$AH$1,0),FALSE),"")</f>
        <v>2000</v>
      </c>
      <c r="F636" s="18" t="str">
        <f>IFERROR(VLOOKUP($A636,Equipconvrt!$A$2:$AH1001,MATCH("Abilities",Equipconvrt!$A$1:$AH$1,0),FALSE),"")</f>
        <v>, Spirit DMG: +100000 ++Draconic Soul - When Fighting alongside any draconic allies (including Dragon companions or Dragonians) or if the wielder itself is draconic this weapon deals an additional X5 damage</v>
      </c>
      <c r="G636" s="20">
        <f>IFERROR(VLOOKUP($A636,Equipment!$A$2:$AD1001,MATCH("Price",Equipment!$A$1:$AH$1,0),FALSE),"")</f>
        <v>199000000</v>
      </c>
      <c r="H636" s="1" t="b">
        <v>0</v>
      </c>
      <c r="I636" s="1" t="str">
        <f>IFERROR(VLOOKUP($A636,Equipment!$A$2:$AH1001,MATCH("EquipLoc",Equipment!$A$1:$AH$1,0),FALSE),"")</f>
        <v>Land of Spira</v>
      </c>
      <c r="W636" s="1" t="str">
        <f>IFERROR(__xludf.DUMMYFUNCTION("""COMPUTED_VALUE"""),"Rock Axe")</f>
        <v>Rock Axe</v>
      </c>
      <c r="X636" s="1" t="str">
        <f t="shared" si="1"/>
        <v/>
      </c>
    </row>
    <row r="637">
      <c r="A637" s="4" t="s">
        <v>1142</v>
      </c>
      <c r="B637" s="18" t="str">
        <f>IFERROR(VLOOKUP($A637,Equipment!$A$2:$AH1001,MATCH("Description",Equipment!$A$1:$AH$1,0),FALSE),"")</f>
        <v/>
      </c>
      <c r="C637" s="18" t="str">
        <f>IFERROR(VLOOKUP($A637,Equipment!$A$2:$AH1001,MATCH("Type",Equipment!$A$1:$AH$1,0),FALSE),"")</f>
        <v>Scythe</v>
      </c>
      <c r="D637" s="18" t="str">
        <f>IFERROR(VLOOKUP($A637,Equipment!$A$2:$AH1001,MATCH("Slot",Equipment!$A$1:$AH$1,0),FALSE),"")</f>
        <v>Hand</v>
      </c>
      <c r="E637" s="20">
        <f>IFERROR(VLOOKUP($A637,Equipment!$A$2:$AH1001,MATCH("LevelReq",Equipment!$A$1:$AH$1,0),FALSE),"")</f>
        <v>2000</v>
      </c>
      <c r="F637" s="18" t="str">
        <f>IFERROR(VLOOKUP($A637,Equipconvrt!$A$2:$AH1001,MATCH("Abilities",Equipconvrt!$A$1:$AH$1,0),FALSE),"")</f>
        <v>, Fire DMG: +20000, Physical DMG: +20000, Water DMG: +20000, Storm DMG: +20000, Earth DMG: +20000 ++This scythe is unnaffected by Immunities to fire, earth, nature, water, or storm.</v>
      </c>
      <c r="G637" s="20">
        <f>IFERROR(VLOOKUP($A637,Equipment!$A$2:$AD1001,MATCH("Price",Equipment!$A$1:$AH$1,0),FALSE),"")</f>
        <v>199000000</v>
      </c>
      <c r="H637" s="1" t="b">
        <v>0</v>
      </c>
      <c r="I637" s="1" t="str">
        <f>IFERROR(VLOOKUP($A637,Equipment!$A$2:$AH1001,MATCH("EquipLoc",Equipment!$A$1:$AH$1,0),FALSE),"")</f>
        <v>Land of Spira</v>
      </c>
      <c r="W637" s="1" t="str">
        <f>IFERROR(__xludf.DUMMYFUNCTION("""COMPUTED_VALUE"""),"Saber Tooth")</f>
        <v>Saber Tooth</v>
      </c>
      <c r="X637" s="1" t="str">
        <f t="shared" si="1"/>
        <v/>
      </c>
    </row>
    <row r="638">
      <c r="A638" s="4" t="s">
        <v>1143</v>
      </c>
      <c r="B638" s="18" t="str">
        <f>IFERROR(VLOOKUP($A638,Equipment!$A$2:$AH1001,MATCH("Description",Equipment!$A$1:$AH$1,0),FALSE),"")</f>
        <v/>
      </c>
      <c r="C638" s="18" t="str">
        <f>IFERROR(VLOOKUP($A638,Equipment!$A$2:$AH1001,MATCH("Type",Equipment!$A$1:$AH$1,0),FALSE),"")</f>
        <v>Staff</v>
      </c>
      <c r="D638" s="18" t="str">
        <f>IFERROR(VLOOKUP($A638,Equipment!$A$2:$AH1001,MATCH("Slot",Equipment!$A$1:$AH$1,0),FALSE),"")</f>
        <v>Hand</v>
      </c>
      <c r="E638" s="20">
        <f>IFERROR(VLOOKUP($A638,Equipment!$A$2:$AH1001,MATCH("LevelReq",Equipment!$A$1:$AH$1,0),FALSE),"")</f>
        <v>1000</v>
      </c>
      <c r="F638" s="18" t="str">
        <f>IFERROR(VLOOKUP($A638,Equipconvrt!$A$2:$AH1001,MATCH("Abilities",Equipconvrt!$A$1:$AH$1,0),FALSE),"")</f>
        <v>, Water DMG: +50000 ++Summoned Water Elementals deal 5X water damage</v>
      </c>
      <c r="G638" s="20">
        <f>IFERROR(VLOOKUP($A638,Equipment!$A$2:$AD1001,MATCH("Price",Equipment!$A$1:$AH$1,0),FALSE),"")</f>
        <v>49500000</v>
      </c>
      <c r="H638" s="4" t="b">
        <v>1</v>
      </c>
      <c r="I638" s="1" t="str">
        <f>IFERROR(VLOOKUP($A638,Equipment!$A$2:$AH1001,MATCH("EquipLoc",Equipment!$A$1:$AH$1,0),FALSE),"")</f>
        <v>Land of Spira</v>
      </c>
      <c r="W638" s="1" t="str">
        <f>IFERROR(__xludf.DUMMYFUNCTION("""COMPUTED_VALUE"""),"Worm Tooth Chainsaw")</f>
        <v>Worm Tooth Chainsaw</v>
      </c>
      <c r="X638" s="1" t="str">
        <f t="shared" si="1"/>
        <v/>
      </c>
    </row>
    <row r="639">
      <c r="A639" s="4" t="s">
        <v>1144</v>
      </c>
      <c r="B639" s="18" t="str">
        <f>IFERROR(VLOOKUP($A639,Equipment!$A$2:$AH1001,MATCH("Description",Equipment!$A$1:$AH$1,0),FALSE),"")</f>
        <v/>
      </c>
      <c r="C639" s="18" t="str">
        <f>IFERROR(VLOOKUP($A639,Equipment!$A$2:$AH1001,MATCH("Type",Equipment!$A$1:$AH$1,0),FALSE),"")</f>
        <v/>
      </c>
      <c r="D639" s="18" t="str">
        <f>IFERROR(VLOOKUP($A639,Equipment!$A$2:$AH1001,MATCH("Slot",Equipment!$A$1:$AH$1,0),FALSE),"")</f>
        <v>Legs</v>
      </c>
      <c r="E639" s="20">
        <f>IFERROR(VLOOKUP($A639,Equipment!$A$2:$AH1001,MATCH("LevelReq",Equipment!$A$1:$AH$1,0),FALSE),"")</f>
        <v>800</v>
      </c>
      <c r="F639" s="18" t="str">
        <f>IFERROR(VLOOKUP($A639,Equipconvrt!$A$2:$AH1001,MATCH("Abilities",Equipconvrt!$A$1:$AH$1,0),FALSE),"")</f>
        <v>DEF: +40000 ++Smash - Allows you to attack with the tail as if it were a club weapon</v>
      </c>
      <c r="G639" s="20">
        <f>IFERROR(VLOOKUP($A639,Equipment!$A$2:$AD1001,MATCH("Price",Equipment!$A$1:$AH$1,0),FALSE),"")</f>
        <v>31600000</v>
      </c>
      <c r="H639" s="4" t="b">
        <v>1</v>
      </c>
      <c r="I639" s="1" t="str">
        <f>IFERROR(VLOOKUP($A639,Equipment!$A$2:$AH1001,MATCH("EquipLoc",Equipment!$A$1:$AH$1,0),FALSE),"")</f>
        <v>Land of Spira</v>
      </c>
      <c r="W639" s="1" t="str">
        <f>IFERROR(__xludf.DUMMYFUNCTION("""COMPUTED_VALUE"""),"Shark Tooth Greatclub")</f>
        <v>Shark Tooth Greatclub</v>
      </c>
      <c r="X639" s="1" t="str">
        <f t="shared" si="1"/>
        <v/>
      </c>
    </row>
    <row r="640">
      <c r="A640" s="4" t="s">
        <v>1145</v>
      </c>
      <c r="B640" s="18" t="str">
        <f>IFERROR(VLOOKUP($A640,Equipment!$A$2:$AH1001,MATCH("Description",Equipment!$A$1:$AH$1,0),FALSE),"")</f>
        <v/>
      </c>
      <c r="C640" s="18" t="str">
        <f>IFERROR(VLOOKUP($A640,Equipment!$A$2:$AH1001,MATCH("Type",Equipment!$A$1:$AH$1,0),FALSE),"")</f>
        <v>Instrument</v>
      </c>
      <c r="D640" s="18" t="str">
        <f>IFERROR(VLOOKUP($A640,Equipment!$A$2:$AH1001,MATCH("Slot",Equipment!$A$1:$AH$1,0),FALSE),"")</f>
        <v>Hand</v>
      </c>
      <c r="E640" s="20">
        <f>IFERROR(VLOOKUP($A640,Equipment!$A$2:$AH1001,MATCH("LevelReq",Equipment!$A$1:$AH$1,0),FALSE),"")</f>
        <v>1000</v>
      </c>
      <c r="F640" s="18" t="str">
        <f>IFERROR(VLOOKUP($A640,Equipconvrt!$A$2:$AH1001,MATCH("Abilities",Equipconvrt!$A$1:$AH$1,0),FALSE),"")</f>
        <v>, Acoustic DMG: +50000 ++When Equipped with Bashe's Tail Deal 5X damage and cast 2 acoustic powers in an action instead of one for your first turn</v>
      </c>
      <c r="G640" s="20">
        <f>IFERROR(VLOOKUP($A640,Equipment!$A$2:$AD1001,MATCH("Price",Equipment!$A$1:$AH$1,0),FALSE),"")</f>
        <v>49500000</v>
      </c>
      <c r="H640" s="4" t="b">
        <v>1</v>
      </c>
      <c r="I640" s="1" t="str">
        <f>IFERROR(VLOOKUP($A640,Equipment!$A$2:$AH1001,MATCH("EquipLoc",Equipment!$A$1:$AH$1,0),FALSE),"")</f>
        <v>Land of Spira</v>
      </c>
      <c r="W640" s="1" t="str">
        <f>IFERROR(__xludf.DUMMYFUNCTION("""COMPUTED_VALUE"""),"Sticky Slime Guantlets")</f>
        <v>Sticky Slime Guantlets</v>
      </c>
      <c r="X640" s="1" t="str">
        <f t="shared" si="1"/>
        <v/>
      </c>
    </row>
    <row r="641">
      <c r="A641" s="4" t="s">
        <v>1146</v>
      </c>
      <c r="B641" s="18" t="str">
        <f>IFERROR(VLOOKUP($A641,Equipment!$A$2:$AH1001,MATCH("Description",Equipment!$A$1:$AH$1,0),FALSE),"")</f>
        <v/>
      </c>
      <c r="C641" s="18" t="str">
        <f>IFERROR(VLOOKUP($A641,Equipment!$A$2:$AH1001,MATCH("Type",Equipment!$A$1:$AH$1,0),FALSE),"")</f>
        <v>Club</v>
      </c>
      <c r="D641" s="18" t="str">
        <f>IFERROR(VLOOKUP($A641,Equipment!$A$2:$AH1001,MATCH("Slot",Equipment!$A$1:$AH$1,0),FALSE),"")</f>
        <v>Hand</v>
      </c>
      <c r="E641" s="20">
        <f>IFERROR(VLOOKUP($A641,Equipment!$A$2:$AH1001,MATCH("LevelReq",Equipment!$A$1:$AH$1,0),FALSE),"")</f>
        <v>2000</v>
      </c>
      <c r="F641" s="18" t="str">
        <f>IFERROR(VLOOKUP($A641,Equipconvrt!$A$2:$AH1001,MATCH("Abilities",Equipconvrt!$A$1:$AH$1,0),FALSE),"")</f>
        <v>DMG: +100000 ++When a Samurai Wields this weapon they get access to the "Grash's Smashing Success" Natural Power</v>
      </c>
      <c r="G641" s="20">
        <f>IFERROR(VLOOKUP($A641,Equipment!$A$2:$AD1001,MATCH("Price",Equipment!$A$1:$AH$1,0),FALSE),"")</f>
        <v>199000000</v>
      </c>
      <c r="H641" s="1" t="b">
        <v>0</v>
      </c>
      <c r="I641" s="1" t="str">
        <f>IFERROR(VLOOKUP($A641,Equipment!$A$2:$AH1001,MATCH("EquipLoc",Equipment!$A$1:$AH$1,0),FALSE),"")</f>
        <v>Land of Spira</v>
      </c>
      <c r="W641" s="1" t="str">
        <f>IFERROR(__xludf.DUMMYFUNCTION("""COMPUTED_VALUE"""),"Draconic Scythe")</f>
        <v>Draconic Scythe</v>
      </c>
      <c r="X641" s="1" t="str">
        <f t="shared" si="1"/>
        <v/>
      </c>
    </row>
    <row r="642">
      <c r="A642" s="4" t="s">
        <v>1147</v>
      </c>
      <c r="B642" s="18" t="str">
        <f>IFERROR(VLOOKUP($A642,Equipment!$A$2:$AH1001,MATCH("Description",Equipment!$A$1:$AH$1,0),FALSE),"")</f>
        <v/>
      </c>
      <c r="C642" s="18" t="str">
        <f>IFERROR(VLOOKUP($A642,Equipment!$A$2:$AH1001,MATCH("Type",Equipment!$A$1:$AH$1,0),FALSE),"")</f>
        <v/>
      </c>
      <c r="D642" s="18" t="str">
        <f>IFERROR(VLOOKUP($A642,Equipment!$A$2:$AH1001,MATCH("Slot",Equipment!$A$1:$AH$1,0),FALSE),"")</f>
        <v>Neck</v>
      </c>
      <c r="E642" s="20">
        <f>IFERROR(VLOOKUP($A642,Equipment!$A$2:$AH1001,MATCH("LevelReq",Equipment!$A$1:$AH$1,0),FALSE),"")</f>
        <v>1</v>
      </c>
      <c r="F642" s="18" t="str">
        <f>IFERROR(VLOOKUP($A642,Equipconvrt!$A$2:$AH1001,MATCH("Abilities",Equipconvrt!$A$1:$AH$1,0),FALSE),"")</f>
        <v> ++When fighting alongside a Beast Companion you get +5 to all weapon attacks (Wearing multiple does not cause this effect to stack)</v>
      </c>
      <c r="G642" s="20">
        <f>IFERROR(VLOOKUP($A642,Equipment!$A$2:$AD1001,MATCH("Price",Equipment!$A$1:$AH$1,0),FALSE),"")</f>
        <v>0</v>
      </c>
      <c r="H642" s="1" t="b">
        <v>0</v>
      </c>
      <c r="I642" s="1" t="str">
        <f>IFERROR(VLOOKUP($A642,Equipment!$A$2:$AH1001,MATCH("EquipLoc",Equipment!$A$1:$AH$1,0),FALSE),"")</f>
        <v>Land of Spira</v>
      </c>
      <c r="W642" s="1" t="str">
        <f>IFERROR(__xludf.DUMMYFUNCTION("""COMPUTED_VALUE"""),"Elemental Scythe")</f>
        <v>Elemental Scythe</v>
      </c>
      <c r="X642" s="1" t="str">
        <f t="shared" si="1"/>
        <v/>
      </c>
    </row>
    <row r="643">
      <c r="A643" s="4" t="s">
        <v>1148</v>
      </c>
      <c r="B643" s="18" t="str">
        <f>IFERROR(VLOOKUP($A643,Equipment!$A$2:$AH1001,MATCH("Description",Equipment!$A$1:$AH$1,0),FALSE),"")</f>
        <v/>
      </c>
      <c r="C643" s="18" t="str">
        <f>IFERROR(VLOOKUP($A643,Equipment!$A$2:$AH1001,MATCH("Type",Equipment!$A$1:$AH$1,0),FALSE),"")</f>
        <v/>
      </c>
      <c r="D643" s="18" t="str">
        <f>IFERROR(VLOOKUP($A643,Equipment!$A$2:$AH1001,MATCH("Slot",Equipment!$A$1:$AH$1,0),FALSE),"")</f>
        <v/>
      </c>
      <c r="E643" s="20" t="str">
        <f>IFERROR(VLOOKUP($A643,Equipment!$A$2:$AH1001,MATCH("LevelReq",Equipment!$A$1:$AH$1,0),FALSE),"")</f>
        <v/>
      </c>
      <c r="F643" s="18" t="str">
        <f>IFERROR(VLOOKUP($A643,Equipconvrt!$A$2:$AH1001,MATCH("Abilities",Equipconvrt!$A$1:$AH$1,0),FALSE),"")</f>
        <v/>
      </c>
      <c r="G643" s="20" t="str">
        <f>IFERROR(VLOOKUP($A643,Equipment!$A$2:$AD1001,MATCH("Price",Equipment!$A$1:$AH$1,0),FALSE),"")</f>
        <v/>
      </c>
      <c r="H643" s="1" t="b">
        <v>0</v>
      </c>
      <c r="I643" s="1" t="str">
        <f>IFERROR(VLOOKUP($A643,Equipment!$A$2:$AH1001,MATCH("EquipLoc",Equipment!$A$1:$AH$1,0),FALSE),"")</f>
        <v/>
      </c>
      <c r="W643" s="1" t="str">
        <f>IFERROR(__xludf.DUMMYFUNCTION("""COMPUTED_VALUE"""),"Staff of the Elemental King of Water")</f>
        <v>Staff of the Elemental King of Water</v>
      </c>
      <c r="X643" s="1" t="str">
        <f t="shared" si="1"/>
        <v/>
      </c>
    </row>
    <row r="644">
      <c r="A644" s="4" t="s">
        <v>1149</v>
      </c>
      <c r="B644" s="18" t="str">
        <f>IFERROR(VLOOKUP($A644,Equipment!$A$2:$AH1001,MATCH("Description",Equipment!$A$1:$AH$1,0),FALSE),"")</f>
        <v/>
      </c>
      <c r="C644" s="18" t="str">
        <f>IFERROR(VLOOKUP($A644,Equipment!$A$2:$AH1001,MATCH("Type",Equipment!$A$1:$AH$1,0),FALSE),"")</f>
        <v/>
      </c>
      <c r="D644" s="18" t="str">
        <f>IFERROR(VLOOKUP($A644,Equipment!$A$2:$AH1001,MATCH("Slot",Equipment!$A$1:$AH$1,0),FALSE),"")</f>
        <v>Neck</v>
      </c>
      <c r="E644" s="20">
        <f>IFERROR(VLOOKUP($A644,Equipment!$A$2:$AH1001,MATCH("LevelReq",Equipment!$A$1:$AH$1,0),FALSE),"")</f>
        <v>1</v>
      </c>
      <c r="F644" s="18" t="str">
        <f>IFERROR(VLOOKUP($A644,Equipconvrt!$A$2:$AH1001,MATCH("Abilities",Equipconvrt!$A$1:$AH$1,0),FALSE),"")</f>
        <v> ++When fighting alongside a Heavenly Companion you get +5 to all weapon attacks (Wearing multiple does not cause this effect to stack)</v>
      </c>
      <c r="G644" s="20">
        <f>IFERROR(VLOOKUP($A644,Equipment!$A$2:$AD1001,MATCH("Price",Equipment!$A$1:$AH$1,0),FALSE),"")</f>
        <v>0</v>
      </c>
      <c r="H644" s="1" t="b">
        <v>0</v>
      </c>
      <c r="I644" s="1" t="str">
        <f>IFERROR(VLOOKUP($A644,Equipment!$A$2:$AH1001,MATCH("EquipLoc",Equipment!$A$1:$AH$1,0),FALSE),"")</f>
        <v>Land of Spira</v>
      </c>
      <c r="W644" s="1" t="str">
        <f>IFERROR(__xludf.DUMMYFUNCTION("""COMPUTED_VALUE"""),"Bashe's Tail")</f>
        <v>Bashe's Tail</v>
      </c>
      <c r="X644" s="1" t="str">
        <f t="shared" si="1"/>
        <v/>
      </c>
    </row>
    <row r="645">
      <c r="A645" s="4" t="s">
        <v>1150</v>
      </c>
      <c r="B645" s="18" t="str">
        <f>IFERROR(VLOOKUP($A645,Equipment!$A$2:$AH1001,MATCH("Description",Equipment!$A$1:$AH$1,0),FALSE),"")</f>
        <v/>
      </c>
      <c r="C645" s="18" t="str">
        <f>IFERROR(VLOOKUP($A645,Equipment!$A$2:$AH1001,MATCH("Type",Equipment!$A$1:$AH$1,0),FALSE),"")</f>
        <v/>
      </c>
      <c r="D645" s="18" t="str">
        <f>IFERROR(VLOOKUP($A645,Equipment!$A$2:$AH1001,MATCH("Slot",Equipment!$A$1:$AH$1,0),FALSE),"")</f>
        <v>Neck</v>
      </c>
      <c r="E645" s="20">
        <f>IFERROR(VLOOKUP($A645,Equipment!$A$2:$AH1001,MATCH("LevelReq",Equipment!$A$1:$AH$1,0),FALSE),"")</f>
        <v>1</v>
      </c>
      <c r="F645" s="18" t="str">
        <f>IFERROR(VLOOKUP($A645,Equipconvrt!$A$2:$AH1001,MATCH("Abilities",Equipconvrt!$A$1:$AH$1,0),FALSE),"")</f>
        <v> ++When fighting alongside a Demonic Companion you get +5 to all weapon attacks (Wearing multiple does not cause this effect to stack)</v>
      </c>
      <c r="G645" s="20">
        <f>IFERROR(VLOOKUP($A645,Equipment!$A$2:$AD1001,MATCH("Price",Equipment!$A$1:$AH$1,0),FALSE),"")</f>
        <v>0</v>
      </c>
      <c r="H645" s="1" t="b">
        <v>0</v>
      </c>
      <c r="I645" s="1" t="str">
        <f>IFERROR(VLOOKUP($A645,Equipment!$A$2:$AH1001,MATCH("EquipLoc",Equipment!$A$1:$AH$1,0),FALSE),"")</f>
        <v>Land of Spira</v>
      </c>
      <c r="W645" s="1" t="str">
        <f>IFERROR(__xludf.DUMMYFUNCTION("""COMPUTED_VALUE"""),"Bashe's Flute")</f>
        <v>Bashe's Flute</v>
      </c>
      <c r="X645" s="1" t="str">
        <f t="shared" si="1"/>
        <v/>
      </c>
    </row>
    <row r="646">
      <c r="A646" s="4" t="s">
        <v>1151</v>
      </c>
      <c r="B646" s="18" t="str">
        <f>IFERROR(VLOOKUP($A646,Equipment!$A$2:$AH1001,MATCH("Description",Equipment!$A$1:$AH$1,0),FALSE),"")</f>
        <v/>
      </c>
      <c r="C646" s="18" t="str">
        <f>IFERROR(VLOOKUP($A646,Equipment!$A$2:$AH1001,MATCH("Type",Equipment!$A$1:$AH$1,0),FALSE),"")</f>
        <v/>
      </c>
      <c r="D646" s="18" t="str">
        <f>IFERROR(VLOOKUP($A646,Equipment!$A$2:$AH1001,MATCH("Slot",Equipment!$A$1:$AH$1,0),FALSE),"")</f>
        <v>Shoulders</v>
      </c>
      <c r="E646" s="20">
        <f>IFERROR(VLOOKUP($A646,Equipment!$A$2:$AH1001,MATCH("LevelReq",Equipment!$A$1:$AH$1,0),FALSE),"")</f>
        <v>800</v>
      </c>
      <c r="F646" s="18" t="str">
        <f>IFERROR(VLOOKUP($A646,Equipconvrt!$A$2:$AH1001,MATCH("Abilities",Equipconvrt!$A$1:$AH$1,0),FALSE),"")</f>
        <v>DEF: +25000, Fire DEF: +15000 ++The warm coat grants you immunity to freezing.</v>
      </c>
      <c r="G646" s="20">
        <f>IFERROR(VLOOKUP($A646,Equipment!$A$2:$AD1001,MATCH("Price",Equipment!$A$1:$AH$1,0),FALSE),"")</f>
        <v>31600000</v>
      </c>
      <c r="H646" s="4" t="b">
        <v>0</v>
      </c>
      <c r="I646" s="1" t="str">
        <f>IFERROR(VLOOKUP($A646,Equipment!$A$2:$AH1001,MATCH("EquipLoc",Equipment!$A$1:$AH$1,0),FALSE),"")</f>
        <v>Land of Spira</v>
      </c>
      <c r="W646" s="1" t="str">
        <f>IFERROR(__xludf.DUMMYFUNCTION("""COMPUTED_VALUE"""),"Grash's Favorite Length Of Iron")</f>
        <v>Grash's Favorite Length Of Iron</v>
      </c>
      <c r="X646" s="1" t="str">
        <f t="shared" si="1"/>
        <v/>
      </c>
    </row>
    <row r="647">
      <c r="A647" s="4" t="s">
        <v>1152</v>
      </c>
      <c r="B647" s="18" t="str">
        <f>IFERROR(VLOOKUP($A647,Equipment!$A$2:$AH1001,MATCH("Description",Equipment!$A$1:$AH$1,0),FALSE),"")</f>
        <v/>
      </c>
      <c r="C647" s="18" t="str">
        <f>IFERROR(VLOOKUP($A647,Equipment!$A$2:$AH1001,MATCH("Type",Equipment!$A$1:$AH$1,0),FALSE),"")</f>
        <v/>
      </c>
      <c r="D647" s="18" t="str">
        <f>IFERROR(VLOOKUP($A647,Equipment!$A$2:$AH1001,MATCH("Slot",Equipment!$A$1:$AH$1,0),FALSE),"")</f>
        <v>Ring</v>
      </c>
      <c r="E647" s="20">
        <f>IFERROR(VLOOKUP($A647,Equipment!$A$2:$AH1001,MATCH("LevelReq",Equipment!$A$1:$AH$1,0),FALSE),"")</f>
        <v>1</v>
      </c>
      <c r="F647" s="18" t="str">
        <f>IFERROR(VLOOKUP($A647,Equipconvrt!$A$2:$AH1001,MATCH("Abilities",Equipconvrt!$A$1:$AH$1,0),FALSE),"")</f>
        <v> ++When Fighting alongside a spirit companion you get ++5 to all weapon attacks. ++You get access to the "Spiritual Meld" Spell (Wearing multiple does not cause this effect to stack)</v>
      </c>
      <c r="G647" s="20">
        <f>IFERROR(VLOOKUP($A647,Equipment!$A$2:$AD1001,MATCH("Price",Equipment!$A$1:$AH$1,0),FALSE),"")</f>
        <v>0</v>
      </c>
      <c r="H647" s="1" t="b">
        <v>0</v>
      </c>
      <c r="I647" s="1" t="str">
        <f>IFERROR(VLOOKUP($A647,Equipment!$A$2:$AH1001,MATCH("EquipLoc",Equipment!$A$1:$AH$1,0),FALSE),"")</f>
        <v>Land of Spira</v>
      </c>
      <c r="W647" s="1" t="str">
        <f>IFERROR(__xludf.DUMMYFUNCTION("""COMPUTED_VALUE"""),"Wolf Tooth Neclace")</f>
        <v>Wolf Tooth Neclace</v>
      </c>
      <c r="X647" s="1" t="str">
        <f t="shared" si="1"/>
        <v/>
      </c>
    </row>
    <row r="648">
      <c r="A648" s="4" t="s">
        <v>1153</v>
      </c>
      <c r="B648" s="18" t="str">
        <f>IFERROR(VLOOKUP($A648,Equipment!$A$2:$AH1001,MATCH("Description",Equipment!$A$1:$AH$1,0),FALSE),"")</f>
        <v/>
      </c>
      <c r="C648" s="18" t="str">
        <f>IFERROR(VLOOKUP($A648,Equipment!$A$2:$AH1001,MATCH("Type",Equipment!$A$1:$AH$1,0),FALSE),"")</f>
        <v/>
      </c>
      <c r="D648" s="18" t="str">
        <f>IFERROR(VLOOKUP($A648,Equipment!$A$2:$AH1001,MATCH("Slot",Equipment!$A$1:$AH$1,0),FALSE),"")</f>
        <v>Ring</v>
      </c>
      <c r="E648" s="20">
        <f>IFERROR(VLOOKUP($A648,Equipment!$A$2:$AH1001,MATCH("LevelReq",Equipment!$A$1:$AH$1,0),FALSE),"")</f>
        <v>1</v>
      </c>
      <c r="F648" s="18" t="str">
        <f>IFERROR(VLOOKUP($A648,Equipconvrt!$A$2:$AH1001,MATCH("Abilities",Equipconvrt!$A$1:$AH$1,0),FALSE),"")</f>
        <v> ++When Fighting alongside an undead companion you get +5 to all weapon attacks (Wearing multiple does not cause this effect to stack)</v>
      </c>
      <c r="G648" s="20">
        <f>IFERROR(VLOOKUP($A648,Equipment!$A$2:$AD1001,MATCH("Price",Equipment!$A$1:$AH$1,0),FALSE),"")</f>
        <v>0</v>
      </c>
      <c r="H648" s="1" t="b">
        <v>0</v>
      </c>
      <c r="I648" s="1" t="str">
        <f>IFERROR(VLOOKUP($A648,Equipment!$A$2:$AH1001,MATCH("EquipLoc",Equipment!$A$1:$AH$1,0),FALSE),"")</f>
        <v>Land of Spira</v>
      </c>
      <c r="W648" s="1" t="str">
        <f>IFERROR(__xludf.DUMMYFUNCTION("""COMPUTED_VALUE"""),"Dragon Scale Necklace")</f>
        <v>Dragon Scale Necklace</v>
      </c>
      <c r="X648" s="1" t="str">
        <f t="shared" si="1"/>
        <v>Dragon Scale Necklace</v>
      </c>
    </row>
    <row r="649">
      <c r="A649" s="4" t="s">
        <v>1154</v>
      </c>
      <c r="B649" s="18" t="str">
        <f>IFERROR(VLOOKUP($A649,Equipment!$A$2:$AH1001,MATCH("Description",Equipment!$A$1:$AH$1,0),FALSE),"")</f>
        <v>It was too big to be called a sword. Massive, thick, heavy, and far too rough. Indeed, it was a heap of raw iron.</v>
      </c>
      <c r="C649" s="18" t="str">
        <f>IFERROR(VLOOKUP($A649,Equipment!$A$2:$AH1001,MATCH("Type",Equipment!$A$1:$AH$1,0),FALSE),"")</f>
        <v>Sword</v>
      </c>
      <c r="D649" s="18" t="str">
        <f>IFERROR(VLOOKUP($A649,Equipment!$A$2:$AH1001,MATCH("Slot",Equipment!$A$1:$AH$1,0),FALSE),"")</f>
        <v>Hand</v>
      </c>
      <c r="E649" s="20">
        <f>IFERROR(VLOOKUP($A649,Equipment!$A$2:$AH1001,MATCH("LevelReq",Equipment!$A$1:$AH$1,0),FALSE),"")</f>
        <v>2000</v>
      </c>
      <c r="F649" s="18" t="str">
        <f>IFERROR(VLOOKUP($A649,Equipconvrt!$A$2:$AH1001,MATCH("Abilities",Equipconvrt!$A$1:$AH$1,0),FALSE),"")</f>
        <v>DMG: +100000 ++Deals X10 damage when fighting a Dragon or Monstrosity</v>
      </c>
      <c r="G649" s="20">
        <f>IFERROR(VLOOKUP($A649,Equipment!$A$2:$AD1001,MATCH("Price",Equipment!$A$1:$AH$1,0),FALSE),"")</f>
        <v>199000000</v>
      </c>
      <c r="H649" s="4" t="b">
        <v>1</v>
      </c>
      <c r="I649" s="1" t="str">
        <f>IFERROR(VLOOKUP($A649,Equipment!$A$2:$AH1001,MATCH("EquipLoc",Equipment!$A$1:$AH$1,0),FALSE),"")</f>
        <v>Land of Spira</v>
      </c>
      <c r="W649" s="1" t="str">
        <f>IFERROR(__xludf.DUMMYFUNCTION("""COMPUTED_VALUE"""),"Heavenly Necklace")</f>
        <v>Heavenly Necklace</v>
      </c>
      <c r="X649" s="1" t="str">
        <f t="shared" si="1"/>
        <v/>
      </c>
    </row>
    <row r="650">
      <c r="A650" s="1"/>
      <c r="B650" s="18" t="str">
        <f>IFERROR(VLOOKUP($A650,Equipment!$A$2:$AH1001,MATCH("Description",Equipment!$A$1:$AH$1,0),FALSE),"")</f>
        <v/>
      </c>
      <c r="C650" s="18" t="str">
        <f>IFERROR(VLOOKUP($A650,Equipment!$A$2:$AH1001,MATCH("Type",Equipment!$A$1:$AH$1,0),FALSE),"")</f>
        <v/>
      </c>
      <c r="D650" s="18" t="str">
        <f>IFERROR(VLOOKUP($A650,Equipment!$A$2:$AH1001,MATCH("Slot",Equipment!$A$1:$AH$1,0),FALSE),"")</f>
        <v/>
      </c>
      <c r="E650" s="20" t="str">
        <f>IFERROR(VLOOKUP($A650,Equipment!$A$2:$AH1001,MATCH("LevelReq",Equipment!$A$1:$AH$1,0),FALSE),"")</f>
        <v/>
      </c>
      <c r="F650" s="18" t="str">
        <f>IFERROR(VLOOKUP($A650,Equipconvrt!$A$2:$AH1001,MATCH("Abilities",Equipconvrt!$A$1:$AH$1,0),FALSE),"")</f>
        <v/>
      </c>
      <c r="G650" s="20" t="str">
        <f>IFERROR(VLOOKUP($A650,Equipment!$A$2:$AD1001,MATCH("Price",Equipment!$A$1:$AH$1,0),FALSE),"")</f>
        <v/>
      </c>
      <c r="H650" s="1" t="b">
        <v>0</v>
      </c>
      <c r="I650" s="1" t="str">
        <f>IFERROR(VLOOKUP($A650,Equipment!$A$2:$AH1001,MATCH("EquipLoc",Equipment!$A$1:$AH$1,0),FALSE),"")</f>
        <v/>
      </c>
      <c r="W650" s="1" t="str">
        <f>IFERROR(__xludf.DUMMYFUNCTION("""COMPUTED_VALUE"""),"Demonic Necklace")</f>
        <v>Demonic Necklace</v>
      </c>
      <c r="X650" s="1" t="str">
        <f t="shared" si="1"/>
        <v/>
      </c>
    </row>
    <row r="651">
      <c r="A651" s="1"/>
      <c r="B651" s="18" t="str">
        <f>IFERROR(VLOOKUP($A651,Equipment!$A$2:$AH1001,MATCH("Description",Equipment!$A$1:$AH$1,0),FALSE),"")</f>
        <v/>
      </c>
      <c r="C651" s="18" t="str">
        <f>IFERROR(VLOOKUP($A651,Equipment!$A$2:$AH1001,MATCH("Type",Equipment!$A$1:$AH$1,0),FALSE),"")</f>
        <v/>
      </c>
      <c r="D651" s="18" t="str">
        <f>IFERROR(VLOOKUP($A651,Equipment!$A$2:$AH1001,MATCH("Slot",Equipment!$A$1:$AH$1,0),FALSE),"")</f>
        <v/>
      </c>
      <c r="E651" s="20" t="str">
        <f>IFERROR(VLOOKUP($A651,Equipment!$A$2:$AH1001,MATCH("LevelReq",Equipment!$A$1:$AH$1,0),FALSE),"")</f>
        <v/>
      </c>
      <c r="F651" s="18" t="str">
        <f>IFERROR(VLOOKUP($A651,Equipconvrt!$A$2:$AH1001,MATCH("Abilities",Equipconvrt!$A$1:$AH$1,0),FALSE),"")</f>
        <v/>
      </c>
      <c r="G651" s="20" t="str">
        <f>IFERROR(VLOOKUP($A651,Equipment!$A$2:$AD1001,MATCH("Price",Equipment!$A$1:$AH$1,0),FALSE),"")</f>
        <v/>
      </c>
      <c r="H651" s="1" t="b">
        <v>0</v>
      </c>
      <c r="I651" s="1" t="str">
        <f>IFERROR(VLOOKUP($A651,Equipment!$A$2:$AH1001,MATCH("EquipLoc",Equipment!$A$1:$AH$1,0),FALSE),"")</f>
        <v/>
      </c>
      <c r="W651" s="1" t="str">
        <f>IFERROR(__xludf.DUMMYFUNCTION("""COMPUTED_VALUE"""),"The Cloak of Gévaudan")</f>
        <v>The Cloak of Gévaudan</v>
      </c>
      <c r="X651" s="1" t="str">
        <f t="shared" si="1"/>
        <v/>
      </c>
    </row>
    <row r="652">
      <c r="A652" s="1"/>
      <c r="B652" s="18" t="str">
        <f>IFERROR(VLOOKUP($A652,Equipment!$A$2:$AH1001,MATCH("Description",Equipment!$A$1:$AH$1,0),FALSE),"")</f>
        <v/>
      </c>
      <c r="C652" s="18" t="str">
        <f>IFERROR(VLOOKUP($A652,Equipment!$A$2:$AH1001,MATCH("Type",Equipment!$A$1:$AH$1,0),FALSE),"")</f>
        <v/>
      </c>
      <c r="D652" s="18" t="str">
        <f>IFERROR(VLOOKUP($A652,Equipment!$A$2:$AH1001,MATCH("Slot",Equipment!$A$1:$AH$1,0),FALSE),"")</f>
        <v/>
      </c>
      <c r="E652" s="20" t="str">
        <f>IFERROR(VLOOKUP($A652,Equipment!$A$2:$AH1001,MATCH("LevelReq",Equipment!$A$1:$AH$1,0),FALSE),"")</f>
        <v/>
      </c>
      <c r="F652" s="18" t="str">
        <f>IFERROR(VLOOKUP($A652,Equipconvrt!$A$2:$AH1001,MATCH("Abilities",Equipconvrt!$A$1:$AH$1,0),FALSE),"")</f>
        <v/>
      </c>
      <c r="G652" s="20" t="str">
        <f>IFERROR(VLOOKUP($A652,Equipment!$A$2:$AD1001,MATCH("Price",Equipment!$A$1:$AH$1,0),FALSE),"")</f>
        <v/>
      </c>
      <c r="H652" s="1" t="b">
        <v>0</v>
      </c>
      <c r="I652" s="1" t="str">
        <f>IFERROR(VLOOKUP($A652,Equipment!$A$2:$AH1001,MATCH("EquipLoc",Equipment!$A$1:$AH$1,0),FALSE),"")</f>
        <v/>
      </c>
      <c r="W652" s="1" t="str">
        <f>IFERROR(__xludf.DUMMYFUNCTION("""COMPUTED_VALUE"""),"Spirit Glyph")</f>
        <v>Spirit Glyph</v>
      </c>
      <c r="X652" s="1" t="str">
        <f t="shared" si="1"/>
        <v/>
      </c>
    </row>
    <row r="653">
      <c r="A653" s="1"/>
      <c r="B653" s="18" t="str">
        <f>IFERROR(VLOOKUP($A653,Equipment!$A$2:$AH1001,MATCH("Description",Equipment!$A$1:$AH$1,0),FALSE),"")</f>
        <v/>
      </c>
      <c r="C653" s="18" t="str">
        <f>IFERROR(VLOOKUP($A653,Equipment!$A$2:$AH1001,MATCH("Type",Equipment!$A$1:$AH$1,0),FALSE),"")</f>
        <v/>
      </c>
      <c r="D653" s="18" t="str">
        <f>IFERROR(VLOOKUP($A653,Equipment!$A$2:$AH1001,MATCH("Slot",Equipment!$A$1:$AH$1,0),FALSE),"")</f>
        <v/>
      </c>
      <c r="E653" s="20" t="str">
        <f>IFERROR(VLOOKUP($A653,Equipment!$A$2:$AH1001,MATCH("LevelReq",Equipment!$A$1:$AH$1,0),FALSE),"")</f>
        <v/>
      </c>
      <c r="F653" s="18" t="str">
        <f>IFERROR(VLOOKUP($A653,Equipconvrt!$A$2:$AH1001,MATCH("Abilities",Equipconvrt!$A$1:$AH$1,0),FALSE),"")</f>
        <v/>
      </c>
      <c r="G653" s="20" t="str">
        <f>IFERROR(VLOOKUP($A653,Equipment!$A$2:$AD1001,MATCH("Price",Equipment!$A$1:$AH$1,0),FALSE),"")</f>
        <v/>
      </c>
      <c r="H653" s="1" t="b">
        <v>0</v>
      </c>
      <c r="I653" s="1" t="str">
        <f>IFERROR(VLOOKUP($A653,Equipment!$A$2:$AH1001,MATCH("EquipLoc",Equipment!$A$1:$AH$1,0),FALSE),"")</f>
        <v/>
      </c>
      <c r="W653" s="1" t="str">
        <f>IFERROR(__xludf.DUMMYFUNCTION("""COMPUTED_VALUE"""),"Necromantic Sigil")</f>
        <v>Necromantic Sigil</v>
      </c>
      <c r="X653" s="1" t="str">
        <f t="shared" si="1"/>
        <v/>
      </c>
    </row>
    <row r="654">
      <c r="A654" s="1"/>
      <c r="B654" s="18" t="str">
        <f>IFERROR(VLOOKUP($A654,Equipment!$A$2:$AH1001,MATCH("Description",Equipment!$A$1:$AH$1,0),FALSE),"")</f>
        <v/>
      </c>
      <c r="C654" s="18" t="str">
        <f>IFERROR(VLOOKUP($A654,Equipment!$A$2:$AH1001,MATCH("Type",Equipment!$A$1:$AH$1,0),FALSE),"")</f>
        <v/>
      </c>
      <c r="D654" s="18" t="str">
        <f>IFERROR(VLOOKUP($A654,Equipment!$A$2:$AH1001,MATCH("Slot",Equipment!$A$1:$AH$1,0),FALSE),"")</f>
        <v/>
      </c>
      <c r="E654" s="20" t="str">
        <f>IFERROR(VLOOKUP($A654,Equipment!$A$2:$AH1001,MATCH("LevelReq",Equipment!$A$1:$AH$1,0),FALSE),"")</f>
        <v/>
      </c>
      <c r="F654" s="18" t="str">
        <f>IFERROR(VLOOKUP($A654,Equipconvrt!$A$2:$AH1001,MATCH("Abilities",Equipconvrt!$A$1:$AH$1,0),FALSE),"")</f>
        <v/>
      </c>
      <c r="G654" s="20" t="str">
        <f>IFERROR(VLOOKUP($A654,Equipment!$A$2:$AD1001,MATCH("Price",Equipment!$A$1:$AH$1,0),FALSE),"")</f>
        <v/>
      </c>
      <c r="H654" s="1" t="b">
        <v>0</v>
      </c>
      <c r="I654" s="1" t="str">
        <f>IFERROR(VLOOKUP($A654,Equipment!$A$2:$AH1001,MATCH("EquipLoc",Equipment!$A$1:$AH$1,0),FALSE),"")</f>
        <v/>
      </c>
      <c r="W654" s="1" t="str">
        <f>IFERROR(__xludf.DUMMYFUNCTION("""COMPUTED_VALUE"""),"Dragonslayer")</f>
        <v>Dragonslayer</v>
      </c>
      <c r="X654" s="1" t="str">
        <f t="shared" si="1"/>
        <v/>
      </c>
    </row>
    <row r="655">
      <c r="A655" s="1"/>
      <c r="B655" s="18" t="str">
        <f>IFERROR(VLOOKUP($A655,Equipment!$A$2:$AH1001,MATCH("Description",Equipment!$A$1:$AH$1,0),FALSE),"")</f>
        <v/>
      </c>
      <c r="C655" s="18" t="str">
        <f>IFERROR(VLOOKUP($A655,Equipment!$A$2:$AH1001,MATCH("Type",Equipment!$A$1:$AH$1,0),FALSE),"")</f>
        <v/>
      </c>
      <c r="D655" s="18" t="str">
        <f>IFERROR(VLOOKUP($A655,Equipment!$A$2:$AH1001,MATCH("Slot",Equipment!$A$1:$AH$1,0),FALSE),"")</f>
        <v/>
      </c>
      <c r="E655" s="20" t="str">
        <f>IFERROR(VLOOKUP($A655,Equipment!$A$2:$AH1001,MATCH("LevelReq",Equipment!$A$1:$AH$1,0),FALSE),"")</f>
        <v/>
      </c>
      <c r="F655" s="18" t="str">
        <f>IFERROR(VLOOKUP($A655,Equipconvrt!$A$2:$AH1001,MATCH("Abilities",Equipconvrt!$A$1:$AH$1,0),FALSE),"")</f>
        <v/>
      </c>
      <c r="G655" s="20" t="str">
        <f>IFERROR(VLOOKUP($A655,Equipment!$A$2:$AD1001,MATCH("Price",Equipment!$A$1:$AH$1,0),FALSE),"")</f>
        <v/>
      </c>
      <c r="H655" s="1" t="b">
        <v>0</v>
      </c>
      <c r="I655" s="1" t="str">
        <f>IFERROR(VLOOKUP($A655,Equipment!$A$2:$AH1001,MATCH("EquipLoc",Equipment!$A$1:$AH$1,0),FALSE),"")</f>
        <v/>
      </c>
      <c r="W655" s="1" t="str">
        <f>IFERROR(__xludf.DUMMYFUNCTION("""COMPUTED_VALUE"""),"Rusted Halberd")</f>
        <v>Rusted Halberd</v>
      </c>
      <c r="X655" s="1" t="str">
        <f t="shared" si="1"/>
        <v>Rusted Halberd</v>
      </c>
    </row>
    <row r="656">
      <c r="A656" s="1"/>
      <c r="B656" s="18" t="str">
        <f>IFERROR(VLOOKUP($A656,Equipment!$A$2:$AH1001,MATCH("Description",Equipment!$A$1:$AH$1,0),FALSE),"")</f>
        <v/>
      </c>
      <c r="C656" s="18" t="str">
        <f>IFERROR(VLOOKUP($A656,Equipment!$A$2:$AH1001,MATCH("Type",Equipment!$A$1:$AH$1,0),FALSE),"")</f>
        <v/>
      </c>
      <c r="D656" s="18" t="str">
        <f>IFERROR(VLOOKUP($A656,Equipment!$A$2:$AH1001,MATCH("Slot",Equipment!$A$1:$AH$1,0),FALSE),"")</f>
        <v/>
      </c>
      <c r="E656" s="20" t="str">
        <f>IFERROR(VLOOKUP($A656,Equipment!$A$2:$AH1001,MATCH("LevelReq",Equipment!$A$1:$AH$1,0),FALSE),"")</f>
        <v/>
      </c>
      <c r="F656" s="18" t="str">
        <f>IFERROR(VLOOKUP($A656,Equipconvrt!$A$2:$AH1001,MATCH("Abilities",Equipconvrt!$A$1:$AH$1,0),FALSE),"")</f>
        <v/>
      </c>
      <c r="G656" s="20" t="str">
        <f>IFERROR(VLOOKUP($A656,Equipment!$A$2:$AD1001,MATCH("Price",Equipment!$A$1:$AH$1,0),FALSE),"")</f>
        <v/>
      </c>
      <c r="H656" s="1" t="b">
        <v>0</v>
      </c>
      <c r="I656" s="1" t="str">
        <f>IFERROR(VLOOKUP($A656,Equipment!$A$2:$AH1001,MATCH("EquipLoc",Equipment!$A$1:$AH$1,0),FALSE),"")</f>
        <v/>
      </c>
      <c r="W656" s="1" t="str">
        <f>IFERROR(__xludf.DUMMYFUNCTION("""COMPUTED_VALUE"""),"Diseased Rapier")</f>
        <v>Diseased Rapier</v>
      </c>
      <c r="X656" s="1" t="str">
        <f t="shared" si="1"/>
        <v>Diseased Rapier</v>
      </c>
    </row>
    <row r="657">
      <c r="A657" s="1"/>
      <c r="B657" s="18" t="str">
        <f>IFERROR(VLOOKUP($A657,Equipment!$A$2:$AH1001,MATCH("Description",Equipment!$A$1:$AH$1,0),FALSE),"")</f>
        <v/>
      </c>
      <c r="C657" s="18" t="str">
        <f>IFERROR(VLOOKUP($A657,Equipment!$A$2:$AH1001,MATCH("Type",Equipment!$A$1:$AH$1,0),FALSE),"")</f>
        <v/>
      </c>
      <c r="D657" s="18" t="str">
        <f>IFERROR(VLOOKUP($A657,Equipment!$A$2:$AH1001,MATCH("Slot",Equipment!$A$1:$AH$1,0),FALSE),"")</f>
        <v/>
      </c>
      <c r="E657" s="20" t="str">
        <f>IFERROR(VLOOKUP($A657,Equipment!$A$2:$AH1001,MATCH("LevelReq",Equipment!$A$1:$AH$1,0),FALSE),"")</f>
        <v/>
      </c>
      <c r="F657" s="18" t="str">
        <f>IFERROR(VLOOKUP($A657,Equipconvrt!$A$2:$AH1001,MATCH("Abilities",Equipconvrt!$A$1:$AH$1,0),FALSE),"")</f>
        <v/>
      </c>
      <c r="G657" s="20" t="str">
        <f>IFERROR(VLOOKUP($A657,Equipment!$A$2:$AD1001,MATCH("Price",Equipment!$A$1:$AH$1,0),FALSE),"")</f>
        <v/>
      </c>
      <c r="H657" s="1" t="b">
        <v>0</v>
      </c>
      <c r="I657" s="1" t="str">
        <f>IFERROR(VLOOKUP($A657,Equipment!$A$2:$AH1001,MATCH("EquipLoc",Equipment!$A$1:$AH$1,0),FALSE),"")</f>
        <v/>
      </c>
      <c r="W657" s="1" t="str">
        <f>IFERROR(__xludf.DUMMYFUNCTION("""COMPUTED_VALUE"""),"Symbol of Greed")</f>
        <v>Symbol of Greed</v>
      </c>
      <c r="X657" s="1" t="str">
        <f t="shared" si="1"/>
        <v>Symbol of Greed</v>
      </c>
    </row>
    <row r="658">
      <c r="A658" s="1"/>
      <c r="B658" s="18" t="str">
        <f>IFERROR(VLOOKUP($A658,Equipment!$A$2:$AH1001,MATCH("Description",Equipment!$A$1:$AH$1,0),FALSE),"")</f>
        <v/>
      </c>
      <c r="C658" s="18" t="str">
        <f>IFERROR(VLOOKUP($A658,Equipment!$A$2:$AH1001,MATCH("Type",Equipment!$A$1:$AH$1,0),FALSE),"")</f>
        <v/>
      </c>
      <c r="D658" s="18" t="str">
        <f>IFERROR(VLOOKUP($A658,Equipment!$A$2:$AH1001,MATCH("Slot",Equipment!$A$1:$AH$1,0),FALSE),"")</f>
        <v/>
      </c>
      <c r="E658" s="20" t="str">
        <f>IFERROR(VLOOKUP($A658,Equipment!$A$2:$AH1001,MATCH("LevelReq",Equipment!$A$1:$AH$1,0),FALSE),"")</f>
        <v/>
      </c>
      <c r="F658" s="18" t="str">
        <f>IFERROR(VLOOKUP($A658,Equipconvrt!$A$2:$AH1001,MATCH("Abilities",Equipconvrt!$A$1:$AH$1,0),FALSE),"")</f>
        <v/>
      </c>
      <c r="G658" s="20" t="str">
        <f>IFERROR(VLOOKUP($A658,Equipment!$A$2:$AD1001,MATCH("Price",Equipment!$A$1:$AH$1,0),FALSE),"")</f>
        <v/>
      </c>
      <c r="H658" s="1" t="b">
        <v>0</v>
      </c>
      <c r="I658" s="1" t="str">
        <f>IFERROR(VLOOKUP($A658,Equipment!$A$2:$AH1001,MATCH("EquipLoc",Equipment!$A$1:$AH$1,0),FALSE),"")</f>
        <v/>
      </c>
      <c r="W658" s="1" t="str">
        <f>IFERROR(__xludf.DUMMYFUNCTION("""COMPUTED_VALUE"""),"Enchanted Quiver")</f>
        <v>Enchanted Quiver</v>
      </c>
      <c r="X658" s="1" t="str">
        <f t="shared" si="1"/>
        <v>Enchanted Quiver</v>
      </c>
    </row>
    <row r="659">
      <c r="A659" s="1"/>
      <c r="B659" s="18" t="str">
        <f>IFERROR(VLOOKUP($A659,Equipment!$A$2:$AH1001,MATCH("Description",Equipment!$A$1:$AH$1,0),FALSE),"")</f>
        <v/>
      </c>
      <c r="C659" s="18" t="str">
        <f>IFERROR(VLOOKUP($A659,Equipment!$A$2:$AH1001,MATCH("Type",Equipment!$A$1:$AH$1,0),FALSE),"")</f>
        <v/>
      </c>
      <c r="D659" s="18" t="str">
        <f>IFERROR(VLOOKUP($A659,Equipment!$A$2:$AH1001,MATCH("Slot",Equipment!$A$1:$AH$1,0),FALSE),"")</f>
        <v/>
      </c>
      <c r="E659" s="20" t="str">
        <f>IFERROR(VLOOKUP($A659,Equipment!$A$2:$AH1001,MATCH("LevelReq",Equipment!$A$1:$AH$1,0),FALSE),"")</f>
        <v/>
      </c>
      <c r="F659" s="18" t="str">
        <f>IFERROR(VLOOKUP($A659,Equipconvrt!$A$2:$AH1001,MATCH("Abilities",Equipconvrt!$A$1:$AH$1,0),FALSE),"")</f>
        <v/>
      </c>
      <c r="G659" s="20" t="str">
        <f>IFERROR(VLOOKUP($A659,Equipment!$A$2:$AD1001,MATCH("Price",Equipment!$A$1:$AH$1,0),FALSE),"")</f>
        <v/>
      </c>
      <c r="H659" s="1" t="b">
        <v>0</v>
      </c>
      <c r="I659" s="1" t="str">
        <f>IFERROR(VLOOKUP($A659,Equipment!$A$2:$AH1001,MATCH("EquipLoc",Equipment!$A$1:$AH$1,0),FALSE),"")</f>
        <v/>
      </c>
      <c r="W659" s="1" t="str">
        <f>IFERROR(__xludf.DUMMYFUNCTION("""COMPUTED_VALUE"""),"Ring of the Siren")</f>
        <v>Ring of the Siren</v>
      </c>
      <c r="X659" s="1" t="str">
        <f t="shared" si="1"/>
        <v>Ring of the Siren</v>
      </c>
    </row>
    <row r="660">
      <c r="A660" s="1"/>
      <c r="B660" s="18" t="str">
        <f>IFERROR(VLOOKUP($A660,Equipment!$A$2:$AH1001,MATCH("Description",Equipment!$A$1:$AH$1,0),FALSE),"")</f>
        <v/>
      </c>
      <c r="C660" s="18" t="str">
        <f>IFERROR(VLOOKUP($A660,Equipment!$A$2:$AH1001,MATCH("Type",Equipment!$A$1:$AH$1,0),FALSE),"")</f>
        <v/>
      </c>
      <c r="D660" s="18" t="str">
        <f>IFERROR(VLOOKUP($A660,Equipment!$A$2:$AH1001,MATCH("Slot",Equipment!$A$1:$AH$1,0),FALSE),"")</f>
        <v/>
      </c>
      <c r="E660" s="20" t="str">
        <f>IFERROR(VLOOKUP($A660,Equipment!$A$2:$AH1001,MATCH("LevelReq",Equipment!$A$1:$AH$1,0),FALSE),"")</f>
        <v/>
      </c>
      <c r="F660" s="18" t="str">
        <f>IFERROR(VLOOKUP($A660,Equipconvrt!$A$2:$AH1001,MATCH("Abilities",Equipconvrt!$A$1:$AH$1,0),FALSE),"")</f>
        <v/>
      </c>
      <c r="G660" s="20" t="str">
        <f>IFERROR(VLOOKUP($A660,Equipment!$A$2:$AD1001,MATCH("Price",Equipment!$A$1:$AH$1,0),FALSE),"")</f>
        <v/>
      </c>
      <c r="H660" s="1" t="b">
        <v>0</v>
      </c>
      <c r="I660" s="1" t="str">
        <f>IFERROR(VLOOKUP($A660,Equipment!$A$2:$AH1001,MATCH("EquipLoc",Equipment!$A$1:$AH$1,0),FALSE),"")</f>
        <v/>
      </c>
      <c r="W660" s="1" t="str">
        <f>IFERROR(__xludf.DUMMYFUNCTION("""COMPUTED_VALUE"""),"Amulet of The Berserker")</f>
        <v>Amulet of The Berserker</v>
      </c>
      <c r="X660" s="1" t="str">
        <f t="shared" si="1"/>
        <v>Amulet of The Berserker</v>
      </c>
    </row>
    <row r="661">
      <c r="A661" s="1"/>
      <c r="B661" s="18" t="str">
        <f>IFERROR(VLOOKUP($A661,Equipment!$A$2:$AH1001,MATCH("Description",Equipment!$A$1:$AH$1,0),FALSE),"")</f>
        <v/>
      </c>
      <c r="C661" s="18" t="str">
        <f>IFERROR(VLOOKUP($A661,Equipment!$A$2:$AH1001,MATCH("Type",Equipment!$A$1:$AH$1,0),FALSE),"")</f>
        <v/>
      </c>
      <c r="D661" s="18" t="str">
        <f>IFERROR(VLOOKUP($A661,Equipment!$A$2:$AH1001,MATCH("Slot",Equipment!$A$1:$AH$1,0),FALSE),"")</f>
        <v/>
      </c>
      <c r="E661" s="20" t="str">
        <f>IFERROR(VLOOKUP($A661,Equipment!$A$2:$AH1001,MATCH("LevelReq",Equipment!$A$1:$AH$1,0),FALSE),"")</f>
        <v/>
      </c>
      <c r="F661" s="18" t="str">
        <f>IFERROR(VLOOKUP($A661,Equipconvrt!$A$2:$AH1001,MATCH("Abilities",Equipconvrt!$A$1:$AH$1,0),FALSE),"")</f>
        <v/>
      </c>
      <c r="G661" s="20" t="str">
        <f>IFERROR(VLOOKUP($A661,Equipment!$A$2:$AD1001,MATCH("Price",Equipment!$A$1:$AH$1,0),FALSE),"")</f>
        <v/>
      </c>
      <c r="H661" s="1" t="b">
        <v>0</v>
      </c>
      <c r="I661" s="1" t="str">
        <f>IFERROR(VLOOKUP($A661,Equipment!$A$2:$AH1001,MATCH("EquipLoc",Equipment!$A$1:$AH$1,0),FALSE),"")</f>
        <v/>
      </c>
      <c r="W661" s="1" t="str">
        <f>IFERROR(__xludf.DUMMYFUNCTION("""COMPUTED_VALUE"""),"Mask of the Cultist")</f>
        <v>Mask of the Cultist</v>
      </c>
      <c r="X661" s="1" t="str">
        <f t="shared" si="1"/>
        <v>Mask of the Cultist</v>
      </c>
    </row>
    <row r="662">
      <c r="A662" s="1"/>
      <c r="B662" s="18" t="str">
        <f>IFERROR(VLOOKUP($A662,Equipment!$A$2:$AH1001,MATCH("Description",Equipment!$A$1:$AH$1,0),FALSE),"")</f>
        <v/>
      </c>
      <c r="C662" s="18" t="str">
        <f>IFERROR(VLOOKUP($A662,Equipment!$A$2:$AH1001,MATCH("Type",Equipment!$A$1:$AH$1,0),FALSE),"")</f>
        <v/>
      </c>
      <c r="D662" s="18" t="str">
        <f>IFERROR(VLOOKUP($A662,Equipment!$A$2:$AH1001,MATCH("Slot",Equipment!$A$1:$AH$1,0),FALSE),"")</f>
        <v/>
      </c>
      <c r="E662" s="20" t="str">
        <f>IFERROR(VLOOKUP($A662,Equipment!$A$2:$AH1001,MATCH("LevelReq",Equipment!$A$1:$AH$1,0),FALSE),"")</f>
        <v/>
      </c>
      <c r="F662" s="18" t="str">
        <f>IFERROR(VLOOKUP($A662,Equipconvrt!$A$2:$AH1001,MATCH("Abilities",Equipconvrt!$A$1:$AH$1,0),FALSE),"")</f>
        <v/>
      </c>
      <c r="G662" s="20" t="str">
        <f>IFERROR(VLOOKUP($A662,Equipment!$A$2:$AD1001,MATCH("Price",Equipment!$A$1:$AH$1,0),FALSE),"")</f>
        <v/>
      </c>
      <c r="H662" s="1" t="b">
        <v>0</v>
      </c>
      <c r="I662" s="1" t="str">
        <f>IFERROR(VLOOKUP($A662,Equipment!$A$2:$AH1001,MATCH("EquipLoc",Equipment!$A$1:$AH$1,0),FALSE),"")</f>
        <v/>
      </c>
      <c r="W662" s="1" t="str">
        <f>IFERROR(__xludf.DUMMYFUNCTION("""COMPUTED_VALUE"""),"""Natural"" Cologne")</f>
        <v>"Natural" Cologne</v>
      </c>
      <c r="X662" s="1" t="str">
        <f t="shared" si="1"/>
        <v>"Natural" Cologne</v>
      </c>
    </row>
    <row r="663">
      <c r="A663" s="1"/>
      <c r="B663" s="18" t="str">
        <f>IFERROR(VLOOKUP($A663,Equipment!$A$2:$AH1001,MATCH("Description",Equipment!$A$1:$AH$1,0),FALSE),"")</f>
        <v/>
      </c>
      <c r="C663" s="18" t="str">
        <f>IFERROR(VLOOKUP($A663,Equipment!$A$2:$AH1001,MATCH("Type",Equipment!$A$1:$AH$1,0),FALSE),"")</f>
        <v/>
      </c>
      <c r="D663" s="18" t="str">
        <f>IFERROR(VLOOKUP($A663,Equipment!$A$2:$AH1001,MATCH("Slot",Equipment!$A$1:$AH$1,0),FALSE),"")</f>
        <v/>
      </c>
      <c r="E663" s="20" t="str">
        <f>IFERROR(VLOOKUP($A663,Equipment!$A$2:$AH1001,MATCH("LevelReq",Equipment!$A$1:$AH$1,0),FALSE),"")</f>
        <v/>
      </c>
      <c r="F663" s="18" t="str">
        <f>IFERROR(VLOOKUP($A663,Equipconvrt!$A$2:$AH1001,MATCH("Abilities",Equipconvrt!$A$1:$AH$1,0),FALSE),"")</f>
        <v/>
      </c>
      <c r="G663" s="20" t="str">
        <f>IFERROR(VLOOKUP($A663,Equipment!$A$2:$AD1001,MATCH("Price",Equipment!$A$1:$AH$1,0),FALSE),"")</f>
        <v/>
      </c>
      <c r="H663" s="1" t="b">
        <v>0</v>
      </c>
      <c r="I663" s="1" t="str">
        <f>IFERROR(VLOOKUP($A663,Equipment!$A$2:$AH1001,MATCH("EquipLoc",Equipment!$A$1:$AH$1,0),FALSE),"")</f>
        <v/>
      </c>
      <c r="W663" s="1" t="str">
        <f>IFERROR(__xludf.DUMMYFUNCTION("""COMPUTED_VALUE"""),"Bonded Ring")</f>
        <v>Bonded Ring</v>
      </c>
      <c r="X663" s="1" t="str">
        <f t="shared" si="1"/>
        <v>Bonded Ring</v>
      </c>
    </row>
    <row r="664">
      <c r="A664" s="1"/>
      <c r="B664" s="18" t="str">
        <f>IFERROR(VLOOKUP($A664,Equipment!$A$2:$AH1001,MATCH("Description",Equipment!$A$1:$AH$1,0),FALSE),"")</f>
        <v/>
      </c>
      <c r="C664" s="18" t="str">
        <f>IFERROR(VLOOKUP($A664,Equipment!$A$2:$AH1001,MATCH("Type",Equipment!$A$1:$AH$1,0),FALSE),"")</f>
        <v/>
      </c>
      <c r="D664" s="18" t="str">
        <f>IFERROR(VLOOKUP($A664,Equipment!$A$2:$AH1001,MATCH("Slot",Equipment!$A$1:$AH$1,0),FALSE),"")</f>
        <v/>
      </c>
      <c r="E664" s="20" t="str">
        <f>IFERROR(VLOOKUP($A664,Equipment!$A$2:$AH1001,MATCH("LevelReq",Equipment!$A$1:$AH$1,0),FALSE),"")</f>
        <v/>
      </c>
      <c r="F664" s="18" t="str">
        <f>IFERROR(VLOOKUP($A664,Equipconvrt!$A$2:$AH1001,MATCH("Abilities",Equipconvrt!$A$1:$AH$1,0),FALSE),"")</f>
        <v/>
      </c>
      <c r="G664" s="20" t="str">
        <f>IFERROR(VLOOKUP($A664,Equipment!$A$2:$AD1001,MATCH("Price",Equipment!$A$1:$AH$1,0),FALSE),"")</f>
        <v/>
      </c>
      <c r="H664" s="1" t="b">
        <v>0</v>
      </c>
      <c r="I664" s="1" t="str">
        <f>IFERROR(VLOOKUP($A664,Equipment!$A$2:$AH1001,MATCH("EquipLoc",Equipment!$A$1:$AH$1,0),FALSE),"")</f>
        <v/>
      </c>
      <c r="W664" s="1" t="str">
        <f>IFERROR(__xludf.DUMMYFUNCTION("""COMPUTED_VALUE"""),"Deadeye Brooch")</f>
        <v>Deadeye Brooch</v>
      </c>
      <c r="X664" s="1" t="str">
        <f t="shared" si="1"/>
        <v>Deadeye Brooch</v>
      </c>
    </row>
    <row r="665">
      <c r="A665" s="1"/>
      <c r="B665" s="18" t="str">
        <f>IFERROR(VLOOKUP($A665,Equipment!$A$2:$AH1001,MATCH("Description",Equipment!$A$1:$AH$1,0),FALSE),"")</f>
        <v/>
      </c>
      <c r="C665" s="18" t="str">
        <f>IFERROR(VLOOKUP($A665,Equipment!$A$2:$AH1001,MATCH("Type",Equipment!$A$1:$AH$1,0),FALSE),"")</f>
        <v/>
      </c>
      <c r="D665" s="18" t="str">
        <f>IFERROR(VLOOKUP($A665,Equipment!$A$2:$AH1001,MATCH("Slot",Equipment!$A$1:$AH$1,0),FALSE),"")</f>
        <v/>
      </c>
      <c r="E665" s="20" t="str">
        <f>IFERROR(VLOOKUP($A665,Equipment!$A$2:$AH1001,MATCH("LevelReq",Equipment!$A$1:$AH$1,0),FALSE),"")</f>
        <v/>
      </c>
      <c r="F665" s="18" t="str">
        <f>IFERROR(VLOOKUP($A665,Equipconvrt!$A$2:$AH1001,MATCH("Abilities",Equipconvrt!$A$1:$AH$1,0),FALSE),"")</f>
        <v/>
      </c>
      <c r="G665" s="20" t="str">
        <f>IFERROR(VLOOKUP($A665,Equipment!$A$2:$AD1001,MATCH("Price",Equipment!$A$1:$AH$1,0),FALSE),"")</f>
        <v/>
      </c>
      <c r="H665" s="1" t="b">
        <v>0</v>
      </c>
      <c r="I665" s="1" t="str">
        <f>IFERROR(VLOOKUP($A665,Equipment!$A$2:$AH1001,MATCH("EquipLoc",Equipment!$A$1:$AH$1,0),FALSE),"")</f>
        <v/>
      </c>
      <c r="W665" s="1" t="str">
        <f>IFERROR(__xludf.DUMMYFUNCTION("""COMPUTED_VALUE"""),"Tool Kit")</f>
        <v>Tool Kit</v>
      </c>
      <c r="X665" s="1" t="str">
        <f t="shared" si="1"/>
        <v>Tool Kit</v>
      </c>
    </row>
    <row r="666">
      <c r="A666" s="1"/>
      <c r="B666" s="18" t="str">
        <f>IFERROR(VLOOKUP($A666,Equipment!$A$2:$AH1001,MATCH("Description",Equipment!$A$1:$AH$1,0),FALSE),"")</f>
        <v/>
      </c>
      <c r="C666" s="18" t="str">
        <f>IFERROR(VLOOKUP($A666,Equipment!$A$2:$AH1001,MATCH("Type",Equipment!$A$1:$AH$1,0),FALSE),"")</f>
        <v/>
      </c>
      <c r="D666" s="18" t="str">
        <f>IFERROR(VLOOKUP($A666,Equipment!$A$2:$AH1001,MATCH("Slot",Equipment!$A$1:$AH$1,0),FALSE),"")</f>
        <v/>
      </c>
      <c r="E666" s="20" t="str">
        <f>IFERROR(VLOOKUP($A666,Equipment!$A$2:$AH1001,MATCH("LevelReq",Equipment!$A$1:$AH$1,0),FALSE),"")</f>
        <v/>
      </c>
      <c r="F666" s="18" t="str">
        <f>IFERROR(VLOOKUP($A666,Equipconvrt!$A$2:$AH1001,MATCH("Abilities",Equipconvrt!$A$1:$AH$1,0),FALSE),"")</f>
        <v/>
      </c>
      <c r="G666" s="20" t="str">
        <f>IFERROR(VLOOKUP($A666,Equipment!$A$2:$AD1001,MATCH("Price",Equipment!$A$1:$AH$1,0),FALSE),"")</f>
        <v/>
      </c>
      <c r="H666" s="1" t="b">
        <v>0</v>
      </c>
      <c r="I666" s="1" t="str">
        <f>IFERROR(VLOOKUP($A666,Equipment!$A$2:$AH1001,MATCH("EquipLoc",Equipment!$A$1:$AH$1,0),FALSE),"")</f>
        <v/>
      </c>
      <c r="W666" s="1" t="str">
        <f>IFERROR(__xludf.DUMMYFUNCTION("""COMPUTED_VALUE"""),"Basic Bitch Award")</f>
        <v>Basic Bitch Award</v>
      </c>
      <c r="X666" s="1" t="str">
        <f t="shared" si="1"/>
        <v>Basic Bitch Award</v>
      </c>
    </row>
    <row r="667">
      <c r="A667" s="1"/>
      <c r="B667" s="18" t="str">
        <f>IFERROR(VLOOKUP($A667,Equipment!$A$2:$AH1001,MATCH("Description",Equipment!$A$1:$AH$1,0),FALSE),"")</f>
        <v/>
      </c>
      <c r="C667" s="18" t="str">
        <f>IFERROR(VLOOKUP($A667,Equipment!$A$2:$AH1001,MATCH("Type",Equipment!$A$1:$AH$1,0),FALSE),"")</f>
        <v/>
      </c>
      <c r="D667" s="18" t="str">
        <f>IFERROR(VLOOKUP($A667,Equipment!$A$2:$AH1001,MATCH("Slot",Equipment!$A$1:$AH$1,0),FALSE),"")</f>
        <v/>
      </c>
      <c r="E667" s="20" t="str">
        <f>IFERROR(VLOOKUP($A667,Equipment!$A$2:$AH1001,MATCH("LevelReq",Equipment!$A$1:$AH$1,0),FALSE),"")</f>
        <v/>
      </c>
      <c r="F667" s="18" t="str">
        <f>IFERROR(VLOOKUP($A667,Equipconvrt!$A$2:$AH1001,MATCH("Abilities",Equipconvrt!$A$1:$AH$1,0),FALSE),"")</f>
        <v/>
      </c>
      <c r="G667" s="20" t="str">
        <f>IFERROR(VLOOKUP($A667,Equipment!$A$2:$AD1001,MATCH("Price",Equipment!$A$1:$AH$1,0),FALSE),"")</f>
        <v/>
      </c>
      <c r="H667" s="1" t="b">
        <v>0</v>
      </c>
      <c r="I667" s="1" t="str">
        <f>IFERROR(VLOOKUP($A667,Equipment!$A$2:$AH1001,MATCH("EquipLoc",Equipment!$A$1:$AH$1,0),FALSE),"")</f>
        <v/>
      </c>
      <c r="W667" s="1" t="str">
        <f>IFERROR(__xludf.DUMMYFUNCTION("""COMPUTED_VALUE"""),"Ring of The Frail Scholar")</f>
        <v>Ring of The Frail Scholar</v>
      </c>
      <c r="X667" s="1" t="str">
        <f t="shared" si="1"/>
        <v>Ring of The Frail Scholar</v>
      </c>
    </row>
    <row r="668">
      <c r="A668" s="1"/>
      <c r="B668" s="18" t="str">
        <f>IFERROR(VLOOKUP($A668,Equipment!$A$2:$AH1001,MATCH("Description",Equipment!$A$1:$AH$1,0),FALSE),"")</f>
        <v/>
      </c>
      <c r="C668" s="18" t="str">
        <f>IFERROR(VLOOKUP($A668,Equipment!$A$2:$AH1001,MATCH("Type",Equipment!$A$1:$AH$1,0),FALSE),"")</f>
        <v/>
      </c>
      <c r="D668" s="18" t="str">
        <f>IFERROR(VLOOKUP($A668,Equipment!$A$2:$AH1001,MATCH("Slot",Equipment!$A$1:$AH$1,0),FALSE),"")</f>
        <v/>
      </c>
      <c r="E668" s="20" t="str">
        <f>IFERROR(VLOOKUP($A668,Equipment!$A$2:$AH1001,MATCH("LevelReq",Equipment!$A$1:$AH$1,0),FALSE),"")</f>
        <v/>
      </c>
      <c r="F668" s="18" t="str">
        <f>IFERROR(VLOOKUP($A668,Equipconvrt!$A$2:$AH1001,MATCH("Abilities",Equipconvrt!$A$1:$AH$1,0),FALSE),"")</f>
        <v/>
      </c>
      <c r="G668" s="20" t="str">
        <f>IFERROR(VLOOKUP($A668,Equipment!$A$2:$AD1001,MATCH("Price",Equipment!$A$1:$AH$1,0),FALSE),"")</f>
        <v/>
      </c>
      <c r="H668" s="1" t="b">
        <v>0</v>
      </c>
      <c r="I668" s="1" t="str">
        <f>IFERROR(VLOOKUP($A668,Equipment!$A$2:$AH1001,MATCH("EquipLoc",Equipment!$A$1:$AH$1,0),FALSE),"")</f>
        <v/>
      </c>
      <c r="W668" s="1" t="str">
        <f>IFERROR(__xludf.DUMMYFUNCTION("""COMPUTED_VALUE"""),"Ring of Sticky FIngers")</f>
        <v>Ring of Sticky FIngers</v>
      </c>
      <c r="X668" s="1" t="str">
        <f t="shared" si="1"/>
        <v>Ring of Sticky FIngers</v>
      </c>
    </row>
    <row r="669">
      <c r="A669" s="1"/>
      <c r="B669" s="18" t="str">
        <f>IFERROR(VLOOKUP($A669,Equipment!$A$2:$AH1001,MATCH("Description",Equipment!$A$1:$AH$1,0),FALSE),"")</f>
        <v/>
      </c>
      <c r="C669" s="18" t="str">
        <f>IFERROR(VLOOKUP($A669,Equipment!$A$2:$AH1001,MATCH("Type",Equipment!$A$1:$AH$1,0),FALSE),"")</f>
        <v/>
      </c>
      <c r="D669" s="18" t="str">
        <f>IFERROR(VLOOKUP($A669,Equipment!$A$2:$AH1001,MATCH("Slot",Equipment!$A$1:$AH$1,0),FALSE),"")</f>
        <v/>
      </c>
      <c r="E669" s="20" t="str">
        <f>IFERROR(VLOOKUP($A669,Equipment!$A$2:$AH1001,MATCH("LevelReq",Equipment!$A$1:$AH$1,0),FALSE),"")</f>
        <v/>
      </c>
      <c r="F669" s="18" t="str">
        <f>IFERROR(VLOOKUP($A669,Equipconvrt!$A$2:$AH1001,MATCH("Abilities",Equipconvrt!$A$1:$AH$1,0),FALSE),"")</f>
        <v/>
      </c>
      <c r="G669" s="20" t="str">
        <f>IFERROR(VLOOKUP($A669,Equipment!$A$2:$AD1001,MATCH("Price",Equipment!$A$1:$AH$1,0),FALSE),"")</f>
        <v/>
      </c>
      <c r="H669" s="1" t="b">
        <v>0</v>
      </c>
      <c r="I669" s="1" t="str">
        <f>IFERROR(VLOOKUP($A669,Equipment!$A$2:$AH1001,MATCH("EquipLoc",Equipment!$A$1:$AH$1,0),FALSE),"")</f>
        <v/>
      </c>
      <c r="W669" s="1" t="str">
        <f>IFERROR(__xludf.DUMMYFUNCTION("""COMPUTED_VALUE"""),"Spirit Furnace")</f>
        <v>Spirit Furnace</v>
      </c>
      <c r="X669" s="1" t="str">
        <f t="shared" si="1"/>
        <v>Spirit Furnace</v>
      </c>
    </row>
    <row r="670">
      <c r="A670" s="1"/>
      <c r="B670" s="18" t="str">
        <f>IFERROR(VLOOKUP($A670,Equipment!$A$2:$AH1001,MATCH("Description",Equipment!$A$1:$AH$1,0),FALSE),"")</f>
        <v/>
      </c>
      <c r="C670" s="18" t="str">
        <f>IFERROR(VLOOKUP($A670,Equipment!$A$2:$AH1001,MATCH("Type",Equipment!$A$1:$AH$1,0),FALSE),"")</f>
        <v/>
      </c>
      <c r="D670" s="18" t="str">
        <f>IFERROR(VLOOKUP($A670,Equipment!$A$2:$AH1001,MATCH("Slot",Equipment!$A$1:$AH$1,0),FALSE),"")</f>
        <v/>
      </c>
      <c r="E670" s="20" t="str">
        <f>IFERROR(VLOOKUP($A670,Equipment!$A$2:$AH1001,MATCH("LevelReq",Equipment!$A$1:$AH$1,0),FALSE),"")</f>
        <v/>
      </c>
      <c r="F670" s="18" t="str">
        <f>IFERROR(VLOOKUP($A670,Equipconvrt!$A$2:$AH1001,MATCH("Abilities",Equipconvrt!$A$1:$AH$1,0),FALSE),"")</f>
        <v/>
      </c>
      <c r="G670" s="20" t="str">
        <f>IFERROR(VLOOKUP($A670,Equipment!$A$2:$AD1001,MATCH("Price",Equipment!$A$1:$AH$1,0),FALSE),"")</f>
        <v/>
      </c>
      <c r="H670" s="1" t="b">
        <v>0</v>
      </c>
      <c r="I670" s="1" t="str">
        <f>IFERROR(VLOOKUP($A670,Equipment!$A$2:$AH1001,MATCH("EquipLoc",Equipment!$A$1:$AH$1,0),FALSE),"")</f>
        <v/>
      </c>
      <c r="W670" s="1" t="str">
        <f>IFERROR(__xludf.DUMMYFUNCTION("""COMPUTED_VALUE"""),"Smokebomb Pouch")</f>
        <v>Smokebomb Pouch</v>
      </c>
      <c r="X670" s="1" t="str">
        <f t="shared" si="1"/>
        <v>Smokebomb Pouch</v>
      </c>
    </row>
    <row r="671">
      <c r="A671" s="1"/>
      <c r="B671" s="18" t="str">
        <f>IFERROR(VLOOKUP($A671,Equipment!$A$2:$AH1001,MATCH("Description",Equipment!$A$1:$AH$1,0),FALSE),"")</f>
        <v/>
      </c>
      <c r="C671" s="18" t="str">
        <f>IFERROR(VLOOKUP($A671,Equipment!$A$2:$AH1001,MATCH("Type",Equipment!$A$1:$AH$1,0),FALSE),"")</f>
        <v/>
      </c>
      <c r="D671" s="18" t="str">
        <f>IFERROR(VLOOKUP($A671,Equipment!$A$2:$AH1001,MATCH("Slot",Equipment!$A$1:$AH$1,0),FALSE),"")</f>
        <v/>
      </c>
      <c r="E671" s="20" t="str">
        <f>IFERROR(VLOOKUP($A671,Equipment!$A$2:$AH1001,MATCH("LevelReq",Equipment!$A$1:$AH$1,0),FALSE),"")</f>
        <v/>
      </c>
      <c r="F671" s="18" t="str">
        <f>IFERROR(VLOOKUP($A671,Equipconvrt!$A$2:$AH1001,MATCH("Abilities",Equipconvrt!$A$1:$AH$1,0),FALSE),"")</f>
        <v/>
      </c>
      <c r="G671" s="20" t="str">
        <f>IFERROR(VLOOKUP($A671,Equipment!$A$2:$AD1001,MATCH("Price",Equipment!$A$1:$AH$1,0),FALSE),"")</f>
        <v/>
      </c>
      <c r="H671" s="1" t="b">
        <v>0</v>
      </c>
      <c r="I671" s="1" t="str">
        <f>IFERROR(VLOOKUP($A671,Equipment!$A$2:$AH1001,MATCH("EquipLoc",Equipment!$A$1:$AH$1,0),FALSE),"")</f>
        <v/>
      </c>
      <c r="W671" s="1" t="str">
        <f>IFERROR(__xludf.DUMMYFUNCTION("""COMPUTED_VALUE"""),"Certificate of Shield Bashing School")</f>
        <v>Certificate of Shield Bashing School</v>
      </c>
      <c r="X671" s="1" t="str">
        <f t="shared" si="1"/>
        <v>Certificate of Shield Bashing School</v>
      </c>
    </row>
    <row r="672">
      <c r="A672" s="1"/>
      <c r="B672" s="18" t="str">
        <f>IFERROR(VLOOKUP($A672,Equipment!$A$2:$AH1001,MATCH("Description",Equipment!$A$1:$AH$1,0),FALSE),"")</f>
        <v/>
      </c>
      <c r="C672" s="18" t="str">
        <f>IFERROR(VLOOKUP($A672,Equipment!$A$2:$AH1001,MATCH("Type",Equipment!$A$1:$AH$1,0),FALSE),"")</f>
        <v/>
      </c>
      <c r="D672" s="18" t="str">
        <f>IFERROR(VLOOKUP($A672,Equipment!$A$2:$AH1001,MATCH("Slot",Equipment!$A$1:$AH$1,0),FALSE),"")</f>
        <v/>
      </c>
      <c r="E672" s="20" t="str">
        <f>IFERROR(VLOOKUP($A672,Equipment!$A$2:$AH1001,MATCH("LevelReq",Equipment!$A$1:$AH$1,0),FALSE),"")</f>
        <v/>
      </c>
      <c r="F672" s="18" t="str">
        <f>IFERROR(VLOOKUP($A672,Equipconvrt!$A$2:$AH1001,MATCH("Abilities",Equipconvrt!$A$1:$AH$1,0),FALSE),"")</f>
        <v/>
      </c>
      <c r="G672" s="20" t="str">
        <f>IFERROR(VLOOKUP($A672,Equipment!$A$2:$AD1001,MATCH("Price",Equipment!$A$1:$AH$1,0),FALSE),"")</f>
        <v/>
      </c>
      <c r="H672" s="1" t="b">
        <v>0</v>
      </c>
      <c r="I672" s="1" t="str">
        <f>IFERROR(VLOOKUP($A672,Equipment!$A$2:$AH1001,MATCH("EquipLoc",Equipment!$A$1:$AH$1,0),FALSE),"")</f>
        <v/>
      </c>
      <c r="W672" s="1" t="str">
        <f>IFERROR(__xludf.DUMMYFUNCTION("""COMPUTED_VALUE"""),"Goblet of Greed")</f>
        <v>Goblet of Greed</v>
      </c>
      <c r="X672" s="1" t="str">
        <f t="shared" si="1"/>
        <v>Goblet of Greed</v>
      </c>
    </row>
    <row r="673">
      <c r="A673" s="1"/>
      <c r="B673" s="18" t="str">
        <f>IFERROR(VLOOKUP($A673,Equipment!$A$2:$AH1001,MATCH("Description",Equipment!$A$1:$AH$1,0),FALSE),"")</f>
        <v/>
      </c>
      <c r="C673" s="18" t="str">
        <f>IFERROR(VLOOKUP($A673,Equipment!$A$2:$AH1001,MATCH("Type",Equipment!$A$1:$AH$1,0),FALSE),"")</f>
        <v/>
      </c>
      <c r="D673" s="18" t="str">
        <f>IFERROR(VLOOKUP($A673,Equipment!$A$2:$AH1001,MATCH("Slot",Equipment!$A$1:$AH$1,0),FALSE),"")</f>
        <v/>
      </c>
      <c r="E673" s="20" t="str">
        <f>IFERROR(VLOOKUP($A673,Equipment!$A$2:$AH1001,MATCH("LevelReq",Equipment!$A$1:$AH$1,0),FALSE),"")</f>
        <v/>
      </c>
      <c r="F673" s="18" t="str">
        <f>IFERROR(VLOOKUP($A673,Equipconvrt!$A$2:$AH1001,MATCH("Abilities",Equipconvrt!$A$1:$AH$1,0),FALSE),"")</f>
        <v/>
      </c>
      <c r="G673" s="20" t="str">
        <f>IFERROR(VLOOKUP($A673,Equipment!$A$2:$AD1001,MATCH("Price",Equipment!$A$1:$AH$1,0),FALSE),"")</f>
        <v/>
      </c>
      <c r="H673" s="1" t="b">
        <v>0</v>
      </c>
      <c r="I673" s="1" t="str">
        <f>IFERROR(VLOOKUP($A673,Equipment!$A$2:$AH1001,MATCH("EquipLoc",Equipment!$A$1:$AH$1,0),FALSE),"")</f>
        <v/>
      </c>
      <c r="W673" s="1" t="str">
        <f>IFERROR(__xludf.DUMMYFUNCTION("""COMPUTED_VALUE"""),"Holy Symbol")</f>
        <v>Holy Symbol</v>
      </c>
      <c r="X673" s="1" t="str">
        <f t="shared" si="1"/>
        <v>Holy Symbol</v>
      </c>
    </row>
    <row r="674">
      <c r="A674" s="1"/>
      <c r="B674" s="18" t="str">
        <f>IFERROR(VLOOKUP($A674,Equipment!$A$2:$AH1001,MATCH("Description",Equipment!$A$1:$AH$1,0),FALSE),"")</f>
        <v/>
      </c>
      <c r="C674" s="18" t="str">
        <f>IFERROR(VLOOKUP($A674,Equipment!$A$2:$AH1001,MATCH("Type",Equipment!$A$1:$AH$1,0),FALSE),"")</f>
        <v/>
      </c>
      <c r="D674" s="18" t="str">
        <f>IFERROR(VLOOKUP($A674,Equipment!$A$2:$AH1001,MATCH("Slot",Equipment!$A$1:$AH$1,0),FALSE),"")</f>
        <v/>
      </c>
      <c r="E674" s="20" t="str">
        <f>IFERROR(VLOOKUP($A674,Equipment!$A$2:$AH1001,MATCH("LevelReq",Equipment!$A$1:$AH$1,0),FALSE),"")</f>
        <v/>
      </c>
      <c r="F674" s="18" t="str">
        <f>IFERROR(VLOOKUP($A674,Equipconvrt!$A$2:$AH1001,MATCH("Abilities",Equipconvrt!$A$1:$AH$1,0),FALSE),"")</f>
        <v/>
      </c>
      <c r="G674" s="20" t="str">
        <f>IFERROR(VLOOKUP($A674,Equipment!$A$2:$AD1001,MATCH("Price",Equipment!$A$1:$AH$1,0),FALSE),"")</f>
        <v/>
      </c>
      <c r="H674" s="1" t="b">
        <v>0</v>
      </c>
      <c r="I674" s="1" t="str">
        <f>IFERROR(VLOOKUP($A674,Equipment!$A$2:$AH1001,MATCH("EquipLoc",Equipment!$A$1:$AH$1,0),FALSE),"")</f>
        <v/>
      </c>
      <c r="W674" s="1" t="str">
        <f>IFERROR(__xludf.DUMMYFUNCTION("""COMPUTED_VALUE"""),"Mysterious Merchant's Scythe")</f>
        <v>Mysterious Merchant's Scythe</v>
      </c>
      <c r="X674" s="1" t="str">
        <f t="shared" si="1"/>
        <v>Mysterious Merchant's Scythe</v>
      </c>
    </row>
    <row r="675">
      <c r="A675" s="1"/>
      <c r="B675" s="18" t="str">
        <f>IFERROR(VLOOKUP($A675,Equipment!$A$2:$AH1001,MATCH("Description",Equipment!$A$1:$AH$1,0),FALSE),"")</f>
        <v/>
      </c>
      <c r="C675" s="18" t="str">
        <f>IFERROR(VLOOKUP($A675,Equipment!$A$2:$AH1001,MATCH("Type",Equipment!$A$1:$AH$1,0),FALSE),"")</f>
        <v/>
      </c>
      <c r="D675" s="18" t="str">
        <f>IFERROR(VLOOKUP($A675,Equipment!$A$2:$AH1001,MATCH("Slot",Equipment!$A$1:$AH$1,0),FALSE),"")</f>
        <v/>
      </c>
      <c r="E675" s="20" t="str">
        <f>IFERROR(VLOOKUP($A675,Equipment!$A$2:$AH1001,MATCH("LevelReq",Equipment!$A$1:$AH$1,0),FALSE),"")</f>
        <v/>
      </c>
      <c r="F675" s="18" t="str">
        <f>IFERROR(VLOOKUP($A675,Equipconvrt!$A$2:$AH1001,MATCH("Abilities",Equipconvrt!$A$1:$AH$1,0),FALSE),"")</f>
        <v/>
      </c>
      <c r="G675" s="20" t="str">
        <f>IFERROR(VLOOKUP($A675,Equipment!$A$2:$AD1001,MATCH("Price",Equipment!$A$1:$AH$1,0),FALSE),"")</f>
        <v/>
      </c>
      <c r="H675" s="1" t="b">
        <v>0</v>
      </c>
      <c r="I675" s="1" t="str">
        <f>IFERROR(VLOOKUP($A675,Equipment!$A$2:$AH1001,MATCH("EquipLoc",Equipment!$A$1:$AH$1,0),FALSE),"")</f>
        <v/>
      </c>
      <c r="W675" s="1" t="str">
        <f>IFERROR(__xludf.DUMMYFUNCTION("""COMPUTED_VALUE"""),"Cursed Saya")</f>
        <v>Cursed Saya</v>
      </c>
      <c r="X675" s="1" t="str">
        <f t="shared" si="1"/>
        <v>Cursed Saya</v>
      </c>
    </row>
    <row r="676">
      <c r="A676" s="1"/>
      <c r="B676" s="18" t="str">
        <f>IFERROR(VLOOKUP($A676,Equipment!$A$2:$AH1001,MATCH("Description",Equipment!$A$1:$AH$1,0),FALSE),"")</f>
        <v/>
      </c>
      <c r="C676" s="18" t="str">
        <f>IFERROR(VLOOKUP($A676,Equipment!$A$2:$AH1001,MATCH("Type",Equipment!$A$1:$AH$1,0),FALSE),"")</f>
        <v/>
      </c>
      <c r="D676" s="18" t="str">
        <f>IFERROR(VLOOKUP($A676,Equipment!$A$2:$AH1001,MATCH("Slot",Equipment!$A$1:$AH$1,0),FALSE),"")</f>
        <v/>
      </c>
      <c r="E676" s="20" t="str">
        <f>IFERROR(VLOOKUP($A676,Equipment!$A$2:$AH1001,MATCH("LevelReq",Equipment!$A$1:$AH$1,0),FALSE),"")</f>
        <v/>
      </c>
      <c r="F676" s="18" t="str">
        <f>IFERROR(VLOOKUP($A676,Equipconvrt!$A$2:$AH1001,MATCH("Abilities",Equipconvrt!$A$1:$AH$1,0),FALSE),"")</f>
        <v/>
      </c>
      <c r="G676" s="20" t="str">
        <f>IFERROR(VLOOKUP($A676,Equipment!$A$2:$AD1001,MATCH("Price",Equipment!$A$1:$AH$1,0),FALSE),"")</f>
        <v/>
      </c>
      <c r="H676" s="1" t="b">
        <v>0</v>
      </c>
      <c r="I676" s="1" t="str">
        <f>IFERROR(VLOOKUP($A676,Equipment!$A$2:$AH1001,MATCH("EquipLoc",Equipment!$A$1:$AH$1,0),FALSE),"")</f>
        <v/>
      </c>
      <c r="W676" s="1" t="str">
        <f>IFERROR(__xludf.DUMMYFUNCTION("""COMPUTED_VALUE"""),"Shamanic Staff")</f>
        <v>Shamanic Staff</v>
      </c>
      <c r="X676" s="1" t="str">
        <f t="shared" si="1"/>
        <v>Shamanic Staff</v>
      </c>
    </row>
    <row r="677">
      <c r="A677" s="1"/>
      <c r="B677" s="18" t="str">
        <f>IFERROR(VLOOKUP($A677,Equipment!$A$2:$AH1001,MATCH("Description",Equipment!$A$1:$AH$1,0),FALSE),"")</f>
        <v/>
      </c>
      <c r="C677" s="18" t="str">
        <f>IFERROR(VLOOKUP($A677,Equipment!$A$2:$AH1001,MATCH("Type",Equipment!$A$1:$AH$1,0),FALSE),"")</f>
        <v/>
      </c>
      <c r="D677" s="18" t="str">
        <f>IFERROR(VLOOKUP($A677,Equipment!$A$2:$AH1001,MATCH("Slot",Equipment!$A$1:$AH$1,0),FALSE),"")</f>
        <v/>
      </c>
      <c r="E677" s="20" t="str">
        <f>IFERROR(VLOOKUP($A677,Equipment!$A$2:$AH1001,MATCH("LevelReq",Equipment!$A$1:$AH$1,0),FALSE),"")</f>
        <v/>
      </c>
      <c r="F677" s="18" t="str">
        <f>IFERROR(VLOOKUP($A677,Equipconvrt!$A$2:$AH1001,MATCH("Abilities",Equipconvrt!$A$1:$AH$1,0),FALSE),"")</f>
        <v/>
      </c>
      <c r="G677" s="20" t="str">
        <f>IFERROR(VLOOKUP($A677,Equipment!$A$2:$AD1001,MATCH("Price",Equipment!$A$1:$AH$1,0),FALSE),"")</f>
        <v/>
      </c>
      <c r="H677" s="1" t="b">
        <v>0</v>
      </c>
      <c r="I677" s="1" t="str">
        <f>IFERROR(VLOOKUP($A677,Equipment!$A$2:$AH1001,MATCH("EquipLoc",Equipment!$A$1:$AH$1,0),FALSE),"")</f>
        <v/>
      </c>
      <c r="W677" s="1" t="str">
        <f>IFERROR(__xludf.DUMMYFUNCTION("""COMPUTED_VALUE"""),"Rune Necklace")</f>
        <v>Rune Necklace</v>
      </c>
      <c r="X677" s="1" t="str">
        <f t="shared" si="1"/>
        <v>Rune Necklace</v>
      </c>
    </row>
    <row r="678">
      <c r="A678" s="1"/>
      <c r="B678" s="18" t="str">
        <f>IFERROR(VLOOKUP($A678,Equipment!$A$2:$AH1001,MATCH("Description",Equipment!$A$1:$AH$1,0),FALSE),"")</f>
        <v/>
      </c>
      <c r="C678" s="18" t="str">
        <f>IFERROR(VLOOKUP($A678,Equipment!$A$2:$AH1001,MATCH("Type",Equipment!$A$1:$AH$1,0),FALSE),"")</f>
        <v/>
      </c>
      <c r="D678" s="18" t="str">
        <f>IFERROR(VLOOKUP($A678,Equipment!$A$2:$AH1001,MATCH("Slot",Equipment!$A$1:$AH$1,0),FALSE),"")</f>
        <v/>
      </c>
      <c r="E678" s="20" t="str">
        <f>IFERROR(VLOOKUP($A678,Equipment!$A$2:$AH1001,MATCH("LevelReq",Equipment!$A$1:$AH$1,0),FALSE),"")</f>
        <v/>
      </c>
      <c r="F678" s="18" t="str">
        <f>IFERROR(VLOOKUP($A678,Equipconvrt!$A$2:$AH1001,MATCH("Abilities",Equipconvrt!$A$1:$AH$1,0),FALSE),"")</f>
        <v/>
      </c>
      <c r="G678" s="20" t="str">
        <f>IFERROR(VLOOKUP($A678,Equipment!$A$2:$AD1001,MATCH("Price",Equipment!$A$1:$AH$1,0),FALSE),"")</f>
        <v/>
      </c>
      <c r="H678" s="1" t="b">
        <v>0</v>
      </c>
      <c r="I678" s="1" t="str">
        <f>IFERROR(VLOOKUP($A678,Equipment!$A$2:$AH1001,MATCH("EquipLoc",Equipment!$A$1:$AH$1,0),FALSE),"")</f>
        <v/>
      </c>
      <c r="W678" s="1" t="str">
        <f>IFERROR(__xludf.DUMMYFUNCTION("""COMPUTED_VALUE"""),"Spell Sponge")</f>
        <v>Spell Sponge</v>
      </c>
      <c r="X678" s="1" t="str">
        <f t="shared" si="1"/>
        <v>Spell Sponge</v>
      </c>
    </row>
    <row r="679">
      <c r="A679" s="1"/>
      <c r="B679" s="18" t="str">
        <f>IFERROR(VLOOKUP($A679,Equipment!$A$2:$AH1001,MATCH("Description",Equipment!$A$1:$AH$1,0),FALSE),"")</f>
        <v/>
      </c>
      <c r="C679" s="18" t="str">
        <f>IFERROR(VLOOKUP($A679,Equipment!$A$2:$AH1001,MATCH("Type",Equipment!$A$1:$AH$1,0),FALSE),"")</f>
        <v/>
      </c>
      <c r="D679" s="18" t="str">
        <f>IFERROR(VLOOKUP($A679,Equipment!$A$2:$AH1001,MATCH("Slot",Equipment!$A$1:$AH$1,0),FALSE),"")</f>
        <v/>
      </c>
      <c r="E679" s="20" t="str">
        <f>IFERROR(VLOOKUP($A679,Equipment!$A$2:$AH1001,MATCH("LevelReq",Equipment!$A$1:$AH$1,0),FALSE),"")</f>
        <v/>
      </c>
      <c r="F679" s="18" t="str">
        <f>IFERROR(VLOOKUP($A679,Equipconvrt!$A$2:$AH1001,MATCH("Abilities",Equipconvrt!$A$1:$AH$1,0),FALSE),"")</f>
        <v/>
      </c>
      <c r="G679" s="20" t="str">
        <f>IFERROR(VLOOKUP($A679,Equipment!$A$2:$AD1001,MATCH("Price",Equipment!$A$1:$AH$1,0),FALSE),"")</f>
        <v/>
      </c>
      <c r="H679" s="1" t="b">
        <v>0</v>
      </c>
      <c r="I679" s="1" t="str">
        <f>IFERROR(VLOOKUP($A679,Equipment!$A$2:$AH1001,MATCH("EquipLoc",Equipment!$A$1:$AH$1,0),FALSE),"")</f>
        <v/>
      </c>
      <c r="W679" s="1" t="str">
        <f>IFERROR(__xludf.DUMMYFUNCTION("""COMPUTED_VALUE"""),"Viking's Warpaint")</f>
        <v>Viking's Warpaint</v>
      </c>
      <c r="X679" s="1" t="str">
        <f t="shared" si="1"/>
        <v>Viking's Warpaint</v>
      </c>
    </row>
    <row r="680">
      <c r="A680" s="1"/>
      <c r="B680" s="18" t="str">
        <f>IFERROR(VLOOKUP($A680,Equipment!$A$2:$AH1001,MATCH("Description",Equipment!$A$1:$AH$1,0),FALSE),"")</f>
        <v/>
      </c>
      <c r="C680" s="18" t="str">
        <f>IFERROR(VLOOKUP($A680,Equipment!$A$2:$AH1001,MATCH("Type",Equipment!$A$1:$AH$1,0),FALSE),"")</f>
        <v/>
      </c>
      <c r="D680" s="18" t="str">
        <f>IFERROR(VLOOKUP($A680,Equipment!$A$2:$AH1001,MATCH("Slot",Equipment!$A$1:$AH$1,0),FALSE),"")</f>
        <v/>
      </c>
      <c r="E680" s="20" t="str">
        <f>IFERROR(VLOOKUP($A680,Equipment!$A$2:$AH1001,MATCH("LevelReq",Equipment!$A$1:$AH$1,0),FALSE),"")</f>
        <v/>
      </c>
      <c r="F680" s="18" t="str">
        <f>IFERROR(VLOOKUP($A680,Equipconvrt!$A$2:$AH1001,MATCH("Abilities",Equipconvrt!$A$1:$AH$1,0),FALSE),"")</f>
        <v/>
      </c>
      <c r="G680" s="20" t="str">
        <f>IFERROR(VLOOKUP($A680,Equipment!$A$2:$AD1001,MATCH("Price",Equipment!$A$1:$AH$1,0),FALSE),"")</f>
        <v/>
      </c>
      <c r="H680" s="1" t="b">
        <v>0</v>
      </c>
      <c r="I680" s="1" t="str">
        <f>IFERROR(VLOOKUP($A680,Equipment!$A$2:$AH1001,MATCH("EquipLoc",Equipment!$A$1:$AH$1,0),FALSE),"")</f>
        <v/>
      </c>
      <c r="W680" s="1" t="str">
        <f>IFERROR(__xludf.DUMMYFUNCTION("""COMPUTED_VALUE"""),"Speed Shoes")</f>
        <v>Speed Shoes</v>
      </c>
      <c r="X680" s="1" t="str">
        <f t="shared" si="1"/>
        <v>Speed Shoes</v>
      </c>
    </row>
    <row r="681">
      <c r="A681" s="1"/>
      <c r="B681" s="18" t="str">
        <f>IFERROR(VLOOKUP($A681,Equipment!$A$2:$AH1001,MATCH("Description",Equipment!$A$1:$AH$1,0),FALSE),"")</f>
        <v/>
      </c>
      <c r="C681" s="18" t="str">
        <f>IFERROR(VLOOKUP($A681,Equipment!$A$2:$AH1001,MATCH("Type",Equipment!$A$1:$AH$1,0),FALSE),"")</f>
        <v/>
      </c>
      <c r="D681" s="18" t="str">
        <f>IFERROR(VLOOKUP($A681,Equipment!$A$2:$AH1001,MATCH("Slot",Equipment!$A$1:$AH$1,0),FALSE),"")</f>
        <v/>
      </c>
      <c r="E681" s="20" t="str">
        <f>IFERROR(VLOOKUP($A681,Equipment!$A$2:$AH1001,MATCH("LevelReq",Equipment!$A$1:$AH$1,0),FALSE),"")</f>
        <v/>
      </c>
      <c r="F681" s="18" t="str">
        <f>IFERROR(VLOOKUP($A681,Equipconvrt!$A$2:$AH1001,MATCH("Abilities",Equipconvrt!$A$1:$AH$1,0),FALSE),"")</f>
        <v/>
      </c>
      <c r="G681" s="20" t="str">
        <f>IFERROR(VLOOKUP($A681,Equipment!$A$2:$AD1001,MATCH("Price",Equipment!$A$1:$AH$1,0),FALSE),"")</f>
        <v/>
      </c>
      <c r="H681" s="1" t="b">
        <v>0</v>
      </c>
      <c r="I681" s="1" t="str">
        <f>IFERROR(VLOOKUP($A681,Equipment!$A$2:$AH1001,MATCH("EquipLoc",Equipment!$A$1:$AH$1,0),FALSE),"")</f>
        <v/>
      </c>
      <c r="W681" s="1" t="str">
        <f>IFERROR(__xludf.DUMMYFUNCTION("""COMPUTED_VALUE"""),"Book of Hexes")</f>
        <v>Book of Hexes</v>
      </c>
      <c r="X681" s="1" t="str">
        <f t="shared" si="1"/>
        <v>Book of Hexes</v>
      </c>
    </row>
    <row r="682">
      <c r="A682" s="1"/>
      <c r="B682" s="18" t="str">
        <f>IFERROR(VLOOKUP($A682,Equipment!$A$2:$AH1001,MATCH("Description",Equipment!$A$1:$AH$1,0),FALSE),"")</f>
        <v/>
      </c>
      <c r="C682" s="18" t="str">
        <f>IFERROR(VLOOKUP($A682,Equipment!$A$2:$AH1001,MATCH("Type",Equipment!$A$1:$AH$1,0),FALSE),"")</f>
        <v/>
      </c>
      <c r="D682" s="18" t="str">
        <f>IFERROR(VLOOKUP($A682,Equipment!$A$2:$AH1001,MATCH("Slot",Equipment!$A$1:$AH$1,0),FALSE),"")</f>
        <v/>
      </c>
      <c r="E682" s="20" t="str">
        <f>IFERROR(VLOOKUP($A682,Equipment!$A$2:$AH1001,MATCH("LevelReq",Equipment!$A$1:$AH$1,0),FALSE),"")</f>
        <v/>
      </c>
      <c r="F682" s="18" t="str">
        <f>IFERROR(VLOOKUP($A682,Equipconvrt!$A$2:$AH1001,MATCH("Abilities",Equipconvrt!$A$1:$AH$1,0),FALSE),"")</f>
        <v/>
      </c>
      <c r="G682" s="20" t="str">
        <f>IFERROR(VLOOKUP($A682,Equipment!$A$2:$AD1001,MATCH("Price",Equipment!$A$1:$AH$1,0),FALSE),"")</f>
        <v/>
      </c>
      <c r="H682" s="1" t="b">
        <v>0</v>
      </c>
      <c r="I682" s="1" t="str">
        <f>IFERROR(VLOOKUP($A682,Equipment!$A$2:$AH1001,MATCH("EquipLoc",Equipment!$A$1:$AH$1,0),FALSE),"")</f>
        <v/>
      </c>
      <c r="W682" s="1" t="str">
        <f>IFERROR(__xludf.DUMMYFUNCTION("""COMPUTED_VALUE"""),"Ring of Boring")</f>
        <v>Ring of Boring</v>
      </c>
      <c r="X682" s="1" t="str">
        <f t="shared" si="1"/>
        <v>Ring of Boring</v>
      </c>
    </row>
    <row r="683">
      <c r="A683" s="1"/>
      <c r="B683" s="18" t="str">
        <f>IFERROR(VLOOKUP($A683,Equipment!$A$2:$AH1001,MATCH("Description",Equipment!$A$1:$AH$1,0),FALSE),"")</f>
        <v/>
      </c>
      <c r="C683" s="18" t="str">
        <f>IFERROR(VLOOKUP($A683,Equipment!$A$2:$AH1001,MATCH("Type",Equipment!$A$1:$AH$1,0),FALSE),"")</f>
        <v/>
      </c>
      <c r="D683" s="18" t="str">
        <f>IFERROR(VLOOKUP($A683,Equipment!$A$2:$AH1001,MATCH("Slot",Equipment!$A$1:$AH$1,0),FALSE),"")</f>
        <v/>
      </c>
      <c r="E683" s="20" t="str">
        <f>IFERROR(VLOOKUP($A683,Equipment!$A$2:$AH1001,MATCH("LevelReq",Equipment!$A$1:$AH$1,0),FALSE),"")</f>
        <v/>
      </c>
      <c r="F683" s="18" t="str">
        <f>IFERROR(VLOOKUP($A683,Equipconvrt!$A$2:$AH1001,MATCH("Abilities",Equipconvrt!$A$1:$AH$1,0),FALSE),"")</f>
        <v/>
      </c>
      <c r="G683" s="20" t="str">
        <f>IFERROR(VLOOKUP($A683,Equipment!$A$2:$AD1001,MATCH("Price",Equipment!$A$1:$AH$1,0),FALSE),"")</f>
        <v/>
      </c>
      <c r="H683" s="1" t="b">
        <v>0</v>
      </c>
      <c r="I683" s="1" t="str">
        <f>IFERROR(VLOOKUP($A683,Equipment!$A$2:$AH1001,MATCH("EquipLoc",Equipment!$A$1:$AH$1,0),FALSE),"")</f>
        <v/>
      </c>
      <c r="W683" s="1" t="str">
        <f>IFERROR(__xludf.DUMMYFUNCTION("""COMPUTED_VALUE"""),"Frozen Spearman's High-Low Dress")</f>
        <v>Frozen Spearman's High-Low Dress</v>
      </c>
      <c r="X683" s="1" t="str">
        <f t="shared" si="1"/>
        <v>Frozen Spearman's High-Low Dress</v>
      </c>
    </row>
    <row r="684">
      <c r="A684" s="1"/>
      <c r="B684" s="18" t="str">
        <f>IFERROR(VLOOKUP($A684,Equipment!$A$2:$AH1001,MATCH("Description",Equipment!$A$1:$AH$1,0),FALSE),"")</f>
        <v/>
      </c>
      <c r="C684" s="18" t="str">
        <f>IFERROR(VLOOKUP($A684,Equipment!$A$2:$AH1001,MATCH("Type",Equipment!$A$1:$AH$1,0),FALSE),"")</f>
        <v/>
      </c>
      <c r="D684" s="18" t="str">
        <f>IFERROR(VLOOKUP($A684,Equipment!$A$2:$AH1001,MATCH("Slot",Equipment!$A$1:$AH$1,0),FALSE),"")</f>
        <v/>
      </c>
      <c r="E684" s="20" t="str">
        <f>IFERROR(VLOOKUP($A684,Equipment!$A$2:$AH1001,MATCH("LevelReq",Equipment!$A$1:$AH$1,0),FALSE),"")</f>
        <v/>
      </c>
      <c r="F684" s="18" t="str">
        <f>IFERROR(VLOOKUP($A684,Equipconvrt!$A$2:$AH1001,MATCH("Abilities",Equipconvrt!$A$1:$AH$1,0),FALSE),"")</f>
        <v/>
      </c>
      <c r="G684" s="20" t="str">
        <f>IFERROR(VLOOKUP($A684,Equipment!$A$2:$AD1001,MATCH("Price",Equipment!$A$1:$AH$1,0),FALSE),"")</f>
        <v/>
      </c>
      <c r="H684" s="1" t="b">
        <v>0</v>
      </c>
      <c r="I684" s="1" t="str">
        <f>IFERROR(VLOOKUP($A684,Equipment!$A$2:$AH1001,MATCH("EquipLoc",Equipment!$A$1:$AH$1,0),FALSE),"")</f>
        <v/>
      </c>
      <c r="W684" s="1" t="str">
        <f>IFERROR(__xludf.DUMMYFUNCTION("""COMPUTED_VALUE"""),"Frozen Spearman's Jhodpur's")</f>
        <v>Frozen Spearman's Jhodpur's</v>
      </c>
      <c r="X684" s="1" t="str">
        <f t="shared" si="1"/>
        <v>Frozen Spearman's Jhodpur's</v>
      </c>
    </row>
    <row r="685">
      <c r="A685" s="1"/>
      <c r="B685" s="18" t="str">
        <f>IFERROR(VLOOKUP($A685,Equipment!$A$2:$AH1001,MATCH("Description",Equipment!$A$1:$AH$1,0),FALSE),"")</f>
        <v/>
      </c>
      <c r="C685" s="18" t="str">
        <f>IFERROR(VLOOKUP($A685,Equipment!$A$2:$AH1001,MATCH("Type",Equipment!$A$1:$AH$1,0),FALSE),"")</f>
        <v/>
      </c>
      <c r="D685" s="18" t="str">
        <f>IFERROR(VLOOKUP($A685,Equipment!$A$2:$AH1001,MATCH("Slot",Equipment!$A$1:$AH$1,0),FALSE),"")</f>
        <v/>
      </c>
      <c r="E685" s="20" t="str">
        <f>IFERROR(VLOOKUP($A685,Equipment!$A$2:$AH1001,MATCH("LevelReq",Equipment!$A$1:$AH$1,0),FALSE),"")</f>
        <v/>
      </c>
      <c r="F685" s="18" t="str">
        <f>IFERROR(VLOOKUP($A685,Equipconvrt!$A$2:$AH1001,MATCH("Abilities",Equipconvrt!$A$1:$AH$1,0),FALSE),"")</f>
        <v/>
      </c>
      <c r="G685" s="20" t="str">
        <f>IFERROR(VLOOKUP($A685,Equipment!$A$2:$AD1001,MATCH("Price",Equipment!$A$1:$AH$1,0),FALSE),"")</f>
        <v/>
      </c>
      <c r="H685" s="1" t="b">
        <v>0</v>
      </c>
      <c r="I685" s="1" t="str">
        <f>IFERROR(VLOOKUP($A685,Equipment!$A$2:$AH1001,MATCH("EquipLoc",Equipment!$A$1:$AH$1,0),FALSE),"")</f>
        <v/>
      </c>
      <c r="W685" s="1" t="str">
        <f>IFERROR(__xludf.DUMMYFUNCTION("""COMPUTED_VALUE"""),"Frozen Spearman's Fur Boots")</f>
        <v>Frozen Spearman's Fur Boots</v>
      </c>
      <c r="X685" s="1" t="str">
        <f t="shared" si="1"/>
        <v>Frozen Spearman's Fur Boots</v>
      </c>
    </row>
    <row r="686">
      <c r="A686" s="1"/>
      <c r="B686" s="18" t="str">
        <f>IFERROR(VLOOKUP($A686,Equipment!$A$2:$AH1001,MATCH("Description",Equipment!$A$1:$AH$1,0),FALSE),"")</f>
        <v/>
      </c>
      <c r="C686" s="18" t="str">
        <f>IFERROR(VLOOKUP($A686,Equipment!$A$2:$AH1001,MATCH("Type",Equipment!$A$1:$AH$1,0),FALSE),"")</f>
        <v/>
      </c>
      <c r="D686" s="18" t="str">
        <f>IFERROR(VLOOKUP($A686,Equipment!$A$2:$AH1001,MATCH("Slot",Equipment!$A$1:$AH$1,0),FALSE),"")</f>
        <v/>
      </c>
      <c r="E686" s="20" t="str">
        <f>IFERROR(VLOOKUP($A686,Equipment!$A$2:$AH1001,MATCH("LevelReq",Equipment!$A$1:$AH$1,0),FALSE),"")</f>
        <v/>
      </c>
      <c r="F686" s="18" t="str">
        <f>IFERROR(VLOOKUP($A686,Equipconvrt!$A$2:$AH1001,MATCH("Abilities",Equipconvrt!$A$1:$AH$1,0),FALSE),"")</f>
        <v/>
      </c>
      <c r="G686" s="20" t="str">
        <f>IFERROR(VLOOKUP($A686,Equipment!$A$2:$AD1001,MATCH("Price",Equipment!$A$1:$AH$1,0),FALSE),"")</f>
        <v/>
      </c>
      <c r="H686" s="1" t="b">
        <v>0</v>
      </c>
      <c r="I686" s="1" t="str">
        <f>IFERROR(VLOOKUP($A686,Equipment!$A$2:$AH1001,MATCH("EquipLoc",Equipment!$A$1:$AH$1,0),FALSE),"")</f>
        <v/>
      </c>
      <c r="W686" s="1" t="str">
        <f>IFERROR(__xludf.DUMMYFUNCTION("""COMPUTED_VALUE"""),"Frozen Spearman's Bracers")</f>
        <v>Frozen Spearman's Bracers</v>
      </c>
      <c r="X686" s="1" t="str">
        <f t="shared" si="1"/>
        <v>Frozen Spearman's Bracers</v>
      </c>
    </row>
    <row r="687">
      <c r="A687" s="1"/>
      <c r="B687" s="18" t="str">
        <f>IFERROR(VLOOKUP($A687,Equipment!$A$2:$AH1001,MATCH("Description",Equipment!$A$1:$AH$1,0),FALSE),"")</f>
        <v/>
      </c>
      <c r="C687" s="18" t="str">
        <f>IFERROR(VLOOKUP($A687,Equipment!$A$2:$AH1001,MATCH("Type",Equipment!$A$1:$AH$1,0),FALSE),"")</f>
        <v/>
      </c>
      <c r="D687" s="18" t="str">
        <f>IFERROR(VLOOKUP($A687,Equipment!$A$2:$AH1001,MATCH("Slot",Equipment!$A$1:$AH$1,0),FALSE),"")</f>
        <v/>
      </c>
      <c r="E687" s="20" t="str">
        <f>IFERROR(VLOOKUP($A687,Equipment!$A$2:$AH1001,MATCH("LevelReq",Equipment!$A$1:$AH$1,0),FALSE),"")</f>
        <v/>
      </c>
      <c r="F687" s="18" t="str">
        <f>IFERROR(VLOOKUP($A687,Equipconvrt!$A$2:$AH1001,MATCH("Abilities",Equipconvrt!$A$1:$AH$1,0),FALSE),"")</f>
        <v/>
      </c>
      <c r="G687" s="20" t="str">
        <f>IFERROR(VLOOKUP($A687,Equipment!$A$2:$AD1001,MATCH("Price",Equipment!$A$1:$AH$1,0),FALSE),"")</f>
        <v/>
      </c>
      <c r="H687" s="1" t="b">
        <v>0</v>
      </c>
      <c r="I687" s="1" t="str">
        <f>IFERROR(VLOOKUP($A687,Equipment!$A$2:$AH1001,MATCH("EquipLoc",Equipment!$A$1:$AH$1,0),FALSE),"")</f>
        <v/>
      </c>
      <c r="W687" s="1" t="str">
        <f>IFERROR(__xludf.DUMMYFUNCTION("""COMPUTED_VALUE"""),"Frozen Spearman's Fur Cloak")</f>
        <v>Frozen Spearman's Fur Cloak</v>
      </c>
      <c r="X687" s="1" t="str">
        <f t="shared" si="1"/>
        <v>Frozen Spearman's Fur Cloak</v>
      </c>
    </row>
    <row r="688">
      <c r="A688" s="1"/>
      <c r="B688" s="18" t="str">
        <f>IFERROR(VLOOKUP($A688,Equipment!$A$2:$AH1001,MATCH("Description",Equipment!$A$1:$AH$1,0),FALSE),"")</f>
        <v/>
      </c>
      <c r="C688" s="18" t="str">
        <f>IFERROR(VLOOKUP($A688,Equipment!$A$2:$AH1001,MATCH("Type",Equipment!$A$1:$AH$1,0),FALSE),"")</f>
        <v/>
      </c>
      <c r="D688" s="18" t="str">
        <f>IFERROR(VLOOKUP($A688,Equipment!$A$2:$AH1001,MATCH("Slot",Equipment!$A$1:$AH$1,0),FALSE),"")</f>
        <v/>
      </c>
      <c r="E688" s="20" t="str">
        <f>IFERROR(VLOOKUP($A688,Equipment!$A$2:$AH1001,MATCH("LevelReq",Equipment!$A$1:$AH$1,0),FALSE),"")</f>
        <v/>
      </c>
      <c r="F688" s="18" t="str">
        <f>IFERROR(VLOOKUP($A688,Equipconvrt!$A$2:$AH1001,MATCH("Abilities",Equipconvrt!$A$1:$AH$1,0),FALSE),"")</f>
        <v/>
      </c>
      <c r="G688" s="20" t="str">
        <f>IFERROR(VLOOKUP($A688,Equipment!$A$2:$AD1001,MATCH("Price",Equipment!$A$1:$AH$1,0),FALSE),"")</f>
        <v/>
      </c>
      <c r="H688" s="1" t="b">
        <v>0</v>
      </c>
      <c r="I688" s="1" t="str">
        <f>IFERROR(VLOOKUP($A688,Equipment!$A$2:$AH1001,MATCH("EquipLoc",Equipment!$A$1:$AH$1,0),FALSE),"")</f>
        <v/>
      </c>
      <c r="W688" s="1" t="str">
        <f>IFERROR(__xludf.DUMMYFUNCTION("""COMPUTED_VALUE"""),"Frost Mage's Cloak")</f>
        <v>Frost Mage's Cloak</v>
      </c>
      <c r="X688" s="1" t="str">
        <f t="shared" si="1"/>
        <v>Frost Mage's Cloak</v>
      </c>
    </row>
    <row r="689">
      <c r="A689" s="1"/>
      <c r="B689" s="18" t="str">
        <f>IFERROR(VLOOKUP($A689,Equipment!$A$2:$AH1001,MATCH("Description",Equipment!$A$1:$AH$1,0),FALSE),"")</f>
        <v/>
      </c>
      <c r="C689" s="18" t="str">
        <f>IFERROR(VLOOKUP($A689,Equipment!$A$2:$AH1001,MATCH("Type",Equipment!$A$1:$AH$1,0),FALSE),"")</f>
        <v/>
      </c>
      <c r="D689" s="18" t="str">
        <f>IFERROR(VLOOKUP($A689,Equipment!$A$2:$AH1001,MATCH("Slot",Equipment!$A$1:$AH$1,0),FALSE),"")</f>
        <v/>
      </c>
      <c r="E689" s="20" t="str">
        <f>IFERROR(VLOOKUP($A689,Equipment!$A$2:$AH1001,MATCH("LevelReq",Equipment!$A$1:$AH$1,0),FALSE),"")</f>
        <v/>
      </c>
      <c r="F689" s="18" t="str">
        <f>IFERROR(VLOOKUP($A689,Equipconvrt!$A$2:$AH1001,MATCH("Abilities",Equipconvrt!$A$1:$AH$1,0),FALSE),"")</f>
        <v/>
      </c>
      <c r="G689" s="20" t="str">
        <f>IFERROR(VLOOKUP($A689,Equipment!$A$2:$AD1001,MATCH("Price",Equipment!$A$1:$AH$1,0),FALSE),"")</f>
        <v/>
      </c>
      <c r="H689" s="1" t="b">
        <v>0</v>
      </c>
      <c r="I689" s="1" t="str">
        <f>IFERROR(VLOOKUP($A689,Equipment!$A$2:$AH1001,MATCH("EquipLoc",Equipment!$A$1:$AH$1,0),FALSE),"")</f>
        <v/>
      </c>
      <c r="W689" s="1" t="str">
        <f>IFERROR(__xludf.DUMMYFUNCTION("""COMPUTED_VALUE"""),"Frost Mage's Boots")</f>
        <v>Frost Mage's Boots</v>
      </c>
      <c r="X689" s="1" t="str">
        <f t="shared" si="1"/>
        <v>Frost Mage's Boots</v>
      </c>
    </row>
    <row r="690">
      <c r="A690" s="1"/>
      <c r="B690" s="18" t="str">
        <f>IFERROR(VLOOKUP($A690,Equipment!$A$2:$AH1001,MATCH("Description",Equipment!$A$1:$AH$1,0),FALSE),"")</f>
        <v/>
      </c>
      <c r="C690" s="18" t="str">
        <f>IFERROR(VLOOKUP($A690,Equipment!$A$2:$AH1001,MATCH("Type",Equipment!$A$1:$AH$1,0),FALSE),"")</f>
        <v/>
      </c>
      <c r="D690" s="18" t="str">
        <f>IFERROR(VLOOKUP($A690,Equipment!$A$2:$AH1001,MATCH("Slot",Equipment!$A$1:$AH$1,0),FALSE),"")</f>
        <v/>
      </c>
      <c r="E690" s="20" t="str">
        <f>IFERROR(VLOOKUP($A690,Equipment!$A$2:$AH1001,MATCH("LevelReq",Equipment!$A$1:$AH$1,0),FALSE),"")</f>
        <v/>
      </c>
      <c r="F690" s="18" t="str">
        <f>IFERROR(VLOOKUP($A690,Equipconvrt!$A$2:$AH1001,MATCH("Abilities",Equipconvrt!$A$1:$AH$1,0),FALSE),"")</f>
        <v/>
      </c>
      <c r="G690" s="20" t="str">
        <f>IFERROR(VLOOKUP($A690,Equipment!$A$2:$AD1001,MATCH("Price",Equipment!$A$1:$AH$1,0),FALSE),"")</f>
        <v/>
      </c>
      <c r="H690" s="1" t="b">
        <v>0</v>
      </c>
      <c r="I690" s="1" t="str">
        <f>IFERROR(VLOOKUP($A690,Equipment!$A$2:$AH1001,MATCH("EquipLoc",Equipment!$A$1:$AH$1,0),FALSE),"")</f>
        <v/>
      </c>
      <c r="W690" s="1" t="str">
        <f>IFERROR(__xludf.DUMMYFUNCTION("""COMPUTED_VALUE"""),"Frost Mage's Hood")</f>
        <v>Frost Mage's Hood</v>
      </c>
      <c r="X690" s="1" t="str">
        <f t="shared" si="1"/>
        <v>Frost Mage's Hood</v>
      </c>
    </row>
    <row r="691">
      <c r="A691" s="1"/>
      <c r="B691" s="18" t="str">
        <f>IFERROR(VLOOKUP($A691,Equipment!$A$2:$AH1001,MATCH("Description",Equipment!$A$1:$AH$1,0),FALSE),"")</f>
        <v/>
      </c>
      <c r="C691" s="18" t="str">
        <f>IFERROR(VLOOKUP($A691,Equipment!$A$2:$AH1001,MATCH("Type",Equipment!$A$1:$AH$1,0),FALSE),"")</f>
        <v/>
      </c>
      <c r="D691" s="18" t="str">
        <f>IFERROR(VLOOKUP($A691,Equipment!$A$2:$AH1001,MATCH("Slot",Equipment!$A$1:$AH$1,0),FALSE),"")</f>
        <v/>
      </c>
      <c r="E691" s="20" t="str">
        <f>IFERROR(VLOOKUP($A691,Equipment!$A$2:$AH1001,MATCH("LevelReq",Equipment!$A$1:$AH$1,0),FALSE),"")</f>
        <v/>
      </c>
      <c r="F691" s="18" t="str">
        <f>IFERROR(VLOOKUP($A691,Equipconvrt!$A$2:$AH1001,MATCH("Abilities",Equipconvrt!$A$1:$AH$1,0),FALSE),"")</f>
        <v/>
      </c>
      <c r="G691" s="20" t="str">
        <f>IFERROR(VLOOKUP($A691,Equipment!$A$2:$AD1001,MATCH("Price",Equipment!$A$1:$AH$1,0),FALSE),"")</f>
        <v/>
      </c>
      <c r="H691" s="1" t="b">
        <v>0</v>
      </c>
      <c r="I691" s="1" t="str">
        <f>IFERROR(VLOOKUP($A691,Equipment!$A$2:$AH1001,MATCH("EquipLoc",Equipment!$A$1:$AH$1,0),FALSE),"")</f>
        <v/>
      </c>
      <c r="W691" s="1" t="str">
        <f>IFERROR(__xludf.DUMMYFUNCTION("""COMPUTED_VALUE"""),"Crown of Frozen Swords")</f>
        <v>Crown of Frozen Swords</v>
      </c>
      <c r="X691" s="1" t="str">
        <f t="shared" si="1"/>
        <v>Crown of Frozen Swords</v>
      </c>
    </row>
    <row r="692">
      <c r="A692" s="1"/>
      <c r="B692" s="18" t="str">
        <f>IFERROR(VLOOKUP($A692,Equipment!$A$2:$AH1001,MATCH("Description",Equipment!$A$1:$AH$1,0),FALSE),"")</f>
        <v/>
      </c>
      <c r="C692" s="18" t="str">
        <f>IFERROR(VLOOKUP($A692,Equipment!$A$2:$AH1001,MATCH("Type",Equipment!$A$1:$AH$1,0),FALSE),"")</f>
        <v/>
      </c>
      <c r="D692" s="18" t="str">
        <f>IFERROR(VLOOKUP($A692,Equipment!$A$2:$AH1001,MATCH("Slot",Equipment!$A$1:$AH$1,0),FALSE),"")</f>
        <v/>
      </c>
      <c r="E692" s="20" t="str">
        <f>IFERROR(VLOOKUP($A692,Equipment!$A$2:$AH1001,MATCH("LevelReq",Equipment!$A$1:$AH$1,0),FALSE),"")</f>
        <v/>
      </c>
      <c r="F692" s="18" t="str">
        <f>IFERROR(VLOOKUP($A692,Equipconvrt!$A$2:$AH1001,MATCH("Abilities",Equipconvrt!$A$1:$AH$1,0),FALSE),"")</f>
        <v/>
      </c>
      <c r="G692" s="20" t="str">
        <f>IFERROR(VLOOKUP($A692,Equipment!$A$2:$AD1001,MATCH("Price",Equipment!$A$1:$AH$1,0),FALSE),"")</f>
        <v/>
      </c>
      <c r="H692" s="1" t="b">
        <v>0</v>
      </c>
      <c r="I692" s="1" t="str">
        <f>IFERROR(VLOOKUP($A692,Equipment!$A$2:$AH1001,MATCH("EquipLoc",Equipment!$A$1:$AH$1,0),FALSE),"")</f>
        <v/>
      </c>
      <c r="W692" s="1" t="str">
        <f>IFERROR(__xludf.DUMMYFUNCTION("""COMPUTED_VALUE"""),"Frost-bitten Cape")</f>
        <v>Frost-bitten Cape</v>
      </c>
      <c r="X692" s="1" t="str">
        <f t="shared" si="1"/>
        <v>Frost-bitten Cape</v>
      </c>
    </row>
    <row r="693">
      <c r="A693" s="1"/>
      <c r="B693" s="18" t="str">
        <f>IFERROR(VLOOKUP($A693,Equipment!$A$2:$AH1001,MATCH("Description",Equipment!$A$1:$AH$1,0),FALSE),"")</f>
        <v/>
      </c>
      <c r="C693" s="18" t="str">
        <f>IFERROR(VLOOKUP($A693,Equipment!$A$2:$AH1001,MATCH("Type",Equipment!$A$1:$AH$1,0),FALSE),"")</f>
        <v/>
      </c>
      <c r="D693" s="18" t="str">
        <f>IFERROR(VLOOKUP($A693,Equipment!$A$2:$AH1001,MATCH("Slot",Equipment!$A$1:$AH$1,0),FALSE),"")</f>
        <v/>
      </c>
      <c r="E693" s="20" t="str">
        <f>IFERROR(VLOOKUP($A693,Equipment!$A$2:$AH1001,MATCH("LevelReq",Equipment!$A$1:$AH$1,0),FALSE),"")</f>
        <v/>
      </c>
      <c r="F693" s="18" t="str">
        <f>IFERROR(VLOOKUP($A693,Equipconvrt!$A$2:$AH1001,MATCH("Abilities",Equipconvrt!$A$1:$AH$1,0),FALSE),"")</f>
        <v/>
      </c>
      <c r="G693" s="20" t="str">
        <f>IFERROR(VLOOKUP($A693,Equipment!$A$2:$AD1001,MATCH("Price",Equipment!$A$1:$AH$1,0),FALSE),"")</f>
        <v/>
      </c>
      <c r="H693" s="1" t="b">
        <v>0</v>
      </c>
      <c r="I693" s="1" t="str">
        <f>IFERROR(VLOOKUP($A693,Equipment!$A$2:$AH1001,MATCH("EquipLoc",Equipment!$A$1:$AH$1,0),FALSE),"")</f>
        <v/>
      </c>
      <c r="W693" s="1" t="str">
        <f>IFERROR(__xludf.DUMMYFUNCTION("""COMPUTED_VALUE"""),"Ice-steel Pauldrons")</f>
        <v>Ice-steel Pauldrons</v>
      </c>
      <c r="X693" s="1" t="str">
        <f t="shared" si="1"/>
        <v>Ice-steel Pauldrons</v>
      </c>
    </row>
    <row r="694">
      <c r="A694" s="1"/>
      <c r="B694" s="18" t="str">
        <f>IFERROR(VLOOKUP($A694,Equipment!$A$2:$AH1001,MATCH("Description",Equipment!$A$1:$AH$1,0),FALSE),"")</f>
        <v/>
      </c>
      <c r="C694" s="18" t="str">
        <f>IFERROR(VLOOKUP($A694,Equipment!$A$2:$AH1001,MATCH("Type",Equipment!$A$1:$AH$1,0),FALSE),"")</f>
        <v/>
      </c>
      <c r="D694" s="18" t="str">
        <f>IFERROR(VLOOKUP($A694,Equipment!$A$2:$AH1001,MATCH("Slot",Equipment!$A$1:$AH$1,0),FALSE),"")</f>
        <v/>
      </c>
      <c r="E694" s="20" t="str">
        <f>IFERROR(VLOOKUP($A694,Equipment!$A$2:$AH1001,MATCH("LevelReq",Equipment!$A$1:$AH$1,0),FALSE),"")</f>
        <v/>
      </c>
      <c r="F694" s="18" t="str">
        <f>IFERROR(VLOOKUP($A694,Equipconvrt!$A$2:$AH1001,MATCH("Abilities",Equipconvrt!$A$1:$AH$1,0),FALSE),"")</f>
        <v/>
      </c>
      <c r="G694" s="20" t="str">
        <f>IFERROR(VLOOKUP($A694,Equipment!$A$2:$AD1001,MATCH("Price",Equipment!$A$1:$AH$1,0),FALSE),"")</f>
        <v/>
      </c>
      <c r="H694" s="1" t="b">
        <v>0</v>
      </c>
      <c r="I694" s="1" t="str">
        <f>IFERROR(VLOOKUP($A694,Equipment!$A$2:$AH1001,MATCH("EquipLoc",Equipment!$A$1:$AH$1,0),FALSE),"")</f>
        <v/>
      </c>
      <c r="W694" s="1" t="str">
        <f>IFERROR(__xludf.DUMMYFUNCTION("""COMPUTED_VALUE"""),"Ice-steel Bracers")</f>
        <v>Ice-steel Bracers</v>
      </c>
      <c r="X694" s="1" t="str">
        <f t="shared" si="1"/>
        <v>Ice-steel Bracers</v>
      </c>
    </row>
    <row r="695">
      <c r="A695" s="1"/>
      <c r="B695" s="18" t="str">
        <f>IFERROR(VLOOKUP($A695,Equipment!$A$2:$AH1001,MATCH("Description",Equipment!$A$1:$AH$1,0),FALSE),"")</f>
        <v/>
      </c>
      <c r="C695" s="18" t="str">
        <f>IFERROR(VLOOKUP($A695,Equipment!$A$2:$AH1001,MATCH("Type",Equipment!$A$1:$AH$1,0),FALSE),"")</f>
        <v/>
      </c>
      <c r="D695" s="18" t="str">
        <f>IFERROR(VLOOKUP($A695,Equipment!$A$2:$AH1001,MATCH("Slot",Equipment!$A$1:$AH$1,0),FALSE),"")</f>
        <v/>
      </c>
      <c r="E695" s="20" t="str">
        <f>IFERROR(VLOOKUP($A695,Equipment!$A$2:$AH1001,MATCH("LevelReq",Equipment!$A$1:$AH$1,0),FALSE),"")</f>
        <v/>
      </c>
      <c r="F695" s="18" t="str">
        <f>IFERROR(VLOOKUP($A695,Equipconvrt!$A$2:$AH1001,MATCH("Abilities",Equipconvrt!$A$1:$AH$1,0),FALSE),"")</f>
        <v/>
      </c>
      <c r="G695" s="20" t="str">
        <f>IFERROR(VLOOKUP($A695,Equipment!$A$2:$AD1001,MATCH("Price",Equipment!$A$1:$AH$1,0),FALSE),"")</f>
        <v/>
      </c>
      <c r="H695" s="1" t="b">
        <v>0</v>
      </c>
      <c r="I695" s="1" t="str">
        <f>IFERROR(VLOOKUP($A695,Equipment!$A$2:$AH1001,MATCH("EquipLoc",Equipment!$A$1:$AH$1,0),FALSE),"")</f>
        <v/>
      </c>
      <c r="W695" s="1" t="str">
        <f>IFERROR(__xludf.DUMMYFUNCTION("""COMPUTED_VALUE"""),"Ice-steel Chausses")</f>
        <v>Ice-steel Chausses</v>
      </c>
      <c r="X695" s="1" t="str">
        <f t="shared" si="1"/>
        <v>Ice-steel Chausses</v>
      </c>
    </row>
    <row r="696">
      <c r="A696" s="1"/>
      <c r="B696" s="18" t="str">
        <f>IFERROR(VLOOKUP($A696,Equipment!$A$2:$AH1001,MATCH("Description",Equipment!$A$1:$AH$1,0),FALSE),"")</f>
        <v/>
      </c>
      <c r="C696" s="18" t="str">
        <f>IFERROR(VLOOKUP($A696,Equipment!$A$2:$AH1001,MATCH("Type",Equipment!$A$1:$AH$1,0),FALSE),"")</f>
        <v/>
      </c>
      <c r="D696" s="18" t="str">
        <f>IFERROR(VLOOKUP($A696,Equipment!$A$2:$AH1001,MATCH("Slot",Equipment!$A$1:$AH$1,0),FALSE),"")</f>
        <v/>
      </c>
      <c r="E696" s="20" t="str">
        <f>IFERROR(VLOOKUP($A696,Equipment!$A$2:$AH1001,MATCH("LevelReq",Equipment!$A$1:$AH$1,0),FALSE),"")</f>
        <v/>
      </c>
      <c r="F696" s="18" t="str">
        <f>IFERROR(VLOOKUP($A696,Equipconvrt!$A$2:$AH1001,MATCH("Abilities",Equipconvrt!$A$1:$AH$1,0),FALSE),"")</f>
        <v/>
      </c>
      <c r="G696" s="20" t="str">
        <f>IFERROR(VLOOKUP($A696,Equipment!$A$2:$AD1001,MATCH("Price",Equipment!$A$1:$AH$1,0),FALSE),"")</f>
        <v/>
      </c>
      <c r="H696" s="1" t="b">
        <v>0</v>
      </c>
      <c r="I696" s="1" t="str">
        <f>IFERROR(VLOOKUP($A696,Equipment!$A$2:$AH1001,MATCH("EquipLoc",Equipment!$A$1:$AH$1,0),FALSE),"")</f>
        <v/>
      </c>
      <c r="W696" s="1" t="str">
        <f>IFERROR(__xludf.DUMMYFUNCTION("""COMPUTED_VALUE"""),"Frost Stompers")</f>
        <v>Frost Stompers</v>
      </c>
      <c r="X696" s="1" t="str">
        <f t="shared" si="1"/>
        <v>Frost Stompers</v>
      </c>
    </row>
    <row r="697">
      <c r="A697" s="1"/>
      <c r="B697" s="18" t="str">
        <f>IFERROR(VLOOKUP($A697,Equipment!$A$2:$AH1001,MATCH("Description",Equipment!$A$1:$AH$1,0),FALSE),"")</f>
        <v/>
      </c>
      <c r="C697" s="18" t="str">
        <f>IFERROR(VLOOKUP($A697,Equipment!$A$2:$AH1001,MATCH("Type",Equipment!$A$1:$AH$1,0),FALSE),"")</f>
        <v/>
      </c>
      <c r="D697" s="18" t="str">
        <f>IFERROR(VLOOKUP($A697,Equipment!$A$2:$AH1001,MATCH("Slot",Equipment!$A$1:$AH$1,0),FALSE),"")</f>
        <v/>
      </c>
      <c r="E697" s="20" t="str">
        <f>IFERROR(VLOOKUP($A697,Equipment!$A$2:$AH1001,MATCH("LevelReq",Equipment!$A$1:$AH$1,0),FALSE),"")</f>
        <v/>
      </c>
      <c r="F697" s="18" t="str">
        <f>IFERROR(VLOOKUP($A697,Equipconvrt!$A$2:$AH1001,MATCH("Abilities",Equipconvrt!$A$1:$AH$1,0),FALSE),"")</f>
        <v/>
      </c>
      <c r="G697" s="20" t="str">
        <f>IFERROR(VLOOKUP($A697,Equipment!$A$2:$AD1001,MATCH("Price",Equipment!$A$1:$AH$1,0),FALSE),"")</f>
        <v/>
      </c>
      <c r="H697" s="1" t="b">
        <v>0</v>
      </c>
      <c r="I697" s="1" t="str">
        <f>IFERROR(VLOOKUP($A697,Equipment!$A$2:$AH1001,MATCH("EquipLoc",Equipment!$A$1:$AH$1,0),FALSE),"")</f>
        <v/>
      </c>
      <c r="W697" s="1" t="str">
        <f>IFERROR(__xludf.DUMMYFUNCTION("""COMPUTED_VALUE"""),"Plate of the Frozen Sun")</f>
        <v>Plate of the Frozen Sun</v>
      </c>
      <c r="X697" s="1" t="str">
        <f t="shared" si="1"/>
        <v>Plate of the Frozen Sun</v>
      </c>
    </row>
    <row r="698">
      <c r="A698" s="1"/>
      <c r="B698" s="18" t="str">
        <f>IFERROR(VLOOKUP($A698,Equipment!$A$2:$AH1001,MATCH("Description",Equipment!$A$1:$AH$1,0),FALSE),"")</f>
        <v/>
      </c>
      <c r="C698" s="18" t="str">
        <f>IFERROR(VLOOKUP($A698,Equipment!$A$2:$AH1001,MATCH("Type",Equipment!$A$1:$AH$1,0),FALSE),"")</f>
        <v/>
      </c>
      <c r="D698" s="18" t="str">
        <f>IFERROR(VLOOKUP($A698,Equipment!$A$2:$AH1001,MATCH("Slot",Equipment!$A$1:$AH$1,0),FALSE),"")</f>
        <v/>
      </c>
      <c r="E698" s="20" t="str">
        <f>IFERROR(VLOOKUP($A698,Equipment!$A$2:$AH1001,MATCH("LevelReq",Equipment!$A$1:$AH$1,0),FALSE),"")</f>
        <v/>
      </c>
      <c r="F698" s="18" t="str">
        <f>IFERROR(VLOOKUP($A698,Equipconvrt!$A$2:$AH1001,MATCH("Abilities",Equipconvrt!$A$1:$AH$1,0),FALSE),"")</f>
        <v/>
      </c>
      <c r="G698" s="20" t="str">
        <f>IFERROR(VLOOKUP($A698,Equipment!$A$2:$AD1001,MATCH("Price",Equipment!$A$1:$AH$1,0),FALSE),"")</f>
        <v/>
      </c>
      <c r="H698" s="1" t="b">
        <v>0</v>
      </c>
      <c r="I698" s="1" t="str">
        <f>IFERROR(VLOOKUP($A698,Equipment!$A$2:$AH1001,MATCH("EquipLoc",Equipment!$A$1:$AH$1,0),FALSE),"")</f>
        <v/>
      </c>
      <c r="W698" s="1" t="str">
        <f>IFERROR(__xludf.DUMMYFUNCTION("""COMPUTED_VALUE"""),"Frost Mage's Staff")</f>
        <v>Frost Mage's Staff</v>
      </c>
      <c r="X698" s="1" t="str">
        <f t="shared" si="1"/>
        <v>Frost Mage's Staff</v>
      </c>
    </row>
    <row r="699">
      <c r="A699" s="1"/>
      <c r="B699" s="18" t="str">
        <f>IFERROR(VLOOKUP($A699,Equipment!$A$2:$AH1001,MATCH("Description",Equipment!$A$1:$AH$1,0),FALSE),"")</f>
        <v/>
      </c>
      <c r="C699" s="18" t="str">
        <f>IFERROR(VLOOKUP($A699,Equipment!$A$2:$AH1001,MATCH("Type",Equipment!$A$1:$AH$1,0),FALSE),"")</f>
        <v/>
      </c>
      <c r="D699" s="18" t="str">
        <f>IFERROR(VLOOKUP($A699,Equipment!$A$2:$AH1001,MATCH("Slot",Equipment!$A$1:$AH$1,0),FALSE),"")</f>
        <v/>
      </c>
      <c r="E699" s="20" t="str">
        <f>IFERROR(VLOOKUP($A699,Equipment!$A$2:$AH1001,MATCH("LevelReq",Equipment!$A$1:$AH$1,0),FALSE),"")</f>
        <v/>
      </c>
      <c r="F699" s="18" t="str">
        <f>IFERROR(VLOOKUP($A699,Equipconvrt!$A$2:$AH1001,MATCH("Abilities",Equipconvrt!$A$1:$AH$1,0),FALSE),"")</f>
        <v/>
      </c>
      <c r="G699" s="20" t="str">
        <f>IFERROR(VLOOKUP($A699,Equipment!$A$2:$AD1001,MATCH("Price",Equipment!$A$1:$AH$1,0),FALSE),"")</f>
        <v/>
      </c>
      <c r="H699" s="1" t="b">
        <v>0</v>
      </c>
      <c r="I699" s="1" t="str">
        <f>IFERROR(VLOOKUP($A699,Equipment!$A$2:$AH1001,MATCH("EquipLoc",Equipment!$A$1:$AH$1,0),FALSE),"")</f>
        <v/>
      </c>
      <c r="W699" s="1" t="str">
        <f>IFERROR(__xludf.DUMMYFUNCTION("""COMPUTED_VALUE"""),"Snowball")</f>
        <v>Snowball</v>
      </c>
      <c r="X699" s="1" t="str">
        <f t="shared" si="1"/>
        <v>Snowball</v>
      </c>
    </row>
    <row r="700">
      <c r="A700" s="1"/>
      <c r="B700" s="18" t="str">
        <f>IFERROR(VLOOKUP($A700,Equipment!$A$2:$AH1001,MATCH("Description",Equipment!$A$1:$AH$1,0),FALSE),"")</f>
        <v/>
      </c>
      <c r="C700" s="18" t="str">
        <f>IFERROR(VLOOKUP($A700,Equipment!$A$2:$AH1001,MATCH("Type",Equipment!$A$1:$AH$1,0),FALSE),"")</f>
        <v/>
      </c>
      <c r="D700" s="18" t="str">
        <f>IFERROR(VLOOKUP($A700,Equipment!$A$2:$AH1001,MATCH("Slot",Equipment!$A$1:$AH$1,0),FALSE),"")</f>
        <v/>
      </c>
      <c r="E700" s="20" t="str">
        <f>IFERROR(VLOOKUP($A700,Equipment!$A$2:$AH1001,MATCH("LevelReq",Equipment!$A$1:$AH$1,0),FALSE),"")</f>
        <v/>
      </c>
      <c r="F700" s="18" t="str">
        <f>IFERROR(VLOOKUP($A700,Equipconvrt!$A$2:$AH1001,MATCH("Abilities",Equipconvrt!$A$1:$AH$1,0),FALSE),"")</f>
        <v/>
      </c>
      <c r="G700" s="20" t="str">
        <f>IFERROR(VLOOKUP($A700,Equipment!$A$2:$AD1001,MATCH("Price",Equipment!$A$1:$AH$1,0),FALSE),"")</f>
        <v/>
      </c>
      <c r="H700" s="1" t="b">
        <v>0</v>
      </c>
      <c r="I700" s="1" t="str">
        <f>IFERROR(VLOOKUP($A700,Equipment!$A$2:$AH1001,MATCH("EquipLoc",Equipment!$A$1:$AH$1,0),FALSE),"")</f>
        <v/>
      </c>
      <c r="W700" s="1" t="str">
        <f>IFERROR(__xludf.DUMMYFUNCTION("""COMPUTED_VALUE"""),"Corvid Cloak")</f>
        <v>Corvid Cloak</v>
      </c>
      <c r="X700" s="1" t="str">
        <f t="shared" si="1"/>
        <v>Corvid Cloak</v>
      </c>
    </row>
    <row r="701">
      <c r="A701" s="1"/>
      <c r="B701" s="18" t="str">
        <f>IFERROR(VLOOKUP($A701,Equipment!$A$2:$AH1001,MATCH("Description",Equipment!$A$1:$AH$1,0),FALSE),"")</f>
        <v/>
      </c>
      <c r="C701" s="18" t="str">
        <f>IFERROR(VLOOKUP($A701,Equipment!$A$2:$AH1001,MATCH("Type",Equipment!$A$1:$AH$1,0),FALSE),"")</f>
        <v/>
      </c>
      <c r="D701" s="18" t="str">
        <f>IFERROR(VLOOKUP($A701,Equipment!$A$2:$AH1001,MATCH("Slot",Equipment!$A$1:$AH$1,0),FALSE),"")</f>
        <v/>
      </c>
      <c r="E701" s="20" t="str">
        <f>IFERROR(VLOOKUP($A701,Equipment!$A$2:$AH1001,MATCH("LevelReq",Equipment!$A$1:$AH$1,0),FALSE),"")</f>
        <v/>
      </c>
      <c r="F701" s="18" t="str">
        <f>IFERROR(VLOOKUP($A701,Equipconvrt!$A$2:$AH1001,MATCH("Abilities",Equipconvrt!$A$1:$AH$1,0),FALSE),"")</f>
        <v/>
      </c>
      <c r="G701" s="20" t="str">
        <f>IFERROR(VLOOKUP($A701,Equipment!$A$2:$AD1001,MATCH("Price",Equipment!$A$1:$AH$1,0),FALSE),"")</f>
        <v/>
      </c>
      <c r="H701" s="1" t="b">
        <v>0</v>
      </c>
      <c r="I701" s="1" t="str">
        <f>IFERROR(VLOOKUP($A701,Equipment!$A$2:$AH1001,MATCH("EquipLoc",Equipment!$A$1:$AH$1,0),FALSE),"")</f>
        <v/>
      </c>
      <c r="W701" s="1" t="str">
        <f>IFERROR(__xludf.DUMMYFUNCTION("""COMPUTED_VALUE"""),"Plague Doctor's Mask")</f>
        <v>Plague Doctor's Mask</v>
      </c>
      <c r="X701" s="1" t="str">
        <f t="shared" si="1"/>
        <v>Plague Doctor's Mask</v>
      </c>
    </row>
    <row r="702">
      <c r="A702" s="1"/>
      <c r="B702" s="18" t="str">
        <f>IFERROR(VLOOKUP($A702,Equipment!$A$2:$AH1001,MATCH("Description",Equipment!$A$1:$AH$1,0),FALSE),"")</f>
        <v/>
      </c>
      <c r="C702" s="18" t="str">
        <f>IFERROR(VLOOKUP($A702,Equipment!$A$2:$AH1001,MATCH("Type",Equipment!$A$1:$AH$1,0),FALSE),"")</f>
        <v/>
      </c>
      <c r="D702" s="18" t="str">
        <f>IFERROR(VLOOKUP($A702,Equipment!$A$2:$AH1001,MATCH("Slot",Equipment!$A$1:$AH$1,0),FALSE),"")</f>
        <v/>
      </c>
      <c r="E702" s="20" t="str">
        <f>IFERROR(VLOOKUP($A702,Equipment!$A$2:$AH1001,MATCH("LevelReq",Equipment!$A$1:$AH$1,0),FALSE),"")</f>
        <v/>
      </c>
      <c r="F702" s="18" t="str">
        <f>IFERROR(VLOOKUP($A702,Equipconvrt!$A$2:$AH1001,MATCH("Abilities",Equipconvrt!$A$1:$AH$1,0),FALSE),"")</f>
        <v/>
      </c>
      <c r="G702" s="20" t="str">
        <f>IFERROR(VLOOKUP($A702,Equipment!$A$2:$AD1001,MATCH("Price",Equipment!$A$1:$AH$1,0),FALSE),"")</f>
        <v/>
      </c>
      <c r="H702" s="1" t="b">
        <v>0</v>
      </c>
      <c r="I702" s="1" t="str">
        <f>IFERROR(VLOOKUP($A702,Equipment!$A$2:$AH1001,MATCH("EquipLoc",Equipment!$A$1:$AH$1,0),FALSE),"")</f>
        <v/>
      </c>
      <c r="W702" s="1" t="str">
        <f>IFERROR(__xludf.DUMMYFUNCTION("""COMPUTED_VALUE"""),"""The Only Cure""")</f>
        <v>"The Only Cure"</v>
      </c>
      <c r="X702" s="1" t="str">
        <f t="shared" si="1"/>
        <v>"The Only Cure"</v>
      </c>
    </row>
    <row r="703">
      <c r="A703" s="1"/>
      <c r="B703" s="18" t="str">
        <f>IFERROR(VLOOKUP($A703,Equipment!$A$2:$AH1001,MATCH("Description",Equipment!$A$1:$AH$1,0),FALSE),"")</f>
        <v/>
      </c>
      <c r="C703" s="18" t="str">
        <f>IFERROR(VLOOKUP($A703,Equipment!$A$2:$AH1001,MATCH("Type",Equipment!$A$1:$AH$1,0),FALSE),"")</f>
        <v/>
      </c>
      <c r="D703" s="18" t="str">
        <f>IFERROR(VLOOKUP($A703,Equipment!$A$2:$AH1001,MATCH("Slot",Equipment!$A$1:$AH$1,0),FALSE),"")</f>
        <v/>
      </c>
      <c r="E703" s="20" t="str">
        <f>IFERROR(VLOOKUP($A703,Equipment!$A$2:$AH1001,MATCH("LevelReq",Equipment!$A$1:$AH$1,0),FALSE),"")</f>
        <v/>
      </c>
      <c r="F703" s="18" t="str">
        <f>IFERROR(VLOOKUP($A703,Equipconvrt!$A$2:$AH1001,MATCH("Abilities",Equipconvrt!$A$1:$AH$1,0),FALSE),"")</f>
        <v/>
      </c>
      <c r="G703" s="20" t="str">
        <f>IFERROR(VLOOKUP($A703,Equipment!$A$2:$AD1001,MATCH("Price",Equipment!$A$1:$AH$1,0),FALSE),"")</f>
        <v/>
      </c>
      <c r="H703" s="1" t="b">
        <v>0</v>
      </c>
      <c r="I703" s="1" t="str">
        <f>IFERROR(VLOOKUP($A703,Equipment!$A$2:$AH1001,MATCH("EquipLoc",Equipment!$A$1:$AH$1,0),FALSE),"")</f>
        <v/>
      </c>
      <c r="W703" s="1" t="str">
        <f>IFERROR(__xludf.DUMMYFUNCTION("""COMPUTED_VALUE"""),"Plague Doctor's Gloves")</f>
        <v>Plague Doctor's Gloves</v>
      </c>
      <c r="X703" s="1" t="str">
        <f t="shared" si="1"/>
        <v>Plague Doctor's Gloves</v>
      </c>
    </row>
    <row r="704">
      <c r="A704" s="1"/>
      <c r="B704" s="18" t="str">
        <f>IFERROR(VLOOKUP($A704,Equipment!$A$2:$AH1001,MATCH("Description",Equipment!$A$1:$AH$1,0),FALSE),"")</f>
        <v/>
      </c>
      <c r="C704" s="18" t="str">
        <f>IFERROR(VLOOKUP($A704,Equipment!$A$2:$AH1001,MATCH("Type",Equipment!$A$1:$AH$1,0),FALSE),"")</f>
        <v/>
      </c>
      <c r="D704" s="18" t="str">
        <f>IFERROR(VLOOKUP($A704,Equipment!$A$2:$AH1001,MATCH("Slot",Equipment!$A$1:$AH$1,0),FALSE),"")</f>
        <v/>
      </c>
      <c r="E704" s="20" t="str">
        <f>IFERROR(VLOOKUP($A704,Equipment!$A$2:$AH1001,MATCH("LevelReq",Equipment!$A$1:$AH$1,0),FALSE),"")</f>
        <v/>
      </c>
      <c r="F704" s="18" t="str">
        <f>IFERROR(VLOOKUP($A704,Equipconvrt!$A$2:$AH1001,MATCH("Abilities",Equipconvrt!$A$1:$AH$1,0),FALSE),"")</f>
        <v/>
      </c>
      <c r="G704" s="20" t="str">
        <f>IFERROR(VLOOKUP($A704,Equipment!$A$2:$AD1001,MATCH("Price",Equipment!$A$1:$AH$1,0),FALSE),"")</f>
        <v/>
      </c>
      <c r="H704" s="1" t="b">
        <v>0</v>
      </c>
      <c r="I704" s="1" t="str">
        <f>IFERROR(VLOOKUP($A704,Equipment!$A$2:$AH1001,MATCH("EquipLoc",Equipment!$A$1:$AH$1,0),FALSE),"")</f>
        <v/>
      </c>
      <c r="W704" s="1" t="str">
        <f>IFERROR(__xludf.DUMMYFUNCTION("""COMPUTED_VALUE"""),"Plague Doctor's Sarouel")</f>
        <v>Plague Doctor's Sarouel</v>
      </c>
      <c r="X704" s="1" t="str">
        <f t="shared" si="1"/>
        <v>Plague Doctor's Sarouel</v>
      </c>
    </row>
    <row r="705">
      <c r="A705" s="1"/>
      <c r="B705" s="18" t="str">
        <f>IFERROR(VLOOKUP($A705,Equipment!$A$2:$AH1001,MATCH("Description",Equipment!$A$1:$AH$1,0),FALSE),"")</f>
        <v/>
      </c>
      <c r="C705" s="18" t="str">
        <f>IFERROR(VLOOKUP($A705,Equipment!$A$2:$AH1001,MATCH("Type",Equipment!$A$1:$AH$1,0),FALSE),"")</f>
        <v/>
      </c>
      <c r="D705" s="18" t="str">
        <f>IFERROR(VLOOKUP($A705,Equipment!$A$2:$AH1001,MATCH("Slot",Equipment!$A$1:$AH$1,0),FALSE),"")</f>
        <v/>
      </c>
      <c r="E705" s="20" t="str">
        <f>IFERROR(VLOOKUP($A705,Equipment!$A$2:$AH1001,MATCH("LevelReq",Equipment!$A$1:$AH$1,0),FALSE),"")</f>
        <v/>
      </c>
      <c r="F705" s="18" t="str">
        <f>IFERROR(VLOOKUP($A705,Equipconvrt!$A$2:$AH1001,MATCH("Abilities",Equipconvrt!$A$1:$AH$1,0),FALSE),"")</f>
        <v/>
      </c>
      <c r="G705" s="20" t="str">
        <f>IFERROR(VLOOKUP($A705,Equipment!$A$2:$AD1001,MATCH("Price",Equipment!$A$1:$AH$1,0),FALSE),"")</f>
        <v/>
      </c>
      <c r="H705" s="1" t="b">
        <v>0</v>
      </c>
      <c r="I705" s="1" t="str">
        <f>IFERROR(VLOOKUP($A705,Equipment!$A$2:$AH1001,MATCH("EquipLoc",Equipment!$A$1:$AH$1,0),FALSE),"")</f>
        <v/>
      </c>
      <c r="W705" s="1" t="str">
        <f>IFERROR(__xludf.DUMMYFUNCTION("""COMPUTED_VALUE"""),"Plague Doctor's Boots")</f>
        <v>Plague Doctor's Boots</v>
      </c>
      <c r="X705" s="1" t="str">
        <f t="shared" si="1"/>
        <v>Plague Doctor's Boots</v>
      </c>
    </row>
    <row r="706">
      <c r="A706" s="1"/>
      <c r="B706" s="18" t="str">
        <f>IFERROR(VLOOKUP($A706,Equipment!$A$2:$AH1001,MATCH("Description",Equipment!$A$1:$AH$1,0),FALSE),"")</f>
        <v/>
      </c>
      <c r="C706" s="18" t="str">
        <f>IFERROR(VLOOKUP($A706,Equipment!$A$2:$AH1001,MATCH("Type",Equipment!$A$1:$AH$1,0),FALSE),"")</f>
        <v/>
      </c>
      <c r="D706" s="18" t="str">
        <f>IFERROR(VLOOKUP($A706,Equipment!$A$2:$AH1001,MATCH("Slot",Equipment!$A$1:$AH$1,0),FALSE),"")</f>
        <v/>
      </c>
      <c r="E706" s="20" t="str">
        <f>IFERROR(VLOOKUP($A706,Equipment!$A$2:$AH1001,MATCH("LevelReq",Equipment!$A$1:$AH$1,0),FALSE),"")</f>
        <v/>
      </c>
      <c r="F706" s="18" t="str">
        <f>IFERROR(VLOOKUP($A706,Equipconvrt!$A$2:$AH1001,MATCH("Abilities",Equipconvrt!$A$1:$AH$1,0),FALSE),"")</f>
        <v/>
      </c>
      <c r="G706" s="20" t="str">
        <f>IFERROR(VLOOKUP($A706,Equipment!$A$2:$AD1001,MATCH("Price",Equipment!$A$1:$AH$1,0),FALSE),"")</f>
        <v/>
      </c>
      <c r="H706" s="1" t="b">
        <v>0</v>
      </c>
      <c r="I706" s="1" t="str">
        <f>IFERROR(VLOOKUP($A706,Equipment!$A$2:$AH1001,MATCH("EquipLoc",Equipment!$A$1:$AH$1,0),FALSE),"")</f>
        <v/>
      </c>
      <c r="W706" s="1" t="str">
        <f>IFERROR(__xludf.DUMMYFUNCTION("""COMPUTED_VALUE"""),"Plague Doctor's Apron")</f>
        <v>Plague Doctor's Apron</v>
      </c>
      <c r="X706" s="1" t="str">
        <f t="shared" si="1"/>
        <v>Plague Doctor's Apron</v>
      </c>
    </row>
    <row r="707">
      <c r="A707" s="1"/>
      <c r="B707" s="18" t="str">
        <f>IFERROR(VLOOKUP($A707,Equipment!$A$2:$AH1001,MATCH("Description",Equipment!$A$1:$AH$1,0),FALSE),"")</f>
        <v/>
      </c>
      <c r="C707" s="18" t="str">
        <f>IFERROR(VLOOKUP($A707,Equipment!$A$2:$AH1001,MATCH("Type",Equipment!$A$1:$AH$1,0),FALSE),"")</f>
        <v/>
      </c>
      <c r="D707" s="18" t="str">
        <f>IFERROR(VLOOKUP($A707,Equipment!$A$2:$AH1001,MATCH("Slot",Equipment!$A$1:$AH$1,0),FALSE),"")</f>
        <v/>
      </c>
      <c r="E707" s="20" t="str">
        <f>IFERROR(VLOOKUP($A707,Equipment!$A$2:$AH1001,MATCH("LevelReq",Equipment!$A$1:$AH$1,0),FALSE),"")</f>
        <v/>
      </c>
      <c r="F707" s="18" t="str">
        <f>IFERROR(VLOOKUP($A707,Equipconvrt!$A$2:$AH1001,MATCH("Abilities",Equipconvrt!$A$1:$AH$1,0),FALSE),"")</f>
        <v/>
      </c>
      <c r="G707" s="20" t="str">
        <f>IFERROR(VLOOKUP($A707,Equipment!$A$2:$AD1001,MATCH("Price",Equipment!$A$1:$AH$1,0),FALSE),"")</f>
        <v/>
      </c>
      <c r="H707" s="1" t="b">
        <v>0</v>
      </c>
      <c r="I707" s="1" t="str">
        <f>IFERROR(VLOOKUP($A707,Equipment!$A$2:$AH1001,MATCH("EquipLoc",Equipment!$A$1:$AH$1,0),FALSE),"")</f>
        <v/>
      </c>
      <c r="W707" s="1" t="str">
        <f>IFERROR(__xludf.DUMMYFUNCTION("""COMPUTED_VALUE"""),"Poisonous Hand Crossbow")</f>
        <v>Poisonous Hand Crossbow</v>
      </c>
      <c r="X707" s="1" t="str">
        <f t="shared" si="1"/>
        <v>Poisonous Hand Crossbow</v>
      </c>
    </row>
    <row r="708">
      <c r="A708" s="1"/>
      <c r="B708" s="18" t="str">
        <f>IFERROR(VLOOKUP($A708,Equipment!$A$2:$AH1001,MATCH("Description",Equipment!$A$1:$AH$1,0),FALSE),"")</f>
        <v/>
      </c>
      <c r="C708" s="18" t="str">
        <f>IFERROR(VLOOKUP($A708,Equipment!$A$2:$AH1001,MATCH("Type",Equipment!$A$1:$AH$1,0),FALSE),"")</f>
        <v/>
      </c>
      <c r="D708" s="18" t="str">
        <f>IFERROR(VLOOKUP($A708,Equipment!$A$2:$AH1001,MATCH("Slot",Equipment!$A$1:$AH$1,0),FALSE),"")</f>
        <v/>
      </c>
      <c r="E708" s="20" t="str">
        <f>IFERROR(VLOOKUP($A708,Equipment!$A$2:$AH1001,MATCH("LevelReq",Equipment!$A$1:$AH$1,0),FALSE),"")</f>
        <v/>
      </c>
      <c r="F708" s="18" t="str">
        <f>IFERROR(VLOOKUP($A708,Equipconvrt!$A$2:$AH1001,MATCH("Abilities",Equipconvrt!$A$1:$AH$1,0),FALSE),"")</f>
        <v/>
      </c>
      <c r="G708" s="20" t="str">
        <f>IFERROR(VLOOKUP($A708,Equipment!$A$2:$AD1001,MATCH("Price",Equipment!$A$1:$AH$1,0),FALSE),"")</f>
        <v/>
      </c>
      <c r="H708" s="1" t="b">
        <v>0</v>
      </c>
      <c r="I708" s="1" t="str">
        <f>IFERROR(VLOOKUP($A708,Equipment!$A$2:$AH1001,MATCH("EquipLoc",Equipment!$A$1:$AH$1,0),FALSE),"")</f>
        <v/>
      </c>
      <c r="W708" s="1" t="str">
        <f>IFERROR(__xludf.DUMMYFUNCTION("""COMPUTED_VALUE"""),"Poison Tipped Knife")</f>
        <v>Poison Tipped Knife</v>
      </c>
      <c r="X708" s="1" t="str">
        <f t="shared" si="1"/>
        <v>Poison Tipped Knife</v>
      </c>
    </row>
    <row r="709">
      <c r="A709" s="1"/>
      <c r="B709" s="18" t="str">
        <f>IFERROR(VLOOKUP($A709,Equipment!$A$2:$AH1001,MATCH("Description",Equipment!$A$1:$AH$1,0),FALSE),"")</f>
        <v/>
      </c>
      <c r="C709" s="18" t="str">
        <f>IFERROR(VLOOKUP($A709,Equipment!$A$2:$AH1001,MATCH("Type",Equipment!$A$1:$AH$1,0),FALSE),"")</f>
        <v/>
      </c>
      <c r="D709" s="18" t="str">
        <f>IFERROR(VLOOKUP($A709,Equipment!$A$2:$AH1001,MATCH("Slot",Equipment!$A$1:$AH$1,0),FALSE),"")</f>
        <v/>
      </c>
      <c r="E709" s="20" t="str">
        <f>IFERROR(VLOOKUP($A709,Equipment!$A$2:$AH1001,MATCH("LevelReq",Equipment!$A$1:$AH$1,0),FALSE),"")</f>
        <v/>
      </c>
      <c r="F709" s="18" t="str">
        <f>IFERROR(VLOOKUP($A709,Equipconvrt!$A$2:$AH1001,MATCH("Abilities",Equipconvrt!$A$1:$AH$1,0),FALSE),"")</f>
        <v/>
      </c>
      <c r="G709" s="20" t="str">
        <f>IFERROR(VLOOKUP($A709,Equipment!$A$2:$AD1001,MATCH("Price",Equipment!$A$1:$AH$1,0),FALSE),"")</f>
        <v/>
      </c>
      <c r="H709" s="1" t="b">
        <v>0</v>
      </c>
      <c r="I709" s="1" t="str">
        <f>IFERROR(VLOOKUP($A709,Equipment!$A$2:$AH1001,MATCH("EquipLoc",Equipment!$A$1:$AH$1,0),FALSE),"")</f>
        <v/>
      </c>
      <c r="W709" s="1" t="str">
        <f>IFERROR(__xludf.DUMMYFUNCTION("""COMPUTED_VALUE"""),"Frozen Head-Splitter")</f>
        <v>Frozen Head-Splitter</v>
      </c>
      <c r="X709" s="1" t="str">
        <f t="shared" si="1"/>
        <v>Frozen Head-Splitter</v>
      </c>
    </row>
    <row r="710">
      <c r="A710" s="1"/>
      <c r="B710" s="18" t="str">
        <f>IFERROR(VLOOKUP($A710,Equipment!$A$2:$AH1001,MATCH("Description",Equipment!$A$1:$AH$1,0),FALSE),"")</f>
        <v/>
      </c>
      <c r="C710" s="18" t="str">
        <f>IFERROR(VLOOKUP($A710,Equipment!$A$2:$AH1001,MATCH("Type",Equipment!$A$1:$AH$1,0),FALSE),"")</f>
        <v/>
      </c>
      <c r="D710" s="18" t="str">
        <f>IFERROR(VLOOKUP($A710,Equipment!$A$2:$AH1001,MATCH("Slot",Equipment!$A$1:$AH$1,0),FALSE),"")</f>
        <v/>
      </c>
      <c r="E710" s="20" t="str">
        <f>IFERROR(VLOOKUP($A710,Equipment!$A$2:$AH1001,MATCH("LevelReq",Equipment!$A$1:$AH$1,0),FALSE),"")</f>
        <v/>
      </c>
      <c r="F710" s="18" t="str">
        <f>IFERROR(VLOOKUP($A710,Equipconvrt!$A$2:$AH1001,MATCH("Abilities",Equipconvrt!$A$1:$AH$1,0),FALSE),"")</f>
        <v/>
      </c>
      <c r="G710" s="20" t="str">
        <f>IFERROR(VLOOKUP($A710,Equipment!$A$2:$AD1001,MATCH("Price",Equipment!$A$1:$AH$1,0),FALSE),"")</f>
        <v/>
      </c>
      <c r="H710" s="1" t="b">
        <v>0</v>
      </c>
      <c r="I710" s="1" t="str">
        <f>IFERROR(VLOOKUP($A710,Equipment!$A$2:$AH1001,MATCH("EquipLoc",Equipment!$A$1:$AH$1,0),FALSE),"")</f>
        <v/>
      </c>
      <c r="W710" s="1" t="str">
        <f>IFERROR(__xludf.DUMMYFUNCTION("""COMPUTED_VALUE"""),"Fireball Cannon")</f>
        <v>Fireball Cannon</v>
      </c>
      <c r="X710" s="1" t="str">
        <f t="shared" si="1"/>
        <v>Fireball Cannon</v>
      </c>
    </row>
    <row r="711">
      <c r="A711" s="1"/>
      <c r="B711" s="18" t="str">
        <f>IFERROR(VLOOKUP($A711,Equipment!$A$2:$AH1001,MATCH("Description",Equipment!$A$1:$AH$1,0),FALSE),"")</f>
        <v/>
      </c>
      <c r="C711" s="18" t="str">
        <f>IFERROR(VLOOKUP($A711,Equipment!$A$2:$AH1001,MATCH("Type",Equipment!$A$1:$AH$1,0),FALSE),"")</f>
        <v/>
      </c>
      <c r="D711" s="18" t="str">
        <f>IFERROR(VLOOKUP($A711,Equipment!$A$2:$AH1001,MATCH("Slot",Equipment!$A$1:$AH$1,0),FALSE),"")</f>
        <v/>
      </c>
      <c r="E711" s="20" t="str">
        <f>IFERROR(VLOOKUP($A711,Equipment!$A$2:$AH1001,MATCH("LevelReq",Equipment!$A$1:$AH$1,0),FALSE),"")</f>
        <v/>
      </c>
      <c r="F711" s="18" t="str">
        <f>IFERROR(VLOOKUP($A711,Equipconvrt!$A$2:$AH1001,MATCH("Abilities",Equipconvrt!$A$1:$AH$1,0),FALSE),"")</f>
        <v/>
      </c>
      <c r="G711" s="20" t="str">
        <f>IFERROR(VLOOKUP($A711,Equipment!$A$2:$AD1001,MATCH("Price",Equipment!$A$1:$AH$1,0),FALSE),"")</f>
        <v/>
      </c>
      <c r="H711" s="1" t="b">
        <v>0</v>
      </c>
      <c r="I711" s="1" t="str">
        <f>IFERROR(VLOOKUP($A711,Equipment!$A$2:$AH1001,MATCH("EquipLoc",Equipment!$A$1:$AH$1,0),FALSE),"")</f>
        <v/>
      </c>
      <c r="W711" s="1" t="str">
        <f>IFERROR(__xludf.DUMMYFUNCTION("""COMPUTED_VALUE"""),"Harpoon Gun")</f>
        <v>Harpoon Gun</v>
      </c>
      <c r="X711" s="1" t="str">
        <f t="shared" si="1"/>
        <v>Harpoon Gun</v>
      </c>
    </row>
    <row r="712">
      <c r="A712" s="1"/>
      <c r="B712" s="18" t="str">
        <f>IFERROR(VLOOKUP($A712,Equipment!$A$2:$AH1001,MATCH("Description",Equipment!$A$1:$AH$1,0),FALSE),"")</f>
        <v/>
      </c>
      <c r="C712" s="18" t="str">
        <f>IFERROR(VLOOKUP($A712,Equipment!$A$2:$AH1001,MATCH("Type",Equipment!$A$1:$AH$1,0),FALSE),"")</f>
        <v/>
      </c>
      <c r="D712" s="18" t="str">
        <f>IFERROR(VLOOKUP($A712,Equipment!$A$2:$AH1001,MATCH("Slot",Equipment!$A$1:$AH$1,0),FALSE),"")</f>
        <v/>
      </c>
      <c r="E712" s="20" t="str">
        <f>IFERROR(VLOOKUP($A712,Equipment!$A$2:$AH1001,MATCH("LevelReq",Equipment!$A$1:$AH$1,0),FALSE),"")</f>
        <v/>
      </c>
      <c r="F712" s="18" t="str">
        <f>IFERROR(VLOOKUP($A712,Equipconvrt!$A$2:$AH1001,MATCH("Abilities",Equipconvrt!$A$1:$AH$1,0),FALSE),"")</f>
        <v/>
      </c>
      <c r="G712" s="20" t="str">
        <f>IFERROR(VLOOKUP($A712,Equipment!$A$2:$AD1001,MATCH("Price",Equipment!$A$1:$AH$1,0),FALSE),"")</f>
        <v/>
      </c>
      <c r="H712" s="1" t="b">
        <v>0</v>
      </c>
      <c r="I712" s="1" t="str">
        <f>IFERROR(VLOOKUP($A712,Equipment!$A$2:$AH1001,MATCH("EquipLoc",Equipment!$A$1:$AH$1,0),FALSE),"")</f>
        <v/>
      </c>
      <c r="W712" s="1" t="str">
        <f>IFERROR(__xludf.DUMMYFUNCTION("""COMPUTED_VALUE"""),"Torpedo Launcher")</f>
        <v>Torpedo Launcher</v>
      </c>
      <c r="X712" s="1" t="str">
        <f t="shared" si="1"/>
        <v>Torpedo Launcher</v>
      </c>
    </row>
    <row r="713">
      <c r="A713" s="1"/>
      <c r="B713" s="18" t="str">
        <f>IFERROR(VLOOKUP($A713,Equipment!$A$2:$AH1001,MATCH("Description",Equipment!$A$1:$AH$1,0),FALSE),"")</f>
        <v/>
      </c>
      <c r="C713" s="18" t="str">
        <f>IFERROR(VLOOKUP($A713,Equipment!$A$2:$AH1001,MATCH("Type",Equipment!$A$1:$AH$1,0),FALSE),"")</f>
        <v/>
      </c>
      <c r="D713" s="18" t="str">
        <f>IFERROR(VLOOKUP($A713,Equipment!$A$2:$AH1001,MATCH("Slot",Equipment!$A$1:$AH$1,0),FALSE),"")</f>
        <v/>
      </c>
      <c r="E713" s="20" t="str">
        <f>IFERROR(VLOOKUP($A713,Equipment!$A$2:$AH1001,MATCH("LevelReq",Equipment!$A$1:$AH$1,0),FALSE),"")</f>
        <v/>
      </c>
      <c r="F713" s="18" t="str">
        <f>IFERROR(VLOOKUP($A713,Equipconvrt!$A$2:$AH1001,MATCH("Abilities",Equipconvrt!$A$1:$AH$1,0),FALSE),"")</f>
        <v/>
      </c>
      <c r="G713" s="20" t="str">
        <f>IFERROR(VLOOKUP($A713,Equipment!$A$2:$AD1001,MATCH("Price",Equipment!$A$1:$AH$1,0),FALSE),"")</f>
        <v/>
      </c>
      <c r="H713" s="1" t="b">
        <v>0</v>
      </c>
      <c r="I713" s="1" t="str">
        <f>IFERROR(VLOOKUP($A713,Equipment!$A$2:$AH1001,MATCH("EquipLoc",Equipment!$A$1:$AH$1,0),FALSE),"")</f>
        <v/>
      </c>
      <c r="W713" s="1" t="str">
        <f>IFERROR(__xludf.DUMMYFUNCTION("""COMPUTED_VALUE"""),"Double Barrel Shotgun")</f>
        <v>Double Barrel Shotgun</v>
      </c>
      <c r="X713" s="1" t="str">
        <f t="shared" si="1"/>
        <v>Double Barrel Shotgun</v>
      </c>
    </row>
    <row r="714">
      <c r="A714" s="1"/>
      <c r="B714" s="18" t="str">
        <f>IFERROR(VLOOKUP($A714,Equipment!$A$2:$AH1001,MATCH("Description",Equipment!$A$1:$AH$1,0),FALSE),"")</f>
        <v/>
      </c>
      <c r="C714" s="18" t="str">
        <f>IFERROR(VLOOKUP($A714,Equipment!$A$2:$AH1001,MATCH("Type",Equipment!$A$1:$AH$1,0),FALSE),"")</f>
        <v/>
      </c>
      <c r="D714" s="18" t="str">
        <f>IFERROR(VLOOKUP($A714,Equipment!$A$2:$AH1001,MATCH("Slot",Equipment!$A$1:$AH$1,0),FALSE),"")</f>
        <v/>
      </c>
      <c r="E714" s="20" t="str">
        <f>IFERROR(VLOOKUP($A714,Equipment!$A$2:$AH1001,MATCH("LevelReq",Equipment!$A$1:$AH$1,0),FALSE),"")</f>
        <v/>
      </c>
      <c r="F714" s="18" t="str">
        <f>IFERROR(VLOOKUP($A714,Equipconvrt!$A$2:$AH1001,MATCH("Abilities",Equipconvrt!$A$1:$AH$1,0),FALSE),"")</f>
        <v/>
      </c>
      <c r="G714" s="20" t="str">
        <f>IFERROR(VLOOKUP($A714,Equipment!$A$2:$AD1001,MATCH("Price",Equipment!$A$1:$AH$1,0),FALSE),"")</f>
        <v/>
      </c>
      <c r="H714" s="1" t="b">
        <v>0</v>
      </c>
      <c r="I714" s="1" t="str">
        <f>IFERROR(VLOOKUP($A714,Equipment!$A$2:$AH1001,MATCH("EquipLoc",Equipment!$A$1:$AH$1,0),FALSE),"")</f>
        <v/>
      </c>
      <c r="W714" s="1" t="str">
        <f>IFERROR(__xludf.DUMMYFUNCTION("""COMPUTED_VALUE"""),"Single Barrel Shotgun")</f>
        <v>Single Barrel Shotgun</v>
      </c>
      <c r="X714" s="1" t="str">
        <f t="shared" si="1"/>
        <v>Single Barrel Shotgun</v>
      </c>
    </row>
    <row r="715">
      <c r="A715" s="1"/>
      <c r="B715" s="18" t="str">
        <f>IFERROR(VLOOKUP($A715,Equipment!$A$2:$AH1001,MATCH("Description",Equipment!$A$1:$AH$1,0),FALSE),"")</f>
        <v/>
      </c>
      <c r="C715" s="18" t="str">
        <f>IFERROR(VLOOKUP($A715,Equipment!$A$2:$AH1001,MATCH("Type",Equipment!$A$1:$AH$1,0),FALSE),"")</f>
        <v/>
      </c>
      <c r="D715" s="18" t="str">
        <f>IFERROR(VLOOKUP($A715,Equipment!$A$2:$AH1001,MATCH("Slot",Equipment!$A$1:$AH$1,0),FALSE),"")</f>
        <v/>
      </c>
      <c r="E715" s="20" t="str">
        <f>IFERROR(VLOOKUP($A715,Equipment!$A$2:$AH1001,MATCH("LevelReq",Equipment!$A$1:$AH$1,0),FALSE),"")</f>
        <v/>
      </c>
      <c r="F715" s="18" t="str">
        <f>IFERROR(VLOOKUP($A715,Equipconvrt!$A$2:$AH1001,MATCH("Abilities",Equipconvrt!$A$1:$AH$1,0),FALSE),"")</f>
        <v/>
      </c>
      <c r="G715" s="20" t="str">
        <f>IFERROR(VLOOKUP($A715,Equipment!$A$2:$AD1001,MATCH("Price",Equipment!$A$1:$AH$1,0),FALSE),"")</f>
        <v/>
      </c>
      <c r="H715" s="1" t="b">
        <v>0</v>
      </c>
      <c r="I715" s="1" t="str">
        <f>IFERROR(VLOOKUP($A715,Equipment!$A$2:$AH1001,MATCH("EquipLoc",Equipment!$A$1:$AH$1,0),FALSE),"")</f>
        <v/>
      </c>
      <c r="W715" s="1" t="str">
        <f>IFERROR(__xludf.DUMMYFUNCTION("""COMPUTED_VALUE"""),"Poison Staff")</f>
        <v>Poison Staff</v>
      </c>
      <c r="X715" s="1" t="str">
        <f t="shared" si="1"/>
        <v>Poison Staff</v>
      </c>
    </row>
    <row r="716">
      <c r="A716" s="1"/>
      <c r="B716" s="18" t="str">
        <f>IFERROR(VLOOKUP($A716,Equipment!$A$2:$AH1001,MATCH("Description",Equipment!$A$1:$AH$1,0),FALSE),"")</f>
        <v/>
      </c>
      <c r="C716" s="18" t="str">
        <f>IFERROR(VLOOKUP($A716,Equipment!$A$2:$AH1001,MATCH("Type",Equipment!$A$1:$AH$1,0),FALSE),"")</f>
        <v/>
      </c>
      <c r="D716" s="18" t="str">
        <f>IFERROR(VLOOKUP($A716,Equipment!$A$2:$AH1001,MATCH("Slot",Equipment!$A$1:$AH$1,0),FALSE),"")</f>
        <v/>
      </c>
      <c r="E716" s="20" t="str">
        <f>IFERROR(VLOOKUP($A716,Equipment!$A$2:$AH1001,MATCH("LevelReq",Equipment!$A$1:$AH$1,0),FALSE),"")</f>
        <v/>
      </c>
      <c r="F716" s="18" t="str">
        <f>IFERROR(VLOOKUP($A716,Equipconvrt!$A$2:$AH1001,MATCH("Abilities",Equipconvrt!$A$1:$AH$1,0),FALSE),"")</f>
        <v/>
      </c>
      <c r="G716" s="20" t="str">
        <f>IFERROR(VLOOKUP($A716,Equipment!$A$2:$AD1001,MATCH("Price",Equipment!$A$1:$AH$1,0),FALSE),"")</f>
        <v/>
      </c>
      <c r="H716" s="1" t="b">
        <v>0</v>
      </c>
      <c r="I716" s="1" t="str">
        <f>IFERROR(VLOOKUP($A716,Equipment!$A$2:$AH1001,MATCH("EquipLoc",Equipment!$A$1:$AH$1,0),FALSE),"")</f>
        <v/>
      </c>
      <c r="W716" s="1" t="str">
        <f>IFERROR(__xludf.DUMMYFUNCTION("""COMPUTED_VALUE"""),"Chameldrians Staff of Thriving Blossoms")</f>
        <v>Chameldrians Staff of Thriving Blossoms</v>
      </c>
      <c r="X716" s="1" t="str">
        <f t="shared" si="1"/>
        <v>Chameldrians Staff of Thriving Blossoms</v>
      </c>
    </row>
    <row r="717">
      <c r="A717" s="1"/>
      <c r="B717" s="18" t="str">
        <f>IFERROR(VLOOKUP($A717,Equipment!$A$2:$AH1001,MATCH("Description",Equipment!$A$1:$AH$1,0),FALSE),"")</f>
        <v/>
      </c>
      <c r="C717" s="18" t="str">
        <f>IFERROR(VLOOKUP($A717,Equipment!$A$2:$AH1001,MATCH("Type",Equipment!$A$1:$AH$1,0),FALSE),"")</f>
        <v/>
      </c>
      <c r="D717" s="18" t="str">
        <f>IFERROR(VLOOKUP($A717,Equipment!$A$2:$AH1001,MATCH("Slot",Equipment!$A$1:$AH$1,0),FALSE),"")</f>
        <v/>
      </c>
      <c r="E717" s="20" t="str">
        <f>IFERROR(VLOOKUP($A717,Equipment!$A$2:$AH1001,MATCH("LevelReq",Equipment!$A$1:$AH$1,0),FALSE),"")</f>
        <v/>
      </c>
      <c r="F717" s="18" t="str">
        <f>IFERROR(VLOOKUP($A717,Equipconvrt!$A$2:$AH1001,MATCH("Abilities",Equipconvrt!$A$1:$AH$1,0),FALSE),"")</f>
        <v/>
      </c>
      <c r="G717" s="20" t="str">
        <f>IFERROR(VLOOKUP($A717,Equipment!$A$2:$AD1001,MATCH("Price",Equipment!$A$1:$AH$1,0),FALSE),"")</f>
        <v/>
      </c>
      <c r="H717" s="1" t="b">
        <v>0</v>
      </c>
      <c r="I717" s="1" t="str">
        <f>IFERROR(VLOOKUP($A717,Equipment!$A$2:$AH1001,MATCH("EquipLoc",Equipment!$A$1:$AH$1,0),FALSE),"")</f>
        <v/>
      </c>
      <c r="W717" s="1" t="str">
        <f>IFERROR(__xludf.DUMMYFUNCTION("""COMPUTED_VALUE"""),"Cooper's Memento")</f>
        <v>Cooper's Memento</v>
      </c>
      <c r="X717" s="1" t="str">
        <f t="shared" si="1"/>
        <v>Cooper's Memento</v>
      </c>
    </row>
    <row r="718">
      <c r="A718" s="1"/>
      <c r="B718" s="18" t="str">
        <f>IFERROR(VLOOKUP($A718,Equipment!$A$2:$AH1001,MATCH("Description",Equipment!$A$1:$AH$1,0),FALSE),"")</f>
        <v/>
      </c>
      <c r="C718" s="18" t="str">
        <f>IFERROR(VLOOKUP($A718,Equipment!$A$2:$AH1001,MATCH("Type",Equipment!$A$1:$AH$1,0),FALSE),"")</f>
        <v/>
      </c>
      <c r="D718" s="18" t="str">
        <f>IFERROR(VLOOKUP($A718,Equipment!$A$2:$AH1001,MATCH("Slot",Equipment!$A$1:$AH$1,0),FALSE),"")</f>
        <v/>
      </c>
      <c r="E718" s="20" t="str">
        <f>IFERROR(VLOOKUP($A718,Equipment!$A$2:$AH1001,MATCH("LevelReq",Equipment!$A$1:$AH$1,0),FALSE),"")</f>
        <v/>
      </c>
      <c r="F718" s="18" t="str">
        <f>IFERROR(VLOOKUP($A718,Equipconvrt!$A$2:$AH1001,MATCH("Abilities",Equipconvrt!$A$1:$AH$1,0),FALSE),"")</f>
        <v/>
      </c>
      <c r="G718" s="20" t="str">
        <f>IFERROR(VLOOKUP($A718,Equipment!$A$2:$AD1001,MATCH("Price",Equipment!$A$1:$AH$1,0),FALSE),"")</f>
        <v/>
      </c>
      <c r="H718" s="1" t="b">
        <v>0</v>
      </c>
      <c r="I718" s="1" t="str">
        <f>IFERROR(VLOOKUP($A718,Equipment!$A$2:$AH1001,MATCH("EquipLoc",Equipment!$A$1:$AH$1,0),FALSE),"")</f>
        <v/>
      </c>
      <c r="W718" s="1" t="str">
        <f>IFERROR(__xludf.DUMMYFUNCTION("""COMPUTED_VALUE"""),"Gaian Champion's Shield")</f>
        <v>Gaian Champion's Shield</v>
      </c>
      <c r="X718" s="1" t="str">
        <f t="shared" si="1"/>
        <v>Gaian Champion's Shield</v>
      </c>
    </row>
    <row r="719">
      <c r="A719" s="1"/>
      <c r="B719" s="18" t="str">
        <f>IFERROR(VLOOKUP($A719,Equipment!$A$2:$AH1001,MATCH("Description",Equipment!$A$1:$AH$1,0),FALSE),"")</f>
        <v/>
      </c>
      <c r="C719" s="18" t="str">
        <f>IFERROR(VLOOKUP($A719,Equipment!$A$2:$AH1001,MATCH("Type",Equipment!$A$1:$AH$1,0),FALSE),"")</f>
        <v/>
      </c>
      <c r="D719" s="18" t="str">
        <f>IFERROR(VLOOKUP($A719,Equipment!$A$2:$AH1001,MATCH("Slot",Equipment!$A$1:$AH$1,0),FALSE),"")</f>
        <v/>
      </c>
      <c r="E719" s="20" t="str">
        <f>IFERROR(VLOOKUP($A719,Equipment!$A$2:$AH1001,MATCH("LevelReq",Equipment!$A$1:$AH$1,0),FALSE),"")</f>
        <v/>
      </c>
      <c r="F719" s="18" t="str">
        <f>IFERROR(VLOOKUP($A719,Equipconvrt!$A$2:$AH1001,MATCH("Abilities",Equipconvrt!$A$1:$AH$1,0),FALSE),"")</f>
        <v/>
      </c>
      <c r="G719" s="20" t="str">
        <f>IFERROR(VLOOKUP($A719,Equipment!$A$2:$AD1001,MATCH("Price",Equipment!$A$1:$AH$1,0),FALSE),"")</f>
        <v/>
      </c>
      <c r="H719" s="1" t="b">
        <v>0</v>
      </c>
      <c r="I719" s="1" t="str">
        <f>IFERROR(VLOOKUP($A719,Equipment!$A$2:$AH1001,MATCH("EquipLoc",Equipment!$A$1:$AH$1,0),FALSE),"")</f>
        <v/>
      </c>
      <c r="W719" s="1" t="str">
        <f>IFERROR(__xludf.DUMMYFUNCTION("""COMPUTED_VALUE"""),"The Billowing Bludgeon")</f>
        <v>The Billowing Bludgeon</v>
      </c>
      <c r="X719" s="1" t="str">
        <f t="shared" si="1"/>
        <v>The Billowing Bludgeon</v>
      </c>
    </row>
    <row r="720">
      <c r="A720" s="1"/>
      <c r="B720" s="18" t="str">
        <f>IFERROR(VLOOKUP($A720,Equipment!$A$2:$AH1001,MATCH("Description",Equipment!$A$1:$AH$1,0),FALSE),"")</f>
        <v/>
      </c>
      <c r="C720" s="18" t="str">
        <f>IFERROR(VLOOKUP($A720,Equipment!$A$2:$AH1001,MATCH("Type",Equipment!$A$1:$AH$1,0),FALSE),"")</f>
        <v/>
      </c>
      <c r="D720" s="18" t="str">
        <f>IFERROR(VLOOKUP($A720,Equipment!$A$2:$AH1001,MATCH("Slot",Equipment!$A$1:$AH$1,0),FALSE),"")</f>
        <v/>
      </c>
      <c r="E720" s="20" t="str">
        <f>IFERROR(VLOOKUP($A720,Equipment!$A$2:$AH1001,MATCH("LevelReq",Equipment!$A$1:$AH$1,0),FALSE),"")</f>
        <v/>
      </c>
      <c r="F720" s="18" t="str">
        <f>IFERROR(VLOOKUP($A720,Equipconvrt!$A$2:$AH1001,MATCH("Abilities",Equipconvrt!$A$1:$AH$1,0),FALSE),"")</f>
        <v/>
      </c>
      <c r="G720" s="20" t="str">
        <f>IFERROR(VLOOKUP($A720,Equipment!$A$2:$AD1001,MATCH("Price",Equipment!$A$1:$AH$1,0),FALSE),"")</f>
        <v/>
      </c>
      <c r="H720" s="1" t="b">
        <v>0</v>
      </c>
      <c r="I720" s="1" t="str">
        <f>IFERROR(VLOOKUP($A720,Equipment!$A$2:$AH1001,MATCH("EquipLoc",Equipment!$A$1:$AH$1,0),FALSE),"")</f>
        <v/>
      </c>
      <c r="W720" s="1" t="str">
        <f>IFERROR(__xludf.DUMMYFUNCTION("""COMPUTED_VALUE"""),"Home Run Bat")</f>
        <v>Home Run Bat</v>
      </c>
      <c r="X720" s="1" t="str">
        <f t="shared" si="1"/>
        <v>Home Run Bat</v>
      </c>
    </row>
    <row r="721">
      <c r="A721" s="1"/>
      <c r="B721" s="18" t="str">
        <f>IFERROR(VLOOKUP($A721,Equipment!$A$2:$AH1001,MATCH("Description",Equipment!$A$1:$AH$1,0),FALSE),"")</f>
        <v/>
      </c>
      <c r="C721" s="18" t="str">
        <f>IFERROR(VLOOKUP($A721,Equipment!$A$2:$AH1001,MATCH("Type",Equipment!$A$1:$AH$1,0),FALSE),"")</f>
        <v/>
      </c>
      <c r="D721" s="18" t="str">
        <f>IFERROR(VLOOKUP($A721,Equipment!$A$2:$AH1001,MATCH("Slot",Equipment!$A$1:$AH$1,0),FALSE),"")</f>
        <v/>
      </c>
      <c r="E721" s="20" t="str">
        <f>IFERROR(VLOOKUP($A721,Equipment!$A$2:$AH1001,MATCH("LevelReq",Equipment!$A$1:$AH$1,0),FALSE),"")</f>
        <v/>
      </c>
      <c r="F721" s="18" t="str">
        <f>IFERROR(VLOOKUP($A721,Equipconvrt!$A$2:$AH1001,MATCH("Abilities",Equipconvrt!$A$1:$AH$1,0),FALSE),"")</f>
        <v/>
      </c>
      <c r="G721" s="20" t="str">
        <f>IFERROR(VLOOKUP($A721,Equipment!$A$2:$AD1001,MATCH("Price",Equipment!$A$1:$AH$1,0),FALSE),"")</f>
        <v/>
      </c>
      <c r="H721" s="1" t="b">
        <v>0</v>
      </c>
      <c r="I721" s="1" t="str">
        <f>IFERROR(VLOOKUP($A721,Equipment!$A$2:$AH1001,MATCH("EquipLoc",Equipment!$A$1:$AH$1,0),FALSE),"")</f>
        <v/>
      </c>
      <c r="W721" s="1" t="str">
        <f>IFERROR(__xludf.DUMMYFUNCTION("""COMPUTED_VALUE"""),"Lunar New Year Dragon Head")</f>
        <v>Lunar New Year Dragon Head</v>
      </c>
      <c r="X721" s="1" t="str">
        <f t="shared" si="1"/>
        <v>Lunar New Year Dragon Head</v>
      </c>
    </row>
    <row r="722">
      <c r="A722" s="1"/>
      <c r="B722" s="18" t="str">
        <f>IFERROR(VLOOKUP($A722,Equipment!$A$2:$AH1001,MATCH("Description",Equipment!$A$1:$AH$1,0),FALSE),"")</f>
        <v/>
      </c>
      <c r="C722" s="18" t="str">
        <f>IFERROR(VLOOKUP($A722,Equipment!$A$2:$AH1001,MATCH("Type",Equipment!$A$1:$AH$1,0),FALSE),"")</f>
        <v/>
      </c>
      <c r="D722" s="18" t="str">
        <f>IFERROR(VLOOKUP($A722,Equipment!$A$2:$AH1001,MATCH("Slot",Equipment!$A$1:$AH$1,0),FALSE),"")</f>
        <v/>
      </c>
      <c r="E722" s="20" t="str">
        <f>IFERROR(VLOOKUP($A722,Equipment!$A$2:$AH1001,MATCH("LevelReq",Equipment!$A$1:$AH$1,0),FALSE),"")</f>
        <v/>
      </c>
      <c r="F722" s="18" t="str">
        <f>IFERROR(VLOOKUP($A722,Equipconvrt!$A$2:$AH1001,MATCH("Abilities",Equipconvrt!$A$1:$AH$1,0),FALSE),"")</f>
        <v/>
      </c>
      <c r="G722" s="20" t="str">
        <f>IFERROR(VLOOKUP($A722,Equipment!$A$2:$AD1001,MATCH("Price",Equipment!$A$1:$AH$1,0),FALSE),"")</f>
        <v/>
      </c>
      <c r="H722" s="1" t="b">
        <v>0</v>
      </c>
      <c r="I722" s="1" t="str">
        <f>IFERROR(VLOOKUP($A722,Equipment!$A$2:$AH1001,MATCH("EquipLoc",Equipment!$A$1:$AH$1,0),FALSE),"")</f>
        <v/>
      </c>
      <c r="W722" s="1" t="str">
        <f>IFERROR(__xludf.DUMMYFUNCTION("""COMPUTED_VALUE"""),"Lunar New Year Dragon Shoulders")</f>
        <v>Lunar New Year Dragon Shoulders</v>
      </c>
      <c r="X722" s="1" t="str">
        <f t="shared" si="1"/>
        <v>Lunar New Year Dragon Shoulders</v>
      </c>
    </row>
    <row r="723">
      <c r="A723" s="1"/>
      <c r="B723" s="18" t="str">
        <f>IFERROR(VLOOKUP($A723,Equipment!$A$2:$AH1001,MATCH("Description",Equipment!$A$1:$AH$1,0),FALSE),"")</f>
        <v/>
      </c>
      <c r="C723" s="18" t="str">
        <f>IFERROR(VLOOKUP($A723,Equipment!$A$2:$AH1001,MATCH("Type",Equipment!$A$1:$AH$1,0),FALSE),"")</f>
        <v/>
      </c>
      <c r="D723" s="18" t="str">
        <f>IFERROR(VLOOKUP($A723,Equipment!$A$2:$AH1001,MATCH("Slot",Equipment!$A$1:$AH$1,0),FALSE),"")</f>
        <v/>
      </c>
      <c r="E723" s="20" t="str">
        <f>IFERROR(VLOOKUP($A723,Equipment!$A$2:$AH1001,MATCH("LevelReq",Equipment!$A$1:$AH$1,0),FALSE),"")</f>
        <v/>
      </c>
      <c r="F723" s="18" t="str">
        <f>IFERROR(VLOOKUP($A723,Equipconvrt!$A$2:$AH1001,MATCH("Abilities",Equipconvrt!$A$1:$AH$1,0),FALSE),"")</f>
        <v/>
      </c>
      <c r="G723" s="20" t="str">
        <f>IFERROR(VLOOKUP($A723,Equipment!$A$2:$AD1001,MATCH("Price",Equipment!$A$1:$AH$1,0),FALSE),"")</f>
        <v/>
      </c>
      <c r="H723" s="1" t="b">
        <v>0</v>
      </c>
      <c r="I723" s="1" t="str">
        <f>IFERROR(VLOOKUP($A723,Equipment!$A$2:$AH1001,MATCH("EquipLoc",Equipment!$A$1:$AH$1,0),FALSE),"")</f>
        <v/>
      </c>
      <c r="W723" s="1" t="str">
        <f>IFERROR(__xludf.DUMMYFUNCTION("""COMPUTED_VALUE"""),"Lunar New Year Dragon Arms")</f>
        <v>Lunar New Year Dragon Arms</v>
      </c>
      <c r="X723" s="1" t="str">
        <f t="shared" si="1"/>
        <v>Lunar New Year Dragon Arms</v>
      </c>
    </row>
    <row r="724">
      <c r="A724" s="1"/>
      <c r="B724" s="18" t="str">
        <f>IFERROR(VLOOKUP($A724,Equipment!$A$2:$AH1001,MATCH("Description",Equipment!$A$1:$AH$1,0),FALSE),"")</f>
        <v/>
      </c>
      <c r="C724" s="18" t="str">
        <f>IFERROR(VLOOKUP($A724,Equipment!$A$2:$AH1001,MATCH("Type",Equipment!$A$1:$AH$1,0),FALSE),"")</f>
        <v/>
      </c>
      <c r="D724" s="18" t="str">
        <f>IFERROR(VLOOKUP($A724,Equipment!$A$2:$AH1001,MATCH("Slot",Equipment!$A$1:$AH$1,0),FALSE),"")</f>
        <v/>
      </c>
      <c r="E724" s="20" t="str">
        <f>IFERROR(VLOOKUP($A724,Equipment!$A$2:$AH1001,MATCH("LevelReq",Equipment!$A$1:$AH$1,0),FALSE),"")</f>
        <v/>
      </c>
      <c r="F724" s="18" t="str">
        <f>IFERROR(VLOOKUP($A724,Equipconvrt!$A$2:$AH1001,MATCH("Abilities",Equipconvrt!$A$1:$AH$1,0),FALSE),"")</f>
        <v/>
      </c>
      <c r="G724" s="20" t="str">
        <f>IFERROR(VLOOKUP($A724,Equipment!$A$2:$AD1001,MATCH("Price",Equipment!$A$1:$AH$1,0),FALSE),"")</f>
        <v/>
      </c>
      <c r="H724" s="1" t="b">
        <v>0</v>
      </c>
      <c r="I724" s="1" t="str">
        <f>IFERROR(VLOOKUP($A724,Equipment!$A$2:$AH1001,MATCH("EquipLoc",Equipment!$A$1:$AH$1,0),FALSE),"")</f>
        <v/>
      </c>
      <c r="W724" s="1" t="str">
        <f>IFERROR(__xludf.DUMMYFUNCTION("""COMPUTED_VALUE"""),"Lunar New Year Dragon Torso")</f>
        <v>Lunar New Year Dragon Torso</v>
      </c>
      <c r="X724" s="1" t="str">
        <f t="shared" si="1"/>
        <v>Lunar New Year Dragon Torso</v>
      </c>
    </row>
    <row r="725">
      <c r="A725" s="1"/>
      <c r="B725" s="18" t="str">
        <f>IFERROR(VLOOKUP($A725,Equipment!$A$2:$AH1001,MATCH("Description",Equipment!$A$1:$AH$1,0),FALSE),"")</f>
        <v/>
      </c>
      <c r="C725" s="18" t="str">
        <f>IFERROR(VLOOKUP($A725,Equipment!$A$2:$AH1001,MATCH("Type",Equipment!$A$1:$AH$1,0),FALSE),"")</f>
        <v/>
      </c>
      <c r="D725" s="18" t="str">
        <f>IFERROR(VLOOKUP($A725,Equipment!$A$2:$AH1001,MATCH("Slot",Equipment!$A$1:$AH$1,0),FALSE),"")</f>
        <v/>
      </c>
      <c r="E725" s="20" t="str">
        <f>IFERROR(VLOOKUP($A725,Equipment!$A$2:$AH1001,MATCH("LevelReq",Equipment!$A$1:$AH$1,0),FALSE),"")</f>
        <v/>
      </c>
      <c r="F725" s="18" t="str">
        <f>IFERROR(VLOOKUP($A725,Equipconvrt!$A$2:$AH1001,MATCH("Abilities",Equipconvrt!$A$1:$AH$1,0),FALSE),"")</f>
        <v/>
      </c>
      <c r="G725" s="20" t="str">
        <f>IFERROR(VLOOKUP($A725,Equipment!$A$2:$AD1001,MATCH("Price",Equipment!$A$1:$AH$1,0),FALSE),"")</f>
        <v/>
      </c>
      <c r="H725" s="1" t="b">
        <v>0</v>
      </c>
      <c r="I725" s="1" t="str">
        <f>IFERROR(VLOOKUP($A725,Equipment!$A$2:$AH1001,MATCH("EquipLoc",Equipment!$A$1:$AH$1,0),FALSE),"")</f>
        <v/>
      </c>
      <c r="W725" s="1" t="str">
        <f>IFERROR(__xludf.DUMMYFUNCTION("""COMPUTED_VALUE"""),"Lunar New Year Dragon Legs")</f>
        <v>Lunar New Year Dragon Legs</v>
      </c>
      <c r="X725" s="1" t="str">
        <f t="shared" si="1"/>
        <v>Lunar New Year Dragon Legs</v>
      </c>
    </row>
    <row r="726">
      <c r="A726" s="1"/>
      <c r="B726" s="18" t="str">
        <f>IFERROR(VLOOKUP($A726,Equipment!$A$2:$AH1001,MATCH("Description",Equipment!$A$1:$AH$1,0),FALSE),"")</f>
        <v/>
      </c>
      <c r="C726" s="18" t="str">
        <f>IFERROR(VLOOKUP($A726,Equipment!$A$2:$AH1001,MATCH("Type",Equipment!$A$1:$AH$1,0),FALSE),"")</f>
        <v/>
      </c>
      <c r="D726" s="18" t="str">
        <f>IFERROR(VLOOKUP($A726,Equipment!$A$2:$AH1001,MATCH("Slot",Equipment!$A$1:$AH$1,0),FALSE),"")</f>
        <v/>
      </c>
      <c r="E726" s="20" t="str">
        <f>IFERROR(VLOOKUP($A726,Equipment!$A$2:$AH1001,MATCH("LevelReq",Equipment!$A$1:$AH$1,0),FALSE),"")</f>
        <v/>
      </c>
      <c r="F726" s="18" t="str">
        <f>IFERROR(VLOOKUP($A726,Equipconvrt!$A$2:$AH1001,MATCH("Abilities",Equipconvrt!$A$1:$AH$1,0),FALSE),"")</f>
        <v/>
      </c>
      <c r="G726" s="20" t="str">
        <f>IFERROR(VLOOKUP($A726,Equipment!$A$2:$AD1001,MATCH("Price",Equipment!$A$1:$AH$1,0),FALSE),"")</f>
        <v/>
      </c>
      <c r="H726" s="1" t="b">
        <v>0</v>
      </c>
      <c r="I726" s="1" t="str">
        <f>IFERROR(VLOOKUP($A726,Equipment!$A$2:$AH1001,MATCH("EquipLoc",Equipment!$A$1:$AH$1,0),FALSE),"")</f>
        <v/>
      </c>
      <c r="W726" s="1" t="str">
        <f>IFERROR(__xludf.DUMMYFUNCTION("""COMPUTED_VALUE"""),"Lunar New Year Dragon Feet")</f>
        <v>Lunar New Year Dragon Feet</v>
      </c>
      <c r="X726" s="1" t="str">
        <f t="shared" si="1"/>
        <v>Lunar New Year Dragon Feet</v>
      </c>
    </row>
    <row r="727">
      <c r="A727" s="1"/>
      <c r="B727" s="18" t="str">
        <f>IFERROR(VLOOKUP($A727,Equipment!$A$2:$AH1001,MATCH("Description",Equipment!$A$1:$AH$1,0),FALSE),"")</f>
        <v/>
      </c>
      <c r="C727" s="18" t="str">
        <f>IFERROR(VLOOKUP($A727,Equipment!$A$2:$AH1001,MATCH("Type",Equipment!$A$1:$AH$1,0),FALSE),"")</f>
        <v/>
      </c>
      <c r="D727" s="18" t="str">
        <f>IFERROR(VLOOKUP($A727,Equipment!$A$2:$AH1001,MATCH("Slot",Equipment!$A$1:$AH$1,0),FALSE),"")</f>
        <v/>
      </c>
      <c r="E727" s="20" t="str">
        <f>IFERROR(VLOOKUP($A727,Equipment!$A$2:$AH1001,MATCH("LevelReq",Equipment!$A$1:$AH$1,0),FALSE),"")</f>
        <v/>
      </c>
      <c r="F727" s="18" t="str">
        <f>IFERROR(VLOOKUP($A727,Equipconvrt!$A$2:$AH1001,MATCH("Abilities",Equipconvrt!$A$1:$AH$1,0),FALSE),"")</f>
        <v/>
      </c>
      <c r="G727" s="20" t="str">
        <f>IFERROR(VLOOKUP($A727,Equipment!$A$2:$AD1001,MATCH("Price",Equipment!$A$1:$AH$1,0),FALSE),"")</f>
        <v/>
      </c>
      <c r="H727" s="1" t="b">
        <v>0</v>
      </c>
      <c r="I727" s="1" t="str">
        <f>IFERROR(VLOOKUP($A727,Equipment!$A$2:$AH1001,MATCH("EquipLoc",Equipment!$A$1:$AH$1,0),FALSE),"")</f>
        <v/>
      </c>
      <c r="W727" s="1" t="str">
        <f>IFERROR(__xludf.DUMMYFUNCTION("""COMPUTED_VALUE"""),"Spirit Blade")</f>
        <v>Spirit Blade</v>
      </c>
      <c r="X727" s="1" t="str">
        <f t="shared" si="1"/>
        <v>Spirit Blade</v>
      </c>
    </row>
    <row r="728">
      <c r="A728" s="1"/>
      <c r="B728" s="18" t="str">
        <f>IFERROR(VLOOKUP($A728,Equipment!$A$2:$AH1001,MATCH("Description",Equipment!$A$1:$AH$1,0),FALSE),"")</f>
        <v/>
      </c>
      <c r="C728" s="18" t="str">
        <f>IFERROR(VLOOKUP($A728,Equipment!$A$2:$AH1001,MATCH("Type",Equipment!$A$1:$AH$1,0),FALSE),"")</f>
        <v/>
      </c>
      <c r="D728" s="18" t="str">
        <f>IFERROR(VLOOKUP($A728,Equipment!$A$2:$AH1001,MATCH("Slot",Equipment!$A$1:$AH$1,0),FALSE),"")</f>
        <v/>
      </c>
      <c r="E728" s="20" t="str">
        <f>IFERROR(VLOOKUP($A728,Equipment!$A$2:$AH1001,MATCH("LevelReq",Equipment!$A$1:$AH$1,0),FALSE),"")</f>
        <v/>
      </c>
      <c r="F728" s="18" t="str">
        <f>IFERROR(VLOOKUP($A728,Equipconvrt!$A$2:$AH1001,MATCH("Abilities",Equipconvrt!$A$1:$AH$1,0),FALSE),"")</f>
        <v/>
      </c>
      <c r="G728" s="20" t="str">
        <f>IFERROR(VLOOKUP($A728,Equipment!$A$2:$AD1001,MATCH("Price",Equipment!$A$1:$AH$1,0),FALSE),"")</f>
        <v/>
      </c>
      <c r="H728" s="1" t="b">
        <v>0</v>
      </c>
      <c r="I728" s="1" t="str">
        <f>IFERROR(VLOOKUP($A728,Equipment!$A$2:$AH1001,MATCH("EquipLoc",Equipment!$A$1:$AH$1,0),FALSE),"")</f>
        <v/>
      </c>
      <c r="W728" s="1" t="str">
        <f>IFERROR(__xludf.DUMMYFUNCTION("""COMPUTED_VALUE"""),"Spirit Shield")</f>
        <v>Spirit Shield</v>
      </c>
      <c r="X728" s="1" t="str">
        <f t="shared" si="1"/>
        <v>Spirit Shield</v>
      </c>
    </row>
    <row r="729">
      <c r="A729" s="1"/>
      <c r="B729" s="18" t="str">
        <f>IFERROR(VLOOKUP($A729,Equipment!$A$2:$AH1001,MATCH("Description",Equipment!$A$1:$AH$1,0),FALSE),"")</f>
        <v/>
      </c>
      <c r="C729" s="18" t="str">
        <f>IFERROR(VLOOKUP($A729,Equipment!$A$2:$AH1001,MATCH("Type",Equipment!$A$1:$AH$1,0),FALSE),"")</f>
        <v/>
      </c>
      <c r="D729" s="18" t="str">
        <f>IFERROR(VLOOKUP($A729,Equipment!$A$2:$AH1001,MATCH("Slot",Equipment!$A$1:$AH$1,0),FALSE),"")</f>
        <v/>
      </c>
      <c r="E729" s="20" t="str">
        <f>IFERROR(VLOOKUP($A729,Equipment!$A$2:$AH1001,MATCH("LevelReq",Equipment!$A$1:$AH$1,0),FALSE),"")</f>
        <v/>
      </c>
      <c r="F729" s="18" t="str">
        <f>IFERROR(VLOOKUP($A729,Equipconvrt!$A$2:$AH1001,MATCH("Abilities",Equipconvrt!$A$1:$AH$1,0),FALSE),"")</f>
        <v/>
      </c>
      <c r="G729" s="20" t="str">
        <f>IFERROR(VLOOKUP($A729,Equipment!$A$2:$AD1001,MATCH("Price",Equipment!$A$1:$AH$1,0),FALSE),"")</f>
        <v/>
      </c>
      <c r="H729" s="1" t="b">
        <v>0</v>
      </c>
      <c r="I729" s="1" t="str">
        <f>IFERROR(VLOOKUP($A729,Equipment!$A$2:$AH1001,MATCH("EquipLoc",Equipment!$A$1:$AH$1,0),FALSE),"")</f>
        <v/>
      </c>
      <c r="W729" s="1" t="str">
        <f>IFERROR(__xludf.DUMMYFUNCTION("""COMPUTED_VALUE"""),"Mage's Hood")</f>
        <v>Mage's Hood</v>
      </c>
      <c r="X729" s="1" t="str">
        <f t="shared" si="1"/>
        <v>Mage's Hood</v>
      </c>
    </row>
    <row r="730">
      <c r="A730" s="1"/>
      <c r="B730" s="18" t="str">
        <f>IFERROR(VLOOKUP($A730,Equipment!$A$2:$AH1001,MATCH("Description",Equipment!$A$1:$AH$1,0),FALSE),"")</f>
        <v/>
      </c>
      <c r="C730" s="18" t="str">
        <f>IFERROR(VLOOKUP($A730,Equipment!$A$2:$AH1001,MATCH("Type",Equipment!$A$1:$AH$1,0),FALSE),"")</f>
        <v/>
      </c>
      <c r="D730" s="18" t="str">
        <f>IFERROR(VLOOKUP($A730,Equipment!$A$2:$AH1001,MATCH("Slot",Equipment!$A$1:$AH$1,0),FALSE),"")</f>
        <v/>
      </c>
      <c r="E730" s="20" t="str">
        <f>IFERROR(VLOOKUP($A730,Equipment!$A$2:$AH1001,MATCH("LevelReq",Equipment!$A$1:$AH$1,0),FALSE),"")</f>
        <v/>
      </c>
      <c r="F730" s="18" t="str">
        <f>IFERROR(VLOOKUP($A730,Equipconvrt!$A$2:$AH1001,MATCH("Abilities",Equipconvrt!$A$1:$AH$1,0),FALSE),"")</f>
        <v/>
      </c>
      <c r="G730" s="20" t="str">
        <f>IFERROR(VLOOKUP($A730,Equipment!$A$2:$AD1001,MATCH("Price",Equipment!$A$1:$AH$1,0),FALSE),"")</f>
        <v/>
      </c>
      <c r="H730" s="1" t="b">
        <v>0</v>
      </c>
      <c r="I730" s="1" t="str">
        <f>IFERROR(VLOOKUP($A730,Equipment!$A$2:$AH1001,MATCH("EquipLoc",Equipment!$A$1:$AH$1,0),FALSE),"")</f>
        <v/>
      </c>
      <c r="W730" s="1" t="str">
        <f>IFERROR(__xludf.DUMMYFUNCTION("""COMPUTED_VALUE"""),"Mage's Cloak")</f>
        <v>Mage's Cloak</v>
      </c>
      <c r="X730" s="1" t="str">
        <f t="shared" si="1"/>
        <v>Mage's Cloak</v>
      </c>
    </row>
    <row r="731">
      <c r="A731" s="1"/>
      <c r="B731" s="18" t="str">
        <f>IFERROR(VLOOKUP($A731,Equipment!$A$2:$AH1001,MATCH("Description",Equipment!$A$1:$AH$1,0),FALSE),"")</f>
        <v/>
      </c>
      <c r="C731" s="18" t="str">
        <f>IFERROR(VLOOKUP($A731,Equipment!$A$2:$AH1001,MATCH("Type",Equipment!$A$1:$AH$1,0),FALSE),"")</f>
        <v/>
      </c>
      <c r="D731" s="18" t="str">
        <f>IFERROR(VLOOKUP($A731,Equipment!$A$2:$AH1001,MATCH("Slot",Equipment!$A$1:$AH$1,0),FALSE),"")</f>
        <v/>
      </c>
      <c r="E731" s="20" t="str">
        <f>IFERROR(VLOOKUP($A731,Equipment!$A$2:$AH1001,MATCH("LevelReq",Equipment!$A$1:$AH$1,0),FALSE),"")</f>
        <v/>
      </c>
      <c r="F731" s="18" t="str">
        <f>IFERROR(VLOOKUP($A731,Equipconvrt!$A$2:$AH1001,MATCH("Abilities",Equipconvrt!$A$1:$AH$1,0),FALSE),"")</f>
        <v/>
      </c>
      <c r="G731" s="20" t="str">
        <f>IFERROR(VLOOKUP($A731,Equipment!$A$2:$AD1001,MATCH("Price",Equipment!$A$1:$AH$1,0),FALSE),"")</f>
        <v/>
      </c>
      <c r="H731" s="1" t="b">
        <v>0</v>
      </c>
      <c r="I731" s="1" t="str">
        <f>IFERROR(VLOOKUP($A731,Equipment!$A$2:$AH1001,MATCH("EquipLoc",Equipment!$A$1:$AH$1,0),FALSE),"")</f>
        <v/>
      </c>
      <c r="W731" s="1" t="str">
        <f>IFERROR(__xludf.DUMMYFUNCTION("""COMPUTED_VALUE"""),"Mage's Shoes")</f>
        <v>Mage's Shoes</v>
      </c>
      <c r="X731" s="1" t="str">
        <f t="shared" si="1"/>
        <v>Mage's Shoes</v>
      </c>
    </row>
    <row r="732">
      <c r="A732" s="1"/>
      <c r="B732" s="18" t="str">
        <f>IFERROR(VLOOKUP($A732,Equipment!$A$2:$AH1001,MATCH("Description",Equipment!$A$1:$AH$1,0),FALSE),"")</f>
        <v/>
      </c>
      <c r="C732" s="18" t="str">
        <f>IFERROR(VLOOKUP($A732,Equipment!$A$2:$AH1001,MATCH("Type",Equipment!$A$1:$AH$1,0),FALSE),"")</f>
        <v/>
      </c>
      <c r="D732" s="18" t="str">
        <f>IFERROR(VLOOKUP($A732,Equipment!$A$2:$AH1001,MATCH("Slot",Equipment!$A$1:$AH$1,0),FALSE),"")</f>
        <v/>
      </c>
      <c r="E732" s="20" t="str">
        <f>IFERROR(VLOOKUP($A732,Equipment!$A$2:$AH1001,MATCH("LevelReq",Equipment!$A$1:$AH$1,0),FALSE),"")</f>
        <v/>
      </c>
      <c r="F732" s="18" t="str">
        <f>IFERROR(VLOOKUP($A732,Equipconvrt!$A$2:$AH1001,MATCH("Abilities",Equipconvrt!$A$1:$AH$1,0),FALSE),"")</f>
        <v/>
      </c>
      <c r="G732" s="20" t="str">
        <f>IFERROR(VLOOKUP($A732,Equipment!$A$2:$AD1001,MATCH("Price",Equipment!$A$1:$AH$1,0),FALSE),"")</f>
        <v/>
      </c>
      <c r="H732" s="1" t="b">
        <v>0</v>
      </c>
      <c r="I732" s="1" t="str">
        <f>IFERROR(VLOOKUP($A732,Equipment!$A$2:$AH1001,MATCH("EquipLoc",Equipment!$A$1:$AH$1,0),FALSE),"")</f>
        <v/>
      </c>
      <c r="W732" s="1" t="str">
        <f>IFERROR(__xludf.DUMMYFUNCTION("""COMPUTED_VALUE"""),"Sorcerer's Hood")</f>
        <v>Sorcerer's Hood</v>
      </c>
      <c r="X732" s="1" t="str">
        <f t="shared" si="1"/>
        <v>Sorcerer's Hood</v>
      </c>
    </row>
    <row r="733">
      <c r="A733" s="1"/>
      <c r="B733" s="18" t="str">
        <f>IFERROR(VLOOKUP($A733,Equipment!$A$2:$AH1001,MATCH("Description",Equipment!$A$1:$AH$1,0),FALSE),"")</f>
        <v/>
      </c>
      <c r="C733" s="18" t="str">
        <f>IFERROR(VLOOKUP($A733,Equipment!$A$2:$AH1001,MATCH("Type",Equipment!$A$1:$AH$1,0),FALSE),"")</f>
        <v/>
      </c>
      <c r="D733" s="18" t="str">
        <f>IFERROR(VLOOKUP($A733,Equipment!$A$2:$AH1001,MATCH("Slot",Equipment!$A$1:$AH$1,0),FALSE),"")</f>
        <v/>
      </c>
      <c r="E733" s="20" t="str">
        <f>IFERROR(VLOOKUP($A733,Equipment!$A$2:$AH1001,MATCH("LevelReq",Equipment!$A$1:$AH$1,0),FALSE),"")</f>
        <v/>
      </c>
      <c r="F733" s="18" t="str">
        <f>IFERROR(VLOOKUP($A733,Equipconvrt!$A$2:$AH1001,MATCH("Abilities",Equipconvrt!$A$1:$AH$1,0),FALSE),"")</f>
        <v/>
      </c>
      <c r="G733" s="20" t="str">
        <f>IFERROR(VLOOKUP($A733,Equipment!$A$2:$AD1001,MATCH("Price",Equipment!$A$1:$AH$1,0),FALSE),"")</f>
        <v/>
      </c>
      <c r="H733" s="1" t="b">
        <v>0</v>
      </c>
      <c r="I733" s="1" t="str">
        <f>IFERROR(VLOOKUP($A733,Equipment!$A$2:$AH1001,MATCH("EquipLoc",Equipment!$A$1:$AH$1,0),FALSE),"")</f>
        <v/>
      </c>
      <c r="W733" s="1" t="str">
        <f>IFERROR(__xludf.DUMMYFUNCTION("""COMPUTED_VALUE"""),"Sorcerer's Cloak")</f>
        <v>Sorcerer's Cloak</v>
      </c>
      <c r="X733" s="1" t="str">
        <f t="shared" si="1"/>
        <v>Sorcerer's Cloak</v>
      </c>
    </row>
    <row r="734">
      <c r="A734" s="1"/>
      <c r="B734" s="18" t="str">
        <f>IFERROR(VLOOKUP($A734,Equipment!$A$2:$AH1001,MATCH("Description",Equipment!$A$1:$AH$1,0),FALSE),"")</f>
        <v/>
      </c>
      <c r="C734" s="18" t="str">
        <f>IFERROR(VLOOKUP($A734,Equipment!$A$2:$AH1001,MATCH("Type",Equipment!$A$1:$AH$1,0),FALSE),"")</f>
        <v/>
      </c>
      <c r="D734" s="18" t="str">
        <f>IFERROR(VLOOKUP($A734,Equipment!$A$2:$AH1001,MATCH("Slot",Equipment!$A$1:$AH$1,0),FALSE),"")</f>
        <v/>
      </c>
      <c r="E734" s="20" t="str">
        <f>IFERROR(VLOOKUP($A734,Equipment!$A$2:$AH1001,MATCH("LevelReq",Equipment!$A$1:$AH$1,0),FALSE),"")</f>
        <v/>
      </c>
      <c r="F734" s="18" t="str">
        <f>IFERROR(VLOOKUP($A734,Equipconvrt!$A$2:$AH1001,MATCH("Abilities",Equipconvrt!$A$1:$AH$1,0),FALSE),"")</f>
        <v/>
      </c>
      <c r="G734" s="20" t="str">
        <f>IFERROR(VLOOKUP($A734,Equipment!$A$2:$AD1001,MATCH("Price",Equipment!$A$1:$AH$1,0),FALSE),"")</f>
        <v/>
      </c>
      <c r="H734" s="1" t="b">
        <v>0</v>
      </c>
      <c r="I734" s="1" t="str">
        <f>IFERROR(VLOOKUP($A734,Equipment!$A$2:$AH1001,MATCH("EquipLoc",Equipment!$A$1:$AH$1,0),FALSE),"")</f>
        <v/>
      </c>
      <c r="W734" s="1" t="str">
        <f>IFERROR(__xludf.DUMMYFUNCTION("""COMPUTED_VALUE"""),"Sorcerer's Shoes")</f>
        <v>Sorcerer's Shoes</v>
      </c>
      <c r="X734" s="1" t="str">
        <f t="shared" si="1"/>
        <v>Sorcerer's Shoes</v>
      </c>
    </row>
    <row r="735">
      <c r="A735" s="1"/>
      <c r="B735" s="18" t="str">
        <f>IFERROR(VLOOKUP($A735,Equipment!$A$2:$AH1001,MATCH("Description",Equipment!$A$1:$AH$1,0),FALSE),"")</f>
        <v/>
      </c>
      <c r="C735" s="18" t="str">
        <f>IFERROR(VLOOKUP($A735,Equipment!$A$2:$AH1001,MATCH("Type",Equipment!$A$1:$AH$1,0),FALSE),"")</f>
        <v/>
      </c>
      <c r="D735" s="18" t="str">
        <f>IFERROR(VLOOKUP($A735,Equipment!$A$2:$AH1001,MATCH("Slot",Equipment!$A$1:$AH$1,0),FALSE),"")</f>
        <v/>
      </c>
      <c r="E735" s="20" t="str">
        <f>IFERROR(VLOOKUP($A735,Equipment!$A$2:$AH1001,MATCH("LevelReq",Equipment!$A$1:$AH$1,0),FALSE),"")</f>
        <v/>
      </c>
      <c r="F735" s="18" t="str">
        <f>IFERROR(VLOOKUP($A735,Equipconvrt!$A$2:$AH1001,MATCH("Abilities",Equipconvrt!$A$1:$AH$1,0),FALSE),"")</f>
        <v/>
      </c>
      <c r="G735" s="20" t="str">
        <f>IFERROR(VLOOKUP($A735,Equipment!$A$2:$AD1001,MATCH("Price",Equipment!$A$1:$AH$1,0),FALSE),"")</f>
        <v/>
      </c>
      <c r="H735" s="1" t="b">
        <v>0</v>
      </c>
      <c r="I735" s="1" t="str">
        <f>IFERROR(VLOOKUP($A735,Equipment!$A$2:$AH1001,MATCH("EquipLoc",Equipment!$A$1:$AH$1,0),FALSE),"")</f>
        <v/>
      </c>
      <c r="W735" s="1" t="str">
        <f>IFERROR(__xludf.DUMMYFUNCTION("""COMPUTED_VALUE"""),"Wizard's Hood")</f>
        <v>Wizard's Hood</v>
      </c>
      <c r="X735" s="1" t="str">
        <f t="shared" si="1"/>
        <v>Wizard's Hood</v>
      </c>
    </row>
    <row r="736">
      <c r="A736" s="1"/>
      <c r="B736" s="18" t="str">
        <f>IFERROR(VLOOKUP($A736,Equipment!$A$2:$AH1001,MATCH("Description",Equipment!$A$1:$AH$1,0),FALSE),"")</f>
        <v/>
      </c>
      <c r="C736" s="18" t="str">
        <f>IFERROR(VLOOKUP($A736,Equipment!$A$2:$AH1001,MATCH("Type",Equipment!$A$1:$AH$1,0),FALSE),"")</f>
        <v/>
      </c>
      <c r="D736" s="18" t="str">
        <f>IFERROR(VLOOKUP($A736,Equipment!$A$2:$AH1001,MATCH("Slot",Equipment!$A$1:$AH$1,0),FALSE),"")</f>
        <v/>
      </c>
      <c r="E736" s="20" t="str">
        <f>IFERROR(VLOOKUP($A736,Equipment!$A$2:$AH1001,MATCH("LevelReq",Equipment!$A$1:$AH$1,0),FALSE),"")</f>
        <v/>
      </c>
      <c r="F736" s="18" t="str">
        <f>IFERROR(VLOOKUP($A736,Equipconvrt!$A$2:$AH1001,MATCH("Abilities",Equipconvrt!$A$1:$AH$1,0),FALSE),"")</f>
        <v/>
      </c>
      <c r="G736" s="20" t="str">
        <f>IFERROR(VLOOKUP($A736,Equipment!$A$2:$AD1001,MATCH("Price",Equipment!$A$1:$AH$1,0),FALSE),"")</f>
        <v/>
      </c>
      <c r="H736" s="1" t="b">
        <v>0</v>
      </c>
      <c r="I736" s="1" t="str">
        <f>IFERROR(VLOOKUP($A736,Equipment!$A$2:$AH1001,MATCH("EquipLoc",Equipment!$A$1:$AH$1,0),FALSE),"")</f>
        <v/>
      </c>
      <c r="W736" s="1" t="str">
        <f>IFERROR(__xludf.DUMMYFUNCTION("""COMPUTED_VALUE"""),"Wizard's Cloak")</f>
        <v>Wizard's Cloak</v>
      </c>
      <c r="X736" s="1" t="str">
        <f t="shared" si="1"/>
        <v>Wizard's Cloak</v>
      </c>
    </row>
    <row r="737">
      <c r="A737" s="1"/>
      <c r="B737" s="18" t="str">
        <f>IFERROR(VLOOKUP($A737,Equipment!$A$2:$AH1001,MATCH("Description",Equipment!$A$1:$AH$1,0),FALSE),"")</f>
        <v/>
      </c>
      <c r="C737" s="18" t="str">
        <f>IFERROR(VLOOKUP($A737,Equipment!$A$2:$AH1001,MATCH("Type",Equipment!$A$1:$AH$1,0),FALSE),"")</f>
        <v/>
      </c>
      <c r="D737" s="18" t="str">
        <f>IFERROR(VLOOKUP($A737,Equipment!$A$2:$AH1001,MATCH("Slot",Equipment!$A$1:$AH$1,0),FALSE),"")</f>
        <v/>
      </c>
      <c r="E737" s="20" t="str">
        <f>IFERROR(VLOOKUP($A737,Equipment!$A$2:$AH1001,MATCH("LevelReq",Equipment!$A$1:$AH$1,0),FALSE),"")</f>
        <v/>
      </c>
      <c r="F737" s="18" t="str">
        <f>IFERROR(VLOOKUP($A737,Equipconvrt!$A$2:$AH1001,MATCH("Abilities",Equipconvrt!$A$1:$AH$1,0),FALSE),"")</f>
        <v/>
      </c>
      <c r="G737" s="20" t="str">
        <f>IFERROR(VLOOKUP($A737,Equipment!$A$2:$AD1001,MATCH("Price",Equipment!$A$1:$AH$1,0),FALSE),"")</f>
        <v/>
      </c>
      <c r="H737" s="1" t="b">
        <v>0</v>
      </c>
      <c r="I737" s="1" t="str">
        <f>IFERROR(VLOOKUP($A737,Equipment!$A$2:$AH1001,MATCH("EquipLoc",Equipment!$A$1:$AH$1,0),FALSE),"")</f>
        <v/>
      </c>
      <c r="W737" s="1" t="str">
        <f>IFERROR(__xludf.DUMMYFUNCTION("""COMPUTED_VALUE"""),"Wizard's Shoes")</f>
        <v>Wizard's Shoes</v>
      </c>
      <c r="X737" s="1" t="str">
        <f t="shared" si="1"/>
        <v>Wizard's Shoes</v>
      </c>
    </row>
    <row r="738">
      <c r="A738" s="1"/>
      <c r="B738" s="18" t="str">
        <f>IFERROR(VLOOKUP($A738,Equipment!$A$2:$AH1001,MATCH("Description",Equipment!$A$1:$AH$1,0),FALSE),"")</f>
        <v/>
      </c>
      <c r="C738" s="18" t="str">
        <f>IFERROR(VLOOKUP($A738,Equipment!$A$2:$AH1001,MATCH("Type",Equipment!$A$1:$AH$1,0),FALSE),"")</f>
        <v/>
      </c>
      <c r="D738" s="18" t="str">
        <f>IFERROR(VLOOKUP($A738,Equipment!$A$2:$AH1001,MATCH("Slot",Equipment!$A$1:$AH$1,0),FALSE),"")</f>
        <v/>
      </c>
      <c r="E738" s="20" t="str">
        <f>IFERROR(VLOOKUP($A738,Equipment!$A$2:$AH1001,MATCH("LevelReq",Equipment!$A$1:$AH$1,0),FALSE),"")</f>
        <v/>
      </c>
      <c r="F738" s="18" t="str">
        <f>IFERROR(VLOOKUP($A738,Equipconvrt!$A$2:$AH1001,MATCH("Abilities",Equipconvrt!$A$1:$AH$1,0),FALSE),"")</f>
        <v/>
      </c>
      <c r="G738" s="20" t="str">
        <f>IFERROR(VLOOKUP($A738,Equipment!$A$2:$AD1001,MATCH("Price",Equipment!$A$1:$AH$1,0),FALSE),"")</f>
        <v/>
      </c>
      <c r="H738" s="1" t="b">
        <v>0</v>
      </c>
      <c r="I738" s="1" t="str">
        <f>IFERROR(VLOOKUP($A738,Equipment!$A$2:$AH1001,MATCH("EquipLoc",Equipment!$A$1:$AH$1,0),FALSE),"")</f>
        <v/>
      </c>
      <c r="W738" s="1" t="str">
        <f>IFERROR(__xludf.DUMMYFUNCTION("""COMPUTED_VALUE"""),"Gunslinger's Cap")</f>
        <v>Gunslinger's Cap</v>
      </c>
      <c r="X738" s="1" t="str">
        <f t="shared" si="1"/>
        <v>Gunslinger's Cap</v>
      </c>
    </row>
    <row r="739">
      <c r="A739" s="1"/>
      <c r="B739" s="18" t="str">
        <f>IFERROR(VLOOKUP($A739,Equipment!$A$2:$AH1001,MATCH("Description",Equipment!$A$1:$AH$1,0),FALSE),"")</f>
        <v/>
      </c>
      <c r="C739" s="18" t="str">
        <f>IFERROR(VLOOKUP($A739,Equipment!$A$2:$AH1001,MATCH("Type",Equipment!$A$1:$AH$1,0),FALSE),"")</f>
        <v/>
      </c>
      <c r="D739" s="18" t="str">
        <f>IFERROR(VLOOKUP($A739,Equipment!$A$2:$AH1001,MATCH("Slot",Equipment!$A$1:$AH$1,0),FALSE),"")</f>
        <v/>
      </c>
      <c r="E739" s="20" t="str">
        <f>IFERROR(VLOOKUP($A739,Equipment!$A$2:$AH1001,MATCH("LevelReq",Equipment!$A$1:$AH$1,0),FALSE),"")</f>
        <v/>
      </c>
      <c r="F739" s="18" t="str">
        <f>IFERROR(VLOOKUP($A739,Equipconvrt!$A$2:$AH1001,MATCH("Abilities",Equipconvrt!$A$1:$AH$1,0),FALSE),"")</f>
        <v/>
      </c>
      <c r="G739" s="20" t="str">
        <f>IFERROR(VLOOKUP($A739,Equipment!$A$2:$AD1001,MATCH("Price",Equipment!$A$1:$AH$1,0),FALSE),"")</f>
        <v/>
      </c>
      <c r="H739" s="1" t="b">
        <v>0</v>
      </c>
      <c r="I739" s="1" t="str">
        <f>IFERROR(VLOOKUP($A739,Equipment!$A$2:$AH1001,MATCH("EquipLoc",Equipment!$A$1:$AH$1,0),FALSE),"")</f>
        <v/>
      </c>
      <c r="W739" s="1" t="str">
        <f>IFERROR(__xludf.DUMMYFUNCTION("""COMPUTED_VALUE"""),"Gunslinger's Shirt")</f>
        <v>Gunslinger's Shirt</v>
      </c>
      <c r="X739" s="1" t="str">
        <f t="shared" si="1"/>
        <v>Gunslinger's Shirt</v>
      </c>
    </row>
    <row r="740">
      <c r="A740" s="1"/>
      <c r="B740" s="18" t="str">
        <f>IFERROR(VLOOKUP($A740,Equipment!$A$2:$AH1001,MATCH("Description",Equipment!$A$1:$AH$1,0),FALSE),"")</f>
        <v/>
      </c>
      <c r="C740" s="18" t="str">
        <f>IFERROR(VLOOKUP($A740,Equipment!$A$2:$AH1001,MATCH("Type",Equipment!$A$1:$AH$1,0),FALSE),"")</f>
        <v/>
      </c>
      <c r="D740" s="18" t="str">
        <f>IFERROR(VLOOKUP($A740,Equipment!$A$2:$AH1001,MATCH("Slot",Equipment!$A$1:$AH$1,0),FALSE),"")</f>
        <v/>
      </c>
      <c r="E740" s="20" t="str">
        <f>IFERROR(VLOOKUP($A740,Equipment!$A$2:$AH1001,MATCH("LevelReq",Equipment!$A$1:$AH$1,0),FALSE),"")</f>
        <v/>
      </c>
      <c r="F740" s="18" t="str">
        <f>IFERROR(VLOOKUP($A740,Equipconvrt!$A$2:$AH1001,MATCH("Abilities",Equipconvrt!$A$1:$AH$1,0),FALSE),"")</f>
        <v/>
      </c>
      <c r="G740" s="20" t="str">
        <f>IFERROR(VLOOKUP($A740,Equipment!$A$2:$AD1001,MATCH("Price",Equipment!$A$1:$AH$1,0),FALSE),"")</f>
        <v/>
      </c>
      <c r="H740" s="1" t="b">
        <v>0</v>
      </c>
      <c r="I740" s="1" t="str">
        <f>IFERROR(VLOOKUP($A740,Equipment!$A$2:$AH1001,MATCH("EquipLoc",Equipment!$A$1:$AH$1,0),FALSE),"")</f>
        <v/>
      </c>
      <c r="W740" s="1" t="str">
        <f>IFERROR(__xludf.DUMMYFUNCTION("""COMPUTED_VALUE"""),"Gunslinger's Boots")</f>
        <v>Gunslinger's Boots</v>
      </c>
      <c r="X740" s="1" t="str">
        <f t="shared" si="1"/>
        <v>Gunslinger's Boots</v>
      </c>
    </row>
    <row r="741">
      <c r="A741" s="1"/>
      <c r="B741" s="18" t="str">
        <f>IFERROR(VLOOKUP($A741,Equipment!$A$2:$AH1001,MATCH("Description",Equipment!$A$1:$AH$1,0),FALSE),"")</f>
        <v/>
      </c>
      <c r="C741" s="18" t="str">
        <f>IFERROR(VLOOKUP($A741,Equipment!$A$2:$AH1001,MATCH("Type",Equipment!$A$1:$AH$1,0),FALSE),"")</f>
        <v/>
      </c>
      <c r="D741" s="18" t="str">
        <f>IFERROR(VLOOKUP($A741,Equipment!$A$2:$AH1001,MATCH("Slot",Equipment!$A$1:$AH$1,0),FALSE),"")</f>
        <v/>
      </c>
      <c r="E741" s="20" t="str">
        <f>IFERROR(VLOOKUP($A741,Equipment!$A$2:$AH1001,MATCH("LevelReq",Equipment!$A$1:$AH$1,0),FALSE),"")</f>
        <v/>
      </c>
      <c r="F741" s="18" t="str">
        <f>IFERROR(VLOOKUP($A741,Equipconvrt!$A$2:$AH1001,MATCH("Abilities",Equipconvrt!$A$1:$AH$1,0),FALSE),"")</f>
        <v/>
      </c>
      <c r="G741" s="20" t="str">
        <f>IFERROR(VLOOKUP($A741,Equipment!$A$2:$AD1001,MATCH("Price",Equipment!$A$1:$AH$1,0),FALSE),"")</f>
        <v/>
      </c>
      <c r="H741" s="1" t="b">
        <v>0</v>
      </c>
      <c r="I741" s="1" t="str">
        <f>IFERROR(VLOOKUP($A741,Equipment!$A$2:$AH1001,MATCH("EquipLoc",Equipment!$A$1:$AH$1,0),FALSE),"")</f>
        <v/>
      </c>
      <c r="W741" s="1" t="str">
        <f>IFERROR(__xludf.DUMMYFUNCTION("""COMPUTED_VALUE"""),"Bard's Coif")</f>
        <v>Bard's Coif</v>
      </c>
      <c r="X741" s="1" t="str">
        <f t="shared" si="1"/>
        <v>Bard's Coif</v>
      </c>
    </row>
    <row r="742">
      <c r="A742" s="1"/>
      <c r="B742" s="18" t="str">
        <f>IFERROR(VLOOKUP($A742,Equipment!$A$2:$AH1001,MATCH("Description",Equipment!$A$1:$AH$1,0),FALSE),"")</f>
        <v/>
      </c>
      <c r="C742" s="18" t="str">
        <f>IFERROR(VLOOKUP($A742,Equipment!$A$2:$AH1001,MATCH("Type",Equipment!$A$1:$AH$1,0),FALSE),"")</f>
        <v/>
      </c>
      <c r="D742" s="18" t="str">
        <f>IFERROR(VLOOKUP($A742,Equipment!$A$2:$AH1001,MATCH("Slot",Equipment!$A$1:$AH$1,0),FALSE),"")</f>
        <v/>
      </c>
      <c r="E742" s="20" t="str">
        <f>IFERROR(VLOOKUP($A742,Equipment!$A$2:$AH1001,MATCH("LevelReq",Equipment!$A$1:$AH$1,0),FALSE),"")</f>
        <v/>
      </c>
      <c r="F742" s="18" t="str">
        <f>IFERROR(VLOOKUP($A742,Equipconvrt!$A$2:$AH1001,MATCH("Abilities",Equipconvrt!$A$1:$AH$1,0),FALSE),"")</f>
        <v/>
      </c>
      <c r="G742" s="20" t="str">
        <f>IFERROR(VLOOKUP($A742,Equipment!$A$2:$AD1001,MATCH("Price",Equipment!$A$1:$AH$1,0),FALSE),"")</f>
        <v/>
      </c>
      <c r="H742" s="1" t="b">
        <v>0</v>
      </c>
      <c r="I742" s="1" t="str">
        <f>IFERROR(VLOOKUP($A742,Equipment!$A$2:$AH1001,MATCH("EquipLoc",Equipment!$A$1:$AH$1,0),FALSE),"")</f>
        <v/>
      </c>
      <c r="W742" s="1" t="str">
        <f>IFERROR(__xludf.DUMMYFUNCTION("""COMPUTED_VALUE"""),"Bard's Gambeson")</f>
        <v>Bard's Gambeson</v>
      </c>
      <c r="X742" s="1" t="str">
        <f t="shared" si="1"/>
        <v>Bard's Gambeson</v>
      </c>
    </row>
    <row r="743">
      <c r="A743" s="1"/>
      <c r="B743" s="18" t="str">
        <f>IFERROR(VLOOKUP($A743,Equipment!$A$2:$AH1001,MATCH("Description",Equipment!$A$1:$AH$1,0),FALSE),"")</f>
        <v/>
      </c>
      <c r="C743" s="18" t="str">
        <f>IFERROR(VLOOKUP($A743,Equipment!$A$2:$AH1001,MATCH("Type",Equipment!$A$1:$AH$1,0),FALSE),"")</f>
        <v/>
      </c>
      <c r="D743" s="18" t="str">
        <f>IFERROR(VLOOKUP($A743,Equipment!$A$2:$AH1001,MATCH("Slot",Equipment!$A$1:$AH$1,0),FALSE),"")</f>
        <v/>
      </c>
      <c r="E743" s="20" t="str">
        <f>IFERROR(VLOOKUP($A743,Equipment!$A$2:$AH1001,MATCH("LevelReq",Equipment!$A$1:$AH$1,0),FALSE),"")</f>
        <v/>
      </c>
      <c r="F743" s="18" t="str">
        <f>IFERROR(VLOOKUP($A743,Equipconvrt!$A$2:$AH1001,MATCH("Abilities",Equipconvrt!$A$1:$AH$1,0),FALSE),"")</f>
        <v/>
      </c>
      <c r="G743" s="20" t="str">
        <f>IFERROR(VLOOKUP($A743,Equipment!$A$2:$AD1001,MATCH("Price",Equipment!$A$1:$AH$1,0),FALSE),"")</f>
        <v/>
      </c>
      <c r="H743" s="1" t="b">
        <v>0</v>
      </c>
      <c r="I743" s="1" t="str">
        <f>IFERROR(VLOOKUP($A743,Equipment!$A$2:$AH1001,MATCH("EquipLoc",Equipment!$A$1:$AH$1,0),FALSE),"")</f>
        <v/>
      </c>
      <c r="W743" s="1" t="str">
        <f>IFERROR(__xludf.DUMMYFUNCTION("""COMPUTED_VALUE"""),"Bard's Shoes")</f>
        <v>Bard's Shoes</v>
      </c>
      <c r="X743" s="1" t="str">
        <f t="shared" si="1"/>
        <v>Bard's Shoes</v>
      </c>
    </row>
    <row r="744">
      <c r="A744" s="1"/>
      <c r="B744" s="18" t="str">
        <f>IFERROR(VLOOKUP($A744,Equipment!$A$2:$AH1001,MATCH("Description",Equipment!$A$1:$AH$1,0),FALSE),"")</f>
        <v/>
      </c>
      <c r="C744" s="18" t="str">
        <f>IFERROR(VLOOKUP($A744,Equipment!$A$2:$AH1001,MATCH("Type",Equipment!$A$1:$AH$1,0),FALSE),"")</f>
        <v/>
      </c>
      <c r="D744" s="18" t="str">
        <f>IFERROR(VLOOKUP($A744,Equipment!$A$2:$AH1001,MATCH("Slot",Equipment!$A$1:$AH$1,0),FALSE),"")</f>
        <v/>
      </c>
      <c r="E744" s="20" t="str">
        <f>IFERROR(VLOOKUP($A744,Equipment!$A$2:$AH1001,MATCH("LevelReq",Equipment!$A$1:$AH$1,0),FALSE),"")</f>
        <v/>
      </c>
      <c r="F744" s="18" t="str">
        <f>IFERROR(VLOOKUP($A744,Equipconvrt!$A$2:$AH1001,MATCH("Abilities",Equipconvrt!$A$1:$AH$1,0),FALSE),"")</f>
        <v/>
      </c>
      <c r="G744" s="20" t="str">
        <f>IFERROR(VLOOKUP($A744,Equipment!$A$2:$AD1001,MATCH("Price",Equipment!$A$1:$AH$1,0),FALSE),"")</f>
        <v/>
      </c>
      <c r="H744" s="1" t="b">
        <v>0</v>
      </c>
      <c r="I744" s="1" t="str">
        <f>IFERROR(VLOOKUP($A744,Equipment!$A$2:$AH1001,MATCH("EquipLoc",Equipment!$A$1:$AH$1,0),FALSE),"")</f>
        <v/>
      </c>
      <c r="W744" s="1" t="str">
        <f>IFERROR(__xludf.DUMMYFUNCTION("""COMPUTED_VALUE"""),"Dragonscale Skirt")</f>
        <v>Dragonscale Skirt</v>
      </c>
      <c r="X744" s="1" t="str">
        <f t="shared" si="1"/>
        <v>Dragonscale Skirt</v>
      </c>
    </row>
    <row r="745">
      <c r="A745" s="1"/>
      <c r="B745" s="18" t="str">
        <f>IFERROR(VLOOKUP($A745,Equipment!$A$2:$AH1001,MATCH("Description",Equipment!$A$1:$AH$1,0),FALSE),"")</f>
        <v/>
      </c>
      <c r="C745" s="18" t="str">
        <f>IFERROR(VLOOKUP($A745,Equipment!$A$2:$AH1001,MATCH("Type",Equipment!$A$1:$AH$1,0),FALSE),"")</f>
        <v/>
      </c>
      <c r="D745" s="18" t="str">
        <f>IFERROR(VLOOKUP($A745,Equipment!$A$2:$AH1001,MATCH("Slot",Equipment!$A$1:$AH$1,0),FALSE),"")</f>
        <v/>
      </c>
      <c r="E745" s="20" t="str">
        <f>IFERROR(VLOOKUP($A745,Equipment!$A$2:$AH1001,MATCH("LevelReq",Equipment!$A$1:$AH$1,0),FALSE),"")</f>
        <v/>
      </c>
      <c r="F745" s="18" t="str">
        <f>IFERROR(VLOOKUP($A745,Equipconvrt!$A$2:$AH1001,MATCH("Abilities",Equipconvrt!$A$1:$AH$1,0),FALSE),"")</f>
        <v/>
      </c>
      <c r="G745" s="20" t="str">
        <f>IFERROR(VLOOKUP($A745,Equipment!$A$2:$AD1001,MATCH("Price",Equipment!$A$1:$AH$1,0),FALSE),"")</f>
        <v/>
      </c>
      <c r="H745" s="1" t="b">
        <v>0</v>
      </c>
      <c r="I745" s="1" t="str">
        <f>IFERROR(VLOOKUP($A745,Equipment!$A$2:$AH1001,MATCH("EquipLoc",Equipment!$A$1:$AH$1,0),FALSE),"")</f>
        <v/>
      </c>
      <c r="W745" s="1" t="str">
        <f>IFERROR(__xludf.DUMMYFUNCTION("""COMPUTED_VALUE"""),"Dragonscale Cape")</f>
        <v>Dragonscale Cape</v>
      </c>
      <c r="X745" s="1" t="str">
        <f t="shared" si="1"/>
        <v>Dragonscale Cape</v>
      </c>
    </row>
    <row r="746">
      <c r="A746" s="1"/>
      <c r="B746" s="18" t="str">
        <f>IFERROR(VLOOKUP($A746,Equipment!$A$2:$AH1001,MATCH("Description",Equipment!$A$1:$AH$1,0),FALSE),"")</f>
        <v/>
      </c>
      <c r="C746" s="18" t="str">
        <f>IFERROR(VLOOKUP($A746,Equipment!$A$2:$AH1001,MATCH("Type",Equipment!$A$1:$AH$1,0),FALSE),"")</f>
        <v/>
      </c>
      <c r="D746" s="18" t="str">
        <f>IFERROR(VLOOKUP($A746,Equipment!$A$2:$AH1001,MATCH("Slot",Equipment!$A$1:$AH$1,0),FALSE),"")</f>
        <v/>
      </c>
      <c r="E746" s="20" t="str">
        <f>IFERROR(VLOOKUP($A746,Equipment!$A$2:$AH1001,MATCH("LevelReq",Equipment!$A$1:$AH$1,0),FALSE),"")</f>
        <v/>
      </c>
      <c r="F746" s="18" t="str">
        <f>IFERROR(VLOOKUP($A746,Equipconvrt!$A$2:$AH1001,MATCH("Abilities",Equipconvrt!$A$1:$AH$1,0),FALSE),"")</f>
        <v/>
      </c>
      <c r="G746" s="20" t="str">
        <f>IFERROR(VLOOKUP($A746,Equipment!$A$2:$AD1001,MATCH("Price",Equipment!$A$1:$AH$1,0),FALSE),"")</f>
        <v/>
      </c>
      <c r="H746" s="1" t="b">
        <v>0</v>
      </c>
      <c r="I746" s="1" t="str">
        <f>IFERROR(VLOOKUP($A746,Equipment!$A$2:$AH1001,MATCH("EquipLoc",Equipment!$A$1:$AH$1,0),FALSE),"")</f>
        <v/>
      </c>
      <c r="W746" s="1" t="str">
        <f>IFERROR(__xludf.DUMMYFUNCTION("""COMPUTED_VALUE"""),"Broken Dragonscale Mail")</f>
        <v>Broken Dragonscale Mail</v>
      </c>
      <c r="X746" s="1" t="str">
        <f t="shared" si="1"/>
        <v>Broken Dragonscale Mail</v>
      </c>
    </row>
    <row r="747">
      <c r="A747" s="1"/>
      <c r="B747" s="18" t="str">
        <f>IFERROR(VLOOKUP($A747,Equipment!$A$2:$AH1001,MATCH("Description",Equipment!$A$1:$AH$1,0),FALSE),"")</f>
        <v/>
      </c>
      <c r="C747" s="18" t="str">
        <f>IFERROR(VLOOKUP($A747,Equipment!$A$2:$AH1001,MATCH("Type",Equipment!$A$1:$AH$1,0),FALSE),"")</f>
        <v/>
      </c>
      <c r="D747" s="18" t="str">
        <f>IFERROR(VLOOKUP($A747,Equipment!$A$2:$AH1001,MATCH("Slot",Equipment!$A$1:$AH$1,0),FALSE),"")</f>
        <v/>
      </c>
      <c r="E747" s="20" t="str">
        <f>IFERROR(VLOOKUP($A747,Equipment!$A$2:$AH1001,MATCH("LevelReq",Equipment!$A$1:$AH$1,0),FALSE),"")</f>
        <v/>
      </c>
      <c r="F747" s="18" t="str">
        <f>IFERROR(VLOOKUP($A747,Equipconvrt!$A$2:$AH1001,MATCH("Abilities",Equipconvrt!$A$1:$AH$1,0),FALSE),"")</f>
        <v/>
      </c>
      <c r="G747" s="20" t="str">
        <f>IFERROR(VLOOKUP($A747,Equipment!$A$2:$AD1001,MATCH("Price",Equipment!$A$1:$AH$1,0),FALSE),"")</f>
        <v/>
      </c>
      <c r="H747" s="1" t="b">
        <v>0</v>
      </c>
      <c r="I747" s="1" t="str">
        <f>IFERROR(VLOOKUP($A747,Equipment!$A$2:$AH1001,MATCH("EquipLoc",Equipment!$A$1:$AH$1,0),FALSE),"")</f>
        <v/>
      </c>
      <c r="W747" s="1" t="str">
        <f>IFERROR(__xludf.DUMMYFUNCTION("""COMPUTED_VALUE"""),"Dragonscale Mail")</f>
        <v>Dragonscale Mail</v>
      </c>
      <c r="X747" s="1" t="str">
        <f t="shared" si="1"/>
        <v>Dragonscale Mail</v>
      </c>
    </row>
    <row r="748">
      <c r="A748" s="1"/>
      <c r="B748" s="18" t="str">
        <f>IFERROR(VLOOKUP($A748,Equipment!$A$2:$AH1001,MATCH("Description",Equipment!$A$1:$AH$1,0),FALSE),"")</f>
        <v/>
      </c>
      <c r="C748" s="18" t="str">
        <f>IFERROR(VLOOKUP($A748,Equipment!$A$2:$AH1001,MATCH("Type",Equipment!$A$1:$AH$1,0),FALSE),"")</f>
        <v/>
      </c>
      <c r="D748" s="18" t="str">
        <f>IFERROR(VLOOKUP($A748,Equipment!$A$2:$AH1001,MATCH("Slot",Equipment!$A$1:$AH$1,0),FALSE),"")</f>
        <v/>
      </c>
      <c r="E748" s="20" t="str">
        <f>IFERROR(VLOOKUP($A748,Equipment!$A$2:$AH1001,MATCH("LevelReq",Equipment!$A$1:$AH$1,0),FALSE),"")</f>
        <v/>
      </c>
      <c r="F748" s="18" t="str">
        <f>IFERROR(VLOOKUP($A748,Equipconvrt!$A$2:$AH1001,MATCH("Abilities",Equipconvrt!$A$1:$AH$1,0),FALSE),"")</f>
        <v/>
      </c>
      <c r="G748" s="20" t="str">
        <f>IFERROR(VLOOKUP($A748,Equipment!$A$2:$AD1001,MATCH("Price",Equipment!$A$1:$AH$1,0),FALSE),"")</f>
        <v/>
      </c>
      <c r="H748" s="1" t="b">
        <v>0</v>
      </c>
      <c r="I748" s="1" t="str">
        <f>IFERROR(VLOOKUP($A748,Equipment!$A$2:$AH1001,MATCH("EquipLoc",Equipment!$A$1:$AH$1,0),FALSE),"")</f>
        <v/>
      </c>
      <c r="W748" s="1" t="str">
        <f>IFERROR(__xludf.DUMMYFUNCTION("""COMPUTED_VALUE"""),"Dragonscale Charm")</f>
        <v>Dragonscale Charm</v>
      </c>
      <c r="X748" s="1" t="str">
        <f t="shared" si="1"/>
        <v>Dragonscale Charm</v>
      </c>
    </row>
    <row r="749">
      <c r="A749" s="1"/>
      <c r="B749" s="18" t="str">
        <f>IFERROR(VLOOKUP($A749,Equipment!$A$2:$AH1001,MATCH("Description",Equipment!$A$1:$AH$1,0),FALSE),"")</f>
        <v/>
      </c>
      <c r="C749" s="18" t="str">
        <f>IFERROR(VLOOKUP($A749,Equipment!$A$2:$AH1001,MATCH("Type",Equipment!$A$1:$AH$1,0),FALSE),"")</f>
        <v/>
      </c>
      <c r="D749" s="18" t="str">
        <f>IFERROR(VLOOKUP($A749,Equipment!$A$2:$AH1001,MATCH("Slot",Equipment!$A$1:$AH$1,0),FALSE),"")</f>
        <v/>
      </c>
      <c r="E749" s="20" t="str">
        <f>IFERROR(VLOOKUP($A749,Equipment!$A$2:$AH1001,MATCH("LevelReq",Equipment!$A$1:$AH$1,0),FALSE),"")</f>
        <v/>
      </c>
      <c r="F749" s="18" t="str">
        <f>IFERROR(VLOOKUP($A749,Equipconvrt!$A$2:$AH1001,MATCH("Abilities",Equipconvrt!$A$1:$AH$1,0),FALSE),"")</f>
        <v/>
      </c>
      <c r="G749" s="20" t="str">
        <f>IFERROR(VLOOKUP($A749,Equipment!$A$2:$AD1001,MATCH("Price",Equipment!$A$1:$AH$1,0),FALSE),"")</f>
        <v/>
      </c>
      <c r="H749" s="1" t="b">
        <v>0</v>
      </c>
      <c r="I749" s="1" t="str">
        <f>IFERROR(VLOOKUP($A749,Equipment!$A$2:$AH1001,MATCH("EquipLoc",Equipment!$A$1:$AH$1,0),FALSE),"")</f>
        <v/>
      </c>
      <c r="W749" s="1" t="str">
        <f>IFERROR(__xludf.DUMMYFUNCTION("""COMPUTED_VALUE"""),"Dragonscale Sandals")</f>
        <v>Dragonscale Sandals</v>
      </c>
      <c r="X749" s="1" t="str">
        <f t="shared" si="1"/>
        <v>Dragonscale Sandals</v>
      </c>
    </row>
    <row r="750">
      <c r="A750" s="1"/>
      <c r="B750" s="18" t="str">
        <f>IFERROR(VLOOKUP($A750,Equipment!$A$2:$AH1001,MATCH("Description",Equipment!$A$1:$AH$1,0),FALSE),"")</f>
        <v/>
      </c>
      <c r="C750" s="18" t="str">
        <f>IFERROR(VLOOKUP($A750,Equipment!$A$2:$AH1001,MATCH("Type",Equipment!$A$1:$AH$1,0),FALSE),"")</f>
        <v/>
      </c>
      <c r="D750" s="18" t="str">
        <f>IFERROR(VLOOKUP($A750,Equipment!$A$2:$AH1001,MATCH("Slot",Equipment!$A$1:$AH$1,0),FALSE),"")</f>
        <v/>
      </c>
      <c r="E750" s="20" t="str">
        <f>IFERROR(VLOOKUP($A750,Equipment!$A$2:$AH1001,MATCH("LevelReq",Equipment!$A$1:$AH$1,0),FALSE),"")</f>
        <v/>
      </c>
      <c r="F750" s="18" t="str">
        <f>IFERROR(VLOOKUP($A750,Equipconvrt!$A$2:$AH1001,MATCH("Abilities",Equipconvrt!$A$1:$AH$1,0),FALSE),"")</f>
        <v/>
      </c>
      <c r="G750" s="20" t="str">
        <f>IFERROR(VLOOKUP($A750,Equipment!$A$2:$AD1001,MATCH("Price",Equipment!$A$1:$AH$1,0),FALSE),"")</f>
        <v/>
      </c>
      <c r="H750" s="1" t="b">
        <v>0</v>
      </c>
      <c r="I750" s="1" t="str">
        <f>IFERROR(VLOOKUP($A750,Equipment!$A$2:$AH1001,MATCH("EquipLoc",Equipment!$A$1:$AH$1,0),FALSE),"")</f>
        <v/>
      </c>
      <c r="W750" s="1" t="str">
        <f>IFERROR(__xludf.DUMMYFUNCTION("""COMPUTED_VALUE"""),"Dragonscale Talisman")</f>
        <v>Dragonscale Talisman</v>
      </c>
      <c r="X750" s="1" t="str">
        <f t="shared" si="1"/>
        <v>Dragonscale Talisman</v>
      </c>
    </row>
    <row r="751">
      <c r="A751" s="1"/>
      <c r="B751" s="18" t="str">
        <f>IFERROR(VLOOKUP($A751,Equipment!$A$2:$AH1001,MATCH("Description",Equipment!$A$1:$AH$1,0),FALSE),"")</f>
        <v/>
      </c>
      <c r="C751" s="18" t="str">
        <f>IFERROR(VLOOKUP($A751,Equipment!$A$2:$AH1001,MATCH("Type",Equipment!$A$1:$AH$1,0),FALSE),"")</f>
        <v/>
      </c>
      <c r="D751" s="18" t="str">
        <f>IFERROR(VLOOKUP($A751,Equipment!$A$2:$AH1001,MATCH("Slot",Equipment!$A$1:$AH$1,0),FALSE),"")</f>
        <v/>
      </c>
      <c r="E751" s="20" t="str">
        <f>IFERROR(VLOOKUP($A751,Equipment!$A$2:$AH1001,MATCH("LevelReq",Equipment!$A$1:$AH$1,0),FALSE),"")</f>
        <v/>
      </c>
      <c r="F751" s="18" t="str">
        <f>IFERROR(VLOOKUP($A751,Equipconvrt!$A$2:$AH1001,MATCH("Abilities",Equipconvrt!$A$1:$AH$1,0),FALSE),"")</f>
        <v/>
      </c>
      <c r="G751" s="20" t="str">
        <f>IFERROR(VLOOKUP($A751,Equipment!$A$2:$AD1001,MATCH("Price",Equipment!$A$1:$AH$1,0),FALSE),"")</f>
        <v/>
      </c>
      <c r="H751" s="1" t="b">
        <v>0</v>
      </c>
      <c r="I751" s="1" t="str">
        <f>IFERROR(VLOOKUP($A751,Equipment!$A$2:$AH1001,MATCH("EquipLoc",Equipment!$A$1:$AH$1,0),FALSE),"")</f>
        <v/>
      </c>
      <c r="W751" s="1" t="str">
        <f>IFERROR(__xludf.DUMMYFUNCTION("""COMPUTED_VALUE"""),"Dragonscale Water Ring")</f>
        <v>Dragonscale Water Ring</v>
      </c>
      <c r="X751" s="1" t="str">
        <f t="shared" si="1"/>
        <v>Dragonscale Water Ring</v>
      </c>
    </row>
    <row r="752">
      <c r="A752" s="1"/>
      <c r="B752" s="18" t="str">
        <f>IFERROR(VLOOKUP($A752,Equipment!$A$2:$AH1001,MATCH("Description",Equipment!$A$1:$AH$1,0),FALSE),"")</f>
        <v/>
      </c>
      <c r="C752" s="18" t="str">
        <f>IFERROR(VLOOKUP($A752,Equipment!$A$2:$AH1001,MATCH("Type",Equipment!$A$1:$AH$1,0),FALSE),"")</f>
        <v/>
      </c>
      <c r="D752" s="18" t="str">
        <f>IFERROR(VLOOKUP($A752,Equipment!$A$2:$AH1001,MATCH("Slot",Equipment!$A$1:$AH$1,0),FALSE),"")</f>
        <v/>
      </c>
      <c r="E752" s="20" t="str">
        <f>IFERROR(VLOOKUP($A752,Equipment!$A$2:$AH1001,MATCH("LevelReq",Equipment!$A$1:$AH$1,0),FALSE),"")</f>
        <v/>
      </c>
      <c r="F752" s="18" t="str">
        <f>IFERROR(VLOOKUP($A752,Equipconvrt!$A$2:$AH1001,MATCH("Abilities",Equipconvrt!$A$1:$AH$1,0),FALSE),"")</f>
        <v/>
      </c>
      <c r="G752" s="20" t="str">
        <f>IFERROR(VLOOKUP($A752,Equipment!$A$2:$AD1001,MATCH("Price",Equipment!$A$1:$AH$1,0),FALSE),"")</f>
        <v/>
      </c>
      <c r="H752" s="1" t="b">
        <v>0</v>
      </c>
      <c r="I752" s="1" t="str">
        <f>IFERROR(VLOOKUP($A752,Equipment!$A$2:$AH1001,MATCH("EquipLoc",Equipment!$A$1:$AH$1,0),FALSE),"")</f>
        <v/>
      </c>
      <c r="W752" s="1" t="str">
        <f>IFERROR(__xludf.DUMMYFUNCTION("""COMPUTED_VALUE"""),"Dragonscale Gauntlets")</f>
        <v>Dragonscale Gauntlets</v>
      </c>
      <c r="X752" s="1" t="str">
        <f t="shared" si="1"/>
        <v>Dragonscale Gauntlets</v>
      </c>
    </row>
    <row r="753">
      <c r="A753" s="1"/>
      <c r="B753" s="18" t="str">
        <f>IFERROR(VLOOKUP($A753,Equipment!$A$2:$AH1001,MATCH("Description",Equipment!$A$1:$AH$1,0),FALSE),"")</f>
        <v/>
      </c>
      <c r="C753" s="18" t="str">
        <f>IFERROR(VLOOKUP($A753,Equipment!$A$2:$AH1001,MATCH("Type",Equipment!$A$1:$AH$1,0),FALSE),"")</f>
        <v/>
      </c>
      <c r="D753" s="18" t="str">
        <f>IFERROR(VLOOKUP($A753,Equipment!$A$2:$AH1001,MATCH("Slot",Equipment!$A$1:$AH$1,0),FALSE),"")</f>
        <v/>
      </c>
      <c r="E753" s="20" t="str">
        <f>IFERROR(VLOOKUP($A753,Equipment!$A$2:$AH1001,MATCH("LevelReq",Equipment!$A$1:$AH$1,0),FALSE),"")</f>
        <v/>
      </c>
      <c r="F753" s="18" t="str">
        <f>IFERROR(VLOOKUP($A753,Equipconvrt!$A$2:$AH1001,MATCH("Abilities",Equipconvrt!$A$1:$AH$1,0),FALSE),"")</f>
        <v/>
      </c>
      <c r="G753" s="20" t="str">
        <f>IFERROR(VLOOKUP($A753,Equipment!$A$2:$AD1001,MATCH("Price",Equipment!$A$1:$AH$1,0),FALSE),"")</f>
        <v/>
      </c>
      <c r="H753" s="1" t="b">
        <v>0</v>
      </c>
      <c r="I753" s="1" t="str">
        <f>IFERROR(VLOOKUP($A753,Equipment!$A$2:$AH1001,MATCH("EquipLoc",Equipment!$A$1:$AH$1,0),FALSE),"")</f>
        <v/>
      </c>
      <c r="W753" s="1" t="str">
        <f>IFERROR(__xludf.DUMMYFUNCTION("""COMPUTED_VALUE"""),"Fire Dragonscale Bow")</f>
        <v>Fire Dragonscale Bow</v>
      </c>
      <c r="X753" s="1" t="str">
        <f t="shared" si="1"/>
        <v>Fire Dragonscale Bow</v>
      </c>
    </row>
    <row r="754">
      <c r="A754" s="1"/>
      <c r="B754" s="18" t="str">
        <f>IFERROR(VLOOKUP($A754,Equipment!$A$2:$AH1001,MATCH("Description",Equipment!$A$1:$AH$1,0),FALSE),"")</f>
        <v/>
      </c>
      <c r="C754" s="18" t="str">
        <f>IFERROR(VLOOKUP($A754,Equipment!$A$2:$AH1001,MATCH("Type",Equipment!$A$1:$AH$1,0),FALSE),"")</f>
        <v/>
      </c>
      <c r="D754" s="18" t="str">
        <f>IFERROR(VLOOKUP($A754,Equipment!$A$2:$AH1001,MATCH("Slot",Equipment!$A$1:$AH$1,0),FALSE),"")</f>
        <v/>
      </c>
      <c r="E754" s="20" t="str">
        <f>IFERROR(VLOOKUP($A754,Equipment!$A$2:$AH1001,MATCH("LevelReq",Equipment!$A$1:$AH$1,0),FALSE),"")</f>
        <v/>
      </c>
      <c r="F754" s="18" t="str">
        <f>IFERROR(VLOOKUP($A754,Equipconvrt!$A$2:$AH1001,MATCH("Abilities",Equipconvrt!$A$1:$AH$1,0),FALSE),"")</f>
        <v/>
      </c>
      <c r="G754" s="20" t="str">
        <f>IFERROR(VLOOKUP($A754,Equipment!$A$2:$AD1001,MATCH("Price",Equipment!$A$1:$AH$1,0),FALSE),"")</f>
        <v/>
      </c>
      <c r="H754" s="1" t="b">
        <v>0</v>
      </c>
      <c r="I754" s="1" t="str">
        <f>IFERROR(VLOOKUP($A754,Equipment!$A$2:$AH1001,MATCH("EquipLoc",Equipment!$A$1:$AH$1,0),FALSE),"")</f>
        <v/>
      </c>
      <c r="W754" s="1" t="str">
        <f>IFERROR(__xludf.DUMMYFUNCTION("""COMPUTED_VALUE"""),"Storm Dragonscale Flail")</f>
        <v>Storm Dragonscale Flail</v>
      </c>
      <c r="X754" s="1" t="str">
        <f t="shared" si="1"/>
        <v>Storm Dragonscale Flail</v>
      </c>
    </row>
    <row r="755">
      <c r="A755" s="1"/>
      <c r="B755" s="18" t="str">
        <f>IFERROR(VLOOKUP($A755,Equipment!$A$2:$AH1001,MATCH("Description",Equipment!$A$1:$AH$1,0),FALSE),"")</f>
        <v/>
      </c>
      <c r="C755" s="18" t="str">
        <f>IFERROR(VLOOKUP($A755,Equipment!$A$2:$AH1001,MATCH("Type",Equipment!$A$1:$AH$1,0),FALSE),"")</f>
        <v/>
      </c>
      <c r="D755" s="18" t="str">
        <f>IFERROR(VLOOKUP($A755,Equipment!$A$2:$AH1001,MATCH("Slot",Equipment!$A$1:$AH$1,0),FALSE),"")</f>
        <v/>
      </c>
      <c r="E755" s="20" t="str">
        <f>IFERROR(VLOOKUP($A755,Equipment!$A$2:$AH1001,MATCH("LevelReq",Equipment!$A$1:$AH$1,0),FALSE),"")</f>
        <v/>
      </c>
      <c r="F755" s="18" t="str">
        <f>IFERROR(VLOOKUP($A755,Equipconvrt!$A$2:$AH1001,MATCH("Abilities",Equipconvrt!$A$1:$AH$1,0),FALSE),"")</f>
        <v/>
      </c>
      <c r="G755" s="20" t="str">
        <f>IFERROR(VLOOKUP($A755,Equipment!$A$2:$AD1001,MATCH("Price",Equipment!$A$1:$AH$1,0),FALSE),"")</f>
        <v/>
      </c>
      <c r="H755" s="1" t="b">
        <v>0</v>
      </c>
      <c r="I755" s="1" t="str">
        <f>IFERROR(VLOOKUP($A755,Equipment!$A$2:$AH1001,MATCH("EquipLoc",Equipment!$A$1:$AH$1,0),FALSE),"")</f>
        <v/>
      </c>
      <c r="W755" s="1" t="str">
        <f>IFERROR(__xludf.DUMMYFUNCTION("""COMPUTED_VALUE"""),"Dragonscale Spear")</f>
        <v>Dragonscale Spear</v>
      </c>
      <c r="X755" s="1" t="str">
        <f t="shared" si="1"/>
        <v>Dragonscale Spear</v>
      </c>
    </row>
    <row r="756">
      <c r="A756" s="1"/>
      <c r="B756" s="18" t="str">
        <f>IFERROR(VLOOKUP($A756,Equipment!$A$2:$AH1001,MATCH("Description",Equipment!$A$1:$AH$1,0),FALSE),"")</f>
        <v/>
      </c>
      <c r="C756" s="18" t="str">
        <f>IFERROR(VLOOKUP($A756,Equipment!$A$2:$AH1001,MATCH("Type",Equipment!$A$1:$AH$1,0),FALSE),"")</f>
        <v/>
      </c>
      <c r="D756" s="18" t="str">
        <f>IFERROR(VLOOKUP($A756,Equipment!$A$2:$AH1001,MATCH("Slot",Equipment!$A$1:$AH$1,0),FALSE),"")</f>
        <v/>
      </c>
      <c r="E756" s="20" t="str">
        <f>IFERROR(VLOOKUP($A756,Equipment!$A$2:$AH1001,MATCH("LevelReq",Equipment!$A$1:$AH$1,0),FALSE),"")</f>
        <v/>
      </c>
      <c r="F756" s="18" t="str">
        <f>IFERROR(VLOOKUP($A756,Equipconvrt!$A$2:$AH1001,MATCH("Abilities",Equipconvrt!$A$1:$AH$1,0),FALSE),"")</f>
        <v/>
      </c>
      <c r="G756" s="20" t="str">
        <f>IFERROR(VLOOKUP($A756,Equipment!$A$2:$AD1001,MATCH("Price",Equipment!$A$1:$AH$1,0),FALSE),"")</f>
        <v/>
      </c>
      <c r="H756" s="1" t="b">
        <v>0</v>
      </c>
      <c r="I756" s="1" t="str">
        <f>IFERROR(VLOOKUP($A756,Equipment!$A$2:$AH1001,MATCH("EquipLoc",Equipment!$A$1:$AH$1,0),FALSE),"")</f>
        <v/>
      </c>
      <c r="W756" s="1" t="str">
        <f>IFERROR(__xludf.DUMMYFUNCTION("""COMPUTED_VALUE"""),"Dragonscale Scythe")</f>
        <v>Dragonscale Scythe</v>
      </c>
      <c r="X756" s="1" t="str">
        <f t="shared" si="1"/>
        <v>Dragonscale Scythe</v>
      </c>
    </row>
    <row r="757">
      <c r="A757" s="1"/>
      <c r="B757" s="18" t="str">
        <f>IFERROR(VLOOKUP($A757,Equipment!$A$2:$AH1001,MATCH("Description",Equipment!$A$1:$AH$1,0),FALSE),"")</f>
        <v/>
      </c>
      <c r="C757" s="18" t="str">
        <f>IFERROR(VLOOKUP($A757,Equipment!$A$2:$AH1001,MATCH("Type",Equipment!$A$1:$AH$1,0),FALSE),"")</f>
        <v/>
      </c>
      <c r="D757" s="18" t="str">
        <f>IFERROR(VLOOKUP($A757,Equipment!$A$2:$AH1001,MATCH("Slot",Equipment!$A$1:$AH$1,0),FALSE),"")</f>
        <v/>
      </c>
      <c r="E757" s="20" t="str">
        <f>IFERROR(VLOOKUP($A757,Equipment!$A$2:$AH1001,MATCH("LevelReq",Equipment!$A$1:$AH$1,0),FALSE),"")</f>
        <v/>
      </c>
      <c r="F757" s="18" t="str">
        <f>IFERROR(VLOOKUP($A757,Equipconvrt!$A$2:$AH1001,MATCH("Abilities",Equipconvrt!$A$1:$AH$1,0),FALSE),"")</f>
        <v/>
      </c>
      <c r="G757" s="20" t="str">
        <f>IFERROR(VLOOKUP($A757,Equipment!$A$2:$AD1001,MATCH("Price",Equipment!$A$1:$AH$1,0),FALSE),"")</f>
        <v/>
      </c>
      <c r="H757" s="1" t="b">
        <v>0</v>
      </c>
      <c r="I757" s="1" t="str">
        <f>IFERROR(VLOOKUP($A757,Equipment!$A$2:$AH1001,MATCH("EquipLoc",Equipment!$A$1:$AH$1,0),FALSE),"")</f>
        <v/>
      </c>
      <c r="W757" s="1" t="str">
        <f>IFERROR(__xludf.DUMMYFUNCTION("""COMPUTED_VALUE"""),"Dark Dragonscale Claws")</f>
        <v>Dark Dragonscale Claws</v>
      </c>
      <c r="X757" s="1" t="str">
        <f t="shared" si="1"/>
        <v>Dark Dragonscale Claws</v>
      </c>
    </row>
    <row r="758">
      <c r="A758" s="1"/>
      <c r="B758" s="18" t="str">
        <f>IFERROR(VLOOKUP($A758,Equipment!$A$2:$AH1001,MATCH("Description",Equipment!$A$1:$AH$1,0),FALSE),"")</f>
        <v/>
      </c>
      <c r="C758" s="18" t="str">
        <f>IFERROR(VLOOKUP($A758,Equipment!$A$2:$AH1001,MATCH("Type",Equipment!$A$1:$AH$1,0),FALSE),"")</f>
        <v/>
      </c>
      <c r="D758" s="18" t="str">
        <f>IFERROR(VLOOKUP($A758,Equipment!$A$2:$AH1001,MATCH("Slot",Equipment!$A$1:$AH$1,0),FALSE),"")</f>
        <v/>
      </c>
      <c r="E758" s="20" t="str">
        <f>IFERROR(VLOOKUP($A758,Equipment!$A$2:$AH1001,MATCH("LevelReq",Equipment!$A$1:$AH$1,0),FALSE),"")</f>
        <v/>
      </c>
      <c r="F758" s="18" t="str">
        <f>IFERROR(VLOOKUP($A758,Equipconvrt!$A$2:$AH1001,MATCH("Abilities",Equipconvrt!$A$1:$AH$1,0),FALSE),"")</f>
        <v/>
      </c>
      <c r="G758" s="20" t="str">
        <f>IFERROR(VLOOKUP($A758,Equipment!$A$2:$AD1001,MATCH("Price",Equipment!$A$1:$AH$1,0),FALSE),"")</f>
        <v/>
      </c>
      <c r="H758" s="1" t="b">
        <v>0</v>
      </c>
      <c r="I758" s="1" t="str">
        <f>IFERROR(VLOOKUP($A758,Equipment!$A$2:$AH1001,MATCH("EquipLoc",Equipment!$A$1:$AH$1,0),FALSE),"")</f>
        <v/>
      </c>
      <c r="W758" s="1" t="str">
        <f>IFERROR(__xludf.DUMMYFUNCTION("""COMPUTED_VALUE"""),"Chaotic Dragonscale Claw")</f>
        <v>Chaotic Dragonscale Claw</v>
      </c>
      <c r="X758" s="1" t="str">
        <f t="shared" si="1"/>
        <v>Chaotic Dragonscale Claw</v>
      </c>
    </row>
    <row r="759">
      <c r="A759" s="1"/>
      <c r="B759" s="18" t="str">
        <f>IFERROR(VLOOKUP($A759,Equipment!$A$2:$AH1001,MATCH("Description",Equipment!$A$1:$AH$1,0),FALSE),"")</f>
        <v/>
      </c>
      <c r="C759" s="18" t="str">
        <f>IFERROR(VLOOKUP($A759,Equipment!$A$2:$AH1001,MATCH("Type",Equipment!$A$1:$AH$1,0),FALSE),"")</f>
        <v/>
      </c>
      <c r="D759" s="18" t="str">
        <f>IFERROR(VLOOKUP($A759,Equipment!$A$2:$AH1001,MATCH("Slot",Equipment!$A$1:$AH$1,0),FALSE),"")</f>
        <v/>
      </c>
      <c r="E759" s="20" t="str">
        <f>IFERROR(VLOOKUP($A759,Equipment!$A$2:$AH1001,MATCH("LevelReq",Equipment!$A$1:$AH$1,0),FALSE),"")</f>
        <v/>
      </c>
      <c r="F759" s="18" t="str">
        <f>IFERROR(VLOOKUP($A759,Equipconvrt!$A$2:$AH1001,MATCH("Abilities",Equipconvrt!$A$1:$AH$1,0),FALSE),"")</f>
        <v/>
      </c>
      <c r="G759" s="20" t="str">
        <f>IFERROR(VLOOKUP($A759,Equipment!$A$2:$AD1001,MATCH("Price",Equipment!$A$1:$AH$1,0),FALSE),"")</f>
        <v/>
      </c>
      <c r="H759" s="1" t="b">
        <v>0</v>
      </c>
      <c r="I759" s="1" t="str">
        <f>IFERROR(VLOOKUP($A759,Equipment!$A$2:$AH1001,MATCH("EquipLoc",Equipment!$A$1:$AH$1,0),FALSE),"")</f>
        <v/>
      </c>
      <c r="W759" s="1" t="str">
        <f>IFERROR(__xludf.DUMMYFUNCTION("""COMPUTED_VALUE"""),"Earthen Dragonscale Boots")</f>
        <v>Earthen Dragonscale Boots</v>
      </c>
      <c r="X759" s="1" t="str">
        <f t="shared" si="1"/>
        <v>Earthen Dragonscale Boots</v>
      </c>
    </row>
    <row r="760">
      <c r="A760" s="1"/>
      <c r="B760" s="18" t="str">
        <f>IFERROR(VLOOKUP($A760,Equipment!$A$2:$AH1001,MATCH("Description",Equipment!$A$1:$AH$1,0),FALSE),"")</f>
        <v/>
      </c>
      <c r="C760" s="18" t="str">
        <f>IFERROR(VLOOKUP($A760,Equipment!$A$2:$AH1001,MATCH("Type",Equipment!$A$1:$AH$1,0),FALSE),"")</f>
        <v/>
      </c>
      <c r="D760" s="18" t="str">
        <f>IFERROR(VLOOKUP($A760,Equipment!$A$2:$AH1001,MATCH("Slot",Equipment!$A$1:$AH$1,0),FALSE),"")</f>
        <v/>
      </c>
      <c r="E760" s="20" t="str">
        <f>IFERROR(VLOOKUP($A760,Equipment!$A$2:$AH1001,MATCH("LevelReq",Equipment!$A$1:$AH$1,0),FALSE),"")</f>
        <v/>
      </c>
      <c r="F760" s="18" t="str">
        <f>IFERROR(VLOOKUP($A760,Equipconvrt!$A$2:$AH1001,MATCH("Abilities",Equipconvrt!$A$1:$AH$1,0),FALSE),"")</f>
        <v/>
      </c>
      <c r="G760" s="20" t="str">
        <f>IFERROR(VLOOKUP($A760,Equipment!$A$2:$AD1001,MATCH("Price",Equipment!$A$1:$AH$1,0),FALSE),"")</f>
        <v/>
      </c>
      <c r="H760" s="1" t="b">
        <v>0</v>
      </c>
      <c r="I760" s="1" t="str">
        <f>IFERROR(VLOOKUP($A760,Equipment!$A$2:$AH1001,MATCH("EquipLoc",Equipment!$A$1:$AH$1,0),FALSE),"")</f>
        <v/>
      </c>
      <c r="W760" s="1" t="str">
        <f>IFERROR(__xludf.DUMMYFUNCTION("""COMPUTED_VALUE"""),"Dragonscale Harp")</f>
        <v>Dragonscale Harp</v>
      </c>
      <c r="X760" s="1" t="str">
        <f t="shared" si="1"/>
        <v>Dragonscale Harp</v>
      </c>
    </row>
    <row r="761">
      <c r="A761" s="1"/>
      <c r="B761" s="18" t="str">
        <f>IFERROR(VLOOKUP($A761,Equipment!$A$2:$AH1001,MATCH("Description",Equipment!$A$1:$AH$1,0),FALSE),"")</f>
        <v/>
      </c>
      <c r="C761" s="18" t="str">
        <f>IFERROR(VLOOKUP($A761,Equipment!$A$2:$AH1001,MATCH("Type",Equipment!$A$1:$AH$1,0),FALSE),"")</f>
        <v/>
      </c>
      <c r="D761" s="18" t="str">
        <f>IFERROR(VLOOKUP($A761,Equipment!$A$2:$AH1001,MATCH("Slot",Equipment!$A$1:$AH$1,0),FALSE),"")</f>
        <v/>
      </c>
      <c r="E761" s="20" t="str">
        <f>IFERROR(VLOOKUP($A761,Equipment!$A$2:$AH1001,MATCH("LevelReq",Equipment!$A$1:$AH$1,0),FALSE),"")</f>
        <v/>
      </c>
      <c r="F761" s="18" t="str">
        <f>IFERROR(VLOOKUP($A761,Equipconvrt!$A$2:$AH1001,MATCH("Abilities",Equipconvrt!$A$1:$AH$1,0),FALSE),"")</f>
        <v/>
      </c>
      <c r="G761" s="20" t="str">
        <f>IFERROR(VLOOKUP($A761,Equipment!$A$2:$AD1001,MATCH("Price",Equipment!$A$1:$AH$1,0),FALSE),"")</f>
        <v/>
      </c>
      <c r="H761" s="1" t="b">
        <v>0</v>
      </c>
      <c r="I761" s="1" t="str">
        <f>IFERROR(VLOOKUP($A761,Equipment!$A$2:$AH1001,MATCH("EquipLoc",Equipment!$A$1:$AH$1,0),FALSE),"")</f>
        <v/>
      </c>
      <c r="W761" s="1" t="str">
        <f>IFERROR(__xludf.DUMMYFUNCTION("""COMPUTED_VALUE"""),"Dragonscale Bracers")</f>
        <v>Dragonscale Bracers</v>
      </c>
      <c r="X761" s="1" t="str">
        <f t="shared" si="1"/>
        <v>Dragonscale Bracers</v>
      </c>
    </row>
    <row r="762">
      <c r="A762" s="1"/>
      <c r="B762" s="18" t="str">
        <f>IFERROR(VLOOKUP($A762,Equipment!$A$2:$AH1001,MATCH("Description",Equipment!$A$1:$AH$1,0),FALSE),"")</f>
        <v/>
      </c>
      <c r="C762" s="18" t="str">
        <f>IFERROR(VLOOKUP($A762,Equipment!$A$2:$AH1001,MATCH("Type",Equipment!$A$1:$AH$1,0),FALSE),"")</f>
        <v/>
      </c>
      <c r="D762" s="18" t="str">
        <f>IFERROR(VLOOKUP($A762,Equipment!$A$2:$AH1001,MATCH("Slot",Equipment!$A$1:$AH$1,0),FALSE),"")</f>
        <v/>
      </c>
      <c r="E762" s="20" t="str">
        <f>IFERROR(VLOOKUP($A762,Equipment!$A$2:$AH1001,MATCH("LevelReq",Equipment!$A$1:$AH$1,0),FALSE),"")</f>
        <v/>
      </c>
      <c r="F762" s="18" t="str">
        <f>IFERROR(VLOOKUP($A762,Equipconvrt!$A$2:$AH1001,MATCH("Abilities",Equipconvrt!$A$1:$AH$1,0),FALSE),"")</f>
        <v/>
      </c>
      <c r="G762" s="20" t="str">
        <f>IFERROR(VLOOKUP($A762,Equipment!$A$2:$AD1001,MATCH("Price",Equipment!$A$1:$AH$1,0),FALSE),"")</f>
        <v/>
      </c>
      <c r="H762" s="1" t="b">
        <v>0</v>
      </c>
      <c r="I762" s="1" t="str">
        <f>IFERROR(VLOOKUP($A762,Equipment!$A$2:$AH1001,MATCH("EquipLoc",Equipment!$A$1:$AH$1,0),FALSE),"")</f>
        <v/>
      </c>
      <c r="W762" s="1" t="str">
        <f>IFERROR(__xludf.DUMMYFUNCTION("""COMPUTED_VALUE"""),"Dragonscale Crown")</f>
        <v>Dragonscale Crown</v>
      </c>
      <c r="X762" s="1" t="str">
        <f t="shared" si="1"/>
        <v>Dragonscale Crown</v>
      </c>
    </row>
    <row r="763">
      <c r="A763" s="1"/>
      <c r="B763" s="18" t="str">
        <f>IFERROR(VLOOKUP($A763,Equipment!$A$2:$AH1001,MATCH("Description",Equipment!$A$1:$AH$1,0),FALSE),"")</f>
        <v/>
      </c>
      <c r="C763" s="18" t="str">
        <f>IFERROR(VLOOKUP($A763,Equipment!$A$2:$AH1001,MATCH("Type",Equipment!$A$1:$AH$1,0),FALSE),"")</f>
        <v/>
      </c>
      <c r="D763" s="18" t="str">
        <f>IFERROR(VLOOKUP($A763,Equipment!$A$2:$AH1001,MATCH("Slot",Equipment!$A$1:$AH$1,0),FALSE),"")</f>
        <v/>
      </c>
      <c r="E763" s="20" t="str">
        <f>IFERROR(VLOOKUP($A763,Equipment!$A$2:$AH1001,MATCH("LevelReq",Equipment!$A$1:$AH$1,0),FALSE),"")</f>
        <v/>
      </c>
      <c r="F763" s="18" t="str">
        <f>IFERROR(VLOOKUP($A763,Equipconvrt!$A$2:$AH1001,MATCH("Abilities",Equipconvrt!$A$1:$AH$1,0),FALSE),"")</f>
        <v/>
      </c>
      <c r="G763" s="20" t="str">
        <f>IFERROR(VLOOKUP($A763,Equipment!$A$2:$AD1001,MATCH("Price",Equipment!$A$1:$AH$1,0),FALSE),"")</f>
        <v/>
      </c>
      <c r="H763" s="1" t="b">
        <v>0</v>
      </c>
      <c r="I763" s="1" t="str">
        <f>IFERROR(VLOOKUP($A763,Equipment!$A$2:$AH1001,MATCH("EquipLoc",Equipment!$A$1:$AH$1,0),FALSE),"")</f>
        <v/>
      </c>
      <c r="W763" s="1" t="str">
        <f>IFERROR(__xludf.DUMMYFUNCTION("""COMPUTED_VALUE"""),"Dragonscale Helm")</f>
        <v>Dragonscale Helm</v>
      </c>
      <c r="X763" s="1" t="str">
        <f t="shared" si="1"/>
        <v>Dragonscale Helm</v>
      </c>
    </row>
    <row r="764">
      <c r="A764" s="1"/>
      <c r="B764" s="18" t="str">
        <f>IFERROR(VLOOKUP($A764,Equipment!$A$2:$AH1001,MATCH("Description",Equipment!$A$1:$AH$1,0),FALSE),"")</f>
        <v/>
      </c>
      <c r="C764" s="18" t="str">
        <f>IFERROR(VLOOKUP($A764,Equipment!$A$2:$AH1001,MATCH("Type",Equipment!$A$1:$AH$1,0),FALSE),"")</f>
        <v/>
      </c>
      <c r="D764" s="18" t="str">
        <f>IFERROR(VLOOKUP($A764,Equipment!$A$2:$AH1001,MATCH("Slot",Equipment!$A$1:$AH$1,0),FALSE),"")</f>
        <v/>
      </c>
      <c r="E764" s="20" t="str">
        <f>IFERROR(VLOOKUP($A764,Equipment!$A$2:$AH1001,MATCH("LevelReq",Equipment!$A$1:$AH$1,0),FALSE),"")</f>
        <v/>
      </c>
      <c r="F764" s="18" t="str">
        <f>IFERROR(VLOOKUP($A764,Equipconvrt!$A$2:$AH1001,MATCH("Abilities",Equipconvrt!$A$1:$AH$1,0),FALSE),"")</f>
        <v/>
      </c>
      <c r="G764" s="20" t="str">
        <f>IFERROR(VLOOKUP($A764,Equipment!$A$2:$AD1001,MATCH("Price",Equipment!$A$1:$AH$1,0),FALSE),"")</f>
        <v/>
      </c>
      <c r="H764" s="1" t="b">
        <v>0</v>
      </c>
      <c r="I764" s="1" t="str">
        <f>IFERROR(VLOOKUP($A764,Equipment!$A$2:$AH1001,MATCH("EquipLoc",Equipment!$A$1:$AH$1,0),FALSE),"")</f>
        <v/>
      </c>
      <c r="W764" s="1" t="str">
        <f>IFERROR(__xludf.DUMMYFUNCTION("""COMPUTED_VALUE"""),"Dragonscale Rifle")</f>
        <v>Dragonscale Rifle</v>
      </c>
      <c r="X764" s="1" t="str">
        <f t="shared" si="1"/>
        <v>Dragonscale Rifle</v>
      </c>
    </row>
    <row r="765">
      <c r="A765" s="1"/>
      <c r="B765" s="18" t="str">
        <f>IFERROR(VLOOKUP($A765,Equipment!$A$2:$AH1001,MATCH("Description",Equipment!$A$1:$AH$1,0),FALSE),"")</f>
        <v/>
      </c>
      <c r="C765" s="18" t="str">
        <f>IFERROR(VLOOKUP($A765,Equipment!$A$2:$AH1001,MATCH("Type",Equipment!$A$1:$AH$1,0),FALSE),"")</f>
        <v/>
      </c>
      <c r="D765" s="18" t="str">
        <f>IFERROR(VLOOKUP($A765,Equipment!$A$2:$AH1001,MATCH("Slot",Equipment!$A$1:$AH$1,0),FALSE),"")</f>
        <v/>
      </c>
      <c r="E765" s="20" t="str">
        <f>IFERROR(VLOOKUP($A765,Equipment!$A$2:$AH1001,MATCH("LevelReq",Equipment!$A$1:$AH$1,0),FALSE),"")</f>
        <v/>
      </c>
      <c r="F765" s="18" t="str">
        <f>IFERROR(VLOOKUP($A765,Equipconvrt!$A$2:$AH1001,MATCH("Abilities",Equipconvrt!$A$1:$AH$1,0),FALSE),"")</f>
        <v/>
      </c>
      <c r="G765" s="20" t="str">
        <f>IFERROR(VLOOKUP($A765,Equipment!$A$2:$AD1001,MATCH("Price",Equipment!$A$1:$AH$1,0),FALSE),"")</f>
        <v/>
      </c>
      <c r="H765" s="1" t="b">
        <v>0</v>
      </c>
      <c r="I765" s="1" t="str">
        <f>IFERROR(VLOOKUP($A765,Equipment!$A$2:$AH1001,MATCH("EquipLoc",Equipment!$A$1:$AH$1,0),FALSE),"")</f>
        <v/>
      </c>
      <c r="W765" s="1" t="str">
        <f>IFERROR(__xludf.DUMMYFUNCTION("""COMPUTED_VALUE"""),"Searing Dragonscale Staff")</f>
        <v>Searing Dragonscale Staff</v>
      </c>
      <c r="X765" s="1" t="str">
        <f t="shared" si="1"/>
        <v>Searing Dragonscale Staff</v>
      </c>
    </row>
    <row r="766">
      <c r="A766" s="1"/>
      <c r="B766" s="18" t="str">
        <f>IFERROR(VLOOKUP($A766,Equipment!$A$2:$AH1001,MATCH("Description",Equipment!$A$1:$AH$1,0),FALSE),"")</f>
        <v/>
      </c>
      <c r="C766" s="18" t="str">
        <f>IFERROR(VLOOKUP($A766,Equipment!$A$2:$AH1001,MATCH("Type",Equipment!$A$1:$AH$1,0),FALSE),"")</f>
        <v/>
      </c>
      <c r="D766" s="18" t="str">
        <f>IFERROR(VLOOKUP($A766,Equipment!$A$2:$AH1001,MATCH("Slot",Equipment!$A$1:$AH$1,0),FALSE),"")</f>
        <v/>
      </c>
      <c r="E766" s="20" t="str">
        <f>IFERROR(VLOOKUP($A766,Equipment!$A$2:$AH1001,MATCH("LevelReq",Equipment!$A$1:$AH$1,0),FALSE),"")</f>
        <v/>
      </c>
      <c r="F766" s="18" t="str">
        <f>IFERROR(VLOOKUP($A766,Equipconvrt!$A$2:$AH1001,MATCH("Abilities",Equipconvrt!$A$1:$AH$1,0),FALSE),"")</f>
        <v/>
      </c>
      <c r="G766" s="20" t="str">
        <f>IFERROR(VLOOKUP($A766,Equipment!$A$2:$AD1001,MATCH("Price",Equipment!$A$1:$AH$1,0),FALSE),"")</f>
        <v/>
      </c>
      <c r="H766" s="1" t="b">
        <v>0</v>
      </c>
      <c r="I766" s="1" t="str">
        <f>IFERROR(VLOOKUP($A766,Equipment!$A$2:$AH1001,MATCH("EquipLoc",Equipment!$A$1:$AH$1,0),FALSE),"")</f>
        <v/>
      </c>
      <c r="W766" s="1" t="str">
        <f>IFERROR(__xludf.DUMMYFUNCTION("""COMPUTED_VALUE"""),"Forgotten Scythe")</f>
        <v>Forgotten Scythe</v>
      </c>
      <c r="X766" s="1" t="str">
        <f t="shared" si="1"/>
        <v>Forgotten Scythe</v>
      </c>
    </row>
    <row r="767">
      <c r="A767" s="1"/>
      <c r="B767" s="18" t="str">
        <f>IFERROR(VLOOKUP($A767,Equipment!$A$2:$AH1001,MATCH("Description",Equipment!$A$1:$AH$1,0),FALSE),"")</f>
        <v/>
      </c>
      <c r="C767" s="18" t="str">
        <f>IFERROR(VLOOKUP($A767,Equipment!$A$2:$AH1001,MATCH("Type",Equipment!$A$1:$AH$1,0),FALSE),"")</f>
        <v/>
      </c>
      <c r="D767" s="18" t="str">
        <f>IFERROR(VLOOKUP($A767,Equipment!$A$2:$AH1001,MATCH("Slot",Equipment!$A$1:$AH$1,0),FALSE),"")</f>
        <v/>
      </c>
      <c r="E767" s="20" t="str">
        <f>IFERROR(VLOOKUP($A767,Equipment!$A$2:$AH1001,MATCH("LevelReq",Equipment!$A$1:$AH$1,0),FALSE),"")</f>
        <v/>
      </c>
      <c r="F767" s="18" t="str">
        <f>IFERROR(VLOOKUP($A767,Equipconvrt!$A$2:$AH1001,MATCH("Abilities",Equipconvrt!$A$1:$AH$1,0),FALSE),"")</f>
        <v/>
      </c>
      <c r="G767" s="20" t="str">
        <f>IFERROR(VLOOKUP($A767,Equipment!$A$2:$AD1001,MATCH("Price",Equipment!$A$1:$AH$1,0),FALSE),"")</f>
        <v/>
      </c>
      <c r="H767" s="1" t="b">
        <v>0</v>
      </c>
      <c r="I767" s="1" t="str">
        <f>IFERROR(VLOOKUP($A767,Equipment!$A$2:$AH1001,MATCH("EquipLoc",Equipment!$A$1:$AH$1,0),FALSE),"")</f>
        <v/>
      </c>
      <c r="W767" s="1" t="str">
        <f>IFERROR(__xludf.DUMMYFUNCTION("""COMPUTED_VALUE"""),"Forsaken Club")</f>
        <v>Forsaken Club</v>
      </c>
      <c r="X767" s="1" t="str">
        <f t="shared" si="1"/>
        <v>Forsaken Club</v>
      </c>
    </row>
    <row r="768">
      <c r="A768" s="1"/>
      <c r="B768" s="18" t="str">
        <f>IFERROR(VLOOKUP($A768,Equipment!$A$2:$AH1001,MATCH("Description",Equipment!$A$1:$AH$1,0),FALSE),"")</f>
        <v/>
      </c>
      <c r="C768" s="18" t="str">
        <f>IFERROR(VLOOKUP($A768,Equipment!$A$2:$AH1001,MATCH("Type",Equipment!$A$1:$AH$1,0),FALSE),"")</f>
        <v/>
      </c>
      <c r="D768" s="18" t="str">
        <f>IFERROR(VLOOKUP($A768,Equipment!$A$2:$AH1001,MATCH("Slot",Equipment!$A$1:$AH$1,0),FALSE),"")</f>
        <v/>
      </c>
      <c r="E768" s="20" t="str">
        <f>IFERROR(VLOOKUP($A768,Equipment!$A$2:$AH1001,MATCH("LevelReq",Equipment!$A$1:$AH$1,0),FALSE),"")</f>
        <v/>
      </c>
      <c r="F768" s="18" t="str">
        <f>IFERROR(VLOOKUP($A768,Equipconvrt!$A$2:$AH1001,MATCH("Abilities",Equipconvrt!$A$1:$AH$1,0),FALSE),"")</f>
        <v/>
      </c>
      <c r="G768" s="20" t="str">
        <f>IFERROR(VLOOKUP($A768,Equipment!$A$2:$AD1001,MATCH("Price",Equipment!$A$1:$AH$1,0),FALSE),"")</f>
        <v/>
      </c>
      <c r="H768" s="1" t="b">
        <v>0</v>
      </c>
      <c r="I768" s="1" t="str">
        <f>IFERROR(VLOOKUP($A768,Equipment!$A$2:$AH1001,MATCH("EquipLoc",Equipment!$A$1:$AH$1,0),FALSE),"")</f>
        <v/>
      </c>
      <c r="W768" s="1" t="str">
        <f>IFERROR(__xludf.DUMMYFUNCTION("""COMPUTED_VALUE"""),"Demonic Breastplate")</f>
        <v>Demonic Breastplate</v>
      </c>
      <c r="X768" s="1" t="str">
        <f t="shared" si="1"/>
        <v>Demonic Breastplate</v>
      </c>
    </row>
    <row r="769">
      <c r="A769" s="1"/>
      <c r="B769" s="18" t="str">
        <f>IFERROR(VLOOKUP($A769,Equipment!$A$2:$AH1001,MATCH("Description",Equipment!$A$1:$AH$1,0),FALSE),"")</f>
        <v/>
      </c>
      <c r="C769" s="18" t="str">
        <f>IFERROR(VLOOKUP($A769,Equipment!$A$2:$AH1001,MATCH("Type",Equipment!$A$1:$AH$1,0),FALSE),"")</f>
        <v/>
      </c>
      <c r="D769" s="18" t="str">
        <f>IFERROR(VLOOKUP($A769,Equipment!$A$2:$AH1001,MATCH("Slot",Equipment!$A$1:$AH$1,0),FALSE),"")</f>
        <v/>
      </c>
      <c r="E769" s="20" t="str">
        <f>IFERROR(VLOOKUP($A769,Equipment!$A$2:$AH1001,MATCH("LevelReq",Equipment!$A$1:$AH$1,0),FALSE),"")</f>
        <v/>
      </c>
      <c r="F769" s="18" t="str">
        <f>IFERROR(VLOOKUP($A769,Equipconvrt!$A$2:$AH1001,MATCH("Abilities",Equipconvrt!$A$1:$AH$1,0),FALSE),"")</f>
        <v/>
      </c>
      <c r="G769" s="20" t="str">
        <f>IFERROR(VLOOKUP($A769,Equipment!$A$2:$AD1001,MATCH("Price",Equipment!$A$1:$AH$1,0),FALSE),"")</f>
        <v/>
      </c>
      <c r="H769" s="1" t="b">
        <v>0</v>
      </c>
      <c r="I769" s="1" t="str">
        <f>IFERROR(VLOOKUP($A769,Equipment!$A$2:$AH1001,MATCH("EquipLoc",Equipment!$A$1:$AH$1,0),FALSE),"")</f>
        <v/>
      </c>
      <c r="W769" s="1" t="str">
        <f>IFERROR(__xludf.DUMMYFUNCTION("""COMPUTED_VALUE"""),"Fallen Ruler's Crown")</f>
        <v>Fallen Ruler's Crown</v>
      </c>
      <c r="X769" s="1" t="str">
        <f t="shared" si="1"/>
        <v>Fallen Ruler's Crown</v>
      </c>
    </row>
    <row r="770">
      <c r="A770" s="1"/>
      <c r="B770" s="18" t="str">
        <f>IFERROR(VLOOKUP($A770,Equipment!$A$2:$AH1001,MATCH("Description",Equipment!$A$1:$AH$1,0),FALSE),"")</f>
        <v/>
      </c>
      <c r="C770" s="18" t="str">
        <f>IFERROR(VLOOKUP($A770,Equipment!$A$2:$AH1001,MATCH("Type",Equipment!$A$1:$AH$1,0),FALSE),"")</f>
        <v/>
      </c>
      <c r="D770" s="18" t="str">
        <f>IFERROR(VLOOKUP($A770,Equipment!$A$2:$AH1001,MATCH("Slot",Equipment!$A$1:$AH$1,0),FALSE),"")</f>
        <v/>
      </c>
      <c r="E770" s="20" t="str">
        <f>IFERROR(VLOOKUP($A770,Equipment!$A$2:$AH1001,MATCH("LevelReq",Equipment!$A$1:$AH$1,0),FALSE),"")</f>
        <v/>
      </c>
      <c r="F770" s="18" t="str">
        <f>IFERROR(VLOOKUP($A770,Equipconvrt!$A$2:$AH1001,MATCH("Abilities",Equipconvrt!$A$1:$AH$1,0),FALSE),"")</f>
        <v/>
      </c>
      <c r="G770" s="20" t="str">
        <f>IFERROR(VLOOKUP($A770,Equipment!$A$2:$AD1001,MATCH("Price",Equipment!$A$1:$AH$1,0),FALSE),"")</f>
        <v/>
      </c>
      <c r="H770" s="1" t="b">
        <v>0</v>
      </c>
      <c r="I770" s="1" t="str">
        <f>IFERROR(VLOOKUP($A770,Equipment!$A$2:$AH1001,MATCH("EquipLoc",Equipment!$A$1:$AH$1,0),FALSE),"")</f>
        <v/>
      </c>
      <c r="W770" s="1" t="str">
        <f>IFERROR(__xludf.DUMMYFUNCTION("""COMPUTED_VALUE"""),"Old Knife")</f>
        <v>Old Knife</v>
      </c>
      <c r="X770" s="1" t="str">
        <f t="shared" si="1"/>
        <v>Old Knife</v>
      </c>
    </row>
    <row r="771">
      <c r="A771" s="1"/>
      <c r="B771" s="18" t="str">
        <f>IFERROR(VLOOKUP($A771,Equipment!$A$2:$AH1001,MATCH("Description",Equipment!$A$1:$AH$1,0),FALSE),"")</f>
        <v/>
      </c>
      <c r="C771" s="18" t="str">
        <f>IFERROR(VLOOKUP($A771,Equipment!$A$2:$AH1001,MATCH("Type",Equipment!$A$1:$AH$1,0),FALSE),"")</f>
        <v/>
      </c>
      <c r="D771" s="18" t="str">
        <f>IFERROR(VLOOKUP($A771,Equipment!$A$2:$AH1001,MATCH("Slot",Equipment!$A$1:$AH$1,0),FALSE),"")</f>
        <v/>
      </c>
      <c r="E771" s="20" t="str">
        <f>IFERROR(VLOOKUP($A771,Equipment!$A$2:$AH1001,MATCH("LevelReq",Equipment!$A$1:$AH$1,0),FALSE),"")</f>
        <v/>
      </c>
      <c r="F771" s="18" t="str">
        <f>IFERROR(VLOOKUP($A771,Equipconvrt!$A$2:$AH1001,MATCH("Abilities",Equipconvrt!$A$1:$AH$1,0),FALSE),"")</f>
        <v/>
      </c>
      <c r="G771" s="20" t="str">
        <f>IFERROR(VLOOKUP($A771,Equipment!$A$2:$AD1001,MATCH("Price",Equipment!$A$1:$AH$1,0),FALSE),"")</f>
        <v/>
      </c>
      <c r="H771" s="1" t="b">
        <v>0</v>
      </c>
      <c r="I771" s="1" t="str">
        <f>IFERROR(VLOOKUP($A771,Equipment!$A$2:$AH1001,MATCH("EquipLoc",Equipment!$A$1:$AH$1,0),FALSE),"")</f>
        <v/>
      </c>
      <c r="W771" s="1" t="str">
        <f>IFERROR(__xludf.DUMMYFUNCTION("""COMPUTED_VALUE"""),"Plunderbuss")</f>
        <v>Plunderbuss</v>
      </c>
      <c r="X771" s="1" t="str">
        <f t="shared" si="1"/>
        <v>Plunderbuss</v>
      </c>
    </row>
    <row r="772">
      <c r="A772" s="1"/>
      <c r="B772" s="18" t="str">
        <f>IFERROR(VLOOKUP($A772,Equipment!$A$2:$AH1001,MATCH("Description",Equipment!$A$1:$AH$1,0),FALSE),"")</f>
        <v/>
      </c>
      <c r="C772" s="18" t="str">
        <f>IFERROR(VLOOKUP($A772,Equipment!$A$2:$AH1001,MATCH("Type",Equipment!$A$1:$AH$1,0),FALSE),"")</f>
        <v/>
      </c>
      <c r="D772" s="18" t="str">
        <f>IFERROR(VLOOKUP($A772,Equipment!$A$2:$AH1001,MATCH("Slot",Equipment!$A$1:$AH$1,0),FALSE),"")</f>
        <v/>
      </c>
      <c r="E772" s="20" t="str">
        <f>IFERROR(VLOOKUP($A772,Equipment!$A$2:$AH1001,MATCH("LevelReq",Equipment!$A$1:$AH$1,0),FALSE),"")</f>
        <v/>
      </c>
      <c r="F772" s="18" t="str">
        <f>IFERROR(VLOOKUP($A772,Equipconvrt!$A$2:$AH1001,MATCH("Abilities",Equipconvrt!$A$1:$AH$1,0),FALSE),"")</f>
        <v/>
      </c>
      <c r="G772" s="20" t="str">
        <f>IFERROR(VLOOKUP($A772,Equipment!$A$2:$AD1001,MATCH("Price",Equipment!$A$1:$AH$1,0),FALSE),"")</f>
        <v/>
      </c>
      <c r="H772" s="1" t="b">
        <v>0</v>
      </c>
      <c r="I772" s="1" t="str">
        <f>IFERROR(VLOOKUP($A772,Equipment!$A$2:$AH1001,MATCH("EquipLoc",Equipment!$A$1:$AH$1,0),FALSE),"")</f>
        <v/>
      </c>
      <c r="W772" s="1" t="str">
        <f>IFERROR(__xludf.DUMMYFUNCTION("""COMPUTED_VALUE"""),"Dragon Destroyer")</f>
        <v>Dragon Destroyer</v>
      </c>
      <c r="X772" s="1" t="str">
        <f t="shared" si="1"/>
        <v>Dragon Destroyer</v>
      </c>
    </row>
    <row r="773">
      <c r="A773" s="1"/>
      <c r="B773" s="18" t="str">
        <f>IFERROR(VLOOKUP($A773,Equipment!$A$2:$AH1001,MATCH("Description",Equipment!$A$1:$AH$1,0),FALSE),"")</f>
        <v/>
      </c>
      <c r="C773" s="18" t="str">
        <f>IFERROR(VLOOKUP($A773,Equipment!$A$2:$AH1001,MATCH("Type",Equipment!$A$1:$AH$1,0),FALSE),"")</f>
        <v/>
      </c>
      <c r="D773" s="18" t="str">
        <f>IFERROR(VLOOKUP($A773,Equipment!$A$2:$AH1001,MATCH("Slot",Equipment!$A$1:$AH$1,0),FALSE),"")</f>
        <v/>
      </c>
      <c r="E773" s="20" t="str">
        <f>IFERROR(VLOOKUP($A773,Equipment!$A$2:$AH1001,MATCH("LevelReq",Equipment!$A$1:$AH$1,0),FALSE),"")</f>
        <v/>
      </c>
      <c r="F773" s="18" t="str">
        <f>IFERROR(VLOOKUP($A773,Equipconvrt!$A$2:$AH1001,MATCH("Abilities",Equipconvrt!$A$1:$AH$1,0),FALSE),"")</f>
        <v/>
      </c>
      <c r="G773" s="20" t="str">
        <f>IFERROR(VLOOKUP($A773,Equipment!$A$2:$AD1001,MATCH("Price",Equipment!$A$1:$AH$1,0),FALSE),"")</f>
        <v/>
      </c>
      <c r="H773" s="1" t="b">
        <v>0</v>
      </c>
      <c r="I773" s="1" t="str">
        <f>IFERROR(VLOOKUP($A773,Equipment!$A$2:$AH1001,MATCH("EquipLoc",Equipment!$A$1:$AH$1,0),FALSE),"")</f>
        <v/>
      </c>
      <c r="W773" s="1" t="str">
        <f>IFERROR(__xludf.DUMMYFUNCTION("""COMPUTED_VALUE"""),"Dragonscale of Returns")</f>
        <v>Dragonscale of Returns</v>
      </c>
      <c r="X773" s="1" t="str">
        <f t="shared" si="1"/>
        <v>Dragonscale of Returns</v>
      </c>
    </row>
    <row r="774">
      <c r="A774" s="1"/>
      <c r="B774" s="18" t="str">
        <f>IFERROR(VLOOKUP($A774,Equipment!$A$2:$AH1001,MATCH("Description",Equipment!$A$1:$AH$1,0),FALSE),"")</f>
        <v/>
      </c>
      <c r="C774" s="18" t="str">
        <f>IFERROR(VLOOKUP($A774,Equipment!$A$2:$AH1001,MATCH("Type",Equipment!$A$1:$AH$1,0),FALSE),"")</f>
        <v/>
      </c>
      <c r="D774" s="18" t="str">
        <f>IFERROR(VLOOKUP($A774,Equipment!$A$2:$AH1001,MATCH("Slot",Equipment!$A$1:$AH$1,0),FALSE),"")</f>
        <v/>
      </c>
      <c r="E774" s="20" t="str">
        <f>IFERROR(VLOOKUP($A774,Equipment!$A$2:$AH1001,MATCH("LevelReq",Equipment!$A$1:$AH$1,0),FALSE),"")</f>
        <v/>
      </c>
      <c r="F774" s="18" t="str">
        <f>IFERROR(VLOOKUP($A774,Equipconvrt!$A$2:$AH1001,MATCH("Abilities",Equipconvrt!$A$1:$AH$1,0),FALSE),"")</f>
        <v/>
      </c>
      <c r="G774" s="20" t="str">
        <f>IFERROR(VLOOKUP($A774,Equipment!$A$2:$AD1001,MATCH("Price",Equipment!$A$1:$AH$1,0),FALSE),"")</f>
        <v/>
      </c>
      <c r="H774" s="1" t="b">
        <v>0</v>
      </c>
      <c r="I774" s="1" t="str">
        <f>IFERROR(VLOOKUP($A774,Equipment!$A$2:$AH1001,MATCH("EquipLoc",Equipment!$A$1:$AH$1,0),FALSE),"")</f>
        <v/>
      </c>
      <c r="W774" s="1" t="str">
        <f>IFERROR(__xludf.DUMMYFUNCTION("""COMPUTED_VALUE"""),"Brimstone Staff")</f>
        <v>Brimstone Staff</v>
      </c>
      <c r="X774" s="1" t="str">
        <f t="shared" si="1"/>
        <v>Brimstone Staff</v>
      </c>
    </row>
    <row r="775">
      <c r="A775" s="1"/>
      <c r="B775" s="18" t="str">
        <f>IFERROR(VLOOKUP($A775,Equipment!$A$2:$AH1001,MATCH("Description",Equipment!$A$1:$AH$1,0),FALSE),"")</f>
        <v/>
      </c>
      <c r="C775" s="18" t="str">
        <f>IFERROR(VLOOKUP($A775,Equipment!$A$2:$AH1001,MATCH("Type",Equipment!$A$1:$AH$1,0),FALSE),"")</f>
        <v/>
      </c>
      <c r="D775" s="18" t="str">
        <f>IFERROR(VLOOKUP($A775,Equipment!$A$2:$AH1001,MATCH("Slot",Equipment!$A$1:$AH$1,0),FALSE),"")</f>
        <v/>
      </c>
      <c r="E775" s="20" t="str">
        <f>IFERROR(VLOOKUP($A775,Equipment!$A$2:$AH1001,MATCH("LevelReq",Equipment!$A$1:$AH$1,0),FALSE),"")</f>
        <v/>
      </c>
      <c r="F775" s="18" t="str">
        <f>IFERROR(VLOOKUP($A775,Equipconvrt!$A$2:$AH1001,MATCH("Abilities",Equipconvrt!$A$1:$AH$1,0),FALSE),"")</f>
        <v/>
      </c>
      <c r="G775" s="20" t="str">
        <f>IFERROR(VLOOKUP($A775,Equipment!$A$2:$AD1001,MATCH("Price",Equipment!$A$1:$AH$1,0),FALSE),"")</f>
        <v/>
      </c>
      <c r="H775" s="1" t="b">
        <v>0</v>
      </c>
      <c r="I775" s="1" t="str">
        <f>IFERROR(VLOOKUP($A775,Equipment!$A$2:$AH1001,MATCH("EquipLoc",Equipment!$A$1:$AH$1,0),FALSE),"")</f>
        <v/>
      </c>
      <c r="W775" s="1" t="str">
        <f>IFERROR(__xludf.DUMMYFUNCTION("""COMPUTED_VALUE"""),"Eternal Ember")</f>
        <v>Eternal Ember</v>
      </c>
      <c r="X775" s="1" t="str">
        <f t="shared" si="1"/>
        <v>Eternal Ember</v>
      </c>
    </row>
    <row r="776">
      <c r="A776" s="1"/>
      <c r="B776" s="18" t="str">
        <f>IFERROR(VLOOKUP($A776,Equipment!$A$2:$AH1001,MATCH("Description",Equipment!$A$1:$AH$1,0),FALSE),"")</f>
        <v/>
      </c>
      <c r="C776" s="18" t="str">
        <f>IFERROR(VLOOKUP($A776,Equipment!$A$2:$AH1001,MATCH("Type",Equipment!$A$1:$AH$1,0),FALSE),"")</f>
        <v/>
      </c>
      <c r="D776" s="18" t="str">
        <f>IFERROR(VLOOKUP($A776,Equipment!$A$2:$AH1001,MATCH("Slot",Equipment!$A$1:$AH$1,0),FALSE),"")</f>
        <v/>
      </c>
      <c r="E776" s="20" t="str">
        <f>IFERROR(VLOOKUP($A776,Equipment!$A$2:$AH1001,MATCH("LevelReq",Equipment!$A$1:$AH$1,0),FALSE),"")</f>
        <v/>
      </c>
      <c r="F776" s="18" t="str">
        <f>IFERROR(VLOOKUP($A776,Equipconvrt!$A$2:$AH1001,MATCH("Abilities",Equipconvrt!$A$1:$AH$1,0),FALSE),"")</f>
        <v/>
      </c>
      <c r="G776" s="20" t="str">
        <f>IFERROR(VLOOKUP($A776,Equipment!$A$2:$AD1001,MATCH("Price",Equipment!$A$1:$AH$1,0),FALSE),"")</f>
        <v/>
      </c>
      <c r="H776" s="1" t="b">
        <v>0</v>
      </c>
      <c r="I776" s="1" t="str">
        <f>IFERROR(VLOOKUP($A776,Equipment!$A$2:$AH1001,MATCH("EquipLoc",Equipment!$A$1:$AH$1,0),FALSE),"")</f>
        <v/>
      </c>
      <c r="W776" s="1" t="str">
        <f>IFERROR(__xludf.DUMMYFUNCTION("""COMPUTED_VALUE"""),"Crystal Blood")</f>
        <v>Crystal Blood</v>
      </c>
      <c r="X776" s="1" t="str">
        <f t="shared" si="1"/>
        <v>Crystal Blood</v>
      </c>
    </row>
    <row r="777">
      <c r="A777" s="1"/>
      <c r="B777" s="18" t="str">
        <f>IFERROR(VLOOKUP($A777,Equipment!$A$2:$AH1001,MATCH("Description",Equipment!$A$1:$AH$1,0),FALSE),"")</f>
        <v/>
      </c>
      <c r="C777" s="18" t="str">
        <f>IFERROR(VLOOKUP($A777,Equipment!$A$2:$AH1001,MATCH("Type",Equipment!$A$1:$AH$1,0),FALSE),"")</f>
        <v/>
      </c>
      <c r="D777" s="18" t="str">
        <f>IFERROR(VLOOKUP($A777,Equipment!$A$2:$AH1001,MATCH("Slot",Equipment!$A$1:$AH$1,0),FALSE),"")</f>
        <v/>
      </c>
      <c r="E777" s="20" t="str">
        <f>IFERROR(VLOOKUP($A777,Equipment!$A$2:$AH1001,MATCH("LevelReq",Equipment!$A$1:$AH$1,0),FALSE),"")</f>
        <v/>
      </c>
      <c r="F777" s="18" t="str">
        <f>IFERROR(VLOOKUP($A777,Equipconvrt!$A$2:$AH1001,MATCH("Abilities",Equipconvrt!$A$1:$AH$1,0),FALSE),"")</f>
        <v/>
      </c>
      <c r="G777" s="20" t="str">
        <f>IFERROR(VLOOKUP($A777,Equipment!$A$2:$AD1001,MATCH("Price",Equipment!$A$1:$AH$1,0),FALSE),"")</f>
        <v/>
      </c>
      <c r="H777" s="1" t="b">
        <v>0</v>
      </c>
      <c r="I777" s="1" t="str">
        <f>IFERROR(VLOOKUP($A777,Equipment!$A$2:$AH1001,MATCH("EquipLoc",Equipment!$A$1:$AH$1,0),FALSE),"")</f>
        <v/>
      </c>
      <c r="W777" s="1" t="str">
        <f>IFERROR(__xludf.DUMMYFUNCTION("""COMPUTED_VALUE"""),"Ultimate Gamble")</f>
        <v>Ultimate Gamble</v>
      </c>
      <c r="X777" s="1" t="str">
        <f t="shared" si="1"/>
        <v>Ultimate Gamble</v>
      </c>
    </row>
    <row r="778">
      <c r="A778" s="1"/>
      <c r="B778" s="18" t="str">
        <f>IFERROR(VLOOKUP($A778,Equipment!$A$2:$AH1001,MATCH("Description",Equipment!$A$1:$AH$1,0),FALSE),"")</f>
        <v/>
      </c>
      <c r="C778" s="18" t="str">
        <f>IFERROR(VLOOKUP($A778,Equipment!$A$2:$AH1001,MATCH("Type",Equipment!$A$1:$AH$1,0),FALSE),"")</f>
        <v/>
      </c>
      <c r="D778" s="18" t="str">
        <f>IFERROR(VLOOKUP($A778,Equipment!$A$2:$AH1001,MATCH("Slot",Equipment!$A$1:$AH$1,0),FALSE),"")</f>
        <v/>
      </c>
      <c r="E778" s="20" t="str">
        <f>IFERROR(VLOOKUP($A778,Equipment!$A$2:$AH1001,MATCH("LevelReq",Equipment!$A$1:$AH$1,0),FALSE),"")</f>
        <v/>
      </c>
      <c r="F778" s="18" t="str">
        <f>IFERROR(VLOOKUP($A778,Equipconvrt!$A$2:$AH1001,MATCH("Abilities",Equipconvrt!$A$1:$AH$1,0),FALSE),"")</f>
        <v/>
      </c>
      <c r="G778" s="20" t="str">
        <f>IFERROR(VLOOKUP($A778,Equipment!$A$2:$AD1001,MATCH("Price",Equipment!$A$1:$AH$1,0),FALSE),"")</f>
        <v/>
      </c>
      <c r="H778" s="1" t="b">
        <v>0</v>
      </c>
      <c r="I778" s="1" t="str">
        <f>IFERROR(VLOOKUP($A778,Equipment!$A$2:$AH1001,MATCH("EquipLoc",Equipment!$A$1:$AH$1,0),FALSE),"")</f>
        <v/>
      </c>
      <c r="W778" s="1" t="str">
        <f>IFERROR(__xludf.DUMMYFUNCTION("""COMPUTED_VALUE"""),"Awakened Evil")</f>
        <v>Awakened Evil</v>
      </c>
      <c r="X778" s="1" t="str">
        <f t="shared" si="1"/>
        <v>Awakened Evil</v>
      </c>
    </row>
    <row r="779">
      <c r="A779" s="1"/>
      <c r="B779" s="18" t="str">
        <f>IFERROR(VLOOKUP($A779,Equipment!$A$2:$AH1001,MATCH("Description",Equipment!$A$1:$AH$1,0),FALSE),"")</f>
        <v/>
      </c>
      <c r="C779" s="18" t="str">
        <f>IFERROR(VLOOKUP($A779,Equipment!$A$2:$AH1001,MATCH("Type",Equipment!$A$1:$AH$1,0),FALSE),"")</f>
        <v/>
      </c>
      <c r="D779" s="18" t="str">
        <f>IFERROR(VLOOKUP($A779,Equipment!$A$2:$AH1001,MATCH("Slot",Equipment!$A$1:$AH$1,0),FALSE),"")</f>
        <v/>
      </c>
      <c r="E779" s="20" t="str">
        <f>IFERROR(VLOOKUP($A779,Equipment!$A$2:$AH1001,MATCH("LevelReq",Equipment!$A$1:$AH$1,0),FALSE),"")</f>
        <v/>
      </c>
      <c r="F779" s="18" t="str">
        <f>IFERROR(VLOOKUP($A779,Equipconvrt!$A$2:$AH1001,MATCH("Abilities",Equipconvrt!$A$1:$AH$1,0),FALSE),"")</f>
        <v/>
      </c>
      <c r="G779" s="20" t="str">
        <f>IFERROR(VLOOKUP($A779,Equipment!$A$2:$AD1001,MATCH("Price",Equipment!$A$1:$AH$1,0),FALSE),"")</f>
        <v/>
      </c>
      <c r="H779" s="1" t="b">
        <v>0</v>
      </c>
      <c r="I779" s="1" t="str">
        <f>IFERROR(VLOOKUP($A779,Equipment!$A$2:$AH1001,MATCH("EquipLoc",Equipment!$A$1:$AH$1,0),FALSE),"")</f>
        <v/>
      </c>
      <c r="W779" s="1" t="str">
        <f>IFERROR(__xludf.DUMMYFUNCTION("""COMPUTED_VALUE"""),"Soldier's Charge")</f>
        <v>Soldier's Charge</v>
      </c>
      <c r="X779" s="1" t="str">
        <f t="shared" si="1"/>
        <v>Soldier's Charge</v>
      </c>
    </row>
    <row r="780">
      <c r="A780" s="1"/>
      <c r="B780" s="18" t="str">
        <f>IFERROR(VLOOKUP($A780,Equipment!$A$2:$AH1001,MATCH("Description",Equipment!$A$1:$AH$1,0),FALSE),"")</f>
        <v/>
      </c>
      <c r="C780" s="18" t="str">
        <f>IFERROR(VLOOKUP($A780,Equipment!$A$2:$AH1001,MATCH("Type",Equipment!$A$1:$AH$1,0),FALSE),"")</f>
        <v/>
      </c>
      <c r="D780" s="18" t="str">
        <f>IFERROR(VLOOKUP($A780,Equipment!$A$2:$AH1001,MATCH("Slot",Equipment!$A$1:$AH$1,0),FALSE),"")</f>
        <v/>
      </c>
      <c r="E780" s="20" t="str">
        <f>IFERROR(VLOOKUP($A780,Equipment!$A$2:$AH1001,MATCH("LevelReq",Equipment!$A$1:$AH$1,0),FALSE),"")</f>
        <v/>
      </c>
      <c r="F780" s="18" t="str">
        <f>IFERROR(VLOOKUP($A780,Equipconvrt!$A$2:$AH1001,MATCH("Abilities",Equipconvrt!$A$1:$AH$1,0),FALSE),"")</f>
        <v/>
      </c>
      <c r="G780" s="20" t="str">
        <f>IFERROR(VLOOKUP($A780,Equipment!$A$2:$AD1001,MATCH("Price",Equipment!$A$1:$AH$1,0),FALSE),"")</f>
        <v/>
      </c>
      <c r="H780" s="1" t="b">
        <v>0</v>
      </c>
      <c r="I780" s="1" t="str">
        <f>IFERROR(VLOOKUP($A780,Equipment!$A$2:$AH1001,MATCH("EquipLoc",Equipment!$A$1:$AH$1,0),FALSE),"")</f>
        <v/>
      </c>
      <c r="W780" s="1"/>
      <c r="X780" s="1" t="str">
        <f t="shared" si="1"/>
        <v/>
      </c>
    </row>
    <row r="781">
      <c r="A781" s="1"/>
      <c r="B781" s="18" t="str">
        <f>IFERROR(VLOOKUP($A781,Equipment!$A$2:$AH1001,MATCH("Description",Equipment!$A$1:$AH$1,0),FALSE),"")</f>
        <v/>
      </c>
      <c r="C781" s="18" t="str">
        <f>IFERROR(VLOOKUP($A781,Equipment!$A$2:$AH1001,MATCH("Type",Equipment!$A$1:$AH$1,0),FALSE),"")</f>
        <v/>
      </c>
      <c r="D781" s="18" t="str">
        <f>IFERROR(VLOOKUP($A781,Equipment!$A$2:$AH1001,MATCH("Slot",Equipment!$A$1:$AH$1,0),FALSE),"")</f>
        <v/>
      </c>
      <c r="E781" s="20" t="str">
        <f>IFERROR(VLOOKUP($A781,Equipment!$A$2:$AH1001,MATCH("LevelReq",Equipment!$A$1:$AH$1,0),FALSE),"")</f>
        <v/>
      </c>
      <c r="F781" s="18" t="str">
        <f>IFERROR(VLOOKUP($A781,Equipconvrt!$A$2:$AH1001,MATCH("Abilities",Equipconvrt!$A$1:$AH$1,0),FALSE),"")</f>
        <v/>
      </c>
      <c r="G781" s="20" t="str">
        <f>IFERROR(VLOOKUP($A781,Equipment!$A$2:$AD1001,MATCH("Price",Equipment!$A$1:$AH$1,0),FALSE),"")</f>
        <v/>
      </c>
      <c r="H781" s="1" t="b">
        <v>0</v>
      </c>
      <c r="I781" s="1" t="str">
        <f>IFERROR(VLOOKUP($A781,Equipment!$A$2:$AH1001,MATCH("EquipLoc",Equipment!$A$1:$AH$1,0),FALSE),"")</f>
        <v/>
      </c>
      <c r="W781" s="1" t="str">
        <f>IFERROR(__xludf.DUMMYFUNCTION("""COMPUTED_VALUE"""),"Weight of Sin")</f>
        <v>Weight of Sin</v>
      </c>
      <c r="X781" s="1" t="str">
        <f t="shared" si="1"/>
        <v>Weight of Sin</v>
      </c>
    </row>
    <row r="782">
      <c r="A782" s="1"/>
      <c r="B782" s="18" t="str">
        <f>IFERROR(VLOOKUP($A782,Equipment!$A$2:$AH1001,MATCH("Description",Equipment!$A$1:$AH$1,0),FALSE),"")</f>
        <v/>
      </c>
      <c r="C782" s="18" t="str">
        <f>IFERROR(VLOOKUP($A782,Equipment!$A$2:$AH1001,MATCH("Type",Equipment!$A$1:$AH$1,0),FALSE),"")</f>
        <v/>
      </c>
      <c r="D782" s="18" t="str">
        <f>IFERROR(VLOOKUP($A782,Equipment!$A$2:$AH1001,MATCH("Slot",Equipment!$A$1:$AH$1,0),FALSE),"")</f>
        <v/>
      </c>
      <c r="E782" s="20" t="str">
        <f>IFERROR(VLOOKUP($A782,Equipment!$A$2:$AH1001,MATCH("LevelReq",Equipment!$A$1:$AH$1,0),FALSE),"")</f>
        <v/>
      </c>
      <c r="F782" s="18" t="str">
        <f>IFERROR(VLOOKUP($A782,Equipconvrt!$A$2:$AH1001,MATCH("Abilities",Equipconvrt!$A$1:$AH$1,0),FALSE),"")</f>
        <v/>
      </c>
      <c r="G782" s="20" t="str">
        <f>IFERROR(VLOOKUP($A782,Equipment!$A$2:$AD1001,MATCH("Price",Equipment!$A$1:$AH$1,0),FALSE),"")</f>
        <v/>
      </c>
      <c r="H782" s="1" t="b">
        <v>0</v>
      </c>
      <c r="I782" s="1" t="str">
        <f>IFERROR(VLOOKUP($A782,Equipment!$A$2:$AH1001,MATCH("EquipLoc",Equipment!$A$1:$AH$1,0),FALSE),"")</f>
        <v/>
      </c>
      <c r="W782" s="1" t="str">
        <f>IFERROR(__xludf.DUMMYFUNCTION("""COMPUTED_VALUE"""),"Volcano's Summit")</f>
        <v>Volcano's Summit</v>
      </c>
      <c r="X782" s="1" t="str">
        <f t="shared" si="1"/>
        <v>Volcano's Summit</v>
      </c>
    </row>
    <row r="783">
      <c r="A783" s="1"/>
      <c r="B783" s="18" t="str">
        <f>IFERROR(VLOOKUP($A783,Equipment!$A$2:$AH1001,MATCH("Description",Equipment!$A$1:$AH$1,0),FALSE),"")</f>
        <v/>
      </c>
      <c r="C783" s="18" t="str">
        <f>IFERROR(VLOOKUP($A783,Equipment!$A$2:$AH1001,MATCH("Type",Equipment!$A$1:$AH$1,0),FALSE),"")</f>
        <v/>
      </c>
      <c r="D783" s="18" t="str">
        <f>IFERROR(VLOOKUP($A783,Equipment!$A$2:$AH1001,MATCH("Slot",Equipment!$A$1:$AH$1,0),FALSE),"")</f>
        <v/>
      </c>
      <c r="E783" s="20" t="str">
        <f>IFERROR(VLOOKUP($A783,Equipment!$A$2:$AH1001,MATCH("LevelReq",Equipment!$A$1:$AH$1,0),FALSE),"")</f>
        <v/>
      </c>
      <c r="F783" s="18" t="str">
        <f>IFERROR(VLOOKUP($A783,Equipconvrt!$A$2:$AH1001,MATCH("Abilities",Equipconvrt!$A$1:$AH$1,0),FALSE),"")</f>
        <v/>
      </c>
      <c r="G783" s="20" t="str">
        <f>IFERROR(VLOOKUP($A783,Equipment!$A$2:$AD1001,MATCH("Price",Equipment!$A$1:$AH$1,0),FALSE),"")</f>
        <v/>
      </c>
      <c r="H783" s="1" t="b">
        <v>0</v>
      </c>
      <c r="I783" s="1" t="str">
        <f>IFERROR(VLOOKUP($A783,Equipment!$A$2:$AH1001,MATCH("EquipLoc",Equipment!$A$1:$AH$1,0),FALSE),"")</f>
        <v/>
      </c>
      <c r="W783" s="1"/>
      <c r="X783" s="1" t="str">
        <f t="shared" si="1"/>
        <v/>
      </c>
    </row>
    <row r="784">
      <c r="A784" s="1"/>
      <c r="B784" s="18" t="str">
        <f>IFERROR(VLOOKUP($A784,Equipment!$A$2:$AH1001,MATCH("Description",Equipment!$A$1:$AH$1,0),FALSE),"")</f>
        <v/>
      </c>
      <c r="C784" s="18" t="str">
        <f>IFERROR(VLOOKUP($A784,Equipment!$A$2:$AH1001,MATCH("Type",Equipment!$A$1:$AH$1,0),FALSE),"")</f>
        <v/>
      </c>
      <c r="D784" s="18" t="str">
        <f>IFERROR(VLOOKUP($A784,Equipment!$A$2:$AH1001,MATCH("Slot",Equipment!$A$1:$AH$1,0),FALSE),"")</f>
        <v/>
      </c>
      <c r="E784" s="20" t="str">
        <f>IFERROR(VLOOKUP($A784,Equipment!$A$2:$AH1001,MATCH("LevelReq",Equipment!$A$1:$AH$1,0),FALSE),"")</f>
        <v/>
      </c>
      <c r="F784" s="18" t="str">
        <f>IFERROR(VLOOKUP($A784,Equipconvrt!$A$2:$AH1001,MATCH("Abilities",Equipconvrt!$A$1:$AH$1,0),FALSE),"")</f>
        <v/>
      </c>
      <c r="G784" s="20" t="str">
        <f>IFERROR(VLOOKUP($A784,Equipment!$A$2:$AD1001,MATCH("Price",Equipment!$A$1:$AH$1,0),FALSE),"")</f>
        <v/>
      </c>
      <c r="H784" s="1" t="b">
        <v>0</v>
      </c>
      <c r="I784" s="1" t="str">
        <f>IFERROR(VLOOKUP($A784,Equipment!$A$2:$AH1001,MATCH("EquipLoc",Equipment!$A$1:$AH$1,0),FALSE),"")</f>
        <v/>
      </c>
      <c r="W784" s="1" t="str">
        <f>IFERROR(__xludf.DUMMYFUNCTION("""COMPUTED_VALUE"""),"Long Distance Loveletter")</f>
        <v>Long Distance Loveletter</v>
      </c>
      <c r="X784" s="1" t="str">
        <f t="shared" si="1"/>
        <v>Long Distance Loveletter</v>
      </c>
    </row>
    <row r="785">
      <c r="A785" s="1"/>
      <c r="B785" s="18" t="str">
        <f>IFERROR(VLOOKUP($A785,Equipment!$A$2:$AH1001,MATCH("Description",Equipment!$A$1:$AH$1,0),FALSE),"")</f>
        <v/>
      </c>
      <c r="C785" s="18" t="str">
        <f>IFERROR(VLOOKUP($A785,Equipment!$A$2:$AH1001,MATCH("Type",Equipment!$A$1:$AH$1,0),FALSE),"")</f>
        <v/>
      </c>
      <c r="D785" s="18" t="str">
        <f>IFERROR(VLOOKUP($A785,Equipment!$A$2:$AH1001,MATCH("Slot",Equipment!$A$1:$AH$1,0),FALSE),"")</f>
        <v/>
      </c>
      <c r="E785" s="20" t="str">
        <f>IFERROR(VLOOKUP($A785,Equipment!$A$2:$AH1001,MATCH("LevelReq",Equipment!$A$1:$AH$1,0),FALSE),"")</f>
        <v/>
      </c>
      <c r="F785" s="18" t="str">
        <f>IFERROR(VLOOKUP($A785,Equipconvrt!$A$2:$AH1001,MATCH("Abilities",Equipconvrt!$A$1:$AH$1,0),FALSE),"")</f>
        <v/>
      </c>
      <c r="G785" s="20" t="str">
        <f>IFERROR(VLOOKUP($A785,Equipment!$A$2:$AD1001,MATCH("Price",Equipment!$A$1:$AH$1,0),FALSE),"")</f>
        <v/>
      </c>
      <c r="H785" s="1" t="b">
        <v>0</v>
      </c>
      <c r="I785" s="1" t="str">
        <f>IFERROR(VLOOKUP($A785,Equipment!$A$2:$AH1001,MATCH("EquipLoc",Equipment!$A$1:$AH$1,0),FALSE),"")</f>
        <v/>
      </c>
      <c r="W785" s="1" t="str">
        <f>IFERROR(__xludf.DUMMYFUNCTION("""COMPUTED_VALUE"""),"Cursed Child's Hatchet")</f>
        <v>Cursed Child's Hatchet</v>
      </c>
      <c r="X785" s="1" t="str">
        <f t="shared" si="1"/>
        <v>Cursed Child's Hatchet</v>
      </c>
    </row>
    <row r="786">
      <c r="A786" s="1"/>
      <c r="B786" s="18" t="str">
        <f>IFERROR(VLOOKUP($A786,Equipment!$A$2:$AH1001,MATCH("Description",Equipment!$A$1:$AH$1,0),FALSE),"")</f>
        <v/>
      </c>
      <c r="C786" s="18" t="str">
        <f>IFERROR(VLOOKUP($A786,Equipment!$A$2:$AH1001,MATCH("Type",Equipment!$A$1:$AH$1,0),FALSE),"")</f>
        <v/>
      </c>
      <c r="D786" s="18" t="str">
        <f>IFERROR(VLOOKUP($A786,Equipment!$A$2:$AH1001,MATCH("Slot",Equipment!$A$1:$AH$1,0),FALSE),"")</f>
        <v/>
      </c>
      <c r="E786" s="20" t="str">
        <f>IFERROR(VLOOKUP($A786,Equipment!$A$2:$AH1001,MATCH("LevelReq",Equipment!$A$1:$AH$1,0),FALSE),"")</f>
        <v/>
      </c>
      <c r="F786" s="18" t="str">
        <f>IFERROR(VLOOKUP($A786,Equipconvrt!$A$2:$AH1001,MATCH("Abilities",Equipconvrt!$A$1:$AH$1,0),FALSE),"")</f>
        <v/>
      </c>
      <c r="G786" s="20" t="str">
        <f>IFERROR(VLOOKUP($A786,Equipment!$A$2:$AD1001,MATCH("Price",Equipment!$A$1:$AH$1,0),FALSE),"")</f>
        <v/>
      </c>
      <c r="H786" s="1" t="b">
        <v>0</v>
      </c>
      <c r="I786" s="1" t="str">
        <f>IFERROR(VLOOKUP($A786,Equipment!$A$2:$AH1001,MATCH("EquipLoc",Equipment!$A$1:$AH$1,0),FALSE),"")</f>
        <v/>
      </c>
      <c r="W786" s="1" t="str">
        <f>IFERROR(__xludf.DUMMYFUNCTION("""COMPUTED_VALUE"""),"Helm of Lost Hope")</f>
        <v>Helm of Lost Hope</v>
      </c>
      <c r="X786" s="1" t="str">
        <f t="shared" si="1"/>
        <v>Helm of Lost Hope</v>
      </c>
    </row>
    <row r="787">
      <c r="A787" s="1"/>
      <c r="B787" s="18" t="str">
        <f>IFERROR(VLOOKUP($A787,Equipment!$A$2:$AH1001,MATCH("Description",Equipment!$A$1:$AH$1,0),FALSE),"")</f>
        <v/>
      </c>
      <c r="C787" s="18" t="str">
        <f>IFERROR(VLOOKUP($A787,Equipment!$A$2:$AH1001,MATCH("Type",Equipment!$A$1:$AH$1,0),FALSE),"")</f>
        <v/>
      </c>
      <c r="D787" s="18" t="str">
        <f>IFERROR(VLOOKUP($A787,Equipment!$A$2:$AH1001,MATCH("Slot",Equipment!$A$1:$AH$1,0),FALSE),"")</f>
        <v/>
      </c>
      <c r="E787" s="20" t="str">
        <f>IFERROR(VLOOKUP($A787,Equipment!$A$2:$AH1001,MATCH("LevelReq",Equipment!$A$1:$AH$1,0),FALSE),"")</f>
        <v/>
      </c>
      <c r="F787" s="18" t="str">
        <f>IFERROR(VLOOKUP($A787,Equipconvrt!$A$2:$AH1001,MATCH("Abilities",Equipconvrt!$A$1:$AH$1,0),FALSE),"")</f>
        <v/>
      </c>
      <c r="G787" s="20" t="str">
        <f>IFERROR(VLOOKUP($A787,Equipment!$A$2:$AD1001,MATCH("Price",Equipment!$A$1:$AH$1,0),FALSE),"")</f>
        <v/>
      </c>
      <c r="H787" s="1" t="b">
        <v>0</v>
      </c>
      <c r="I787" s="1" t="str">
        <f>IFERROR(VLOOKUP($A787,Equipment!$A$2:$AH1001,MATCH("EquipLoc",Equipment!$A$1:$AH$1,0),FALSE),"")</f>
        <v/>
      </c>
      <c r="W787" s="1" t="str">
        <f>IFERROR(__xludf.DUMMYFUNCTION("""COMPUTED_VALUE"""),"Cursed Shield")</f>
        <v>Cursed Shield</v>
      </c>
      <c r="X787" s="1" t="str">
        <f t="shared" si="1"/>
        <v>Cursed Shield</v>
      </c>
    </row>
    <row r="788">
      <c r="A788" s="1"/>
      <c r="B788" s="18" t="str">
        <f>IFERROR(VLOOKUP($A788,Equipment!$A$2:$AH1001,MATCH("Description",Equipment!$A$1:$AH$1,0),FALSE),"")</f>
        <v/>
      </c>
      <c r="C788" s="18" t="str">
        <f>IFERROR(VLOOKUP($A788,Equipment!$A$2:$AH1001,MATCH("Type",Equipment!$A$1:$AH$1,0),FALSE),"")</f>
        <v/>
      </c>
      <c r="D788" s="18" t="str">
        <f>IFERROR(VLOOKUP($A788,Equipment!$A$2:$AH1001,MATCH("Slot",Equipment!$A$1:$AH$1,0),FALSE),"")</f>
        <v/>
      </c>
      <c r="E788" s="20" t="str">
        <f>IFERROR(VLOOKUP($A788,Equipment!$A$2:$AH1001,MATCH("LevelReq",Equipment!$A$1:$AH$1,0),FALSE),"")</f>
        <v/>
      </c>
      <c r="F788" s="18" t="str">
        <f>IFERROR(VLOOKUP($A788,Equipconvrt!$A$2:$AH1001,MATCH("Abilities",Equipconvrt!$A$1:$AH$1,0),FALSE),"")</f>
        <v/>
      </c>
      <c r="G788" s="20" t="str">
        <f>IFERROR(VLOOKUP($A788,Equipment!$A$2:$AD1001,MATCH("Price",Equipment!$A$1:$AH$1,0),FALSE),"")</f>
        <v/>
      </c>
      <c r="H788" s="1" t="b">
        <v>0</v>
      </c>
      <c r="I788" s="1" t="str">
        <f>IFERROR(VLOOKUP($A788,Equipment!$A$2:$AH1001,MATCH("EquipLoc",Equipment!$A$1:$AH$1,0),FALSE),"")</f>
        <v/>
      </c>
      <c r="W788" s="1" t="str">
        <f>IFERROR(__xludf.DUMMYFUNCTION("""COMPUTED_VALUE"""),"Dragonscale Buckler")</f>
        <v>Dragonscale Buckler</v>
      </c>
      <c r="X788" s="1" t="str">
        <f t="shared" si="1"/>
        <v>Dragonscale Buckler</v>
      </c>
    </row>
    <row r="789">
      <c r="A789" s="1"/>
      <c r="B789" s="18" t="str">
        <f>IFERROR(VLOOKUP($A789,Equipment!$A$2:$AH1001,MATCH("Description",Equipment!$A$1:$AH$1,0),FALSE),"")</f>
        <v/>
      </c>
      <c r="C789" s="18" t="str">
        <f>IFERROR(VLOOKUP($A789,Equipment!$A$2:$AH1001,MATCH("Type",Equipment!$A$1:$AH$1,0),FALSE),"")</f>
        <v/>
      </c>
      <c r="D789" s="18" t="str">
        <f>IFERROR(VLOOKUP($A789,Equipment!$A$2:$AH1001,MATCH("Slot",Equipment!$A$1:$AH$1,0),FALSE),"")</f>
        <v/>
      </c>
      <c r="E789" s="20" t="str">
        <f>IFERROR(VLOOKUP($A789,Equipment!$A$2:$AH1001,MATCH("LevelReq",Equipment!$A$1:$AH$1,0),FALSE),"")</f>
        <v/>
      </c>
      <c r="F789" s="18" t="str">
        <f>IFERROR(VLOOKUP($A789,Equipconvrt!$A$2:$AH1001,MATCH("Abilities",Equipconvrt!$A$1:$AH$1,0),FALSE),"")</f>
        <v/>
      </c>
      <c r="G789" s="20" t="str">
        <f>IFERROR(VLOOKUP($A789,Equipment!$A$2:$AD1001,MATCH("Price",Equipment!$A$1:$AH$1,0),FALSE),"")</f>
        <v/>
      </c>
      <c r="H789" s="1" t="b">
        <v>0</v>
      </c>
      <c r="I789" s="1" t="str">
        <f>IFERROR(VLOOKUP($A789,Equipment!$A$2:$AH1001,MATCH("EquipLoc",Equipment!$A$1:$AH$1,0),FALSE),"")</f>
        <v/>
      </c>
      <c r="W789" s="1" t="str">
        <f>IFERROR(__xludf.DUMMYFUNCTION("""COMPUTED_VALUE"""),"Magma Trident")</f>
        <v>Magma Trident</v>
      </c>
      <c r="X789" s="1" t="str">
        <f t="shared" si="1"/>
        <v>Magma Trident</v>
      </c>
    </row>
    <row r="790">
      <c r="A790" s="1"/>
      <c r="B790" s="18" t="str">
        <f>IFERROR(VLOOKUP($A790,Equipment!$A$2:$AH1001,MATCH("Description",Equipment!$A$1:$AH$1,0),FALSE),"")</f>
        <v/>
      </c>
      <c r="C790" s="18" t="str">
        <f>IFERROR(VLOOKUP($A790,Equipment!$A$2:$AH1001,MATCH("Type",Equipment!$A$1:$AH$1,0),FALSE),"")</f>
        <v/>
      </c>
      <c r="D790" s="18" t="str">
        <f>IFERROR(VLOOKUP($A790,Equipment!$A$2:$AH1001,MATCH("Slot",Equipment!$A$1:$AH$1,0),FALSE),"")</f>
        <v/>
      </c>
      <c r="E790" s="20" t="str">
        <f>IFERROR(VLOOKUP($A790,Equipment!$A$2:$AH1001,MATCH("LevelReq",Equipment!$A$1:$AH$1,0),FALSE),"")</f>
        <v/>
      </c>
      <c r="F790" s="18" t="str">
        <f>IFERROR(VLOOKUP($A790,Equipconvrt!$A$2:$AH1001,MATCH("Abilities",Equipconvrt!$A$1:$AH$1,0),FALSE),"")</f>
        <v/>
      </c>
      <c r="G790" s="20" t="str">
        <f>IFERROR(VLOOKUP($A790,Equipment!$A$2:$AD1001,MATCH("Price",Equipment!$A$1:$AH$1,0),FALSE),"")</f>
        <v/>
      </c>
      <c r="H790" s="1" t="b">
        <v>0</v>
      </c>
      <c r="I790" s="1" t="str">
        <f>IFERROR(VLOOKUP($A790,Equipment!$A$2:$AH1001,MATCH("EquipLoc",Equipment!$A$1:$AH$1,0),FALSE),"")</f>
        <v/>
      </c>
      <c r="W790" s="1" t="str">
        <f>IFERROR(__xludf.DUMMYFUNCTION("""COMPUTED_VALUE"""),"Bonemerang")</f>
        <v>Bonemerang</v>
      </c>
      <c r="X790" s="1" t="str">
        <f t="shared" si="1"/>
        <v>Bonemerang</v>
      </c>
    </row>
    <row r="791">
      <c r="A791" s="1"/>
      <c r="B791" s="18" t="str">
        <f>IFERROR(VLOOKUP($A791,Equipment!$A$2:$AH1001,MATCH("Description",Equipment!$A$1:$AH$1,0),FALSE),"")</f>
        <v/>
      </c>
      <c r="C791" s="18" t="str">
        <f>IFERROR(VLOOKUP($A791,Equipment!$A$2:$AH1001,MATCH("Type",Equipment!$A$1:$AH$1,0),FALSE),"")</f>
        <v/>
      </c>
      <c r="D791" s="18" t="str">
        <f>IFERROR(VLOOKUP($A791,Equipment!$A$2:$AH1001,MATCH("Slot",Equipment!$A$1:$AH$1,0),FALSE),"")</f>
        <v/>
      </c>
      <c r="E791" s="20" t="str">
        <f>IFERROR(VLOOKUP($A791,Equipment!$A$2:$AH1001,MATCH("LevelReq",Equipment!$A$1:$AH$1,0),FALSE),"")</f>
        <v/>
      </c>
      <c r="F791" s="18" t="str">
        <f>IFERROR(VLOOKUP($A791,Equipconvrt!$A$2:$AH1001,MATCH("Abilities",Equipconvrt!$A$1:$AH$1,0),FALSE),"")</f>
        <v/>
      </c>
      <c r="G791" s="20" t="str">
        <f>IFERROR(VLOOKUP($A791,Equipment!$A$2:$AD1001,MATCH("Price",Equipment!$A$1:$AH$1,0),FALSE),"")</f>
        <v/>
      </c>
      <c r="H791" s="1" t="b">
        <v>0</v>
      </c>
      <c r="I791" s="1" t="str">
        <f>IFERROR(VLOOKUP($A791,Equipment!$A$2:$AH1001,MATCH("EquipLoc",Equipment!$A$1:$AH$1,0),FALSE),"")</f>
        <v/>
      </c>
      <c r="W791" s="1" t="str">
        <f>IFERROR(__xludf.DUMMYFUNCTION("""COMPUTED_VALUE"""),"Blamerang")</f>
        <v>Blamerang</v>
      </c>
      <c r="X791" s="1" t="str">
        <f t="shared" si="1"/>
        <v>Blamerang</v>
      </c>
    </row>
    <row r="792">
      <c r="A792" s="1"/>
      <c r="B792" s="18" t="str">
        <f>IFERROR(VLOOKUP($A792,Equipment!$A$2:$AH1001,MATCH("Description",Equipment!$A$1:$AH$1,0),FALSE),"")</f>
        <v/>
      </c>
      <c r="C792" s="18" t="str">
        <f>IFERROR(VLOOKUP($A792,Equipment!$A$2:$AH1001,MATCH("Type",Equipment!$A$1:$AH$1,0),FALSE),"")</f>
        <v/>
      </c>
      <c r="D792" s="18" t="str">
        <f>IFERROR(VLOOKUP($A792,Equipment!$A$2:$AH1001,MATCH("Slot",Equipment!$A$1:$AH$1,0),FALSE),"")</f>
        <v/>
      </c>
      <c r="E792" s="20" t="str">
        <f>IFERROR(VLOOKUP($A792,Equipment!$A$2:$AH1001,MATCH("LevelReq",Equipment!$A$1:$AH$1,0),FALSE),"")</f>
        <v/>
      </c>
      <c r="F792" s="18" t="str">
        <f>IFERROR(VLOOKUP($A792,Equipconvrt!$A$2:$AH1001,MATCH("Abilities",Equipconvrt!$A$1:$AH$1,0),FALSE),"")</f>
        <v/>
      </c>
      <c r="G792" s="20" t="str">
        <f>IFERROR(VLOOKUP($A792,Equipment!$A$2:$AD1001,MATCH("Price",Equipment!$A$1:$AH$1,0),FALSE),"")</f>
        <v/>
      </c>
      <c r="H792" s="1" t="b">
        <v>0</v>
      </c>
      <c r="I792" s="1" t="str">
        <f>IFERROR(VLOOKUP($A792,Equipment!$A$2:$AH1001,MATCH("EquipLoc",Equipment!$A$1:$AH$1,0),FALSE),"")</f>
        <v/>
      </c>
      <c r="W792" s="1" t="str">
        <f>IFERROR(__xludf.DUMMYFUNCTION("""COMPUTED_VALUE"""),"Condemned Bow")</f>
        <v>Condemned Bow</v>
      </c>
      <c r="X792" s="1" t="str">
        <f t="shared" si="1"/>
        <v>Condemned Bow</v>
      </c>
    </row>
    <row r="793">
      <c r="A793" s="1"/>
      <c r="B793" s="18" t="str">
        <f>IFERROR(VLOOKUP($A793,Equipment!$A$2:$AH1001,MATCH("Description",Equipment!$A$1:$AH$1,0),FALSE),"")</f>
        <v/>
      </c>
      <c r="C793" s="18" t="str">
        <f>IFERROR(VLOOKUP($A793,Equipment!$A$2:$AH1001,MATCH("Type",Equipment!$A$1:$AH$1,0),FALSE),"")</f>
        <v/>
      </c>
      <c r="D793" s="18" t="str">
        <f>IFERROR(VLOOKUP($A793,Equipment!$A$2:$AH1001,MATCH("Slot",Equipment!$A$1:$AH$1,0),FALSE),"")</f>
        <v/>
      </c>
      <c r="E793" s="20" t="str">
        <f>IFERROR(VLOOKUP($A793,Equipment!$A$2:$AH1001,MATCH("LevelReq",Equipment!$A$1:$AH$1,0),FALSE),"")</f>
        <v/>
      </c>
      <c r="F793" s="18" t="str">
        <f>IFERROR(VLOOKUP($A793,Equipconvrt!$A$2:$AH1001,MATCH("Abilities",Equipconvrt!$A$1:$AH$1,0),FALSE),"")</f>
        <v/>
      </c>
      <c r="G793" s="20" t="str">
        <f>IFERROR(VLOOKUP($A793,Equipment!$A$2:$AD1001,MATCH("Price",Equipment!$A$1:$AH$1,0),FALSE),"")</f>
        <v/>
      </c>
      <c r="H793" s="1" t="b">
        <v>0</v>
      </c>
      <c r="I793" s="1" t="str">
        <f>IFERROR(VLOOKUP($A793,Equipment!$A$2:$AH1001,MATCH("EquipLoc",Equipment!$A$1:$AH$1,0),FALSE),"")</f>
        <v/>
      </c>
      <c r="W793" s="1" t="str">
        <f>IFERROR(__xludf.DUMMYFUNCTION("""COMPUTED_VALUE"""),"Ancient Blacksmith's Soul In A Bottle")</f>
        <v>Ancient Blacksmith's Soul In A Bottle</v>
      </c>
      <c r="X793" s="1" t="str">
        <f t="shared" si="1"/>
        <v>Ancient Blacksmith's Soul In A Bottle</v>
      </c>
    </row>
    <row r="794">
      <c r="A794" s="1"/>
      <c r="B794" s="18" t="str">
        <f>IFERROR(VLOOKUP($A794,Equipment!$A$2:$AH1001,MATCH("Description",Equipment!$A$1:$AH$1,0),FALSE),"")</f>
        <v/>
      </c>
      <c r="C794" s="18" t="str">
        <f>IFERROR(VLOOKUP($A794,Equipment!$A$2:$AH1001,MATCH("Type",Equipment!$A$1:$AH$1,0),FALSE),"")</f>
        <v/>
      </c>
      <c r="D794" s="18" t="str">
        <f>IFERROR(VLOOKUP($A794,Equipment!$A$2:$AH1001,MATCH("Slot",Equipment!$A$1:$AH$1,0),FALSE),"")</f>
        <v/>
      </c>
      <c r="E794" s="20" t="str">
        <f>IFERROR(VLOOKUP($A794,Equipment!$A$2:$AH1001,MATCH("LevelReq",Equipment!$A$1:$AH$1,0),FALSE),"")</f>
        <v/>
      </c>
      <c r="F794" s="18" t="str">
        <f>IFERROR(VLOOKUP($A794,Equipconvrt!$A$2:$AH1001,MATCH("Abilities",Equipconvrt!$A$1:$AH$1,0),FALSE),"")</f>
        <v/>
      </c>
      <c r="G794" s="20" t="str">
        <f>IFERROR(VLOOKUP($A794,Equipment!$A$2:$AD1001,MATCH("Price",Equipment!$A$1:$AH$1,0),FALSE),"")</f>
        <v/>
      </c>
      <c r="H794" s="1" t="b">
        <v>0</v>
      </c>
      <c r="I794" s="1" t="str">
        <f>IFERROR(VLOOKUP($A794,Equipment!$A$2:$AH1001,MATCH("EquipLoc",Equipment!$A$1:$AH$1,0),FALSE),"")</f>
        <v/>
      </c>
      <c r="W794" s="1" t="str">
        <f>IFERROR(__xludf.DUMMYFUNCTION("""COMPUTED_VALUE"""),"Ancient Breeder's Soul In A Bottle")</f>
        <v>Ancient Breeder's Soul In A Bottle</v>
      </c>
      <c r="X794" s="1" t="str">
        <f t="shared" si="1"/>
        <v>Ancient Breeder's Soul In A Bottle</v>
      </c>
    </row>
    <row r="795">
      <c r="A795" s="1"/>
      <c r="B795" s="18" t="str">
        <f>IFERROR(VLOOKUP($A795,Equipment!$A$2:$AH1001,MATCH("Description",Equipment!$A$1:$AH$1,0),FALSE),"")</f>
        <v/>
      </c>
      <c r="C795" s="18" t="str">
        <f>IFERROR(VLOOKUP($A795,Equipment!$A$2:$AH1001,MATCH("Type",Equipment!$A$1:$AH$1,0),FALSE),"")</f>
        <v/>
      </c>
      <c r="D795" s="18" t="str">
        <f>IFERROR(VLOOKUP($A795,Equipment!$A$2:$AH1001,MATCH("Slot",Equipment!$A$1:$AH$1,0),FALSE),"")</f>
        <v/>
      </c>
      <c r="E795" s="20" t="str">
        <f>IFERROR(VLOOKUP($A795,Equipment!$A$2:$AH1001,MATCH("LevelReq",Equipment!$A$1:$AH$1,0),FALSE),"")</f>
        <v/>
      </c>
      <c r="F795" s="18" t="str">
        <f>IFERROR(VLOOKUP($A795,Equipconvrt!$A$2:$AH1001,MATCH("Abilities",Equipconvrt!$A$1:$AH$1,0),FALSE),"")</f>
        <v/>
      </c>
      <c r="G795" s="20" t="str">
        <f>IFERROR(VLOOKUP($A795,Equipment!$A$2:$AD1001,MATCH("Price",Equipment!$A$1:$AH$1,0),FALSE),"")</f>
        <v/>
      </c>
      <c r="H795" s="1" t="b">
        <v>0</v>
      </c>
      <c r="I795" s="1" t="str">
        <f>IFERROR(VLOOKUP($A795,Equipment!$A$2:$AH1001,MATCH("EquipLoc",Equipment!$A$1:$AH$1,0),FALSE),"")</f>
        <v/>
      </c>
      <c r="W795" s="1" t="str">
        <f>IFERROR(__xludf.DUMMYFUNCTION("""COMPUTED_VALUE"""),"Ancient Crafter's Soul In A Bottle")</f>
        <v>Ancient Crafter's Soul In A Bottle</v>
      </c>
      <c r="X795" s="1" t="str">
        <f t="shared" si="1"/>
        <v>Ancient Crafter's Soul In A Bottle</v>
      </c>
    </row>
    <row r="796">
      <c r="A796" s="1"/>
      <c r="B796" s="18" t="str">
        <f>IFERROR(VLOOKUP($A796,Equipment!$A$2:$AH1001,MATCH("Description",Equipment!$A$1:$AH$1,0),FALSE),"")</f>
        <v/>
      </c>
      <c r="C796" s="18" t="str">
        <f>IFERROR(VLOOKUP($A796,Equipment!$A$2:$AH1001,MATCH("Type",Equipment!$A$1:$AH$1,0),FALSE),"")</f>
        <v/>
      </c>
      <c r="D796" s="18" t="str">
        <f>IFERROR(VLOOKUP($A796,Equipment!$A$2:$AH1001,MATCH("Slot",Equipment!$A$1:$AH$1,0),FALSE),"")</f>
        <v/>
      </c>
      <c r="E796" s="20" t="str">
        <f>IFERROR(VLOOKUP($A796,Equipment!$A$2:$AH1001,MATCH("LevelReq",Equipment!$A$1:$AH$1,0),FALSE),"")</f>
        <v/>
      </c>
      <c r="F796" s="18" t="str">
        <f>IFERROR(VLOOKUP($A796,Equipconvrt!$A$2:$AH1001,MATCH("Abilities",Equipconvrt!$A$1:$AH$1,0),FALSE),"")</f>
        <v/>
      </c>
      <c r="G796" s="20" t="str">
        <f>IFERROR(VLOOKUP($A796,Equipment!$A$2:$AD1001,MATCH("Price",Equipment!$A$1:$AH$1,0),FALSE),"")</f>
        <v/>
      </c>
      <c r="H796" s="1" t="b">
        <v>0</v>
      </c>
      <c r="I796" s="1" t="str">
        <f>IFERROR(VLOOKUP($A796,Equipment!$A$2:$AH1001,MATCH("EquipLoc",Equipment!$A$1:$AH$1,0),FALSE),"")</f>
        <v/>
      </c>
      <c r="W796" s="1" t="str">
        <f>IFERROR(__xludf.DUMMYFUNCTION("""COMPUTED_VALUE"""),"Ancient Alchemist's Soul In A Bottle")</f>
        <v>Ancient Alchemist's Soul In A Bottle</v>
      </c>
      <c r="X796" s="1" t="str">
        <f t="shared" si="1"/>
        <v>Ancient Alchemist's Soul In A Bottle</v>
      </c>
    </row>
    <row r="797">
      <c r="A797" s="1"/>
      <c r="B797" s="18" t="str">
        <f>IFERROR(VLOOKUP($A797,Equipment!$A$2:$AH1001,MATCH("Description",Equipment!$A$1:$AH$1,0),FALSE),"")</f>
        <v/>
      </c>
      <c r="C797" s="18" t="str">
        <f>IFERROR(VLOOKUP($A797,Equipment!$A$2:$AH1001,MATCH("Type",Equipment!$A$1:$AH$1,0),FALSE),"")</f>
        <v/>
      </c>
      <c r="D797" s="18" t="str">
        <f>IFERROR(VLOOKUP($A797,Equipment!$A$2:$AH1001,MATCH("Slot",Equipment!$A$1:$AH$1,0),FALSE),"")</f>
        <v/>
      </c>
      <c r="E797" s="20" t="str">
        <f>IFERROR(VLOOKUP($A797,Equipment!$A$2:$AH1001,MATCH("LevelReq",Equipment!$A$1:$AH$1,0),FALSE),"")</f>
        <v/>
      </c>
      <c r="F797" s="18" t="str">
        <f>IFERROR(VLOOKUP($A797,Equipconvrt!$A$2:$AH1001,MATCH("Abilities",Equipconvrt!$A$1:$AH$1,0),FALSE),"")</f>
        <v/>
      </c>
      <c r="G797" s="20" t="str">
        <f>IFERROR(VLOOKUP($A797,Equipment!$A$2:$AD1001,MATCH("Price",Equipment!$A$1:$AH$1,0),FALSE),"")</f>
        <v/>
      </c>
      <c r="H797" s="1" t="b">
        <v>0</v>
      </c>
      <c r="I797" s="1" t="str">
        <f>IFERROR(VLOOKUP($A797,Equipment!$A$2:$AH1001,MATCH("EquipLoc",Equipment!$A$1:$AH$1,0),FALSE),"")</f>
        <v/>
      </c>
      <c r="W797" s="1" t="str">
        <f>IFERROR(__xludf.DUMMYFUNCTION("""COMPUTED_VALUE"""),"Ancient Farmer's Soul In A Bottle")</f>
        <v>Ancient Farmer's Soul In A Bottle</v>
      </c>
      <c r="X797" s="1" t="str">
        <f t="shared" si="1"/>
        <v>Ancient Farmer's Soul In A Bottle</v>
      </c>
    </row>
    <row r="798">
      <c r="A798" s="1"/>
      <c r="B798" s="18" t="str">
        <f>IFERROR(VLOOKUP($A798,Equipment!$A$2:$AH1001,MATCH("Description",Equipment!$A$1:$AH$1,0),FALSE),"")</f>
        <v/>
      </c>
      <c r="C798" s="18" t="str">
        <f>IFERROR(VLOOKUP($A798,Equipment!$A$2:$AH1001,MATCH("Type",Equipment!$A$1:$AH$1,0),FALSE),"")</f>
        <v/>
      </c>
      <c r="D798" s="18" t="str">
        <f>IFERROR(VLOOKUP($A798,Equipment!$A$2:$AH1001,MATCH("Slot",Equipment!$A$1:$AH$1,0),FALSE),"")</f>
        <v/>
      </c>
      <c r="E798" s="20" t="str">
        <f>IFERROR(VLOOKUP($A798,Equipment!$A$2:$AH1001,MATCH("LevelReq",Equipment!$A$1:$AH$1,0),FALSE),"")</f>
        <v/>
      </c>
      <c r="F798" s="18" t="str">
        <f>IFERROR(VLOOKUP($A798,Equipconvrt!$A$2:$AH1001,MATCH("Abilities",Equipconvrt!$A$1:$AH$1,0),FALSE),"")</f>
        <v/>
      </c>
      <c r="G798" s="20" t="str">
        <f>IFERROR(VLOOKUP($A798,Equipment!$A$2:$AD1001,MATCH("Price",Equipment!$A$1:$AH$1,0),FALSE),"")</f>
        <v/>
      </c>
      <c r="H798" s="1" t="b">
        <v>0</v>
      </c>
      <c r="I798" s="1" t="str">
        <f>IFERROR(VLOOKUP($A798,Equipment!$A$2:$AH1001,MATCH("EquipLoc",Equipment!$A$1:$AH$1,0),FALSE),"")</f>
        <v/>
      </c>
      <c r="W798" s="1" t="str">
        <f>IFERROR(__xludf.DUMMYFUNCTION("""COMPUTED_VALUE"""),"Ancient Chef's Soul In A Bottle")</f>
        <v>Ancient Chef's Soul In A Bottle</v>
      </c>
      <c r="X798" s="1" t="str">
        <f t="shared" si="1"/>
        <v>Ancient Chef's Soul In A Bottle</v>
      </c>
    </row>
    <row r="799">
      <c r="A799" s="1"/>
      <c r="B799" s="18" t="str">
        <f>IFERROR(VLOOKUP($A799,Equipment!$A$2:$AH1001,MATCH("Description",Equipment!$A$1:$AH$1,0),FALSE),"")</f>
        <v/>
      </c>
      <c r="C799" s="18" t="str">
        <f>IFERROR(VLOOKUP($A799,Equipment!$A$2:$AH1001,MATCH("Type",Equipment!$A$1:$AH$1,0),FALSE),"")</f>
        <v/>
      </c>
      <c r="D799" s="18" t="str">
        <f>IFERROR(VLOOKUP($A799,Equipment!$A$2:$AH1001,MATCH("Slot",Equipment!$A$1:$AH$1,0),FALSE),"")</f>
        <v/>
      </c>
      <c r="E799" s="20" t="str">
        <f>IFERROR(VLOOKUP($A799,Equipment!$A$2:$AH1001,MATCH("LevelReq",Equipment!$A$1:$AH$1,0),FALSE),"")</f>
        <v/>
      </c>
      <c r="F799" s="18" t="str">
        <f>IFERROR(VLOOKUP($A799,Equipconvrt!$A$2:$AH1001,MATCH("Abilities",Equipconvrt!$A$1:$AH$1,0),FALSE),"")</f>
        <v/>
      </c>
      <c r="G799" s="20" t="str">
        <f>IFERROR(VLOOKUP($A799,Equipment!$A$2:$AD1001,MATCH("Price",Equipment!$A$1:$AH$1,0),FALSE),"")</f>
        <v/>
      </c>
      <c r="H799" s="1" t="b">
        <v>0</v>
      </c>
      <c r="I799" s="1" t="str">
        <f>IFERROR(VLOOKUP($A799,Equipment!$A$2:$AH1001,MATCH("EquipLoc",Equipment!$A$1:$AH$1,0),FALSE),"")</f>
        <v/>
      </c>
      <c r="W799" s="1" t="str">
        <f>IFERROR(__xludf.DUMMYFUNCTION("""COMPUTED_VALUE"""),"Ancient Miner's Soul In A Bottle")</f>
        <v>Ancient Miner's Soul In A Bottle</v>
      </c>
      <c r="X799" s="1" t="str">
        <f t="shared" si="1"/>
        <v>Ancient Miner's Soul In A Bottle</v>
      </c>
    </row>
    <row r="800">
      <c r="A800" s="1"/>
      <c r="B800" s="18" t="str">
        <f>IFERROR(VLOOKUP($A800,Equipment!$A$2:$AH1001,MATCH("Description",Equipment!$A$1:$AH$1,0),FALSE),"")</f>
        <v/>
      </c>
      <c r="C800" s="18" t="str">
        <f>IFERROR(VLOOKUP($A800,Equipment!$A$2:$AH1001,MATCH("Type",Equipment!$A$1:$AH$1,0),FALSE),"")</f>
        <v/>
      </c>
      <c r="D800" s="18" t="str">
        <f>IFERROR(VLOOKUP($A800,Equipment!$A$2:$AH1001,MATCH("Slot",Equipment!$A$1:$AH$1,0),FALSE),"")</f>
        <v/>
      </c>
      <c r="E800" s="20" t="str">
        <f>IFERROR(VLOOKUP($A800,Equipment!$A$2:$AH1001,MATCH("LevelReq",Equipment!$A$1:$AH$1,0),FALSE),"")</f>
        <v/>
      </c>
      <c r="F800" s="18" t="str">
        <f>IFERROR(VLOOKUP($A800,Equipconvrt!$A$2:$AH1001,MATCH("Abilities",Equipconvrt!$A$1:$AH$1,0),FALSE),"")</f>
        <v/>
      </c>
      <c r="G800" s="20" t="str">
        <f>IFERROR(VLOOKUP($A800,Equipment!$A$2:$AD1001,MATCH("Price",Equipment!$A$1:$AH$1,0),FALSE),"")</f>
        <v/>
      </c>
      <c r="H800" s="1" t="b">
        <v>0</v>
      </c>
      <c r="I800" s="1" t="str">
        <f>IFERROR(VLOOKUP($A800,Equipment!$A$2:$AH1001,MATCH("EquipLoc",Equipment!$A$1:$AH$1,0),FALSE),"")</f>
        <v/>
      </c>
      <c r="W800" s="1" t="str">
        <f>IFERROR(__xludf.DUMMYFUNCTION("""COMPUTED_VALUE"""),"Ancient Spira Guard's Soul In A Bottle")</f>
        <v>Ancient Spira Guard's Soul In A Bottle</v>
      </c>
      <c r="X800" s="1" t="str">
        <f t="shared" si="1"/>
        <v>Ancient Spira Guard's Soul In A Bottle</v>
      </c>
    </row>
    <row r="801">
      <c r="A801" s="1"/>
      <c r="B801" s="18" t="str">
        <f>IFERROR(VLOOKUP($A801,Equipment!$A$2:$AH1001,MATCH("Description",Equipment!$A$1:$AH$1,0),FALSE),"")</f>
        <v/>
      </c>
      <c r="C801" s="18" t="str">
        <f>IFERROR(VLOOKUP($A801,Equipment!$A$2:$AH1001,MATCH("Type",Equipment!$A$1:$AH$1,0),FALSE),"")</f>
        <v/>
      </c>
      <c r="D801" s="18" t="str">
        <f>IFERROR(VLOOKUP($A801,Equipment!$A$2:$AH1001,MATCH("Slot",Equipment!$A$1:$AH$1,0),FALSE),"")</f>
        <v/>
      </c>
      <c r="E801" s="20" t="str">
        <f>IFERROR(VLOOKUP($A801,Equipment!$A$2:$AH1001,MATCH("LevelReq",Equipment!$A$1:$AH$1,0),FALSE),"")</f>
        <v/>
      </c>
      <c r="F801" s="18" t="str">
        <f>IFERROR(VLOOKUP($A801,Equipconvrt!$A$2:$AH1001,MATCH("Abilities",Equipconvrt!$A$1:$AH$1,0),FALSE),"")</f>
        <v/>
      </c>
      <c r="G801" s="20" t="str">
        <f>IFERROR(VLOOKUP($A801,Equipment!$A$2:$AD1001,MATCH("Price",Equipment!$A$1:$AH$1,0),FALSE),"")</f>
        <v/>
      </c>
      <c r="H801" s="1" t="b">
        <v>0</v>
      </c>
      <c r="I801" s="1" t="str">
        <f>IFERROR(VLOOKUP($A801,Equipment!$A$2:$AH1001,MATCH("EquipLoc",Equipment!$A$1:$AH$1,0),FALSE),"")</f>
        <v/>
      </c>
      <c r="W801" s="1" t="str">
        <f>IFERROR(__xludf.DUMMYFUNCTION("""COMPUTED_VALUE"""),"Ancient Fisherman's Soul In A Bottle")</f>
        <v>Ancient Fisherman's Soul In A Bottle</v>
      </c>
      <c r="X801" s="1" t="str">
        <f t="shared" si="1"/>
        <v>Ancient Fisherman's Soul In A Bottle</v>
      </c>
    </row>
    <row r="802">
      <c r="A802" s="1"/>
      <c r="B802" s="18" t="str">
        <f>IFERROR(VLOOKUP($A802,Equipment!$A$2:$AH1001,MATCH("Description",Equipment!$A$1:$AH$1,0),FALSE),"")</f>
        <v/>
      </c>
      <c r="C802" s="18" t="str">
        <f>IFERROR(VLOOKUP($A802,Equipment!$A$2:$AH1001,MATCH("Type",Equipment!$A$1:$AH$1,0),FALSE),"")</f>
        <v/>
      </c>
      <c r="D802" s="18" t="str">
        <f>IFERROR(VLOOKUP($A802,Equipment!$A$2:$AH1001,MATCH("Slot",Equipment!$A$1:$AH$1,0),FALSE),"")</f>
        <v/>
      </c>
      <c r="E802" s="20" t="str">
        <f>IFERROR(VLOOKUP($A802,Equipment!$A$2:$AH1001,MATCH("LevelReq",Equipment!$A$1:$AH$1,0),FALSE),"")</f>
        <v/>
      </c>
      <c r="F802" s="18" t="str">
        <f>IFERROR(VLOOKUP($A802,Equipconvrt!$A$2:$AH1001,MATCH("Abilities",Equipconvrt!$A$1:$AH$1,0),FALSE),"")</f>
        <v/>
      </c>
      <c r="G802" s="20" t="str">
        <f>IFERROR(VLOOKUP($A802,Equipment!$A$2:$AD1001,MATCH("Price",Equipment!$A$1:$AH$1,0),FALSE),"")</f>
        <v/>
      </c>
      <c r="H802" s="1" t="b">
        <v>0</v>
      </c>
      <c r="I802" s="1" t="str">
        <f>IFERROR(VLOOKUP($A802,Equipment!$A$2:$AH1001,MATCH("EquipLoc",Equipment!$A$1:$AH$1,0),FALSE),"")</f>
        <v/>
      </c>
      <c r="W802" s="1" t="str">
        <f>IFERROR(__xludf.DUMMYFUNCTION("""COMPUTED_VALUE"""),"The Thumper")</f>
        <v>The Thumper</v>
      </c>
      <c r="X802" s="1" t="str">
        <f t="shared" si="1"/>
        <v>The Thumper</v>
      </c>
    </row>
    <row r="803">
      <c r="A803" s="1"/>
      <c r="B803" s="18" t="str">
        <f>IFERROR(VLOOKUP($A803,Equipment!$A$2:$AH1001,MATCH("Description",Equipment!$A$1:$AH$1,0),FALSE),"")</f>
        <v/>
      </c>
      <c r="C803" s="18" t="str">
        <f>IFERROR(VLOOKUP($A803,Equipment!$A$2:$AH1001,MATCH("Type",Equipment!$A$1:$AH$1,0),FALSE),"")</f>
        <v/>
      </c>
      <c r="D803" s="18" t="str">
        <f>IFERROR(VLOOKUP($A803,Equipment!$A$2:$AH1001,MATCH("Slot",Equipment!$A$1:$AH$1,0),FALSE),"")</f>
        <v/>
      </c>
      <c r="E803" s="20" t="str">
        <f>IFERROR(VLOOKUP($A803,Equipment!$A$2:$AH1001,MATCH("LevelReq",Equipment!$A$1:$AH$1,0),FALSE),"")</f>
        <v/>
      </c>
      <c r="F803" s="18" t="str">
        <f>IFERROR(VLOOKUP($A803,Equipconvrt!$A$2:$AH1001,MATCH("Abilities",Equipconvrt!$A$1:$AH$1,0),FALSE),"")</f>
        <v/>
      </c>
      <c r="G803" s="20" t="str">
        <f>IFERROR(VLOOKUP($A803,Equipment!$A$2:$AD1001,MATCH("Price",Equipment!$A$1:$AH$1,0),FALSE),"")</f>
        <v/>
      </c>
      <c r="H803" s="1" t="b">
        <v>0</v>
      </c>
      <c r="I803" s="1" t="str">
        <f>IFERROR(VLOOKUP($A803,Equipment!$A$2:$AH1001,MATCH("EquipLoc",Equipment!$A$1:$AH$1,0),FALSE),"")</f>
        <v/>
      </c>
      <c r="W803" s="1" t="str">
        <f>IFERROR(__xludf.DUMMYFUNCTION("""COMPUTED_VALUE"""),"Undead King's Sword")</f>
        <v>Undead King's Sword</v>
      </c>
      <c r="X803" s="1" t="str">
        <f t="shared" si="1"/>
        <v>Undead King's Sword</v>
      </c>
    </row>
    <row r="804">
      <c r="A804" s="1"/>
      <c r="B804" s="18" t="str">
        <f>IFERROR(VLOOKUP($A804,Equipment!$A$2:$AH1001,MATCH("Description",Equipment!$A$1:$AH$1,0),FALSE),"")</f>
        <v/>
      </c>
      <c r="C804" s="18" t="str">
        <f>IFERROR(VLOOKUP($A804,Equipment!$A$2:$AH1001,MATCH("Type",Equipment!$A$1:$AH$1,0),FALSE),"")</f>
        <v/>
      </c>
      <c r="D804" s="18" t="str">
        <f>IFERROR(VLOOKUP($A804,Equipment!$A$2:$AH1001,MATCH("Slot",Equipment!$A$1:$AH$1,0),FALSE),"")</f>
        <v/>
      </c>
      <c r="E804" s="20" t="str">
        <f>IFERROR(VLOOKUP($A804,Equipment!$A$2:$AH1001,MATCH("LevelReq",Equipment!$A$1:$AH$1,0),FALSE),"")</f>
        <v/>
      </c>
      <c r="F804" s="18" t="str">
        <f>IFERROR(VLOOKUP($A804,Equipconvrt!$A$2:$AH1001,MATCH("Abilities",Equipconvrt!$A$1:$AH$1,0),FALSE),"")</f>
        <v/>
      </c>
      <c r="G804" s="20" t="str">
        <f>IFERROR(VLOOKUP($A804,Equipment!$A$2:$AD1001,MATCH("Price",Equipment!$A$1:$AH$1,0),FALSE),"")</f>
        <v/>
      </c>
      <c r="H804" s="1" t="b">
        <v>0</v>
      </c>
      <c r="I804" s="1" t="str">
        <f>IFERROR(VLOOKUP($A804,Equipment!$A$2:$AH1001,MATCH("EquipLoc",Equipment!$A$1:$AH$1,0),FALSE),"")</f>
        <v/>
      </c>
      <c r="W804" s="1" t="str">
        <f>IFERROR(__xludf.DUMMYFUNCTION("""COMPUTED_VALUE"""),"Trapper's Monocle")</f>
        <v>Trapper's Monocle</v>
      </c>
      <c r="X804" s="1" t="str">
        <f t="shared" si="1"/>
        <v>Trapper's Monocle</v>
      </c>
    </row>
    <row r="805">
      <c r="A805" s="1"/>
      <c r="B805" s="18" t="str">
        <f>IFERROR(VLOOKUP($A805,Equipment!$A$2:$AH1001,MATCH("Description",Equipment!$A$1:$AH$1,0),FALSE),"")</f>
        <v/>
      </c>
      <c r="C805" s="18" t="str">
        <f>IFERROR(VLOOKUP($A805,Equipment!$A$2:$AH1001,MATCH("Type",Equipment!$A$1:$AH$1,0),FALSE),"")</f>
        <v/>
      </c>
      <c r="D805" s="18" t="str">
        <f>IFERROR(VLOOKUP($A805,Equipment!$A$2:$AH1001,MATCH("Slot",Equipment!$A$1:$AH$1,0),FALSE),"")</f>
        <v/>
      </c>
      <c r="E805" s="20" t="str">
        <f>IFERROR(VLOOKUP($A805,Equipment!$A$2:$AH1001,MATCH("LevelReq",Equipment!$A$1:$AH$1,0),FALSE),"")</f>
        <v/>
      </c>
      <c r="F805" s="18" t="str">
        <f>IFERROR(VLOOKUP($A805,Equipconvrt!$A$2:$AH1001,MATCH("Abilities",Equipconvrt!$A$1:$AH$1,0),FALSE),"")</f>
        <v/>
      </c>
      <c r="G805" s="20" t="str">
        <f>IFERROR(VLOOKUP($A805,Equipment!$A$2:$AD1001,MATCH("Price",Equipment!$A$1:$AH$1,0),FALSE),"")</f>
        <v/>
      </c>
      <c r="H805" s="1" t="b">
        <v>0</v>
      </c>
      <c r="I805" s="1" t="str">
        <f>IFERROR(VLOOKUP($A805,Equipment!$A$2:$AH1001,MATCH("EquipLoc",Equipment!$A$1:$AH$1,0),FALSE),"")</f>
        <v/>
      </c>
      <c r="W805" s="1" t="str">
        <f>IFERROR(__xludf.DUMMYFUNCTION("""COMPUTED_VALUE"""),"Dragon's Dogma")</f>
        <v>Dragon's Dogma</v>
      </c>
      <c r="X805" s="1" t="str">
        <f t="shared" si="1"/>
        <v>Dragon's Dogma</v>
      </c>
    </row>
    <row r="806">
      <c r="A806" s="1"/>
      <c r="B806" s="18" t="str">
        <f>IFERROR(VLOOKUP($A806,Equipment!$A$2:$AH1001,MATCH("Description",Equipment!$A$1:$AH$1,0),FALSE),"")</f>
        <v/>
      </c>
      <c r="C806" s="18" t="str">
        <f>IFERROR(VLOOKUP($A806,Equipment!$A$2:$AH1001,MATCH("Type",Equipment!$A$1:$AH$1,0),FALSE),"")</f>
        <v/>
      </c>
      <c r="D806" s="18" t="str">
        <f>IFERROR(VLOOKUP($A806,Equipment!$A$2:$AH1001,MATCH("Slot",Equipment!$A$1:$AH$1,0),FALSE),"")</f>
        <v/>
      </c>
      <c r="E806" s="20" t="str">
        <f>IFERROR(VLOOKUP($A806,Equipment!$A$2:$AH1001,MATCH("LevelReq",Equipment!$A$1:$AH$1,0),FALSE),"")</f>
        <v/>
      </c>
      <c r="F806" s="18" t="str">
        <f>IFERROR(VLOOKUP($A806,Equipconvrt!$A$2:$AH1001,MATCH("Abilities",Equipconvrt!$A$1:$AH$1,0),FALSE),"")</f>
        <v/>
      </c>
      <c r="G806" s="20" t="str">
        <f>IFERROR(VLOOKUP($A806,Equipment!$A$2:$AD1001,MATCH("Price",Equipment!$A$1:$AH$1,0),FALSE),"")</f>
        <v/>
      </c>
      <c r="H806" s="1" t="b">
        <v>0</v>
      </c>
      <c r="I806" s="1" t="str">
        <f>IFERROR(VLOOKUP($A806,Equipment!$A$2:$AH1001,MATCH("EquipLoc",Equipment!$A$1:$AH$1,0),FALSE),"")</f>
        <v/>
      </c>
      <c r="W806" s="1" t="str">
        <f>IFERROR(__xludf.DUMMYFUNCTION("""COMPUTED_VALUE"""),"Dragon's Dread")</f>
        <v>Dragon's Dread</v>
      </c>
      <c r="X806" s="1" t="str">
        <f t="shared" si="1"/>
        <v>Dragon's Dread</v>
      </c>
    </row>
    <row r="807">
      <c r="A807" s="1"/>
      <c r="B807" s="18" t="str">
        <f>IFERROR(VLOOKUP($A807,Equipment!$A$2:$AH1001,MATCH("Description",Equipment!$A$1:$AH$1,0),FALSE),"")</f>
        <v/>
      </c>
      <c r="C807" s="18" t="str">
        <f>IFERROR(VLOOKUP($A807,Equipment!$A$2:$AH1001,MATCH("Type",Equipment!$A$1:$AH$1,0),FALSE),"")</f>
        <v/>
      </c>
      <c r="D807" s="18" t="str">
        <f>IFERROR(VLOOKUP($A807,Equipment!$A$2:$AH1001,MATCH("Slot",Equipment!$A$1:$AH$1,0),FALSE),"")</f>
        <v/>
      </c>
      <c r="E807" s="20" t="str">
        <f>IFERROR(VLOOKUP($A807,Equipment!$A$2:$AH1001,MATCH("LevelReq",Equipment!$A$1:$AH$1,0),FALSE),"")</f>
        <v/>
      </c>
      <c r="F807" s="18" t="str">
        <f>IFERROR(VLOOKUP($A807,Equipconvrt!$A$2:$AH1001,MATCH("Abilities",Equipconvrt!$A$1:$AH$1,0),FALSE),"")</f>
        <v/>
      </c>
      <c r="G807" s="20" t="str">
        <f>IFERROR(VLOOKUP($A807,Equipment!$A$2:$AD1001,MATCH("Price",Equipment!$A$1:$AH$1,0),FALSE),"")</f>
        <v/>
      </c>
      <c r="H807" s="1" t="b">
        <v>0</v>
      </c>
      <c r="I807" s="1" t="str">
        <f>IFERROR(VLOOKUP($A807,Equipment!$A$2:$AH1001,MATCH("EquipLoc",Equipment!$A$1:$AH$1,0),FALSE),"")</f>
        <v/>
      </c>
      <c r="W807" s="1" t="str">
        <f>IFERROR(__xludf.DUMMYFUNCTION("""COMPUTED_VALUE"""),"Dragon's Dream Breaker")</f>
        <v>Dragon's Dream Breaker</v>
      </c>
      <c r="X807" s="1" t="str">
        <f t="shared" si="1"/>
        <v>Dragon's Dream Breaker</v>
      </c>
    </row>
    <row r="808">
      <c r="A808" s="1"/>
      <c r="B808" s="18" t="str">
        <f>IFERROR(VLOOKUP($A808,Equipment!$A$2:$AH1001,MATCH("Description",Equipment!$A$1:$AH$1,0),FALSE),"")</f>
        <v/>
      </c>
      <c r="C808" s="18" t="str">
        <f>IFERROR(VLOOKUP($A808,Equipment!$A$2:$AH1001,MATCH("Type",Equipment!$A$1:$AH$1,0),FALSE),"")</f>
        <v/>
      </c>
      <c r="D808" s="18" t="str">
        <f>IFERROR(VLOOKUP($A808,Equipment!$A$2:$AH1001,MATCH("Slot",Equipment!$A$1:$AH$1,0),FALSE),"")</f>
        <v/>
      </c>
      <c r="E808" s="20" t="str">
        <f>IFERROR(VLOOKUP($A808,Equipment!$A$2:$AH1001,MATCH("LevelReq",Equipment!$A$1:$AH$1,0),FALSE),"")</f>
        <v/>
      </c>
      <c r="F808" s="18" t="str">
        <f>IFERROR(VLOOKUP($A808,Equipconvrt!$A$2:$AH1001,MATCH("Abilities",Equipconvrt!$A$1:$AH$1,0),FALSE),"")</f>
        <v/>
      </c>
      <c r="G808" s="20" t="str">
        <f>IFERROR(VLOOKUP($A808,Equipment!$A$2:$AD1001,MATCH("Price",Equipment!$A$1:$AH$1,0),FALSE),"")</f>
        <v/>
      </c>
      <c r="H808" s="1" t="b">
        <v>0</v>
      </c>
      <c r="I808" s="1" t="str">
        <f>IFERROR(VLOOKUP($A808,Equipment!$A$2:$AH1001,MATCH("EquipLoc",Equipment!$A$1:$AH$1,0),FALSE),"")</f>
        <v/>
      </c>
      <c r="W808" s="1" t="str">
        <f>IFERROR(__xludf.DUMMYFUNCTION("""COMPUTED_VALUE"""),"Dragon's Draught")</f>
        <v>Dragon's Draught</v>
      </c>
      <c r="X808" s="1" t="str">
        <f t="shared" si="1"/>
        <v>Dragon's Draught</v>
      </c>
    </row>
    <row r="809">
      <c r="A809" s="1"/>
      <c r="B809" s="18" t="str">
        <f>IFERROR(VLOOKUP($A809,Equipment!$A$2:$AH1001,MATCH("Description",Equipment!$A$1:$AH$1,0),FALSE),"")</f>
        <v/>
      </c>
      <c r="C809" s="18" t="str">
        <f>IFERROR(VLOOKUP($A809,Equipment!$A$2:$AH1001,MATCH("Type",Equipment!$A$1:$AH$1,0),FALSE),"")</f>
        <v/>
      </c>
      <c r="D809" s="18" t="str">
        <f>IFERROR(VLOOKUP($A809,Equipment!$A$2:$AH1001,MATCH("Slot",Equipment!$A$1:$AH$1,0),FALSE),"")</f>
        <v/>
      </c>
      <c r="E809" s="20" t="str">
        <f>IFERROR(VLOOKUP($A809,Equipment!$A$2:$AH1001,MATCH("LevelReq",Equipment!$A$1:$AH$1,0),FALSE),"")</f>
        <v/>
      </c>
      <c r="F809" s="18" t="str">
        <f>IFERROR(VLOOKUP($A809,Equipconvrt!$A$2:$AH1001,MATCH("Abilities",Equipconvrt!$A$1:$AH$1,0),FALSE),"")</f>
        <v/>
      </c>
      <c r="G809" s="20" t="str">
        <f>IFERROR(VLOOKUP($A809,Equipment!$A$2:$AD1001,MATCH("Price",Equipment!$A$1:$AH$1,0),FALSE),"")</f>
        <v/>
      </c>
      <c r="H809" s="1" t="b">
        <v>0</v>
      </c>
      <c r="I809" s="1" t="str">
        <f>IFERROR(VLOOKUP($A809,Equipment!$A$2:$AH1001,MATCH("EquipLoc",Equipment!$A$1:$AH$1,0),FALSE),"")</f>
        <v/>
      </c>
      <c r="W809" s="1" t="str">
        <f>IFERROR(__xludf.DUMMYFUNCTION("""COMPUTED_VALUE"""),"Dragon's Damnation")</f>
        <v>Dragon's Damnation</v>
      </c>
      <c r="X809" s="1" t="str">
        <f t="shared" si="1"/>
        <v>Dragon's Damnation</v>
      </c>
    </row>
    <row r="810">
      <c r="A810" s="1"/>
      <c r="B810" s="18" t="str">
        <f>IFERROR(VLOOKUP($A810,Equipment!$A$2:$AH1001,MATCH("Description",Equipment!$A$1:$AH$1,0),FALSE),"")</f>
        <v/>
      </c>
      <c r="C810" s="18" t="str">
        <f>IFERROR(VLOOKUP($A810,Equipment!$A$2:$AH1001,MATCH("Type",Equipment!$A$1:$AH$1,0),FALSE),"")</f>
        <v/>
      </c>
      <c r="D810" s="18" t="str">
        <f>IFERROR(VLOOKUP($A810,Equipment!$A$2:$AH1001,MATCH("Slot",Equipment!$A$1:$AH$1,0),FALSE),"")</f>
        <v/>
      </c>
      <c r="E810" s="20" t="str">
        <f>IFERROR(VLOOKUP($A810,Equipment!$A$2:$AH1001,MATCH("LevelReq",Equipment!$A$1:$AH$1,0),FALSE),"")</f>
        <v/>
      </c>
      <c r="F810" s="18" t="str">
        <f>IFERROR(VLOOKUP($A810,Equipconvrt!$A$2:$AH1001,MATCH("Abilities",Equipconvrt!$A$1:$AH$1,0),FALSE),"")</f>
        <v/>
      </c>
      <c r="G810" s="20" t="str">
        <f>IFERROR(VLOOKUP($A810,Equipment!$A$2:$AD1001,MATCH("Price",Equipment!$A$1:$AH$1,0),FALSE),"")</f>
        <v/>
      </c>
      <c r="H810" s="1" t="b">
        <v>0</v>
      </c>
      <c r="I810" s="1" t="str">
        <f>IFERROR(VLOOKUP($A810,Equipment!$A$2:$AH1001,MATCH("EquipLoc",Equipment!$A$1:$AH$1,0),FALSE),"")</f>
        <v/>
      </c>
      <c r="W810" s="1" t="str">
        <f>IFERROR(__xludf.DUMMYFUNCTION("""COMPUTED_VALUE"""),"Dragon's Destruction")</f>
        <v>Dragon's Destruction</v>
      </c>
      <c r="X810" s="1" t="str">
        <f t="shared" si="1"/>
        <v>Dragon's Destruction</v>
      </c>
    </row>
    <row r="811">
      <c r="A811" s="1"/>
      <c r="B811" s="18" t="str">
        <f>IFERROR(VLOOKUP($A811,Equipment!$A$2:$AH1001,MATCH("Description",Equipment!$A$1:$AH$1,0),FALSE),"")</f>
        <v/>
      </c>
      <c r="C811" s="18" t="str">
        <f>IFERROR(VLOOKUP($A811,Equipment!$A$2:$AH1001,MATCH("Type",Equipment!$A$1:$AH$1,0),FALSE),"")</f>
        <v/>
      </c>
      <c r="D811" s="18" t="str">
        <f>IFERROR(VLOOKUP($A811,Equipment!$A$2:$AH1001,MATCH("Slot",Equipment!$A$1:$AH$1,0),FALSE),"")</f>
        <v/>
      </c>
      <c r="E811" s="20" t="str">
        <f>IFERROR(VLOOKUP($A811,Equipment!$A$2:$AH1001,MATCH("LevelReq",Equipment!$A$1:$AH$1,0),FALSE),"")</f>
        <v/>
      </c>
      <c r="F811" s="18" t="str">
        <f>IFERROR(VLOOKUP($A811,Equipconvrt!$A$2:$AH1001,MATCH("Abilities",Equipconvrt!$A$1:$AH$1,0),FALSE),"")</f>
        <v/>
      </c>
      <c r="G811" s="20" t="str">
        <f>IFERROR(VLOOKUP($A811,Equipment!$A$2:$AD1001,MATCH("Price",Equipment!$A$1:$AH$1,0),FALSE),"")</f>
        <v/>
      </c>
      <c r="H811" s="1" t="b">
        <v>0</v>
      </c>
      <c r="I811" s="1" t="str">
        <f>IFERROR(VLOOKUP($A811,Equipment!$A$2:$AH1001,MATCH("EquipLoc",Equipment!$A$1:$AH$1,0),FALSE),"")</f>
        <v/>
      </c>
      <c r="W811" s="1" t="str">
        <f>IFERROR(__xludf.DUMMYFUNCTION("""COMPUTED_VALUE"""),"Confining Collar")</f>
        <v>Confining Collar</v>
      </c>
      <c r="X811" s="1" t="str">
        <f t="shared" si="1"/>
        <v>Confining Collar</v>
      </c>
    </row>
    <row r="812">
      <c r="A812" s="1"/>
      <c r="B812" s="18" t="str">
        <f>IFERROR(VLOOKUP($A812,Equipment!$A$2:$AH1001,MATCH("Description",Equipment!$A$1:$AH$1,0),FALSE),"")</f>
        <v/>
      </c>
      <c r="C812" s="18" t="str">
        <f>IFERROR(VLOOKUP($A812,Equipment!$A$2:$AH1001,MATCH("Type",Equipment!$A$1:$AH$1,0),FALSE),"")</f>
        <v/>
      </c>
      <c r="D812" s="18" t="str">
        <f>IFERROR(VLOOKUP($A812,Equipment!$A$2:$AH1001,MATCH("Slot",Equipment!$A$1:$AH$1,0),FALSE),"")</f>
        <v/>
      </c>
      <c r="E812" s="20" t="str">
        <f>IFERROR(VLOOKUP($A812,Equipment!$A$2:$AH1001,MATCH("LevelReq",Equipment!$A$1:$AH$1,0),FALSE),"")</f>
        <v/>
      </c>
      <c r="F812" s="18" t="str">
        <f>IFERROR(VLOOKUP($A812,Equipconvrt!$A$2:$AH1001,MATCH("Abilities",Equipconvrt!$A$1:$AH$1,0),FALSE),"")</f>
        <v/>
      </c>
      <c r="G812" s="20" t="str">
        <f>IFERROR(VLOOKUP($A812,Equipment!$A$2:$AD1001,MATCH("Price",Equipment!$A$1:$AH$1,0),FALSE),"")</f>
        <v/>
      </c>
      <c r="H812" s="1" t="b">
        <v>0</v>
      </c>
      <c r="I812" s="1" t="str">
        <f>IFERROR(VLOOKUP($A812,Equipment!$A$2:$AH1001,MATCH("EquipLoc",Equipment!$A$1:$AH$1,0),FALSE),"")</f>
        <v/>
      </c>
      <c r="W812" s="1" t="str">
        <f>IFERROR(__xludf.DUMMYFUNCTION("""COMPUTED_VALUE"""),"Shiv")</f>
        <v>Shiv</v>
      </c>
      <c r="X812" s="1" t="str">
        <f t="shared" si="1"/>
        <v>Shiv</v>
      </c>
    </row>
    <row r="813">
      <c r="A813" s="1"/>
      <c r="B813" s="18" t="str">
        <f>IFERROR(VLOOKUP($A813,Equipment!$A$2:$AH1001,MATCH("Description",Equipment!$A$1:$AH$1,0),FALSE),"")</f>
        <v/>
      </c>
      <c r="C813" s="18" t="str">
        <f>IFERROR(VLOOKUP($A813,Equipment!$A$2:$AH1001,MATCH("Type",Equipment!$A$1:$AH$1,0),FALSE),"")</f>
        <v/>
      </c>
      <c r="D813" s="18" t="str">
        <f>IFERROR(VLOOKUP($A813,Equipment!$A$2:$AH1001,MATCH("Slot",Equipment!$A$1:$AH$1,0),FALSE),"")</f>
        <v/>
      </c>
      <c r="E813" s="20" t="str">
        <f>IFERROR(VLOOKUP($A813,Equipment!$A$2:$AH1001,MATCH("LevelReq",Equipment!$A$1:$AH$1,0),FALSE),"")</f>
        <v/>
      </c>
      <c r="F813" s="18" t="str">
        <f>IFERROR(VLOOKUP($A813,Equipconvrt!$A$2:$AH1001,MATCH("Abilities",Equipconvrt!$A$1:$AH$1,0),FALSE),"")</f>
        <v/>
      </c>
      <c r="G813" s="20" t="str">
        <f>IFERROR(VLOOKUP($A813,Equipment!$A$2:$AD1001,MATCH("Price",Equipment!$A$1:$AH$1,0),FALSE),"")</f>
        <v/>
      </c>
      <c r="H813" s="1" t="b">
        <v>0</v>
      </c>
      <c r="I813" s="1" t="str">
        <f>IFERROR(VLOOKUP($A813,Equipment!$A$2:$AH1001,MATCH("EquipLoc",Equipment!$A$1:$AH$1,0),FALSE),"")</f>
        <v/>
      </c>
      <c r="W813" s="1" t="str">
        <f>IFERROR(__xludf.DUMMYFUNCTION("""COMPUTED_VALUE"""),"Inmate's Cap")</f>
        <v>Inmate's Cap</v>
      </c>
      <c r="X813" s="1" t="str">
        <f t="shared" si="1"/>
        <v>Inmate's Cap</v>
      </c>
    </row>
    <row r="814">
      <c r="A814" s="1"/>
      <c r="B814" s="18" t="str">
        <f>IFERROR(VLOOKUP($A814,Equipment!$A$2:$AH1001,MATCH("Description",Equipment!$A$1:$AH$1,0),FALSE),"")</f>
        <v/>
      </c>
      <c r="C814" s="18" t="str">
        <f>IFERROR(VLOOKUP($A814,Equipment!$A$2:$AH1001,MATCH("Type",Equipment!$A$1:$AH$1,0),FALSE),"")</f>
        <v/>
      </c>
      <c r="D814" s="18" t="str">
        <f>IFERROR(VLOOKUP($A814,Equipment!$A$2:$AH1001,MATCH("Slot",Equipment!$A$1:$AH$1,0),FALSE),"")</f>
        <v/>
      </c>
      <c r="E814" s="20" t="str">
        <f>IFERROR(VLOOKUP($A814,Equipment!$A$2:$AH1001,MATCH("LevelReq",Equipment!$A$1:$AH$1,0),FALSE),"")</f>
        <v/>
      </c>
      <c r="F814" s="18" t="str">
        <f>IFERROR(VLOOKUP($A814,Equipconvrt!$A$2:$AH1001,MATCH("Abilities",Equipconvrt!$A$1:$AH$1,0),FALSE),"")</f>
        <v/>
      </c>
      <c r="G814" s="20" t="str">
        <f>IFERROR(VLOOKUP($A814,Equipment!$A$2:$AD1001,MATCH("Price",Equipment!$A$1:$AH$1,0),FALSE),"")</f>
        <v/>
      </c>
      <c r="H814" s="1" t="b">
        <v>0</v>
      </c>
      <c r="I814" s="1" t="str">
        <f>IFERROR(VLOOKUP($A814,Equipment!$A$2:$AH1001,MATCH("EquipLoc",Equipment!$A$1:$AH$1,0),FALSE),"")</f>
        <v/>
      </c>
      <c r="W814" s="1" t="str">
        <f>IFERROR(__xludf.DUMMYFUNCTION("""COMPUTED_VALUE"""),"Inmate's Shirt")</f>
        <v>Inmate's Shirt</v>
      </c>
      <c r="X814" s="1" t="str">
        <f t="shared" si="1"/>
        <v>Inmate's Shirt</v>
      </c>
    </row>
    <row r="815">
      <c r="A815" s="1"/>
      <c r="B815" s="18" t="str">
        <f>IFERROR(VLOOKUP($A815,Equipment!$A$2:$AH1001,MATCH("Description",Equipment!$A$1:$AH$1,0),FALSE),"")</f>
        <v/>
      </c>
      <c r="C815" s="18" t="str">
        <f>IFERROR(VLOOKUP($A815,Equipment!$A$2:$AH1001,MATCH("Type",Equipment!$A$1:$AH$1,0),FALSE),"")</f>
        <v/>
      </c>
      <c r="D815" s="18" t="str">
        <f>IFERROR(VLOOKUP($A815,Equipment!$A$2:$AH1001,MATCH("Slot",Equipment!$A$1:$AH$1,0),FALSE),"")</f>
        <v/>
      </c>
      <c r="E815" s="20" t="str">
        <f>IFERROR(VLOOKUP($A815,Equipment!$A$2:$AH1001,MATCH("LevelReq",Equipment!$A$1:$AH$1,0),FALSE),"")</f>
        <v/>
      </c>
      <c r="F815" s="18" t="str">
        <f>IFERROR(VLOOKUP($A815,Equipconvrt!$A$2:$AH1001,MATCH("Abilities",Equipconvrt!$A$1:$AH$1,0),FALSE),"")</f>
        <v/>
      </c>
      <c r="G815" s="20" t="str">
        <f>IFERROR(VLOOKUP($A815,Equipment!$A$2:$AD1001,MATCH("Price",Equipment!$A$1:$AH$1,0),FALSE),"")</f>
        <v/>
      </c>
      <c r="H815" s="1" t="b">
        <v>0</v>
      </c>
      <c r="I815" s="1" t="str">
        <f>IFERROR(VLOOKUP($A815,Equipment!$A$2:$AH1001,MATCH("EquipLoc",Equipment!$A$1:$AH$1,0),FALSE),"")</f>
        <v/>
      </c>
      <c r="W815" s="1" t="str">
        <f>IFERROR(__xludf.DUMMYFUNCTION("""COMPUTED_VALUE"""),"Inmate's Pants")</f>
        <v>Inmate's Pants</v>
      </c>
      <c r="X815" s="1" t="str">
        <f t="shared" si="1"/>
        <v>Inmate's Pants</v>
      </c>
    </row>
    <row r="816">
      <c r="A816" s="1"/>
      <c r="B816" s="18" t="str">
        <f>IFERROR(VLOOKUP($A816,Equipment!$A$2:$AH1001,MATCH("Description",Equipment!$A$1:$AH$1,0),FALSE),"")</f>
        <v/>
      </c>
      <c r="C816" s="18" t="str">
        <f>IFERROR(VLOOKUP($A816,Equipment!$A$2:$AH1001,MATCH("Type",Equipment!$A$1:$AH$1,0),FALSE),"")</f>
        <v/>
      </c>
      <c r="D816" s="18" t="str">
        <f>IFERROR(VLOOKUP($A816,Equipment!$A$2:$AH1001,MATCH("Slot",Equipment!$A$1:$AH$1,0),FALSE),"")</f>
        <v/>
      </c>
      <c r="E816" s="20" t="str">
        <f>IFERROR(VLOOKUP($A816,Equipment!$A$2:$AH1001,MATCH("LevelReq",Equipment!$A$1:$AH$1,0),FALSE),"")</f>
        <v/>
      </c>
      <c r="F816" s="18" t="str">
        <f>IFERROR(VLOOKUP($A816,Equipconvrt!$A$2:$AH1001,MATCH("Abilities",Equipconvrt!$A$1:$AH$1,0),FALSE),"")</f>
        <v/>
      </c>
      <c r="G816" s="20" t="str">
        <f>IFERROR(VLOOKUP($A816,Equipment!$A$2:$AD1001,MATCH("Price",Equipment!$A$1:$AH$1,0),FALSE),"")</f>
        <v/>
      </c>
      <c r="H816" s="1" t="b">
        <v>0</v>
      </c>
      <c r="I816" s="1" t="str">
        <f>IFERROR(VLOOKUP($A816,Equipment!$A$2:$AH1001,MATCH("EquipLoc",Equipment!$A$1:$AH$1,0),FALSE),"")</f>
        <v/>
      </c>
      <c r="W816" s="1" t="str">
        <f>IFERROR(__xludf.DUMMYFUNCTION("""COMPUTED_VALUE"""),"Warden's Cap")</f>
        <v>Warden's Cap</v>
      </c>
      <c r="X816" s="1" t="str">
        <f t="shared" si="1"/>
        <v>Warden's Cap</v>
      </c>
    </row>
    <row r="817">
      <c r="A817" s="1"/>
      <c r="B817" s="18" t="str">
        <f>IFERROR(VLOOKUP($A817,Equipment!$A$2:$AH1001,MATCH("Description",Equipment!$A$1:$AH$1,0),FALSE),"")</f>
        <v/>
      </c>
      <c r="C817" s="18" t="str">
        <f>IFERROR(VLOOKUP($A817,Equipment!$A$2:$AH1001,MATCH("Type",Equipment!$A$1:$AH$1,0),FALSE),"")</f>
        <v/>
      </c>
      <c r="D817" s="18" t="str">
        <f>IFERROR(VLOOKUP($A817,Equipment!$A$2:$AH1001,MATCH("Slot",Equipment!$A$1:$AH$1,0),FALSE),"")</f>
        <v/>
      </c>
      <c r="E817" s="20" t="str">
        <f>IFERROR(VLOOKUP($A817,Equipment!$A$2:$AH1001,MATCH("LevelReq",Equipment!$A$1:$AH$1,0),FALSE),"")</f>
        <v/>
      </c>
      <c r="F817" s="18" t="str">
        <f>IFERROR(VLOOKUP($A817,Equipconvrt!$A$2:$AH1001,MATCH("Abilities",Equipconvrt!$A$1:$AH$1,0),FALSE),"")</f>
        <v/>
      </c>
      <c r="G817" s="20" t="str">
        <f>IFERROR(VLOOKUP($A817,Equipment!$A$2:$AD1001,MATCH("Price",Equipment!$A$1:$AH$1,0),FALSE),"")</f>
        <v/>
      </c>
      <c r="H817" s="1" t="b">
        <v>0</v>
      </c>
      <c r="I817" s="1" t="str">
        <f>IFERROR(VLOOKUP($A817,Equipment!$A$2:$AH1001,MATCH("EquipLoc",Equipment!$A$1:$AH$1,0),FALSE),"")</f>
        <v/>
      </c>
      <c r="W817" s="1" t="str">
        <f>IFERROR(__xludf.DUMMYFUNCTION("""COMPUTED_VALUE"""),"Warden's Shirt")</f>
        <v>Warden's Shirt</v>
      </c>
      <c r="X817" s="1" t="str">
        <f t="shared" si="1"/>
        <v>Warden's Shirt</v>
      </c>
    </row>
    <row r="818">
      <c r="A818" s="1"/>
      <c r="B818" s="18" t="str">
        <f>IFERROR(VLOOKUP($A818,Equipment!$A$2:$AH1001,MATCH("Description",Equipment!$A$1:$AH$1,0),FALSE),"")</f>
        <v/>
      </c>
      <c r="C818" s="18" t="str">
        <f>IFERROR(VLOOKUP($A818,Equipment!$A$2:$AH1001,MATCH("Type",Equipment!$A$1:$AH$1,0),FALSE),"")</f>
        <v/>
      </c>
      <c r="D818" s="18" t="str">
        <f>IFERROR(VLOOKUP($A818,Equipment!$A$2:$AH1001,MATCH("Slot",Equipment!$A$1:$AH$1,0),FALSE),"")</f>
        <v/>
      </c>
      <c r="E818" s="20" t="str">
        <f>IFERROR(VLOOKUP($A818,Equipment!$A$2:$AH1001,MATCH("LevelReq",Equipment!$A$1:$AH$1,0),FALSE),"")</f>
        <v/>
      </c>
      <c r="F818" s="18" t="str">
        <f>IFERROR(VLOOKUP($A818,Equipconvrt!$A$2:$AH1001,MATCH("Abilities",Equipconvrt!$A$1:$AH$1,0),FALSE),"")</f>
        <v/>
      </c>
      <c r="G818" s="20" t="str">
        <f>IFERROR(VLOOKUP($A818,Equipment!$A$2:$AD1001,MATCH("Price",Equipment!$A$1:$AH$1,0),FALSE),"")</f>
        <v/>
      </c>
      <c r="H818" s="1" t="b">
        <v>0</v>
      </c>
      <c r="I818" s="1" t="str">
        <f>IFERROR(VLOOKUP($A818,Equipment!$A$2:$AH1001,MATCH("EquipLoc",Equipment!$A$1:$AH$1,0),FALSE),"")</f>
        <v/>
      </c>
      <c r="W818" s="1" t="str">
        <f>IFERROR(__xludf.DUMMYFUNCTION("""COMPUTED_VALUE"""),"Warden's Pants")</f>
        <v>Warden's Pants</v>
      </c>
      <c r="X818" s="1" t="str">
        <f t="shared" si="1"/>
        <v>Warden's Pants</v>
      </c>
    </row>
    <row r="819">
      <c r="A819" s="1"/>
      <c r="B819" s="18" t="str">
        <f>IFERROR(VLOOKUP($A819,Equipment!$A$2:$AH1001,MATCH("Description",Equipment!$A$1:$AH$1,0),FALSE),"")</f>
        <v/>
      </c>
      <c r="C819" s="18" t="str">
        <f>IFERROR(VLOOKUP($A819,Equipment!$A$2:$AH1001,MATCH("Type",Equipment!$A$1:$AH$1,0),FALSE),"")</f>
        <v/>
      </c>
      <c r="D819" s="18" t="str">
        <f>IFERROR(VLOOKUP($A819,Equipment!$A$2:$AH1001,MATCH("Slot",Equipment!$A$1:$AH$1,0),FALSE),"")</f>
        <v/>
      </c>
      <c r="E819" s="20" t="str">
        <f>IFERROR(VLOOKUP($A819,Equipment!$A$2:$AH1001,MATCH("LevelReq",Equipment!$A$1:$AH$1,0),FALSE),"")</f>
        <v/>
      </c>
      <c r="F819" s="18" t="str">
        <f>IFERROR(VLOOKUP($A819,Equipconvrt!$A$2:$AH1001,MATCH("Abilities",Equipconvrt!$A$1:$AH$1,0),FALSE),"")</f>
        <v/>
      </c>
      <c r="G819" s="20" t="str">
        <f>IFERROR(VLOOKUP($A819,Equipment!$A$2:$AD1001,MATCH("Price",Equipment!$A$1:$AH$1,0),FALSE),"")</f>
        <v/>
      </c>
      <c r="H819" s="1" t="b">
        <v>0</v>
      </c>
      <c r="I819" s="1" t="str">
        <f>IFERROR(VLOOKUP($A819,Equipment!$A$2:$AH1001,MATCH("EquipLoc",Equipment!$A$1:$AH$1,0),FALSE),"")</f>
        <v/>
      </c>
      <c r="W819" s="1" t="str">
        <f>IFERROR(__xludf.DUMMYFUNCTION("""COMPUTED_VALUE"""),"Warden's Boots")</f>
        <v>Warden's Boots</v>
      </c>
      <c r="X819" s="1" t="str">
        <f t="shared" si="1"/>
        <v>Warden's Boots</v>
      </c>
    </row>
    <row r="820">
      <c r="A820" s="1"/>
      <c r="B820" s="18" t="str">
        <f>IFERROR(VLOOKUP($A820,Equipment!$A$2:$AH1001,MATCH("Description",Equipment!$A$1:$AH$1,0),FALSE),"")</f>
        <v/>
      </c>
      <c r="C820" s="18" t="str">
        <f>IFERROR(VLOOKUP($A820,Equipment!$A$2:$AH1001,MATCH("Type",Equipment!$A$1:$AH$1,0),FALSE),"")</f>
        <v/>
      </c>
      <c r="D820" s="18" t="str">
        <f>IFERROR(VLOOKUP($A820,Equipment!$A$2:$AH1001,MATCH("Slot",Equipment!$A$1:$AH$1,0),FALSE),"")</f>
        <v/>
      </c>
      <c r="E820" s="20" t="str">
        <f>IFERROR(VLOOKUP($A820,Equipment!$A$2:$AH1001,MATCH("LevelReq",Equipment!$A$1:$AH$1,0),FALSE),"")</f>
        <v/>
      </c>
      <c r="F820" s="18" t="str">
        <f>IFERROR(VLOOKUP($A820,Equipconvrt!$A$2:$AH1001,MATCH("Abilities",Equipconvrt!$A$1:$AH$1,0),FALSE),"")</f>
        <v/>
      </c>
      <c r="G820" s="20" t="str">
        <f>IFERROR(VLOOKUP($A820,Equipment!$A$2:$AD1001,MATCH("Price",Equipment!$A$1:$AH$1,0),FALSE),"")</f>
        <v/>
      </c>
      <c r="H820" s="1" t="b">
        <v>0</v>
      </c>
      <c r="I820" s="1" t="str">
        <f>IFERROR(VLOOKUP($A820,Equipment!$A$2:$AH1001,MATCH("EquipLoc",Equipment!$A$1:$AH$1,0),FALSE),"")</f>
        <v/>
      </c>
      <c r="W820" s="1" t="str">
        <f>IFERROR(__xludf.DUMMYFUNCTION("""COMPUTED_VALUE"""),"Warden's Baton")</f>
        <v>Warden's Baton</v>
      </c>
      <c r="X820" s="1" t="str">
        <f t="shared" si="1"/>
        <v>Warden's Baton</v>
      </c>
    </row>
    <row r="821">
      <c r="A821" s="1"/>
      <c r="B821" s="18" t="str">
        <f>IFERROR(VLOOKUP($A821,Equipment!$A$2:$AH1001,MATCH("Description",Equipment!$A$1:$AH$1,0),FALSE),"")</f>
        <v/>
      </c>
      <c r="C821" s="18" t="str">
        <f>IFERROR(VLOOKUP($A821,Equipment!$A$2:$AH1001,MATCH("Type",Equipment!$A$1:$AH$1,0),FALSE),"")</f>
        <v/>
      </c>
      <c r="D821" s="18" t="str">
        <f>IFERROR(VLOOKUP($A821,Equipment!$A$2:$AH1001,MATCH("Slot",Equipment!$A$1:$AH$1,0),FALSE),"")</f>
        <v/>
      </c>
      <c r="E821" s="20" t="str">
        <f>IFERROR(VLOOKUP($A821,Equipment!$A$2:$AH1001,MATCH("LevelReq",Equipment!$A$1:$AH$1,0),FALSE),"")</f>
        <v/>
      </c>
      <c r="F821" s="18" t="str">
        <f>IFERROR(VLOOKUP($A821,Equipconvrt!$A$2:$AH1001,MATCH("Abilities",Equipconvrt!$A$1:$AH$1,0),FALSE),"")</f>
        <v/>
      </c>
      <c r="G821" s="20" t="str">
        <f>IFERROR(VLOOKUP($A821,Equipment!$A$2:$AD1001,MATCH("Price",Equipment!$A$1:$AH$1,0),FALSE),"")</f>
        <v/>
      </c>
      <c r="H821" s="1" t="b">
        <v>0</v>
      </c>
      <c r="I821" s="1" t="str">
        <f>IFERROR(VLOOKUP($A821,Equipment!$A$2:$AH1001,MATCH("EquipLoc",Equipment!$A$1:$AH$1,0),FALSE),"")</f>
        <v/>
      </c>
      <c r="W821" s="1" t="str">
        <f>IFERROR(__xludf.DUMMYFUNCTION("""COMPUTED_VALUE"""),"Gentleman's Club")</f>
        <v>Gentleman's Club</v>
      </c>
      <c r="X821" s="1" t="str">
        <f t="shared" si="1"/>
        <v>Gentleman's Club</v>
      </c>
    </row>
    <row r="822">
      <c r="A822" s="1"/>
      <c r="B822" s="18" t="str">
        <f>IFERROR(VLOOKUP($A822,Equipment!$A$2:$AH1001,MATCH("Description",Equipment!$A$1:$AH$1,0),FALSE),"")</f>
        <v/>
      </c>
      <c r="C822" s="18" t="str">
        <f>IFERROR(VLOOKUP($A822,Equipment!$A$2:$AH1001,MATCH("Type",Equipment!$A$1:$AH$1,0),FALSE),"")</f>
        <v/>
      </c>
      <c r="D822" s="18" t="str">
        <f>IFERROR(VLOOKUP($A822,Equipment!$A$2:$AH1001,MATCH("Slot",Equipment!$A$1:$AH$1,0),FALSE),"")</f>
        <v/>
      </c>
      <c r="E822" s="20" t="str">
        <f>IFERROR(VLOOKUP($A822,Equipment!$A$2:$AH1001,MATCH("LevelReq",Equipment!$A$1:$AH$1,0),FALSE),"")</f>
        <v/>
      </c>
      <c r="F822" s="18" t="str">
        <f>IFERROR(VLOOKUP($A822,Equipconvrt!$A$2:$AH1001,MATCH("Abilities",Equipconvrt!$A$1:$AH$1,0),FALSE),"")</f>
        <v/>
      </c>
      <c r="G822" s="20" t="str">
        <f>IFERROR(VLOOKUP($A822,Equipment!$A$2:$AD1001,MATCH("Price",Equipment!$A$1:$AH$1,0),FALSE),"")</f>
        <v/>
      </c>
      <c r="H822" s="1" t="b">
        <v>0</v>
      </c>
      <c r="I822" s="1" t="str">
        <f>IFERROR(VLOOKUP($A822,Equipment!$A$2:$AH1001,MATCH("EquipLoc",Equipment!$A$1:$AH$1,0),FALSE),"")</f>
        <v/>
      </c>
      <c r="W822" s="1" t="str">
        <f>IFERROR(__xludf.DUMMYFUNCTION("""COMPUTED_VALUE"""),"Honest Shirt")</f>
        <v>Honest Shirt</v>
      </c>
      <c r="X822" s="1" t="str">
        <f t="shared" si="1"/>
        <v>Honest Shirt</v>
      </c>
    </row>
    <row r="823">
      <c r="A823" s="1"/>
      <c r="B823" s="18" t="str">
        <f>IFERROR(VLOOKUP($A823,Equipment!$A$2:$AH1001,MATCH("Description",Equipment!$A$1:$AH$1,0),FALSE),"")</f>
        <v/>
      </c>
      <c r="C823" s="18" t="str">
        <f>IFERROR(VLOOKUP($A823,Equipment!$A$2:$AH1001,MATCH("Type",Equipment!$A$1:$AH$1,0),FALSE),"")</f>
        <v/>
      </c>
      <c r="D823" s="18" t="str">
        <f>IFERROR(VLOOKUP($A823,Equipment!$A$2:$AH1001,MATCH("Slot",Equipment!$A$1:$AH$1,0),FALSE),"")</f>
        <v/>
      </c>
      <c r="E823" s="20" t="str">
        <f>IFERROR(VLOOKUP($A823,Equipment!$A$2:$AH1001,MATCH("LevelReq",Equipment!$A$1:$AH$1,0),FALSE),"")</f>
        <v/>
      </c>
      <c r="F823" s="18" t="str">
        <f>IFERROR(VLOOKUP($A823,Equipconvrt!$A$2:$AH1001,MATCH("Abilities",Equipconvrt!$A$1:$AH$1,0),FALSE),"")</f>
        <v/>
      </c>
      <c r="G823" s="20" t="str">
        <f>IFERROR(VLOOKUP($A823,Equipment!$A$2:$AD1001,MATCH("Price",Equipment!$A$1:$AH$1,0),FALSE),"")</f>
        <v/>
      </c>
      <c r="H823" s="1" t="b">
        <v>0</v>
      </c>
      <c r="I823" s="1" t="str">
        <f>IFERROR(VLOOKUP($A823,Equipment!$A$2:$AH1001,MATCH("EquipLoc",Equipment!$A$1:$AH$1,0),FALSE),"")</f>
        <v/>
      </c>
      <c r="W823" s="1" t="str">
        <f>IFERROR(__xludf.DUMMYFUNCTION("""COMPUTED_VALUE"""),"Tinfoil Hat")</f>
        <v>Tinfoil Hat</v>
      </c>
      <c r="X823" s="1" t="str">
        <f t="shared" si="1"/>
        <v>Tinfoil Hat</v>
      </c>
    </row>
    <row r="824">
      <c r="A824" s="1"/>
      <c r="B824" s="18" t="str">
        <f>IFERROR(VLOOKUP($A824,Equipment!$A$2:$AH1001,MATCH("Description",Equipment!$A$1:$AH$1,0),FALSE),"")</f>
        <v/>
      </c>
      <c r="C824" s="18" t="str">
        <f>IFERROR(VLOOKUP($A824,Equipment!$A$2:$AH1001,MATCH("Type",Equipment!$A$1:$AH$1,0),FALSE),"")</f>
        <v/>
      </c>
      <c r="D824" s="18" t="str">
        <f>IFERROR(VLOOKUP($A824,Equipment!$A$2:$AH1001,MATCH("Slot",Equipment!$A$1:$AH$1,0),FALSE),"")</f>
        <v/>
      </c>
      <c r="E824" s="20" t="str">
        <f>IFERROR(VLOOKUP($A824,Equipment!$A$2:$AH1001,MATCH("LevelReq",Equipment!$A$1:$AH$1,0),FALSE),"")</f>
        <v/>
      </c>
      <c r="F824" s="18" t="str">
        <f>IFERROR(VLOOKUP($A824,Equipconvrt!$A$2:$AH1001,MATCH("Abilities",Equipconvrt!$A$1:$AH$1,0),FALSE),"")</f>
        <v/>
      </c>
      <c r="G824" s="20" t="str">
        <f>IFERROR(VLOOKUP($A824,Equipment!$A$2:$AD1001,MATCH("Price",Equipment!$A$1:$AH$1,0),FALSE),"")</f>
        <v/>
      </c>
      <c r="H824" s="1" t="b">
        <v>0</v>
      </c>
      <c r="I824" s="1" t="str">
        <f>IFERROR(VLOOKUP($A824,Equipment!$A$2:$AH1001,MATCH("EquipLoc",Equipment!$A$1:$AH$1,0),FALSE),"")</f>
        <v/>
      </c>
      <c r="W824" s="1" t="str">
        <f>IFERROR(__xludf.DUMMYFUNCTION("""COMPUTED_VALUE"""),"Anti-Magic Glasses")</f>
        <v>Anti-Magic Glasses</v>
      </c>
      <c r="X824" s="1" t="str">
        <f t="shared" si="1"/>
        <v>Anti-Magic Glasses</v>
      </c>
    </row>
    <row r="825">
      <c r="A825" s="1"/>
      <c r="B825" s="18" t="str">
        <f>IFERROR(VLOOKUP($A825,Equipment!$A$2:$AH1001,MATCH("Description",Equipment!$A$1:$AH$1,0),FALSE),"")</f>
        <v/>
      </c>
      <c r="C825" s="18" t="str">
        <f>IFERROR(VLOOKUP($A825,Equipment!$A$2:$AH1001,MATCH("Type",Equipment!$A$1:$AH$1,0),FALSE),"")</f>
        <v/>
      </c>
      <c r="D825" s="18" t="str">
        <f>IFERROR(VLOOKUP($A825,Equipment!$A$2:$AH1001,MATCH("Slot",Equipment!$A$1:$AH$1,0),FALSE),"")</f>
        <v/>
      </c>
      <c r="E825" s="20" t="str">
        <f>IFERROR(VLOOKUP($A825,Equipment!$A$2:$AH1001,MATCH("LevelReq",Equipment!$A$1:$AH$1,0),FALSE),"")</f>
        <v/>
      </c>
      <c r="F825" s="18" t="str">
        <f>IFERROR(VLOOKUP($A825,Equipconvrt!$A$2:$AH1001,MATCH("Abilities",Equipconvrt!$A$1:$AH$1,0),FALSE),"")</f>
        <v/>
      </c>
      <c r="G825" s="20" t="str">
        <f>IFERROR(VLOOKUP($A825,Equipment!$A$2:$AD1001,MATCH("Price",Equipment!$A$1:$AH$1,0),FALSE),"")</f>
        <v/>
      </c>
      <c r="H825" s="1" t="b">
        <v>0</v>
      </c>
      <c r="I825" s="1" t="str">
        <f>IFERROR(VLOOKUP($A825,Equipment!$A$2:$AH1001,MATCH("EquipLoc",Equipment!$A$1:$AH$1,0),FALSE),"")</f>
        <v/>
      </c>
      <c r="W825" s="1" t="str">
        <f>IFERROR(__xludf.DUMMYFUNCTION("""COMPUTED_VALUE"""),"Null Ring")</f>
        <v>Null Ring</v>
      </c>
      <c r="X825" s="1" t="str">
        <f t="shared" si="1"/>
        <v>Null Ring</v>
      </c>
    </row>
    <row r="826">
      <c r="A826" s="1"/>
      <c r="B826" s="18" t="str">
        <f>IFERROR(VLOOKUP($A826,Equipment!$A$2:$AH1001,MATCH("Description",Equipment!$A$1:$AH$1,0),FALSE),"")</f>
        <v/>
      </c>
      <c r="C826" s="18" t="str">
        <f>IFERROR(VLOOKUP($A826,Equipment!$A$2:$AH1001,MATCH("Type",Equipment!$A$1:$AH$1,0),FALSE),"")</f>
        <v/>
      </c>
      <c r="D826" s="18" t="str">
        <f>IFERROR(VLOOKUP($A826,Equipment!$A$2:$AH1001,MATCH("Slot",Equipment!$A$1:$AH$1,0),FALSE),"")</f>
        <v/>
      </c>
      <c r="E826" s="20" t="str">
        <f>IFERROR(VLOOKUP($A826,Equipment!$A$2:$AH1001,MATCH("LevelReq",Equipment!$A$1:$AH$1,0),FALSE),"")</f>
        <v/>
      </c>
      <c r="F826" s="18" t="str">
        <f>IFERROR(VLOOKUP($A826,Equipconvrt!$A$2:$AH1001,MATCH("Abilities",Equipconvrt!$A$1:$AH$1,0),FALSE),"")</f>
        <v/>
      </c>
      <c r="G826" s="20" t="str">
        <f>IFERROR(VLOOKUP($A826,Equipment!$A$2:$AD1001,MATCH("Price",Equipment!$A$1:$AH$1,0),FALSE),"")</f>
        <v/>
      </c>
      <c r="H826" s="1" t="b">
        <v>0</v>
      </c>
      <c r="I826" s="1" t="str">
        <f>IFERROR(VLOOKUP($A826,Equipment!$A$2:$AH1001,MATCH("EquipLoc",Equipment!$A$1:$AH$1,0),FALSE),"")</f>
        <v/>
      </c>
      <c r="W826" s="1" t="str">
        <f>IFERROR(__xludf.DUMMYFUNCTION("""COMPUTED_VALUE"""),"Quickdraw Bow")</f>
        <v>Quickdraw Bow</v>
      </c>
      <c r="X826" s="1" t="str">
        <f t="shared" si="1"/>
        <v>Quickdraw Bow</v>
      </c>
    </row>
    <row r="827">
      <c r="A827" s="1"/>
      <c r="B827" s="18" t="str">
        <f>IFERROR(VLOOKUP($A827,Equipment!$A$2:$AH1001,MATCH("Description",Equipment!$A$1:$AH$1,0),FALSE),"")</f>
        <v/>
      </c>
      <c r="C827" s="18" t="str">
        <f>IFERROR(VLOOKUP($A827,Equipment!$A$2:$AH1001,MATCH("Type",Equipment!$A$1:$AH$1,0),FALSE),"")</f>
        <v/>
      </c>
      <c r="D827" s="18" t="str">
        <f>IFERROR(VLOOKUP($A827,Equipment!$A$2:$AH1001,MATCH("Slot",Equipment!$A$1:$AH$1,0),FALSE),"")</f>
        <v/>
      </c>
      <c r="E827" s="20" t="str">
        <f>IFERROR(VLOOKUP($A827,Equipment!$A$2:$AH1001,MATCH("LevelReq",Equipment!$A$1:$AH$1,0),FALSE),"")</f>
        <v/>
      </c>
      <c r="F827" s="18" t="str">
        <f>IFERROR(VLOOKUP($A827,Equipconvrt!$A$2:$AH1001,MATCH("Abilities",Equipconvrt!$A$1:$AH$1,0),FALSE),"")</f>
        <v/>
      </c>
      <c r="G827" s="20" t="str">
        <f>IFERROR(VLOOKUP($A827,Equipment!$A$2:$AD1001,MATCH("Price",Equipment!$A$1:$AH$1,0),FALSE),"")</f>
        <v/>
      </c>
      <c r="H827" s="1" t="b">
        <v>0</v>
      </c>
      <c r="I827" s="1" t="str">
        <f>IFERROR(VLOOKUP($A827,Equipment!$A$2:$AH1001,MATCH("EquipLoc",Equipment!$A$1:$AH$1,0),FALSE),"")</f>
        <v/>
      </c>
      <c r="W827" s="1" t="str">
        <f>IFERROR(__xludf.DUMMYFUNCTION("""COMPUTED_VALUE"""),"Chaos Bow")</f>
        <v>Chaos Bow</v>
      </c>
      <c r="X827" s="1" t="str">
        <f t="shared" si="1"/>
        <v>Chaos Bow</v>
      </c>
    </row>
    <row r="828">
      <c r="A828" s="1"/>
      <c r="B828" s="18" t="str">
        <f>IFERROR(VLOOKUP($A828,Equipment!$A$2:$AH1001,MATCH("Description",Equipment!$A$1:$AH$1,0),FALSE),"")</f>
        <v/>
      </c>
      <c r="C828" s="18" t="str">
        <f>IFERROR(VLOOKUP($A828,Equipment!$A$2:$AH1001,MATCH("Type",Equipment!$A$1:$AH$1,0),FALSE),"")</f>
        <v/>
      </c>
      <c r="D828" s="18" t="str">
        <f>IFERROR(VLOOKUP($A828,Equipment!$A$2:$AH1001,MATCH("Slot",Equipment!$A$1:$AH$1,0),FALSE),"")</f>
        <v/>
      </c>
      <c r="E828" s="20" t="str">
        <f>IFERROR(VLOOKUP($A828,Equipment!$A$2:$AH1001,MATCH("LevelReq",Equipment!$A$1:$AH$1,0),FALSE),"")</f>
        <v/>
      </c>
      <c r="F828" s="18" t="str">
        <f>IFERROR(VLOOKUP($A828,Equipconvrt!$A$2:$AH1001,MATCH("Abilities",Equipconvrt!$A$1:$AH$1,0),FALSE),"")</f>
        <v/>
      </c>
      <c r="G828" s="20" t="str">
        <f>IFERROR(VLOOKUP($A828,Equipment!$A$2:$AD1001,MATCH("Price",Equipment!$A$1:$AH$1,0),FALSE),"")</f>
        <v/>
      </c>
      <c r="H828" s="1" t="b">
        <v>0</v>
      </c>
      <c r="I828" s="1" t="str">
        <f>IFERROR(VLOOKUP($A828,Equipment!$A$2:$AH1001,MATCH("EquipLoc",Equipment!$A$1:$AH$1,0),FALSE),"")</f>
        <v/>
      </c>
      <c r="W828" s="1" t="str">
        <f>IFERROR(__xludf.DUMMYFUNCTION("""COMPUTED_VALUE"""),"Crit Shot Bow")</f>
        <v>Crit Shot Bow</v>
      </c>
      <c r="X828" s="1" t="str">
        <f t="shared" si="1"/>
        <v>Crit Shot Bow</v>
      </c>
    </row>
    <row r="829">
      <c r="A829" s="1"/>
      <c r="B829" s="18" t="str">
        <f>IFERROR(VLOOKUP($A829,Equipment!$A$2:$AH1001,MATCH("Description",Equipment!$A$1:$AH$1,0),FALSE),"")</f>
        <v/>
      </c>
      <c r="C829" s="18" t="str">
        <f>IFERROR(VLOOKUP($A829,Equipment!$A$2:$AH1001,MATCH("Type",Equipment!$A$1:$AH$1,0),FALSE),"")</f>
        <v/>
      </c>
      <c r="D829" s="18" t="str">
        <f>IFERROR(VLOOKUP($A829,Equipment!$A$2:$AH1001,MATCH("Slot",Equipment!$A$1:$AH$1,0),FALSE),"")</f>
        <v/>
      </c>
      <c r="E829" s="20" t="str">
        <f>IFERROR(VLOOKUP($A829,Equipment!$A$2:$AH1001,MATCH("LevelReq",Equipment!$A$1:$AH$1,0),FALSE),"")</f>
        <v/>
      </c>
      <c r="F829" s="18" t="str">
        <f>IFERROR(VLOOKUP($A829,Equipconvrt!$A$2:$AH1001,MATCH("Abilities",Equipconvrt!$A$1:$AH$1,0),FALSE),"")</f>
        <v/>
      </c>
      <c r="G829" s="20" t="str">
        <f>IFERROR(VLOOKUP($A829,Equipment!$A$2:$AD1001,MATCH("Price",Equipment!$A$1:$AH$1,0),FALSE),"")</f>
        <v/>
      </c>
      <c r="H829" s="1" t="b">
        <v>0</v>
      </c>
      <c r="I829" s="1" t="str">
        <f>IFERROR(VLOOKUP($A829,Equipment!$A$2:$AH1001,MATCH("EquipLoc",Equipment!$A$1:$AH$1,0),FALSE),"")</f>
        <v/>
      </c>
      <c r="W829" s="1" t="str">
        <f>IFERROR(__xludf.DUMMYFUNCTION("""COMPUTED_VALUE"""),"Incinerating Bow")</f>
        <v>Incinerating Bow</v>
      </c>
      <c r="X829" s="1" t="str">
        <f t="shared" si="1"/>
        <v>Incinerating Bow</v>
      </c>
    </row>
    <row r="830">
      <c r="A830" s="1"/>
      <c r="B830" s="18" t="str">
        <f>IFERROR(VLOOKUP($A830,Equipment!$A$2:$AH1001,MATCH("Description",Equipment!$A$1:$AH$1,0),FALSE),"")</f>
        <v/>
      </c>
      <c r="C830" s="18" t="str">
        <f>IFERROR(VLOOKUP($A830,Equipment!$A$2:$AH1001,MATCH("Type",Equipment!$A$1:$AH$1,0),FALSE),"")</f>
        <v/>
      </c>
      <c r="D830" s="18" t="str">
        <f>IFERROR(VLOOKUP($A830,Equipment!$A$2:$AH1001,MATCH("Slot",Equipment!$A$1:$AH$1,0),FALSE),"")</f>
        <v/>
      </c>
      <c r="E830" s="20" t="str">
        <f>IFERROR(VLOOKUP($A830,Equipment!$A$2:$AH1001,MATCH("LevelReq",Equipment!$A$1:$AH$1,0),FALSE),"")</f>
        <v/>
      </c>
      <c r="F830" s="18" t="str">
        <f>IFERROR(VLOOKUP($A830,Equipconvrt!$A$2:$AH1001,MATCH("Abilities",Equipconvrt!$A$1:$AH$1,0),FALSE),"")</f>
        <v/>
      </c>
      <c r="G830" s="20" t="str">
        <f>IFERROR(VLOOKUP($A830,Equipment!$A$2:$AD1001,MATCH("Price",Equipment!$A$1:$AH$1,0),FALSE),"")</f>
        <v/>
      </c>
      <c r="H830" s="1" t="b">
        <v>0</v>
      </c>
      <c r="I830" s="1" t="str">
        <f>IFERROR(VLOOKUP($A830,Equipment!$A$2:$AH1001,MATCH("EquipLoc",Equipment!$A$1:$AH$1,0),FALSE),"")</f>
        <v/>
      </c>
      <c r="W830" s="1" t="str">
        <f>IFERROR(__xludf.DUMMYFUNCTION("""COMPUTED_VALUE"""),"Bone Bow")</f>
        <v>Bone Bow</v>
      </c>
      <c r="X830" s="1" t="str">
        <f t="shared" si="1"/>
        <v>Bone Bow</v>
      </c>
    </row>
    <row r="831">
      <c r="A831" s="1"/>
      <c r="B831" s="18" t="str">
        <f>IFERROR(VLOOKUP($A831,Equipment!$A$2:$AH1001,MATCH("Description",Equipment!$A$1:$AH$1,0),FALSE),"")</f>
        <v/>
      </c>
      <c r="C831" s="18" t="str">
        <f>IFERROR(VLOOKUP($A831,Equipment!$A$2:$AH1001,MATCH("Type",Equipment!$A$1:$AH$1,0),FALSE),"")</f>
        <v/>
      </c>
      <c r="D831" s="18" t="str">
        <f>IFERROR(VLOOKUP($A831,Equipment!$A$2:$AH1001,MATCH("Slot",Equipment!$A$1:$AH$1,0),FALSE),"")</f>
        <v/>
      </c>
      <c r="E831" s="20" t="str">
        <f>IFERROR(VLOOKUP($A831,Equipment!$A$2:$AH1001,MATCH("LevelReq",Equipment!$A$1:$AH$1,0),FALSE),"")</f>
        <v/>
      </c>
      <c r="F831" s="18" t="str">
        <f>IFERROR(VLOOKUP($A831,Equipconvrt!$A$2:$AH1001,MATCH("Abilities",Equipconvrt!$A$1:$AH$1,0),FALSE),"")</f>
        <v/>
      </c>
      <c r="G831" s="20" t="str">
        <f>IFERROR(VLOOKUP($A831,Equipment!$A$2:$AD1001,MATCH("Price",Equipment!$A$1:$AH$1,0),FALSE),"")</f>
        <v/>
      </c>
      <c r="H831" s="1" t="b">
        <v>0</v>
      </c>
      <c r="I831" s="1" t="str">
        <f>IFERROR(VLOOKUP($A831,Equipment!$A$2:$AH1001,MATCH("EquipLoc",Equipment!$A$1:$AH$1,0),FALSE),"")</f>
        <v/>
      </c>
      <c r="W831" s="1" t="str">
        <f>IFERROR(__xludf.DUMMYFUNCTION("""COMPUTED_VALUE"""),"Assassin's Fake Harp")</f>
        <v>Assassin's Fake Harp</v>
      </c>
      <c r="X831" s="1" t="str">
        <f t="shared" si="1"/>
        <v>Assassin's Fake Harp</v>
      </c>
    </row>
    <row r="832">
      <c r="A832" s="1"/>
      <c r="B832" s="18" t="str">
        <f>IFERROR(VLOOKUP($A832,Equipment!$A$2:$AH1001,MATCH("Description",Equipment!$A$1:$AH$1,0),FALSE),"")</f>
        <v/>
      </c>
      <c r="C832" s="18" t="str">
        <f>IFERROR(VLOOKUP($A832,Equipment!$A$2:$AH1001,MATCH("Type",Equipment!$A$1:$AH$1,0),FALSE),"")</f>
        <v/>
      </c>
      <c r="D832" s="18" t="str">
        <f>IFERROR(VLOOKUP($A832,Equipment!$A$2:$AH1001,MATCH("Slot",Equipment!$A$1:$AH$1,0),FALSE),"")</f>
        <v/>
      </c>
      <c r="E832" s="20" t="str">
        <f>IFERROR(VLOOKUP($A832,Equipment!$A$2:$AH1001,MATCH("LevelReq",Equipment!$A$1:$AH$1,0),FALSE),"")</f>
        <v/>
      </c>
      <c r="F832" s="18" t="str">
        <f>IFERROR(VLOOKUP($A832,Equipconvrt!$A$2:$AH1001,MATCH("Abilities",Equipconvrt!$A$1:$AH$1,0),FALSE),"")</f>
        <v/>
      </c>
      <c r="G832" s="20" t="str">
        <f>IFERROR(VLOOKUP($A832,Equipment!$A$2:$AD1001,MATCH("Price",Equipment!$A$1:$AH$1,0),FALSE),"")</f>
        <v/>
      </c>
      <c r="H832" s="1" t="b">
        <v>0</v>
      </c>
      <c r="I832" s="1" t="str">
        <f>IFERROR(VLOOKUP($A832,Equipment!$A$2:$AH1001,MATCH("EquipLoc",Equipment!$A$1:$AH$1,0),FALSE),"")</f>
        <v/>
      </c>
      <c r="W832" s="1" t="str">
        <f>IFERROR(__xludf.DUMMYFUNCTION("""COMPUTED_VALUE"""),"Broken Bow")</f>
        <v>Broken Bow</v>
      </c>
      <c r="X832" s="1" t="str">
        <f t="shared" si="1"/>
        <v>Broken Bow</v>
      </c>
    </row>
    <row r="833">
      <c r="A833" s="1"/>
      <c r="B833" s="18" t="str">
        <f>IFERROR(VLOOKUP($A833,Equipment!$A$2:$AH1001,MATCH("Description",Equipment!$A$1:$AH$1,0),FALSE),"")</f>
        <v/>
      </c>
      <c r="C833" s="18" t="str">
        <f>IFERROR(VLOOKUP($A833,Equipment!$A$2:$AH1001,MATCH("Type",Equipment!$A$1:$AH$1,0),FALSE),"")</f>
        <v/>
      </c>
      <c r="D833" s="18" t="str">
        <f>IFERROR(VLOOKUP($A833,Equipment!$A$2:$AH1001,MATCH("Slot",Equipment!$A$1:$AH$1,0),FALSE),"")</f>
        <v/>
      </c>
      <c r="E833" s="20" t="str">
        <f>IFERROR(VLOOKUP($A833,Equipment!$A$2:$AH1001,MATCH("LevelReq",Equipment!$A$1:$AH$1,0),FALSE),"")</f>
        <v/>
      </c>
      <c r="F833" s="18" t="str">
        <f>IFERROR(VLOOKUP($A833,Equipconvrt!$A$2:$AH1001,MATCH("Abilities",Equipconvrt!$A$1:$AH$1,0),FALSE),"")</f>
        <v/>
      </c>
      <c r="G833" s="20" t="str">
        <f>IFERROR(VLOOKUP($A833,Equipment!$A$2:$AD1001,MATCH("Price",Equipment!$A$1:$AH$1,0),FALSE),"")</f>
        <v/>
      </c>
      <c r="H833" s="1" t="b">
        <v>0</v>
      </c>
      <c r="I833" s="1" t="str">
        <f>IFERROR(VLOOKUP($A833,Equipment!$A$2:$AH1001,MATCH("EquipLoc",Equipment!$A$1:$AH$1,0),FALSE),"")</f>
        <v/>
      </c>
      <c r="W833" s="1" t="str">
        <f>IFERROR(__xludf.DUMMYFUNCTION("""COMPUTED_VALUE"""),"Lizard Wizard Hat")</f>
        <v>Lizard Wizard Hat</v>
      </c>
      <c r="X833" s="1" t="str">
        <f t="shared" si="1"/>
        <v>Lizard Wizard Hat</v>
      </c>
    </row>
    <row r="834">
      <c r="A834" s="1"/>
      <c r="B834" s="18" t="str">
        <f>IFERROR(VLOOKUP($A834,Equipment!$A$2:$AH1001,MATCH("Description",Equipment!$A$1:$AH$1,0),FALSE),"")</f>
        <v/>
      </c>
      <c r="C834" s="18" t="str">
        <f>IFERROR(VLOOKUP($A834,Equipment!$A$2:$AH1001,MATCH("Type",Equipment!$A$1:$AH$1,0),FALSE),"")</f>
        <v/>
      </c>
      <c r="D834" s="18" t="str">
        <f>IFERROR(VLOOKUP($A834,Equipment!$A$2:$AH1001,MATCH("Slot",Equipment!$A$1:$AH$1,0),FALSE),"")</f>
        <v/>
      </c>
      <c r="E834" s="20" t="str">
        <f>IFERROR(VLOOKUP($A834,Equipment!$A$2:$AH1001,MATCH("LevelReq",Equipment!$A$1:$AH$1,0),FALSE),"")</f>
        <v/>
      </c>
      <c r="F834" s="18" t="str">
        <f>IFERROR(VLOOKUP($A834,Equipconvrt!$A$2:$AH1001,MATCH("Abilities",Equipconvrt!$A$1:$AH$1,0),FALSE),"")</f>
        <v/>
      </c>
      <c r="G834" s="20" t="str">
        <f>IFERROR(VLOOKUP($A834,Equipment!$A$2:$AD1001,MATCH("Price",Equipment!$A$1:$AH$1,0),FALSE),"")</f>
        <v/>
      </c>
      <c r="H834" s="1" t="b">
        <v>0</v>
      </c>
      <c r="I834" s="1" t="str">
        <f>IFERROR(VLOOKUP($A834,Equipment!$A$2:$AH1001,MATCH("EquipLoc",Equipment!$A$1:$AH$1,0),FALSE),"")</f>
        <v/>
      </c>
      <c r="W834" s="1" t="str">
        <f>IFERROR(__xludf.DUMMYFUNCTION("""COMPUTED_VALUE"""),"Lizard Wizard Robes")</f>
        <v>Lizard Wizard Robes</v>
      </c>
      <c r="X834" s="1" t="str">
        <f t="shared" si="1"/>
        <v>Lizard Wizard Robes</v>
      </c>
    </row>
    <row r="835">
      <c r="A835" s="1"/>
      <c r="B835" s="18" t="str">
        <f>IFERROR(VLOOKUP($A835,Equipment!$A$2:$AH1001,MATCH("Description",Equipment!$A$1:$AH$1,0),FALSE),"")</f>
        <v/>
      </c>
      <c r="C835" s="18" t="str">
        <f>IFERROR(VLOOKUP($A835,Equipment!$A$2:$AH1001,MATCH("Type",Equipment!$A$1:$AH$1,0),FALSE),"")</f>
        <v/>
      </c>
      <c r="D835" s="18" t="str">
        <f>IFERROR(VLOOKUP($A835,Equipment!$A$2:$AH1001,MATCH("Slot",Equipment!$A$1:$AH$1,0),FALSE),"")</f>
        <v/>
      </c>
      <c r="E835" s="20" t="str">
        <f>IFERROR(VLOOKUP($A835,Equipment!$A$2:$AH1001,MATCH("LevelReq",Equipment!$A$1:$AH$1,0),FALSE),"")</f>
        <v/>
      </c>
      <c r="F835" s="18" t="str">
        <f>IFERROR(VLOOKUP($A835,Equipconvrt!$A$2:$AH1001,MATCH("Abilities",Equipconvrt!$A$1:$AH$1,0),FALSE),"")</f>
        <v/>
      </c>
      <c r="G835" s="20" t="str">
        <f>IFERROR(VLOOKUP($A835,Equipment!$A$2:$AD1001,MATCH("Price",Equipment!$A$1:$AH$1,0),FALSE),"")</f>
        <v/>
      </c>
      <c r="H835" s="1" t="b">
        <v>0</v>
      </c>
      <c r="I835" s="1" t="str">
        <f>IFERROR(VLOOKUP($A835,Equipment!$A$2:$AH1001,MATCH("EquipLoc",Equipment!$A$1:$AH$1,0),FALSE),"")</f>
        <v/>
      </c>
      <c r="W835" s="1" t="str">
        <f>IFERROR(__xludf.DUMMYFUNCTION("""COMPUTED_VALUE"""),"Lizard Wizard Leggings")</f>
        <v>Lizard Wizard Leggings</v>
      </c>
      <c r="X835" s="1" t="str">
        <f t="shared" si="1"/>
        <v>Lizard Wizard Leggings</v>
      </c>
    </row>
    <row r="836">
      <c r="A836" s="1"/>
      <c r="B836" s="18" t="str">
        <f>IFERROR(VLOOKUP($A836,Equipment!$A$2:$AH1001,MATCH("Description",Equipment!$A$1:$AH$1,0),FALSE),"")</f>
        <v/>
      </c>
      <c r="C836" s="18" t="str">
        <f>IFERROR(VLOOKUP($A836,Equipment!$A$2:$AH1001,MATCH("Type",Equipment!$A$1:$AH$1,0),FALSE),"")</f>
        <v/>
      </c>
      <c r="D836" s="18" t="str">
        <f>IFERROR(VLOOKUP($A836,Equipment!$A$2:$AH1001,MATCH("Slot",Equipment!$A$1:$AH$1,0),FALSE),"")</f>
        <v/>
      </c>
      <c r="E836" s="20" t="str">
        <f>IFERROR(VLOOKUP($A836,Equipment!$A$2:$AH1001,MATCH("LevelReq",Equipment!$A$1:$AH$1,0),FALSE),"")</f>
        <v/>
      </c>
      <c r="F836" s="18" t="str">
        <f>IFERROR(VLOOKUP($A836,Equipconvrt!$A$2:$AH1001,MATCH("Abilities",Equipconvrt!$A$1:$AH$1,0),FALSE),"")</f>
        <v/>
      </c>
      <c r="G836" s="20" t="str">
        <f>IFERROR(VLOOKUP($A836,Equipment!$A$2:$AD1001,MATCH("Price",Equipment!$A$1:$AH$1,0),FALSE),"")</f>
        <v/>
      </c>
      <c r="H836" s="1" t="b">
        <v>0</v>
      </c>
      <c r="I836" s="1" t="str">
        <f>IFERROR(VLOOKUP($A836,Equipment!$A$2:$AH1001,MATCH("EquipLoc",Equipment!$A$1:$AH$1,0),FALSE),"")</f>
        <v/>
      </c>
      <c r="W836" s="1" t="str">
        <f>IFERROR(__xludf.DUMMYFUNCTION("""COMPUTED_VALUE"""),"Lizard Wizard Pointed Shoes")</f>
        <v>Lizard Wizard Pointed Shoes</v>
      </c>
      <c r="X836" s="1" t="str">
        <f t="shared" si="1"/>
        <v>Lizard Wizard Pointed Shoes</v>
      </c>
    </row>
    <row r="837">
      <c r="A837" s="1"/>
      <c r="B837" s="18" t="str">
        <f>IFERROR(VLOOKUP($A837,Equipment!$A$2:$AH1001,MATCH("Description",Equipment!$A$1:$AH$1,0),FALSE),"")</f>
        <v/>
      </c>
      <c r="C837" s="18" t="str">
        <f>IFERROR(VLOOKUP($A837,Equipment!$A$2:$AH1001,MATCH("Type",Equipment!$A$1:$AH$1,0),FALSE),"")</f>
        <v/>
      </c>
      <c r="D837" s="18" t="str">
        <f>IFERROR(VLOOKUP($A837,Equipment!$A$2:$AH1001,MATCH("Slot",Equipment!$A$1:$AH$1,0),FALSE),"")</f>
        <v/>
      </c>
      <c r="E837" s="20" t="str">
        <f>IFERROR(VLOOKUP($A837,Equipment!$A$2:$AH1001,MATCH("LevelReq",Equipment!$A$1:$AH$1,0),FALSE),"")</f>
        <v/>
      </c>
      <c r="F837" s="18" t="str">
        <f>IFERROR(VLOOKUP($A837,Equipconvrt!$A$2:$AH1001,MATCH("Abilities",Equipconvrt!$A$1:$AH$1,0),FALSE),"")</f>
        <v/>
      </c>
      <c r="G837" s="20" t="str">
        <f>IFERROR(VLOOKUP($A837,Equipment!$A$2:$AD1001,MATCH("Price",Equipment!$A$1:$AH$1,0),FALSE),"")</f>
        <v/>
      </c>
      <c r="H837" s="1" t="b">
        <v>0</v>
      </c>
      <c r="I837" s="1" t="str">
        <f>IFERROR(VLOOKUP($A837,Equipment!$A$2:$AH1001,MATCH("EquipLoc",Equipment!$A$1:$AH$1,0),FALSE),"")</f>
        <v/>
      </c>
      <c r="W837" s="1" t="str">
        <f>IFERROR(__xludf.DUMMYFUNCTION("""COMPUTED_VALUE"""),"Lizard Wizard Staff of Corroding Blizzard")</f>
        <v>Lizard Wizard Staff of Corroding Blizzard</v>
      </c>
      <c r="X837" s="1" t="str">
        <f t="shared" si="1"/>
        <v>Lizard Wizard Staff of Corroding Blizzard</v>
      </c>
    </row>
    <row r="838">
      <c r="A838" s="1"/>
      <c r="B838" s="18" t="str">
        <f>IFERROR(VLOOKUP($A838,Equipment!$A$2:$AH1001,MATCH("Description",Equipment!$A$1:$AH$1,0),FALSE),"")</f>
        <v/>
      </c>
      <c r="C838" s="18" t="str">
        <f>IFERROR(VLOOKUP($A838,Equipment!$A$2:$AH1001,MATCH("Type",Equipment!$A$1:$AH$1,0),FALSE),"")</f>
        <v/>
      </c>
      <c r="D838" s="18" t="str">
        <f>IFERROR(VLOOKUP($A838,Equipment!$A$2:$AH1001,MATCH("Slot",Equipment!$A$1:$AH$1,0),FALSE),"")</f>
        <v/>
      </c>
      <c r="E838" s="20" t="str">
        <f>IFERROR(VLOOKUP($A838,Equipment!$A$2:$AH1001,MATCH("LevelReq",Equipment!$A$1:$AH$1,0),FALSE),"")</f>
        <v/>
      </c>
      <c r="F838" s="18" t="str">
        <f>IFERROR(VLOOKUP($A838,Equipconvrt!$A$2:$AH1001,MATCH("Abilities",Equipconvrt!$A$1:$AH$1,0),FALSE),"")</f>
        <v/>
      </c>
      <c r="G838" s="20" t="str">
        <f>IFERROR(VLOOKUP($A838,Equipment!$A$2:$AD1001,MATCH("Price",Equipment!$A$1:$AH$1,0),FALSE),"")</f>
        <v/>
      </c>
      <c r="H838" s="1" t="b">
        <v>0</v>
      </c>
      <c r="I838" s="1" t="str">
        <f>IFERROR(VLOOKUP($A838,Equipment!$A$2:$AH1001,MATCH("EquipLoc",Equipment!$A$1:$AH$1,0),FALSE),"")</f>
        <v/>
      </c>
      <c r="W838" s="1" t="str">
        <f>IFERROR(__xludf.DUMMYFUNCTION("""COMPUTED_VALUE"""),"Lizard Wizard's Prized Ring")</f>
        <v>Lizard Wizard's Prized Ring</v>
      </c>
      <c r="X838" s="1" t="str">
        <f t="shared" si="1"/>
        <v>Lizard Wizard's Prized Ring</v>
      </c>
    </row>
    <row r="839">
      <c r="A839" s="1"/>
      <c r="B839" s="18" t="str">
        <f>IFERROR(VLOOKUP($A839,Equipment!$A$2:$AH1001,MATCH("Description",Equipment!$A$1:$AH$1,0),FALSE),"")</f>
        <v/>
      </c>
      <c r="C839" s="18" t="str">
        <f>IFERROR(VLOOKUP($A839,Equipment!$A$2:$AH1001,MATCH("Type",Equipment!$A$1:$AH$1,0),FALSE),"")</f>
        <v/>
      </c>
      <c r="D839" s="18" t="str">
        <f>IFERROR(VLOOKUP($A839,Equipment!$A$2:$AH1001,MATCH("Slot",Equipment!$A$1:$AH$1,0),FALSE),"")</f>
        <v/>
      </c>
      <c r="E839" s="20" t="str">
        <f>IFERROR(VLOOKUP($A839,Equipment!$A$2:$AH1001,MATCH("LevelReq",Equipment!$A$1:$AH$1,0),FALSE),"")</f>
        <v/>
      </c>
      <c r="F839" s="18" t="str">
        <f>IFERROR(VLOOKUP($A839,Equipconvrt!$A$2:$AH1001,MATCH("Abilities",Equipconvrt!$A$1:$AH$1,0),FALSE),"")</f>
        <v/>
      </c>
      <c r="G839" s="20" t="str">
        <f>IFERROR(VLOOKUP($A839,Equipment!$A$2:$AD1001,MATCH("Price",Equipment!$A$1:$AH$1,0),FALSE),"")</f>
        <v/>
      </c>
      <c r="H839" s="1" t="b">
        <v>0</v>
      </c>
      <c r="I839" s="1" t="str">
        <f>IFERROR(VLOOKUP($A839,Equipment!$A$2:$AH1001,MATCH("EquipLoc",Equipment!$A$1:$AH$1,0),FALSE),"")</f>
        <v/>
      </c>
      <c r="W839" s="1" t="str">
        <f>IFERROR(__xludf.DUMMYFUNCTION("""COMPUTED_VALUE"""),"Lizard Thief's Bandana")</f>
        <v>Lizard Thief's Bandana</v>
      </c>
      <c r="X839" s="1" t="str">
        <f t="shared" si="1"/>
        <v>Lizard Thief's Bandana</v>
      </c>
    </row>
    <row r="840">
      <c r="A840" s="1"/>
      <c r="B840" s="18" t="str">
        <f>IFERROR(VLOOKUP($A840,Equipment!$A$2:$AH1001,MATCH("Description",Equipment!$A$1:$AH$1,0),FALSE),"")</f>
        <v/>
      </c>
      <c r="C840" s="18" t="str">
        <f>IFERROR(VLOOKUP($A840,Equipment!$A$2:$AH1001,MATCH("Type",Equipment!$A$1:$AH$1,0),FALSE),"")</f>
        <v/>
      </c>
      <c r="D840" s="18" t="str">
        <f>IFERROR(VLOOKUP($A840,Equipment!$A$2:$AH1001,MATCH("Slot",Equipment!$A$1:$AH$1,0),FALSE),"")</f>
        <v/>
      </c>
      <c r="E840" s="20" t="str">
        <f>IFERROR(VLOOKUP($A840,Equipment!$A$2:$AH1001,MATCH("LevelReq",Equipment!$A$1:$AH$1,0),FALSE),"")</f>
        <v/>
      </c>
      <c r="F840" s="18" t="str">
        <f>IFERROR(VLOOKUP($A840,Equipconvrt!$A$2:$AH1001,MATCH("Abilities",Equipconvrt!$A$1:$AH$1,0),FALSE),"")</f>
        <v/>
      </c>
      <c r="G840" s="20" t="str">
        <f>IFERROR(VLOOKUP($A840,Equipment!$A$2:$AD1001,MATCH("Price",Equipment!$A$1:$AH$1,0),FALSE),"")</f>
        <v/>
      </c>
      <c r="H840" s="1" t="b">
        <v>0</v>
      </c>
      <c r="I840" s="1" t="str">
        <f>IFERROR(VLOOKUP($A840,Equipment!$A$2:$AH1001,MATCH("EquipLoc",Equipment!$A$1:$AH$1,0),FALSE),"")</f>
        <v/>
      </c>
      <c r="W840" s="1" t="str">
        <f>IFERROR(__xludf.DUMMYFUNCTION("""COMPUTED_VALUE"""),"Lizard Thief's Leathers")</f>
        <v>Lizard Thief's Leathers</v>
      </c>
      <c r="X840" s="1" t="str">
        <f t="shared" si="1"/>
        <v>Lizard Thief's Leathers</v>
      </c>
    </row>
    <row r="841">
      <c r="A841" s="1"/>
      <c r="B841" s="18" t="str">
        <f>IFERROR(VLOOKUP($A841,Equipment!$A$2:$AH1001,MATCH("Description",Equipment!$A$1:$AH$1,0),FALSE),"")</f>
        <v/>
      </c>
      <c r="C841" s="18" t="str">
        <f>IFERROR(VLOOKUP($A841,Equipment!$A$2:$AH1001,MATCH("Type",Equipment!$A$1:$AH$1,0),FALSE),"")</f>
        <v/>
      </c>
      <c r="D841" s="18" t="str">
        <f>IFERROR(VLOOKUP($A841,Equipment!$A$2:$AH1001,MATCH("Slot",Equipment!$A$1:$AH$1,0),FALSE),"")</f>
        <v/>
      </c>
      <c r="E841" s="20" t="str">
        <f>IFERROR(VLOOKUP($A841,Equipment!$A$2:$AH1001,MATCH("LevelReq",Equipment!$A$1:$AH$1,0),FALSE),"")</f>
        <v/>
      </c>
      <c r="F841" s="18" t="str">
        <f>IFERROR(VLOOKUP($A841,Equipconvrt!$A$2:$AH1001,MATCH("Abilities",Equipconvrt!$A$1:$AH$1,0),FALSE),"")</f>
        <v/>
      </c>
      <c r="G841" s="20" t="str">
        <f>IFERROR(VLOOKUP($A841,Equipment!$A$2:$AD1001,MATCH("Price",Equipment!$A$1:$AH$1,0),FALSE),"")</f>
        <v/>
      </c>
      <c r="H841" s="1" t="b">
        <v>0</v>
      </c>
      <c r="I841" s="1" t="str">
        <f>IFERROR(VLOOKUP($A841,Equipment!$A$2:$AH1001,MATCH("EquipLoc",Equipment!$A$1:$AH$1,0),FALSE),"")</f>
        <v/>
      </c>
      <c r="W841" s="1" t="str">
        <f>IFERROR(__xludf.DUMMYFUNCTION("""COMPUTED_VALUE"""),"Lizard Thief's Pants")</f>
        <v>Lizard Thief's Pants</v>
      </c>
      <c r="X841" s="1" t="str">
        <f t="shared" si="1"/>
        <v>Lizard Thief's Pants</v>
      </c>
    </row>
    <row r="842">
      <c r="A842" s="1"/>
      <c r="B842" s="18" t="str">
        <f>IFERROR(VLOOKUP($A842,Equipment!$A$2:$AH1001,MATCH("Description",Equipment!$A$1:$AH$1,0),FALSE),"")</f>
        <v/>
      </c>
      <c r="C842" s="18" t="str">
        <f>IFERROR(VLOOKUP($A842,Equipment!$A$2:$AH1001,MATCH("Type",Equipment!$A$1:$AH$1,0),FALSE),"")</f>
        <v/>
      </c>
      <c r="D842" s="18" t="str">
        <f>IFERROR(VLOOKUP($A842,Equipment!$A$2:$AH1001,MATCH("Slot",Equipment!$A$1:$AH$1,0),FALSE),"")</f>
        <v/>
      </c>
      <c r="E842" s="20" t="str">
        <f>IFERROR(VLOOKUP($A842,Equipment!$A$2:$AH1001,MATCH("LevelReq",Equipment!$A$1:$AH$1,0),FALSE),"")</f>
        <v/>
      </c>
      <c r="F842" s="18" t="str">
        <f>IFERROR(VLOOKUP($A842,Equipconvrt!$A$2:$AH1001,MATCH("Abilities",Equipconvrt!$A$1:$AH$1,0),FALSE),"")</f>
        <v/>
      </c>
      <c r="G842" s="20" t="str">
        <f>IFERROR(VLOOKUP($A842,Equipment!$A$2:$AD1001,MATCH("Price",Equipment!$A$1:$AH$1,0),FALSE),"")</f>
        <v/>
      </c>
      <c r="H842" s="1" t="b">
        <v>0</v>
      </c>
      <c r="I842" s="1" t="str">
        <f>IFERROR(VLOOKUP($A842,Equipment!$A$2:$AH1001,MATCH("EquipLoc",Equipment!$A$1:$AH$1,0),FALSE),"")</f>
        <v/>
      </c>
      <c r="W842" s="1" t="str">
        <f>IFERROR(__xludf.DUMMYFUNCTION("""COMPUTED_VALUE"""),"Lizard Thief's Boots")</f>
        <v>Lizard Thief's Boots</v>
      </c>
      <c r="X842" s="1" t="str">
        <f t="shared" si="1"/>
        <v>Lizard Thief's Boots</v>
      </c>
    </row>
    <row r="843">
      <c r="A843" s="1"/>
      <c r="B843" s="18" t="str">
        <f>IFERROR(VLOOKUP($A843,Equipment!$A$2:$AH1001,MATCH("Description",Equipment!$A$1:$AH$1,0),FALSE),"")</f>
        <v/>
      </c>
      <c r="C843" s="18" t="str">
        <f>IFERROR(VLOOKUP($A843,Equipment!$A$2:$AH1001,MATCH("Type",Equipment!$A$1:$AH$1,0),FALSE),"")</f>
        <v/>
      </c>
      <c r="D843" s="18" t="str">
        <f>IFERROR(VLOOKUP($A843,Equipment!$A$2:$AH1001,MATCH("Slot",Equipment!$A$1:$AH$1,0),FALSE),"")</f>
        <v/>
      </c>
      <c r="E843" s="20" t="str">
        <f>IFERROR(VLOOKUP($A843,Equipment!$A$2:$AH1001,MATCH("LevelReq",Equipment!$A$1:$AH$1,0),FALSE),"")</f>
        <v/>
      </c>
      <c r="F843" s="18" t="str">
        <f>IFERROR(VLOOKUP($A843,Equipconvrt!$A$2:$AH1001,MATCH("Abilities",Equipconvrt!$A$1:$AH$1,0),FALSE),"")</f>
        <v/>
      </c>
      <c r="G843" s="20" t="str">
        <f>IFERROR(VLOOKUP($A843,Equipment!$A$2:$AD1001,MATCH("Price",Equipment!$A$1:$AH$1,0),FALSE),"")</f>
        <v/>
      </c>
      <c r="H843" s="1" t="b">
        <v>0</v>
      </c>
      <c r="I843" s="1" t="str">
        <f>IFERROR(VLOOKUP($A843,Equipment!$A$2:$AH1001,MATCH("EquipLoc",Equipment!$A$1:$AH$1,0),FALSE),"")</f>
        <v/>
      </c>
      <c r="W843" s="1" t="str">
        <f>IFERROR(__xludf.DUMMYFUNCTION("""COMPUTED_VALUE"""),"Lizard Thief's Shiny Swiper")</f>
        <v>Lizard Thief's Shiny Swiper</v>
      </c>
      <c r="X843" s="1" t="str">
        <f t="shared" si="1"/>
        <v>Lizard Thief's Shiny Swiper</v>
      </c>
    </row>
    <row r="844">
      <c r="A844" s="1"/>
      <c r="B844" s="18" t="str">
        <f>IFERROR(VLOOKUP($A844,Equipment!$A$2:$AH1001,MATCH("Description",Equipment!$A$1:$AH$1,0),FALSE),"")</f>
        <v/>
      </c>
      <c r="C844" s="18" t="str">
        <f>IFERROR(VLOOKUP($A844,Equipment!$A$2:$AH1001,MATCH("Type",Equipment!$A$1:$AH$1,0),FALSE),"")</f>
        <v/>
      </c>
      <c r="D844" s="18" t="str">
        <f>IFERROR(VLOOKUP($A844,Equipment!$A$2:$AH1001,MATCH("Slot",Equipment!$A$1:$AH$1,0),FALSE),"")</f>
        <v/>
      </c>
      <c r="E844" s="20" t="str">
        <f>IFERROR(VLOOKUP($A844,Equipment!$A$2:$AH1001,MATCH("LevelReq",Equipment!$A$1:$AH$1,0),FALSE),"")</f>
        <v/>
      </c>
      <c r="F844" s="18" t="str">
        <f>IFERROR(VLOOKUP($A844,Equipconvrt!$A$2:$AH1001,MATCH("Abilities",Equipconvrt!$A$1:$AH$1,0),FALSE),"")</f>
        <v/>
      </c>
      <c r="G844" s="20" t="str">
        <f>IFERROR(VLOOKUP($A844,Equipment!$A$2:$AD1001,MATCH("Price",Equipment!$A$1:$AH$1,0),FALSE),"")</f>
        <v/>
      </c>
      <c r="H844" s="1" t="b">
        <v>0</v>
      </c>
      <c r="I844" s="1" t="str">
        <f>IFERROR(VLOOKUP($A844,Equipment!$A$2:$AH1001,MATCH("EquipLoc",Equipment!$A$1:$AH$1,0),FALSE),"")</f>
        <v/>
      </c>
      <c r="W844" s="1" t="str">
        <f>IFERROR(__xludf.DUMMYFUNCTION("""COMPUTED_VALUE"""),"Wyrmstone Club")</f>
        <v>Wyrmstone Club</v>
      </c>
      <c r="X844" s="1" t="str">
        <f t="shared" si="1"/>
        <v>Wyrmstone Club</v>
      </c>
    </row>
    <row r="845">
      <c r="A845" s="1"/>
      <c r="B845" s="18" t="str">
        <f>IFERROR(VLOOKUP($A845,Equipment!$A$2:$AH1001,MATCH("Description",Equipment!$A$1:$AH$1,0),FALSE),"")</f>
        <v/>
      </c>
      <c r="C845" s="18" t="str">
        <f>IFERROR(VLOOKUP($A845,Equipment!$A$2:$AH1001,MATCH("Type",Equipment!$A$1:$AH$1,0),FALSE),"")</f>
        <v/>
      </c>
      <c r="D845" s="18" t="str">
        <f>IFERROR(VLOOKUP($A845,Equipment!$A$2:$AH1001,MATCH("Slot",Equipment!$A$1:$AH$1,0),FALSE),"")</f>
        <v/>
      </c>
      <c r="E845" s="20" t="str">
        <f>IFERROR(VLOOKUP($A845,Equipment!$A$2:$AH1001,MATCH("LevelReq",Equipment!$A$1:$AH$1,0),FALSE),"")</f>
        <v/>
      </c>
      <c r="F845" s="18" t="str">
        <f>IFERROR(VLOOKUP($A845,Equipconvrt!$A$2:$AH1001,MATCH("Abilities",Equipconvrt!$A$1:$AH$1,0),FALSE),"")</f>
        <v/>
      </c>
      <c r="G845" s="20" t="str">
        <f>IFERROR(VLOOKUP($A845,Equipment!$A$2:$AD1001,MATCH("Price",Equipment!$A$1:$AH$1,0),FALSE),"")</f>
        <v/>
      </c>
      <c r="H845" s="1" t="b">
        <v>0</v>
      </c>
      <c r="I845" s="1" t="str">
        <f>IFERROR(VLOOKUP($A845,Equipment!$A$2:$AH1001,MATCH("EquipLoc",Equipment!$A$1:$AH$1,0),FALSE),"")</f>
        <v/>
      </c>
      <c r="W845" s="1" t="str">
        <f>IFERROR(__xludf.DUMMYFUNCTION("""COMPUTED_VALUE"""),"Wyrmstone Mail")</f>
        <v>Wyrmstone Mail</v>
      </c>
      <c r="X845" s="1" t="str">
        <f t="shared" si="1"/>
        <v>Wyrmstone Mail</v>
      </c>
    </row>
    <row r="846">
      <c r="A846" s="1"/>
      <c r="B846" s="18" t="str">
        <f>IFERROR(VLOOKUP($A846,Equipment!$A$2:$AH1001,MATCH("Description",Equipment!$A$1:$AH$1,0),FALSE),"")</f>
        <v/>
      </c>
      <c r="C846" s="18" t="str">
        <f>IFERROR(VLOOKUP($A846,Equipment!$A$2:$AH1001,MATCH("Type",Equipment!$A$1:$AH$1,0),FALSE),"")</f>
        <v/>
      </c>
      <c r="D846" s="18" t="str">
        <f>IFERROR(VLOOKUP($A846,Equipment!$A$2:$AH1001,MATCH("Slot",Equipment!$A$1:$AH$1,0),FALSE),"")</f>
        <v/>
      </c>
      <c r="E846" s="20" t="str">
        <f>IFERROR(VLOOKUP($A846,Equipment!$A$2:$AH1001,MATCH("LevelReq",Equipment!$A$1:$AH$1,0),FALSE),"")</f>
        <v/>
      </c>
      <c r="F846" s="18" t="str">
        <f>IFERROR(VLOOKUP($A846,Equipconvrt!$A$2:$AH1001,MATCH("Abilities",Equipconvrt!$A$1:$AH$1,0),FALSE),"")</f>
        <v/>
      </c>
      <c r="G846" s="20" t="str">
        <f>IFERROR(VLOOKUP($A846,Equipment!$A$2:$AD1001,MATCH("Price",Equipment!$A$1:$AH$1,0),FALSE),"")</f>
        <v/>
      </c>
      <c r="H846" s="1" t="b">
        <v>0</v>
      </c>
      <c r="I846" s="1" t="str">
        <f>IFERROR(VLOOKUP($A846,Equipment!$A$2:$AH1001,MATCH("EquipLoc",Equipment!$A$1:$AH$1,0),FALSE),"")</f>
        <v/>
      </c>
      <c r="W846" s="1" t="str">
        <f>IFERROR(__xludf.DUMMYFUNCTION("""COMPUTED_VALUE"""),"Wyrmstone Helm")</f>
        <v>Wyrmstone Helm</v>
      </c>
      <c r="X846" s="1" t="str">
        <f t="shared" si="1"/>
        <v>Wyrmstone Helm</v>
      </c>
    </row>
    <row r="847">
      <c r="A847" s="1"/>
      <c r="B847" s="18" t="str">
        <f>IFERROR(VLOOKUP($A847,Equipment!$A$2:$AH1001,MATCH("Description",Equipment!$A$1:$AH$1,0),FALSE),"")</f>
        <v/>
      </c>
      <c r="C847" s="18" t="str">
        <f>IFERROR(VLOOKUP($A847,Equipment!$A$2:$AH1001,MATCH("Type",Equipment!$A$1:$AH$1,0),FALSE),"")</f>
        <v/>
      </c>
      <c r="D847" s="18" t="str">
        <f>IFERROR(VLOOKUP($A847,Equipment!$A$2:$AH1001,MATCH("Slot",Equipment!$A$1:$AH$1,0),FALSE),"")</f>
        <v/>
      </c>
      <c r="E847" s="20" t="str">
        <f>IFERROR(VLOOKUP($A847,Equipment!$A$2:$AH1001,MATCH("LevelReq",Equipment!$A$1:$AH$1,0),FALSE),"")</f>
        <v/>
      </c>
      <c r="F847" s="18" t="str">
        <f>IFERROR(VLOOKUP($A847,Equipconvrt!$A$2:$AH1001,MATCH("Abilities",Equipconvrt!$A$1:$AH$1,0),FALSE),"")</f>
        <v/>
      </c>
      <c r="G847" s="20" t="str">
        <f>IFERROR(VLOOKUP($A847,Equipment!$A$2:$AD1001,MATCH("Price",Equipment!$A$1:$AH$1,0),FALSE),"")</f>
        <v/>
      </c>
      <c r="H847" s="1" t="b">
        <v>0</v>
      </c>
      <c r="I847" s="1" t="str">
        <f>IFERROR(VLOOKUP($A847,Equipment!$A$2:$AH1001,MATCH("EquipLoc",Equipment!$A$1:$AH$1,0),FALSE),"")</f>
        <v/>
      </c>
      <c r="W847" s="1" t="str">
        <f>IFERROR(__xludf.DUMMYFUNCTION("""COMPUTED_VALUE"""),"Wyrmstone Buckler")</f>
        <v>Wyrmstone Buckler</v>
      </c>
      <c r="X847" s="1" t="str">
        <f t="shared" si="1"/>
        <v>Wyrmstone Buckler</v>
      </c>
    </row>
    <row r="848">
      <c r="A848" s="1"/>
      <c r="B848" s="18" t="str">
        <f>IFERROR(VLOOKUP($A848,Equipment!$A$2:$AH1001,MATCH("Description",Equipment!$A$1:$AH$1,0),FALSE),"")</f>
        <v/>
      </c>
      <c r="C848" s="18" t="str">
        <f>IFERROR(VLOOKUP($A848,Equipment!$A$2:$AH1001,MATCH("Type",Equipment!$A$1:$AH$1,0),FALSE),"")</f>
        <v/>
      </c>
      <c r="D848" s="18" t="str">
        <f>IFERROR(VLOOKUP($A848,Equipment!$A$2:$AH1001,MATCH("Slot",Equipment!$A$1:$AH$1,0),FALSE),"")</f>
        <v/>
      </c>
      <c r="E848" s="20" t="str">
        <f>IFERROR(VLOOKUP($A848,Equipment!$A$2:$AH1001,MATCH("LevelReq",Equipment!$A$1:$AH$1,0),FALSE),"")</f>
        <v/>
      </c>
      <c r="F848" s="18" t="str">
        <f>IFERROR(VLOOKUP($A848,Equipconvrt!$A$2:$AH1001,MATCH("Abilities",Equipconvrt!$A$1:$AH$1,0),FALSE),"")</f>
        <v/>
      </c>
      <c r="G848" s="20" t="str">
        <f>IFERROR(VLOOKUP($A848,Equipment!$A$2:$AD1001,MATCH("Price",Equipment!$A$1:$AH$1,0),FALSE),"")</f>
        <v/>
      </c>
      <c r="H848" s="1" t="b">
        <v>0</v>
      </c>
      <c r="I848" s="1" t="str">
        <f>IFERROR(VLOOKUP($A848,Equipment!$A$2:$AH1001,MATCH("EquipLoc",Equipment!$A$1:$AH$1,0),FALSE),"")</f>
        <v/>
      </c>
      <c r="W848" s="1" t="str">
        <f>IFERROR(__xludf.DUMMYFUNCTION("""COMPUTED_VALUE"""),"Wyrmstone Gauntlet")</f>
        <v>Wyrmstone Gauntlet</v>
      </c>
      <c r="X848" s="1" t="str">
        <f t="shared" si="1"/>
        <v>Wyrmstone Gauntlet</v>
      </c>
    </row>
    <row r="849">
      <c r="A849" s="1"/>
      <c r="B849" s="18" t="str">
        <f>IFERROR(VLOOKUP($A849,Equipment!$A$2:$AH1001,MATCH("Description",Equipment!$A$1:$AH$1,0),FALSE),"")</f>
        <v/>
      </c>
      <c r="C849" s="18" t="str">
        <f>IFERROR(VLOOKUP($A849,Equipment!$A$2:$AH1001,MATCH("Type",Equipment!$A$1:$AH$1,0),FALSE),"")</f>
        <v/>
      </c>
      <c r="D849" s="18" t="str">
        <f>IFERROR(VLOOKUP($A849,Equipment!$A$2:$AH1001,MATCH("Slot",Equipment!$A$1:$AH$1,0),FALSE),"")</f>
        <v/>
      </c>
      <c r="E849" s="20" t="str">
        <f>IFERROR(VLOOKUP($A849,Equipment!$A$2:$AH1001,MATCH("LevelReq",Equipment!$A$1:$AH$1,0),FALSE),"")</f>
        <v/>
      </c>
      <c r="F849" s="18" t="str">
        <f>IFERROR(VLOOKUP($A849,Equipconvrt!$A$2:$AH1001,MATCH("Abilities",Equipconvrt!$A$1:$AH$1,0),FALSE),"")</f>
        <v/>
      </c>
      <c r="G849" s="20" t="str">
        <f>IFERROR(VLOOKUP($A849,Equipment!$A$2:$AD1001,MATCH("Price",Equipment!$A$1:$AH$1,0),FALSE),"")</f>
        <v/>
      </c>
      <c r="H849" s="1" t="b">
        <v>0</v>
      </c>
      <c r="I849" s="1" t="str">
        <f>IFERROR(VLOOKUP($A849,Equipment!$A$2:$AH1001,MATCH("EquipLoc",Equipment!$A$1:$AH$1,0),FALSE),"")</f>
        <v/>
      </c>
      <c r="W849" s="1" t="str">
        <f>IFERROR(__xludf.DUMMYFUNCTION("""COMPUTED_VALUE"""),"Wyrmstone Leggings")</f>
        <v>Wyrmstone Leggings</v>
      </c>
      <c r="X849" s="1" t="str">
        <f t="shared" si="1"/>
        <v>Wyrmstone Leggings</v>
      </c>
    </row>
    <row r="850">
      <c r="A850" s="1"/>
      <c r="B850" s="18" t="str">
        <f>IFERROR(VLOOKUP($A850,Equipment!$A$2:$AH1001,MATCH("Description",Equipment!$A$1:$AH$1,0),FALSE),"")</f>
        <v/>
      </c>
      <c r="C850" s="18" t="str">
        <f>IFERROR(VLOOKUP($A850,Equipment!$A$2:$AH1001,MATCH("Type",Equipment!$A$1:$AH$1,0),FALSE),"")</f>
        <v/>
      </c>
      <c r="D850" s="18" t="str">
        <f>IFERROR(VLOOKUP($A850,Equipment!$A$2:$AH1001,MATCH("Slot",Equipment!$A$1:$AH$1,0),FALSE),"")</f>
        <v/>
      </c>
      <c r="E850" s="20" t="str">
        <f>IFERROR(VLOOKUP($A850,Equipment!$A$2:$AH1001,MATCH("LevelReq",Equipment!$A$1:$AH$1,0),FALSE),"")</f>
        <v/>
      </c>
      <c r="F850" s="18" t="str">
        <f>IFERROR(VLOOKUP($A850,Equipconvrt!$A$2:$AH1001,MATCH("Abilities",Equipconvrt!$A$1:$AH$1,0),FALSE),"")</f>
        <v/>
      </c>
      <c r="G850" s="20" t="str">
        <f>IFERROR(VLOOKUP($A850,Equipment!$A$2:$AD1001,MATCH("Price",Equipment!$A$1:$AH$1,0),FALSE),"")</f>
        <v/>
      </c>
      <c r="H850" s="1" t="b">
        <v>0</v>
      </c>
      <c r="I850" s="1" t="str">
        <f>IFERROR(VLOOKUP($A850,Equipment!$A$2:$AH1001,MATCH("EquipLoc",Equipment!$A$1:$AH$1,0),FALSE),"")</f>
        <v/>
      </c>
      <c r="W850" s="1" t="str">
        <f>IFERROR(__xludf.DUMMYFUNCTION("""COMPUTED_VALUE"""),"Wyrmstone Lance")</f>
        <v>Wyrmstone Lance</v>
      </c>
      <c r="X850" s="1" t="str">
        <f t="shared" si="1"/>
        <v>Wyrmstone Lance</v>
      </c>
    </row>
    <row r="851">
      <c r="A851" s="1"/>
      <c r="B851" s="18" t="str">
        <f>IFERROR(VLOOKUP($A851,Equipment!$A$2:$AH1001,MATCH("Description",Equipment!$A$1:$AH$1,0),FALSE),"")</f>
        <v/>
      </c>
      <c r="C851" s="18" t="str">
        <f>IFERROR(VLOOKUP($A851,Equipment!$A$2:$AH1001,MATCH("Type",Equipment!$A$1:$AH$1,0),FALSE),"")</f>
        <v/>
      </c>
      <c r="D851" s="18" t="str">
        <f>IFERROR(VLOOKUP($A851,Equipment!$A$2:$AH1001,MATCH("Slot",Equipment!$A$1:$AH$1,0),FALSE),"")</f>
        <v/>
      </c>
      <c r="E851" s="20" t="str">
        <f>IFERROR(VLOOKUP($A851,Equipment!$A$2:$AH1001,MATCH("LevelReq",Equipment!$A$1:$AH$1,0),FALSE),"")</f>
        <v/>
      </c>
      <c r="F851" s="18" t="str">
        <f>IFERROR(VLOOKUP($A851,Equipconvrt!$A$2:$AH1001,MATCH("Abilities",Equipconvrt!$A$1:$AH$1,0),FALSE),"")</f>
        <v/>
      </c>
      <c r="G851" s="20" t="str">
        <f>IFERROR(VLOOKUP($A851,Equipment!$A$2:$AD1001,MATCH("Price",Equipment!$A$1:$AH$1,0),FALSE),"")</f>
        <v/>
      </c>
      <c r="H851" s="1" t="b">
        <v>0</v>
      </c>
      <c r="I851" s="1" t="str">
        <f>IFERROR(VLOOKUP($A851,Equipment!$A$2:$AH1001,MATCH("EquipLoc",Equipment!$A$1:$AH$1,0),FALSE),"")</f>
        <v/>
      </c>
      <c r="W851" s="1" t="str">
        <f>IFERROR(__xludf.DUMMYFUNCTION("""COMPUTED_VALUE"""),"Wyrmstone Nails")</f>
        <v>Wyrmstone Nails</v>
      </c>
      <c r="X851" s="1" t="str">
        <f t="shared" si="1"/>
        <v>Wyrmstone Nails</v>
      </c>
    </row>
    <row r="852">
      <c r="A852" s="1"/>
      <c r="B852" s="18" t="str">
        <f>IFERROR(VLOOKUP($A852,Equipment!$A$2:$AH1001,MATCH("Description",Equipment!$A$1:$AH$1,0),FALSE),"")</f>
        <v/>
      </c>
      <c r="C852" s="18" t="str">
        <f>IFERROR(VLOOKUP($A852,Equipment!$A$2:$AH1001,MATCH("Type",Equipment!$A$1:$AH$1,0),FALSE),"")</f>
        <v/>
      </c>
      <c r="D852" s="18" t="str">
        <f>IFERROR(VLOOKUP($A852,Equipment!$A$2:$AH1001,MATCH("Slot",Equipment!$A$1:$AH$1,0),FALSE),"")</f>
        <v/>
      </c>
      <c r="E852" s="20" t="str">
        <f>IFERROR(VLOOKUP($A852,Equipment!$A$2:$AH1001,MATCH("LevelReq",Equipment!$A$1:$AH$1,0),FALSE),"")</f>
        <v/>
      </c>
      <c r="F852" s="18" t="str">
        <f>IFERROR(VLOOKUP($A852,Equipconvrt!$A$2:$AH1001,MATCH("Abilities",Equipconvrt!$A$1:$AH$1,0),FALSE),"")</f>
        <v/>
      </c>
      <c r="G852" s="20" t="str">
        <f>IFERROR(VLOOKUP($A852,Equipment!$A$2:$AD1001,MATCH("Price",Equipment!$A$1:$AH$1,0),FALSE),"")</f>
        <v/>
      </c>
      <c r="H852" s="1" t="b">
        <v>0</v>
      </c>
      <c r="I852" s="1" t="str">
        <f>IFERROR(VLOOKUP($A852,Equipment!$A$2:$AH1001,MATCH("EquipLoc",Equipment!$A$1:$AH$1,0),FALSE),"")</f>
        <v/>
      </c>
      <c r="W852" s="1" t="str">
        <f>IFERROR(__xludf.DUMMYFUNCTION("""COMPUTED_VALUE"""),"Lizard Warrior's Scale Helm")</f>
        <v>Lizard Warrior's Scale Helm</v>
      </c>
      <c r="X852" s="1" t="str">
        <f t="shared" si="1"/>
        <v>Lizard Warrior's Scale Helm</v>
      </c>
    </row>
    <row r="853">
      <c r="A853" s="1"/>
      <c r="B853" s="18" t="str">
        <f>IFERROR(VLOOKUP($A853,Equipment!$A$2:$AH1001,MATCH("Description",Equipment!$A$1:$AH$1,0),FALSE),"")</f>
        <v/>
      </c>
      <c r="C853" s="18" t="str">
        <f>IFERROR(VLOOKUP($A853,Equipment!$A$2:$AH1001,MATCH("Type",Equipment!$A$1:$AH$1,0),FALSE),"")</f>
        <v/>
      </c>
      <c r="D853" s="18" t="str">
        <f>IFERROR(VLOOKUP($A853,Equipment!$A$2:$AH1001,MATCH("Slot",Equipment!$A$1:$AH$1,0),FALSE),"")</f>
        <v/>
      </c>
      <c r="E853" s="20" t="str">
        <f>IFERROR(VLOOKUP($A853,Equipment!$A$2:$AH1001,MATCH("LevelReq",Equipment!$A$1:$AH$1,0),FALSE),"")</f>
        <v/>
      </c>
      <c r="F853" s="18" t="str">
        <f>IFERROR(VLOOKUP($A853,Equipconvrt!$A$2:$AH1001,MATCH("Abilities",Equipconvrt!$A$1:$AH$1,0),FALSE),"")</f>
        <v/>
      </c>
      <c r="G853" s="20" t="str">
        <f>IFERROR(VLOOKUP($A853,Equipment!$A$2:$AD1001,MATCH("Price",Equipment!$A$1:$AH$1,0),FALSE),"")</f>
        <v/>
      </c>
      <c r="H853" s="1" t="b">
        <v>0</v>
      </c>
      <c r="I853" s="1" t="str">
        <f>IFERROR(VLOOKUP($A853,Equipment!$A$2:$AH1001,MATCH("EquipLoc",Equipment!$A$1:$AH$1,0),FALSE),"")</f>
        <v/>
      </c>
      <c r="W853" s="1" t="str">
        <f>IFERROR(__xludf.DUMMYFUNCTION("""COMPUTED_VALUE"""),"Lizard Warrior's Scaled Pauldrons")</f>
        <v>Lizard Warrior's Scaled Pauldrons</v>
      </c>
      <c r="X853" s="1" t="str">
        <f t="shared" si="1"/>
        <v>Lizard Warrior's Scaled Pauldrons</v>
      </c>
    </row>
    <row r="854">
      <c r="A854" s="1"/>
      <c r="B854" s="18" t="str">
        <f>IFERROR(VLOOKUP($A854,Equipment!$A$2:$AH1001,MATCH("Description",Equipment!$A$1:$AH$1,0),FALSE),"")</f>
        <v/>
      </c>
      <c r="C854" s="18" t="str">
        <f>IFERROR(VLOOKUP($A854,Equipment!$A$2:$AH1001,MATCH("Type",Equipment!$A$1:$AH$1,0),FALSE),"")</f>
        <v/>
      </c>
      <c r="D854" s="18" t="str">
        <f>IFERROR(VLOOKUP($A854,Equipment!$A$2:$AH1001,MATCH("Slot",Equipment!$A$1:$AH$1,0),FALSE),"")</f>
        <v/>
      </c>
      <c r="E854" s="20" t="str">
        <f>IFERROR(VLOOKUP($A854,Equipment!$A$2:$AH1001,MATCH("LevelReq",Equipment!$A$1:$AH$1,0),FALSE),"")</f>
        <v/>
      </c>
      <c r="F854" s="18" t="str">
        <f>IFERROR(VLOOKUP($A854,Equipconvrt!$A$2:$AH1001,MATCH("Abilities",Equipconvrt!$A$1:$AH$1,0),FALSE),"")</f>
        <v/>
      </c>
      <c r="G854" s="20" t="str">
        <f>IFERROR(VLOOKUP($A854,Equipment!$A$2:$AD1001,MATCH("Price",Equipment!$A$1:$AH$1,0),FALSE),"")</f>
        <v/>
      </c>
      <c r="H854" s="1" t="b">
        <v>0</v>
      </c>
      <c r="I854" s="1" t="str">
        <f>IFERROR(VLOOKUP($A854,Equipment!$A$2:$AH1001,MATCH("EquipLoc",Equipment!$A$1:$AH$1,0),FALSE),"")</f>
        <v/>
      </c>
      <c r="W854" s="1" t="str">
        <f>IFERROR(__xludf.DUMMYFUNCTION("""COMPUTED_VALUE"""),"Lizard Warrior's Scaled Chest")</f>
        <v>Lizard Warrior's Scaled Chest</v>
      </c>
      <c r="X854" s="1" t="str">
        <f t="shared" si="1"/>
        <v>Lizard Warrior's Scaled Chest</v>
      </c>
    </row>
    <row r="855">
      <c r="A855" s="1"/>
      <c r="B855" s="18" t="str">
        <f>IFERROR(VLOOKUP($A855,Equipment!$A$2:$AH1001,MATCH("Description",Equipment!$A$1:$AH$1,0),FALSE),"")</f>
        <v/>
      </c>
      <c r="C855" s="18" t="str">
        <f>IFERROR(VLOOKUP($A855,Equipment!$A$2:$AH1001,MATCH("Type",Equipment!$A$1:$AH$1,0),FALSE),"")</f>
        <v/>
      </c>
      <c r="D855" s="18" t="str">
        <f>IFERROR(VLOOKUP($A855,Equipment!$A$2:$AH1001,MATCH("Slot",Equipment!$A$1:$AH$1,0),FALSE),"")</f>
        <v/>
      </c>
      <c r="E855" s="20" t="str">
        <f>IFERROR(VLOOKUP($A855,Equipment!$A$2:$AH1001,MATCH("LevelReq",Equipment!$A$1:$AH$1,0),FALSE),"")</f>
        <v/>
      </c>
      <c r="F855" s="18" t="str">
        <f>IFERROR(VLOOKUP($A855,Equipconvrt!$A$2:$AH1001,MATCH("Abilities",Equipconvrt!$A$1:$AH$1,0),FALSE),"")</f>
        <v/>
      </c>
      <c r="G855" s="20" t="str">
        <f>IFERROR(VLOOKUP($A855,Equipment!$A$2:$AD1001,MATCH("Price",Equipment!$A$1:$AH$1,0),FALSE),"")</f>
        <v/>
      </c>
      <c r="H855" s="1" t="b">
        <v>0</v>
      </c>
      <c r="I855" s="1" t="str">
        <f>IFERROR(VLOOKUP($A855,Equipment!$A$2:$AH1001,MATCH("EquipLoc",Equipment!$A$1:$AH$1,0),FALSE),"")</f>
        <v/>
      </c>
      <c r="W855" s="1" t="str">
        <f>IFERROR(__xludf.DUMMYFUNCTION("""COMPUTED_VALUE"""),"Lizard Warrior's Scaled Arms")</f>
        <v>Lizard Warrior's Scaled Arms</v>
      </c>
      <c r="X855" s="1" t="str">
        <f t="shared" si="1"/>
        <v>Lizard Warrior's Scaled Arms</v>
      </c>
    </row>
    <row r="856">
      <c r="A856" s="1"/>
      <c r="B856" s="18" t="str">
        <f>IFERROR(VLOOKUP($A856,Equipment!$A$2:$AH1001,MATCH("Description",Equipment!$A$1:$AH$1,0),FALSE),"")</f>
        <v/>
      </c>
      <c r="C856" s="18" t="str">
        <f>IFERROR(VLOOKUP($A856,Equipment!$A$2:$AH1001,MATCH("Type",Equipment!$A$1:$AH$1,0),FALSE),"")</f>
        <v/>
      </c>
      <c r="D856" s="18" t="str">
        <f>IFERROR(VLOOKUP($A856,Equipment!$A$2:$AH1001,MATCH("Slot",Equipment!$A$1:$AH$1,0),FALSE),"")</f>
        <v/>
      </c>
      <c r="E856" s="20" t="str">
        <f>IFERROR(VLOOKUP($A856,Equipment!$A$2:$AH1001,MATCH("LevelReq",Equipment!$A$1:$AH$1,0),FALSE),"")</f>
        <v/>
      </c>
      <c r="F856" s="18" t="str">
        <f>IFERROR(VLOOKUP($A856,Equipconvrt!$A$2:$AH1001,MATCH("Abilities",Equipconvrt!$A$1:$AH$1,0),FALSE),"")</f>
        <v/>
      </c>
      <c r="G856" s="20" t="str">
        <f>IFERROR(VLOOKUP($A856,Equipment!$A$2:$AD1001,MATCH("Price",Equipment!$A$1:$AH$1,0),FALSE),"")</f>
        <v/>
      </c>
      <c r="H856" s="1" t="b">
        <v>0</v>
      </c>
      <c r="I856" s="1" t="str">
        <f>IFERROR(VLOOKUP($A856,Equipment!$A$2:$AH1001,MATCH("EquipLoc",Equipment!$A$1:$AH$1,0),FALSE),"")</f>
        <v/>
      </c>
      <c r="W856" s="1" t="str">
        <f>IFERROR(__xludf.DUMMYFUNCTION("""COMPUTED_VALUE"""),"Lizard Warrior's Bracelets")</f>
        <v>Lizard Warrior's Bracelets</v>
      </c>
      <c r="X856" s="1" t="str">
        <f t="shared" si="1"/>
        <v>Lizard Warrior's Bracelets</v>
      </c>
    </row>
    <row r="857">
      <c r="A857" s="1"/>
      <c r="B857" s="18" t="str">
        <f>IFERROR(VLOOKUP($A857,Equipment!$A$2:$AH1001,MATCH("Description",Equipment!$A$1:$AH$1,0),FALSE),"")</f>
        <v/>
      </c>
      <c r="C857" s="18" t="str">
        <f>IFERROR(VLOOKUP($A857,Equipment!$A$2:$AH1001,MATCH("Type",Equipment!$A$1:$AH$1,0),FALSE),"")</f>
        <v/>
      </c>
      <c r="D857" s="18" t="str">
        <f>IFERROR(VLOOKUP($A857,Equipment!$A$2:$AH1001,MATCH("Slot",Equipment!$A$1:$AH$1,0),FALSE),"")</f>
        <v/>
      </c>
      <c r="E857" s="20" t="str">
        <f>IFERROR(VLOOKUP($A857,Equipment!$A$2:$AH1001,MATCH("LevelReq",Equipment!$A$1:$AH$1,0),FALSE),"")</f>
        <v/>
      </c>
      <c r="F857" s="18" t="str">
        <f>IFERROR(VLOOKUP($A857,Equipconvrt!$A$2:$AH1001,MATCH("Abilities",Equipconvrt!$A$1:$AH$1,0),FALSE),"")</f>
        <v/>
      </c>
      <c r="G857" s="20" t="str">
        <f>IFERROR(VLOOKUP($A857,Equipment!$A$2:$AD1001,MATCH("Price",Equipment!$A$1:$AH$1,0),FALSE),"")</f>
        <v/>
      </c>
      <c r="H857" s="1" t="b">
        <v>0</v>
      </c>
      <c r="I857" s="1" t="str">
        <f>IFERROR(VLOOKUP($A857,Equipment!$A$2:$AH1001,MATCH("EquipLoc",Equipment!$A$1:$AH$1,0),FALSE),"")</f>
        <v/>
      </c>
      <c r="W857" s="1" t="str">
        <f>IFERROR(__xludf.DUMMYFUNCTION("""COMPUTED_VALUE"""),"Lizard Warrior's Scaled Legs")</f>
        <v>Lizard Warrior's Scaled Legs</v>
      </c>
      <c r="X857" s="1" t="str">
        <f t="shared" si="1"/>
        <v>Lizard Warrior's Scaled Legs</v>
      </c>
    </row>
    <row r="858">
      <c r="A858" s="1"/>
      <c r="B858" s="18" t="str">
        <f>IFERROR(VLOOKUP($A858,Equipment!$A$2:$AH1001,MATCH("Description",Equipment!$A$1:$AH$1,0),FALSE),"")</f>
        <v/>
      </c>
      <c r="C858" s="18" t="str">
        <f>IFERROR(VLOOKUP($A858,Equipment!$A$2:$AH1001,MATCH("Type",Equipment!$A$1:$AH$1,0),FALSE),"")</f>
        <v/>
      </c>
      <c r="D858" s="18" t="str">
        <f>IFERROR(VLOOKUP($A858,Equipment!$A$2:$AH1001,MATCH("Slot",Equipment!$A$1:$AH$1,0),FALSE),"")</f>
        <v/>
      </c>
      <c r="E858" s="20" t="str">
        <f>IFERROR(VLOOKUP($A858,Equipment!$A$2:$AH1001,MATCH("LevelReq",Equipment!$A$1:$AH$1,0),FALSE),"")</f>
        <v/>
      </c>
      <c r="F858" s="18" t="str">
        <f>IFERROR(VLOOKUP($A858,Equipconvrt!$A$2:$AH1001,MATCH("Abilities",Equipconvrt!$A$1:$AH$1,0),FALSE),"")</f>
        <v/>
      </c>
      <c r="G858" s="20" t="str">
        <f>IFERROR(VLOOKUP($A858,Equipment!$A$2:$AD1001,MATCH("Price",Equipment!$A$1:$AH$1,0),FALSE),"")</f>
        <v/>
      </c>
      <c r="H858" s="1" t="b">
        <v>0</v>
      </c>
      <c r="I858" s="1" t="str">
        <f>IFERROR(VLOOKUP($A858,Equipment!$A$2:$AH1001,MATCH("EquipLoc",Equipment!$A$1:$AH$1,0),FALSE),"")</f>
        <v/>
      </c>
      <c r="W858" s="1" t="str">
        <f>IFERROR(__xludf.DUMMYFUNCTION("""COMPUTED_VALUE"""),"Lizard Warrior's Scaled Boots")</f>
        <v>Lizard Warrior's Scaled Boots</v>
      </c>
      <c r="X858" s="1" t="str">
        <f t="shared" si="1"/>
        <v>Lizard Warrior's Scaled Boots</v>
      </c>
    </row>
    <row r="859">
      <c r="A859" s="1"/>
      <c r="B859" s="18" t="str">
        <f>IFERROR(VLOOKUP($A859,Equipment!$A$2:$AH1001,MATCH("Description",Equipment!$A$1:$AH$1,0),FALSE),"")</f>
        <v/>
      </c>
      <c r="C859" s="18" t="str">
        <f>IFERROR(VLOOKUP($A859,Equipment!$A$2:$AH1001,MATCH("Type",Equipment!$A$1:$AH$1,0),FALSE),"")</f>
        <v/>
      </c>
      <c r="D859" s="18" t="str">
        <f>IFERROR(VLOOKUP($A859,Equipment!$A$2:$AH1001,MATCH("Slot",Equipment!$A$1:$AH$1,0),FALSE),"")</f>
        <v/>
      </c>
      <c r="E859" s="20" t="str">
        <f>IFERROR(VLOOKUP($A859,Equipment!$A$2:$AH1001,MATCH("LevelReq",Equipment!$A$1:$AH$1,0),FALSE),"")</f>
        <v/>
      </c>
      <c r="F859" s="18" t="str">
        <f>IFERROR(VLOOKUP($A859,Equipconvrt!$A$2:$AH1001,MATCH("Abilities",Equipconvrt!$A$1:$AH$1,0),FALSE),"")</f>
        <v/>
      </c>
      <c r="G859" s="20" t="str">
        <f>IFERROR(VLOOKUP($A859,Equipment!$A$2:$AD1001,MATCH("Price",Equipment!$A$1:$AH$1,0),FALSE),"")</f>
        <v/>
      </c>
      <c r="H859" s="1" t="b">
        <v>0</v>
      </c>
      <c r="I859" s="1" t="str">
        <f>IFERROR(VLOOKUP($A859,Equipment!$A$2:$AH1001,MATCH("EquipLoc",Equipment!$A$1:$AH$1,0),FALSE),"")</f>
        <v/>
      </c>
      <c r="W859" s="1" t="str">
        <f>IFERROR(__xludf.DUMMYFUNCTION("""COMPUTED_VALUE"""),"Lizard Warrior's Claw")</f>
        <v>Lizard Warrior's Claw</v>
      </c>
      <c r="X859" s="1" t="str">
        <f t="shared" si="1"/>
        <v>Lizard Warrior's Claw</v>
      </c>
    </row>
    <row r="860">
      <c r="A860" s="1"/>
      <c r="B860" s="18" t="str">
        <f>IFERROR(VLOOKUP($A860,Equipment!$A$2:$AH1001,MATCH("Description",Equipment!$A$1:$AH$1,0),FALSE),"")</f>
        <v/>
      </c>
      <c r="C860" s="18" t="str">
        <f>IFERROR(VLOOKUP($A860,Equipment!$A$2:$AH1001,MATCH("Type",Equipment!$A$1:$AH$1,0),FALSE),"")</f>
        <v/>
      </c>
      <c r="D860" s="18" t="str">
        <f>IFERROR(VLOOKUP($A860,Equipment!$A$2:$AH1001,MATCH("Slot",Equipment!$A$1:$AH$1,0),FALSE),"")</f>
        <v/>
      </c>
      <c r="E860" s="20" t="str">
        <f>IFERROR(VLOOKUP($A860,Equipment!$A$2:$AH1001,MATCH("LevelReq",Equipment!$A$1:$AH$1,0),FALSE),"")</f>
        <v/>
      </c>
      <c r="F860" s="18" t="str">
        <f>IFERROR(VLOOKUP($A860,Equipconvrt!$A$2:$AH1001,MATCH("Abilities",Equipconvrt!$A$1:$AH$1,0),FALSE),"")</f>
        <v/>
      </c>
      <c r="G860" s="20" t="str">
        <f>IFERROR(VLOOKUP($A860,Equipment!$A$2:$AD1001,MATCH("Price",Equipment!$A$1:$AH$1,0),FALSE),"")</f>
        <v/>
      </c>
      <c r="H860" s="1" t="b">
        <v>0</v>
      </c>
      <c r="I860" s="1" t="str">
        <f>IFERROR(VLOOKUP($A860,Equipment!$A$2:$AH1001,MATCH("EquipLoc",Equipment!$A$1:$AH$1,0),FALSE),"")</f>
        <v/>
      </c>
      <c r="W860" s="1" t="str">
        <f>IFERROR(__xludf.DUMMYFUNCTION("""COMPUTED_VALUE"""),"Lizard Warrior Guantlet")</f>
        <v>Lizard Warrior Guantlet</v>
      </c>
      <c r="X860" s="1" t="str">
        <f t="shared" si="1"/>
        <v>Lizard Warrior Guantlet</v>
      </c>
    </row>
    <row r="861">
      <c r="A861" s="1"/>
      <c r="B861" s="18" t="str">
        <f>IFERROR(VLOOKUP($A861,Equipment!$A$2:$AH1001,MATCH("Description",Equipment!$A$1:$AH$1,0),FALSE),"")</f>
        <v/>
      </c>
      <c r="C861" s="18" t="str">
        <f>IFERROR(VLOOKUP($A861,Equipment!$A$2:$AH1001,MATCH("Type",Equipment!$A$1:$AH$1,0),FALSE),"")</f>
        <v/>
      </c>
      <c r="D861" s="18" t="str">
        <f>IFERROR(VLOOKUP($A861,Equipment!$A$2:$AH1001,MATCH("Slot",Equipment!$A$1:$AH$1,0),FALSE),"")</f>
        <v/>
      </c>
      <c r="E861" s="20" t="str">
        <f>IFERROR(VLOOKUP($A861,Equipment!$A$2:$AH1001,MATCH("LevelReq",Equipment!$A$1:$AH$1,0),FALSE),"")</f>
        <v/>
      </c>
      <c r="F861" s="18" t="str">
        <f>IFERROR(VLOOKUP($A861,Equipconvrt!$A$2:$AH1001,MATCH("Abilities",Equipconvrt!$A$1:$AH$1,0),FALSE),"")</f>
        <v/>
      </c>
      <c r="G861" s="20" t="str">
        <f>IFERROR(VLOOKUP($A861,Equipment!$A$2:$AD1001,MATCH("Price",Equipment!$A$1:$AH$1,0),FALSE),"")</f>
        <v/>
      </c>
      <c r="H861" s="1" t="b">
        <v>0</v>
      </c>
      <c r="I861" s="1" t="str">
        <f>IFERROR(VLOOKUP($A861,Equipment!$A$2:$AH1001,MATCH("EquipLoc",Equipment!$A$1:$AH$1,0),FALSE),"")</f>
        <v/>
      </c>
      <c r="W861" s="1" t="str">
        <f>IFERROR(__xludf.DUMMYFUNCTION("""COMPUTED_VALUE"""),"Igaunian Assassin's Cowl")</f>
        <v>Igaunian Assassin's Cowl</v>
      </c>
      <c r="X861" s="1" t="str">
        <f t="shared" si="1"/>
        <v>Igaunian Assassin's Cowl</v>
      </c>
    </row>
    <row r="862">
      <c r="A862" s="1"/>
      <c r="B862" s="18" t="str">
        <f>IFERROR(VLOOKUP($A862,Equipment!$A$2:$AH1001,MATCH("Description",Equipment!$A$1:$AH$1,0),FALSE),"")</f>
        <v/>
      </c>
      <c r="C862" s="18" t="str">
        <f>IFERROR(VLOOKUP($A862,Equipment!$A$2:$AH1001,MATCH("Type",Equipment!$A$1:$AH$1,0),FALSE),"")</f>
        <v/>
      </c>
      <c r="D862" s="18" t="str">
        <f>IFERROR(VLOOKUP($A862,Equipment!$A$2:$AH1001,MATCH("Slot",Equipment!$A$1:$AH$1,0),FALSE),"")</f>
        <v/>
      </c>
      <c r="E862" s="20" t="str">
        <f>IFERROR(VLOOKUP($A862,Equipment!$A$2:$AH1001,MATCH("LevelReq",Equipment!$A$1:$AH$1,0),FALSE),"")</f>
        <v/>
      </c>
      <c r="F862" s="18" t="str">
        <f>IFERROR(VLOOKUP($A862,Equipconvrt!$A$2:$AH1001,MATCH("Abilities",Equipconvrt!$A$1:$AH$1,0),FALSE),"")</f>
        <v/>
      </c>
      <c r="G862" s="20" t="str">
        <f>IFERROR(VLOOKUP($A862,Equipment!$A$2:$AD1001,MATCH("Price",Equipment!$A$1:$AH$1,0),FALSE),"")</f>
        <v/>
      </c>
      <c r="H862" s="1" t="b">
        <v>0</v>
      </c>
      <c r="I862" s="1" t="str">
        <f>IFERROR(VLOOKUP($A862,Equipment!$A$2:$AH1001,MATCH("EquipLoc",Equipment!$A$1:$AH$1,0),FALSE),"")</f>
        <v/>
      </c>
      <c r="W862" s="1" t="str">
        <f>IFERROR(__xludf.DUMMYFUNCTION("""COMPUTED_VALUE"""),"Igaunian Assassin's Cloths")</f>
        <v>Igaunian Assassin's Cloths</v>
      </c>
      <c r="X862" s="1" t="str">
        <f t="shared" si="1"/>
        <v>Igaunian Assassin's Cloths</v>
      </c>
    </row>
    <row r="863">
      <c r="A863" s="1"/>
      <c r="B863" s="18" t="str">
        <f>IFERROR(VLOOKUP($A863,Equipment!$A$2:$AH1001,MATCH("Description",Equipment!$A$1:$AH$1,0),FALSE),"")</f>
        <v/>
      </c>
      <c r="C863" s="18" t="str">
        <f>IFERROR(VLOOKUP($A863,Equipment!$A$2:$AH1001,MATCH("Type",Equipment!$A$1:$AH$1,0),FALSE),"")</f>
        <v/>
      </c>
      <c r="D863" s="18" t="str">
        <f>IFERROR(VLOOKUP($A863,Equipment!$A$2:$AH1001,MATCH("Slot",Equipment!$A$1:$AH$1,0),FALSE),"")</f>
        <v/>
      </c>
      <c r="E863" s="20" t="str">
        <f>IFERROR(VLOOKUP($A863,Equipment!$A$2:$AH1001,MATCH("LevelReq",Equipment!$A$1:$AH$1,0),FALSE),"")</f>
        <v/>
      </c>
      <c r="F863" s="18" t="str">
        <f>IFERROR(VLOOKUP($A863,Equipconvrt!$A$2:$AH1001,MATCH("Abilities",Equipconvrt!$A$1:$AH$1,0),FALSE),"")</f>
        <v/>
      </c>
      <c r="G863" s="20" t="str">
        <f>IFERROR(VLOOKUP($A863,Equipment!$A$2:$AD1001,MATCH("Price",Equipment!$A$1:$AH$1,0),FALSE),"")</f>
        <v/>
      </c>
      <c r="H863" s="1" t="b">
        <v>0</v>
      </c>
      <c r="I863" s="1" t="str">
        <f>IFERROR(VLOOKUP($A863,Equipment!$A$2:$AH1001,MATCH("EquipLoc",Equipment!$A$1:$AH$1,0),FALSE),"")</f>
        <v/>
      </c>
      <c r="W863" s="1" t="str">
        <f>IFERROR(__xludf.DUMMYFUNCTION("""COMPUTED_VALUE"""),"Iguanian Assassin's Pants")</f>
        <v>Iguanian Assassin's Pants</v>
      </c>
      <c r="X863" s="1" t="str">
        <f t="shared" si="1"/>
        <v>Iguanian Assassin's Pants</v>
      </c>
    </row>
    <row r="864">
      <c r="A864" s="1"/>
      <c r="B864" s="18" t="str">
        <f>IFERROR(VLOOKUP($A864,Equipment!$A$2:$AH1001,MATCH("Description",Equipment!$A$1:$AH$1,0),FALSE),"")</f>
        <v/>
      </c>
      <c r="C864" s="18" t="str">
        <f>IFERROR(VLOOKUP($A864,Equipment!$A$2:$AH1001,MATCH("Type",Equipment!$A$1:$AH$1,0),FALSE),"")</f>
        <v/>
      </c>
      <c r="D864" s="18" t="str">
        <f>IFERROR(VLOOKUP($A864,Equipment!$A$2:$AH1001,MATCH("Slot",Equipment!$A$1:$AH$1,0),FALSE),"")</f>
        <v/>
      </c>
      <c r="E864" s="20" t="str">
        <f>IFERROR(VLOOKUP($A864,Equipment!$A$2:$AH1001,MATCH("LevelReq",Equipment!$A$1:$AH$1,0),FALSE),"")</f>
        <v/>
      </c>
      <c r="F864" s="18" t="str">
        <f>IFERROR(VLOOKUP($A864,Equipconvrt!$A$2:$AH1001,MATCH("Abilities",Equipconvrt!$A$1:$AH$1,0),FALSE),"")</f>
        <v/>
      </c>
      <c r="G864" s="20" t="str">
        <f>IFERROR(VLOOKUP($A864,Equipment!$A$2:$AD1001,MATCH("Price",Equipment!$A$1:$AH$1,0),FALSE),"")</f>
        <v/>
      </c>
      <c r="H864" s="1" t="b">
        <v>0</v>
      </c>
      <c r="I864" s="1" t="str">
        <f>IFERROR(VLOOKUP($A864,Equipment!$A$2:$AH1001,MATCH("EquipLoc",Equipment!$A$1:$AH$1,0),FALSE),"")</f>
        <v/>
      </c>
      <c r="W864" s="1" t="str">
        <f>IFERROR(__xludf.DUMMYFUNCTION("""COMPUTED_VALUE"""),"Iguanian Assassin's Boots")</f>
        <v>Iguanian Assassin's Boots</v>
      </c>
      <c r="X864" s="1" t="str">
        <f t="shared" si="1"/>
        <v>Iguanian Assassin's Boots</v>
      </c>
    </row>
    <row r="865">
      <c r="A865" s="1"/>
      <c r="B865" s="18" t="str">
        <f>IFERROR(VLOOKUP($A865,Equipment!$A$2:$AH1001,MATCH("Description",Equipment!$A$1:$AH$1,0),FALSE),"")</f>
        <v/>
      </c>
      <c r="C865" s="18" t="str">
        <f>IFERROR(VLOOKUP($A865,Equipment!$A$2:$AH1001,MATCH("Type",Equipment!$A$1:$AH$1,0),FALSE),"")</f>
        <v/>
      </c>
      <c r="D865" s="18" t="str">
        <f>IFERROR(VLOOKUP($A865,Equipment!$A$2:$AH1001,MATCH("Slot",Equipment!$A$1:$AH$1,0),FALSE),"")</f>
        <v/>
      </c>
      <c r="E865" s="20" t="str">
        <f>IFERROR(VLOOKUP($A865,Equipment!$A$2:$AH1001,MATCH("LevelReq",Equipment!$A$1:$AH$1,0),FALSE),"")</f>
        <v/>
      </c>
      <c r="F865" s="18" t="str">
        <f>IFERROR(VLOOKUP($A865,Equipconvrt!$A$2:$AH1001,MATCH("Abilities",Equipconvrt!$A$1:$AH$1,0),FALSE),"")</f>
        <v/>
      </c>
      <c r="G865" s="20" t="str">
        <f>IFERROR(VLOOKUP($A865,Equipment!$A$2:$AD1001,MATCH("Price",Equipment!$A$1:$AH$1,0),FALSE),"")</f>
        <v/>
      </c>
      <c r="H865" s="1" t="b">
        <v>0</v>
      </c>
      <c r="I865" s="1" t="str">
        <f>IFERROR(VLOOKUP($A865,Equipment!$A$2:$AH1001,MATCH("EquipLoc",Equipment!$A$1:$AH$1,0),FALSE),"")</f>
        <v/>
      </c>
      <c r="W865" s="1" t="str">
        <f>IFERROR(__xludf.DUMMYFUNCTION("""COMPUTED_VALUE"""),"Iguanian Assassin's Chakram")</f>
        <v>Iguanian Assassin's Chakram</v>
      </c>
      <c r="X865" s="1" t="str">
        <f t="shared" si="1"/>
        <v>Iguanian Assassin's Chakram</v>
      </c>
    </row>
    <row r="866">
      <c r="A866" s="1"/>
      <c r="B866" s="18" t="str">
        <f>IFERROR(VLOOKUP($A866,Equipment!$A$2:$AH1001,MATCH("Description",Equipment!$A$1:$AH$1,0),FALSE),"")</f>
        <v/>
      </c>
      <c r="C866" s="18" t="str">
        <f>IFERROR(VLOOKUP($A866,Equipment!$A$2:$AH1001,MATCH("Type",Equipment!$A$1:$AH$1,0),FALSE),"")</f>
        <v/>
      </c>
      <c r="D866" s="18" t="str">
        <f>IFERROR(VLOOKUP($A866,Equipment!$A$2:$AH1001,MATCH("Slot",Equipment!$A$1:$AH$1,0),FALSE),"")</f>
        <v/>
      </c>
      <c r="E866" s="20" t="str">
        <f>IFERROR(VLOOKUP($A866,Equipment!$A$2:$AH1001,MATCH("LevelReq",Equipment!$A$1:$AH$1,0),FALSE),"")</f>
        <v/>
      </c>
      <c r="F866" s="18" t="str">
        <f>IFERROR(VLOOKUP($A866,Equipconvrt!$A$2:$AH1001,MATCH("Abilities",Equipconvrt!$A$1:$AH$1,0),FALSE),"")</f>
        <v/>
      </c>
      <c r="G866" s="20" t="str">
        <f>IFERROR(VLOOKUP($A866,Equipment!$A$2:$AD1001,MATCH("Price",Equipment!$A$1:$AH$1,0),FALSE),"")</f>
        <v/>
      </c>
      <c r="H866" s="1" t="b">
        <v>0</v>
      </c>
      <c r="I866" s="1" t="str">
        <f>IFERROR(VLOOKUP($A866,Equipment!$A$2:$AH1001,MATCH("EquipLoc",Equipment!$A$1:$AH$1,0),FALSE),"")</f>
        <v/>
      </c>
      <c r="W866" s="1" t="str">
        <f>IFERROR(__xludf.DUMMYFUNCTION("""COMPUTED_VALUE"""),"Iguanian Assassin's Slicer")</f>
        <v>Iguanian Assassin's Slicer</v>
      </c>
      <c r="X866" s="1" t="str">
        <f t="shared" si="1"/>
        <v>Iguanian Assassin's Slicer</v>
      </c>
    </row>
    <row r="867">
      <c r="A867" s="1"/>
      <c r="B867" s="18" t="str">
        <f>IFERROR(VLOOKUP($A867,Equipment!$A$2:$AH1001,MATCH("Description",Equipment!$A$1:$AH$1,0),FALSE),"")</f>
        <v/>
      </c>
      <c r="C867" s="18" t="str">
        <f>IFERROR(VLOOKUP($A867,Equipment!$A$2:$AH1001,MATCH("Type",Equipment!$A$1:$AH$1,0),FALSE),"")</f>
        <v/>
      </c>
      <c r="D867" s="18" t="str">
        <f>IFERROR(VLOOKUP($A867,Equipment!$A$2:$AH1001,MATCH("Slot",Equipment!$A$1:$AH$1,0),FALSE),"")</f>
        <v/>
      </c>
      <c r="E867" s="20" t="str">
        <f>IFERROR(VLOOKUP($A867,Equipment!$A$2:$AH1001,MATCH("LevelReq",Equipment!$A$1:$AH$1,0),FALSE),"")</f>
        <v/>
      </c>
      <c r="F867" s="18" t="str">
        <f>IFERROR(VLOOKUP($A867,Equipconvrt!$A$2:$AH1001,MATCH("Abilities",Equipconvrt!$A$1:$AH$1,0),FALSE),"")</f>
        <v/>
      </c>
      <c r="G867" s="20" t="str">
        <f>IFERROR(VLOOKUP($A867,Equipment!$A$2:$AD1001,MATCH("Price",Equipment!$A$1:$AH$1,0),FALSE),"")</f>
        <v/>
      </c>
      <c r="H867" s="1" t="b">
        <v>0</v>
      </c>
      <c r="I867" s="1" t="str">
        <f>IFERROR(VLOOKUP($A867,Equipment!$A$2:$AH1001,MATCH("EquipLoc",Equipment!$A$1:$AH$1,0),FALSE),"")</f>
        <v/>
      </c>
      <c r="W867" s="1" t="str">
        <f>IFERROR(__xludf.DUMMYFUNCTION("""COMPUTED_VALUE"""),"Wyverntooth Smasher")</f>
        <v>Wyverntooth Smasher</v>
      </c>
      <c r="X867" s="1" t="str">
        <f t="shared" si="1"/>
        <v>Wyverntooth Smasher</v>
      </c>
    </row>
    <row r="868">
      <c r="A868" s="1"/>
      <c r="B868" s="18" t="str">
        <f>IFERROR(VLOOKUP($A868,Equipment!$A$2:$AH1001,MATCH("Description",Equipment!$A$1:$AH$1,0),FALSE),"")</f>
        <v/>
      </c>
      <c r="C868" s="18" t="str">
        <f>IFERROR(VLOOKUP($A868,Equipment!$A$2:$AH1001,MATCH("Type",Equipment!$A$1:$AH$1,0),FALSE),"")</f>
        <v/>
      </c>
      <c r="D868" s="18" t="str">
        <f>IFERROR(VLOOKUP($A868,Equipment!$A$2:$AH1001,MATCH("Slot",Equipment!$A$1:$AH$1,0),FALSE),"")</f>
        <v/>
      </c>
      <c r="E868" s="20" t="str">
        <f>IFERROR(VLOOKUP($A868,Equipment!$A$2:$AH1001,MATCH("LevelReq",Equipment!$A$1:$AH$1,0),FALSE),"")</f>
        <v/>
      </c>
      <c r="F868" s="18" t="str">
        <f>IFERROR(VLOOKUP($A868,Equipconvrt!$A$2:$AH1001,MATCH("Abilities",Equipconvrt!$A$1:$AH$1,0),FALSE),"")</f>
        <v/>
      </c>
      <c r="G868" s="20" t="str">
        <f>IFERROR(VLOOKUP($A868,Equipment!$A$2:$AD1001,MATCH("Price",Equipment!$A$1:$AH$1,0),FALSE),"")</f>
        <v/>
      </c>
      <c r="H868" s="1" t="b">
        <v>0</v>
      </c>
      <c r="I868" s="1" t="str">
        <f>IFERROR(VLOOKUP($A868,Equipment!$A$2:$AH1001,MATCH("EquipLoc",Equipment!$A$1:$AH$1,0),FALSE),"")</f>
        <v/>
      </c>
      <c r="W868" s="1" t="str">
        <f>IFERROR(__xludf.DUMMYFUNCTION("""COMPUTED_VALUE"""),"Wyvernblade")</f>
        <v>Wyvernblade</v>
      </c>
      <c r="X868" s="1" t="str">
        <f t="shared" si="1"/>
        <v>Wyvernblade</v>
      </c>
    </row>
    <row r="869">
      <c r="A869" s="1"/>
      <c r="B869" s="18" t="str">
        <f>IFERROR(VLOOKUP($A869,Equipment!$A$2:$AH1001,MATCH("Description",Equipment!$A$1:$AH$1,0),FALSE),"")</f>
        <v/>
      </c>
      <c r="C869" s="18" t="str">
        <f>IFERROR(VLOOKUP($A869,Equipment!$A$2:$AH1001,MATCH("Type",Equipment!$A$1:$AH$1,0),FALSE),"")</f>
        <v/>
      </c>
      <c r="D869" s="18" t="str">
        <f>IFERROR(VLOOKUP($A869,Equipment!$A$2:$AH1001,MATCH("Slot",Equipment!$A$1:$AH$1,0),FALSE),"")</f>
        <v/>
      </c>
      <c r="E869" s="20" t="str">
        <f>IFERROR(VLOOKUP($A869,Equipment!$A$2:$AH1001,MATCH("LevelReq",Equipment!$A$1:$AH$1,0),FALSE),"")</f>
        <v/>
      </c>
      <c r="F869" s="18" t="str">
        <f>IFERROR(VLOOKUP($A869,Equipconvrt!$A$2:$AH1001,MATCH("Abilities",Equipconvrt!$A$1:$AH$1,0),FALSE),"")</f>
        <v/>
      </c>
      <c r="G869" s="20" t="str">
        <f>IFERROR(VLOOKUP($A869,Equipment!$A$2:$AD1001,MATCH("Price",Equipment!$A$1:$AH$1,0),FALSE),"")</f>
        <v/>
      </c>
      <c r="H869" s="1" t="b">
        <v>0</v>
      </c>
      <c r="I869" s="1" t="str">
        <f>IFERROR(VLOOKUP($A869,Equipment!$A$2:$AH1001,MATCH("EquipLoc",Equipment!$A$1:$AH$1,0),FALSE),"")</f>
        <v/>
      </c>
      <c r="W869" s="1" t="str">
        <f>IFERROR(__xludf.DUMMYFUNCTION("""COMPUTED_VALUE"""),"Wyvernscale Ring")</f>
        <v>Wyvernscale Ring</v>
      </c>
      <c r="X869" s="1" t="str">
        <f t="shared" si="1"/>
        <v>Wyvernscale Ring</v>
      </c>
    </row>
    <row r="870">
      <c r="A870" s="1"/>
      <c r="B870" s="18" t="str">
        <f>IFERROR(VLOOKUP($A870,Equipment!$A$2:$AH1001,MATCH("Description",Equipment!$A$1:$AH$1,0),FALSE),"")</f>
        <v/>
      </c>
      <c r="C870" s="18" t="str">
        <f>IFERROR(VLOOKUP($A870,Equipment!$A$2:$AH1001,MATCH("Type",Equipment!$A$1:$AH$1,0),FALSE),"")</f>
        <v/>
      </c>
      <c r="D870" s="18" t="str">
        <f>IFERROR(VLOOKUP($A870,Equipment!$A$2:$AH1001,MATCH("Slot",Equipment!$A$1:$AH$1,0),FALSE),"")</f>
        <v/>
      </c>
      <c r="E870" s="20" t="str">
        <f>IFERROR(VLOOKUP($A870,Equipment!$A$2:$AH1001,MATCH("LevelReq",Equipment!$A$1:$AH$1,0),FALSE),"")</f>
        <v/>
      </c>
      <c r="F870" s="18" t="str">
        <f>IFERROR(VLOOKUP($A870,Equipconvrt!$A$2:$AH1001,MATCH("Abilities",Equipconvrt!$A$1:$AH$1,0),FALSE),"")</f>
        <v/>
      </c>
      <c r="G870" s="20" t="str">
        <f>IFERROR(VLOOKUP($A870,Equipment!$A$2:$AD1001,MATCH("Price",Equipment!$A$1:$AH$1,0),FALSE),"")</f>
        <v/>
      </c>
      <c r="H870" s="1" t="b">
        <v>0</v>
      </c>
      <c r="I870" s="1" t="str">
        <f>IFERROR(VLOOKUP($A870,Equipment!$A$2:$AH1001,MATCH("EquipLoc",Equipment!$A$1:$AH$1,0),FALSE),"")</f>
        <v/>
      </c>
      <c r="W870" s="1" t="str">
        <f>IFERROR(__xludf.DUMMYFUNCTION("""COMPUTED_VALUE"""),"Wyvern Hood")</f>
        <v>Wyvern Hood</v>
      </c>
      <c r="X870" s="1" t="str">
        <f t="shared" si="1"/>
        <v>Wyvern Hood</v>
      </c>
    </row>
    <row r="871">
      <c r="A871" s="1"/>
      <c r="B871" s="18" t="str">
        <f>IFERROR(VLOOKUP($A871,Equipment!$A$2:$AH1001,MATCH("Description",Equipment!$A$1:$AH$1,0),FALSE),"")</f>
        <v/>
      </c>
      <c r="C871" s="18" t="str">
        <f>IFERROR(VLOOKUP($A871,Equipment!$A$2:$AH1001,MATCH("Type",Equipment!$A$1:$AH$1,0),FALSE),"")</f>
        <v/>
      </c>
      <c r="D871" s="18" t="str">
        <f>IFERROR(VLOOKUP($A871,Equipment!$A$2:$AH1001,MATCH("Slot",Equipment!$A$1:$AH$1,0),FALSE),"")</f>
        <v/>
      </c>
      <c r="E871" s="20" t="str">
        <f>IFERROR(VLOOKUP($A871,Equipment!$A$2:$AH1001,MATCH("LevelReq",Equipment!$A$1:$AH$1,0),FALSE),"")</f>
        <v/>
      </c>
      <c r="F871" s="18" t="str">
        <f>IFERROR(VLOOKUP($A871,Equipconvrt!$A$2:$AH1001,MATCH("Abilities",Equipconvrt!$A$1:$AH$1,0),FALSE),"")</f>
        <v/>
      </c>
      <c r="G871" s="20" t="str">
        <f>IFERROR(VLOOKUP($A871,Equipment!$A$2:$AD1001,MATCH("Price",Equipment!$A$1:$AH$1,0),FALSE),"")</f>
        <v/>
      </c>
      <c r="H871" s="1" t="b">
        <v>0</v>
      </c>
      <c r="I871" s="1" t="str">
        <f>IFERROR(VLOOKUP($A871,Equipment!$A$2:$AH1001,MATCH("EquipLoc",Equipment!$A$1:$AH$1,0),FALSE),"")</f>
        <v/>
      </c>
      <c r="W871" s="1" t="str">
        <f>IFERROR(__xludf.DUMMYFUNCTION("""COMPUTED_VALUE"""),"Wyvernarang")</f>
        <v>Wyvernarang</v>
      </c>
      <c r="X871" s="1" t="str">
        <f t="shared" si="1"/>
        <v>Wyvernarang</v>
      </c>
    </row>
    <row r="872">
      <c r="A872" s="1"/>
      <c r="B872" s="18" t="str">
        <f>IFERROR(VLOOKUP($A872,Equipment!$A$2:$AH1001,MATCH("Description",Equipment!$A$1:$AH$1,0),FALSE),"")</f>
        <v/>
      </c>
      <c r="C872" s="18" t="str">
        <f>IFERROR(VLOOKUP($A872,Equipment!$A$2:$AH1001,MATCH("Type",Equipment!$A$1:$AH$1,0),FALSE),"")</f>
        <v/>
      </c>
      <c r="D872" s="18" t="str">
        <f>IFERROR(VLOOKUP($A872,Equipment!$A$2:$AH1001,MATCH("Slot",Equipment!$A$1:$AH$1,0),FALSE),"")</f>
        <v/>
      </c>
      <c r="E872" s="20" t="str">
        <f>IFERROR(VLOOKUP($A872,Equipment!$A$2:$AH1001,MATCH("LevelReq",Equipment!$A$1:$AH$1,0),FALSE),"")</f>
        <v/>
      </c>
      <c r="F872" s="18" t="str">
        <f>IFERROR(VLOOKUP($A872,Equipconvrt!$A$2:$AH1001,MATCH("Abilities",Equipconvrt!$A$1:$AH$1,0),FALSE),"")</f>
        <v/>
      </c>
      <c r="G872" s="20" t="str">
        <f>IFERROR(VLOOKUP($A872,Equipment!$A$2:$AD1001,MATCH("Price",Equipment!$A$1:$AH$1,0),FALSE),"")</f>
        <v/>
      </c>
      <c r="H872" s="1" t="b">
        <v>0</v>
      </c>
      <c r="I872" s="1" t="str">
        <f>IFERROR(VLOOKUP($A872,Equipment!$A$2:$AH1001,MATCH("EquipLoc",Equipment!$A$1:$AH$1,0),FALSE),"")</f>
        <v/>
      </c>
      <c r="W872" s="1" t="str">
        <f>IFERROR(__xludf.DUMMYFUNCTION("""COMPUTED_VALUE"""),"Iguanian Assassin's Memento")</f>
        <v>Iguanian Assassin's Memento</v>
      </c>
      <c r="X872" s="1" t="str">
        <f t="shared" si="1"/>
        <v>Iguanian Assassin's Memento</v>
      </c>
    </row>
    <row r="873">
      <c r="A873" s="1"/>
      <c r="B873" s="18" t="str">
        <f>IFERROR(VLOOKUP($A873,Equipment!$A$2:$AH1001,MATCH("Description",Equipment!$A$1:$AH$1,0),FALSE),"")</f>
        <v/>
      </c>
      <c r="C873" s="18" t="str">
        <f>IFERROR(VLOOKUP($A873,Equipment!$A$2:$AH1001,MATCH("Type",Equipment!$A$1:$AH$1,0),FALSE),"")</f>
        <v/>
      </c>
      <c r="D873" s="18" t="str">
        <f>IFERROR(VLOOKUP($A873,Equipment!$A$2:$AH1001,MATCH("Slot",Equipment!$A$1:$AH$1,0),FALSE),"")</f>
        <v/>
      </c>
      <c r="E873" s="20" t="str">
        <f>IFERROR(VLOOKUP($A873,Equipment!$A$2:$AH1001,MATCH("LevelReq",Equipment!$A$1:$AH$1,0),FALSE),"")</f>
        <v/>
      </c>
      <c r="F873" s="18" t="str">
        <f>IFERROR(VLOOKUP($A873,Equipconvrt!$A$2:$AH1001,MATCH("Abilities",Equipconvrt!$A$1:$AH$1,0),FALSE),"")</f>
        <v/>
      </c>
      <c r="G873" s="20" t="str">
        <f>IFERROR(VLOOKUP($A873,Equipment!$A$2:$AD1001,MATCH("Price",Equipment!$A$1:$AH$1,0),FALSE),"")</f>
        <v/>
      </c>
      <c r="H873" s="1" t="b">
        <v>0</v>
      </c>
      <c r="I873" s="1" t="str">
        <f>IFERROR(VLOOKUP($A873,Equipment!$A$2:$AH1001,MATCH("EquipLoc",Equipment!$A$1:$AH$1,0),FALSE),"")</f>
        <v/>
      </c>
      <c r="W873" s="1" t="str">
        <f>IFERROR(__xludf.DUMMYFUNCTION("""COMPUTED_VALUE"""),"Salamander Boots")</f>
        <v>Salamander Boots</v>
      </c>
      <c r="X873" s="1" t="str">
        <f t="shared" si="1"/>
        <v>Salamander Boots</v>
      </c>
    </row>
    <row r="874">
      <c r="A874" s="1"/>
      <c r="B874" s="18" t="str">
        <f>IFERROR(VLOOKUP($A874,Equipment!$A$2:$AH1001,MATCH("Description",Equipment!$A$1:$AH$1,0),FALSE),"")</f>
        <v/>
      </c>
      <c r="C874" s="18" t="str">
        <f>IFERROR(VLOOKUP($A874,Equipment!$A$2:$AH1001,MATCH("Type",Equipment!$A$1:$AH$1,0),FALSE),"")</f>
        <v/>
      </c>
      <c r="D874" s="18" t="str">
        <f>IFERROR(VLOOKUP($A874,Equipment!$A$2:$AH1001,MATCH("Slot",Equipment!$A$1:$AH$1,0),FALSE),"")</f>
        <v/>
      </c>
      <c r="E874" s="20" t="str">
        <f>IFERROR(VLOOKUP($A874,Equipment!$A$2:$AH1001,MATCH("LevelReq",Equipment!$A$1:$AH$1,0),FALSE),"")</f>
        <v/>
      </c>
      <c r="F874" s="18" t="str">
        <f>IFERROR(VLOOKUP($A874,Equipconvrt!$A$2:$AH1001,MATCH("Abilities",Equipconvrt!$A$1:$AH$1,0),FALSE),"")</f>
        <v/>
      </c>
      <c r="G874" s="20" t="str">
        <f>IFERROR(VLOOKUP($A874,Equipment!$A$2:$AD1001,MATCH("Price",Equipment!$A$1:$AH$1,0),FALSE),"")</f>
        <v/>
      </c>
      <c r="H874" s="1" t="b">
        <v>0</v>
      </c>
      <c r="I874" s="1" t="str">
        <f>IFERROR(VLOOKUP($A874,Equipment!$A$2:$AH1001,MATCH("EquipLoc",Equipment!$A$1:$AH$1,0),FALSE),"")</f>
        <v/>
      </c>
      <c r="W874" s="1" t="str">
        <f>IFERROR(__xludf.DUMMYFUNCTION("""COMPUTED_VALUE"""),"Salamanderscale Chainmail")</f>
        <v>Salamanderscale Chainmail</v>
      </c>
      <c r="X874" s="1" t="str">
        <f t="shared" si="1"/>
        <v>Salamanderscale Chainmail</v>
      </c>
    </row>
    <row r="875">
      <c r="A875" s="1"/>
      <c r="B875" s="18" t="str">
        <f>IFERROR(VLOOKUP($A875,Equipment!$A$2:$AH1001,MATCH("Description",Equipment!$A$1:$AH$1,0),FALSE),"")</f>
        <v/>
      </c>
      <c r="C875" s="18" t="str">
        <f>IFERROR(VLOOKUP($A875,Equipment!$A$2:$AH1001,MATCH("Type",Equipment!$A$1:$AH$1,0),FALSE),"")</f>
        <v/>
      </c>
      <c r="D875" s="18" t="str">
        <f>IFERROR(VLOOKUP($A875,Equipment!$A$2:$AH1001,MATCH("Slot",Equipment!$A$1:$AH$1,0),FALSE),"")</f>
        <v/>
      </c>
      <c r="E875" s="20" t="str">
        <f>IFERROR(VLOOKUP($A875,Equipment!$A$2:$AH1001,MATCH("LevelReq",Equipment!$A$1:$AH$1,0),FALSE),"")</f>
        <v/>
      </c>
      <c r="F875" s="18" t="str">
        <f>IFERROR(VLOOKUP($A875,Equipconvrt!$A$2:$AH1001,MATCH("Abilities",Equipconvrt!$A$1:$AH$1,0),FALSE),"")</f>
        <v/>
      </c>
      <c r="G875" s="20" t="str">
        <f>IFERROR(VLOOKUP($A875,Equipment!$A$2:$AD1001,MATCH("Price",Equipment!$A$1:$AH$1,0),FALSE),"")</f>
        <v/>
      </c>
      <c r="H875" s="1" t="b">
        <v>0</v>
      </c>
      <c r="I875" s="1" t="str">
        <f>IFERROR(VLOOKUP($A875,Equipment!$A$2:$AH1001,MATCH("EquipLoc",Equipment!$A$1:$AH$1,0),FALSE),"")</f>
        <v/>
      </c>
      <c r="W875" s="1" t="str">
        <f>IFERROR(__xludf.DUMMYFUNCTION("""COMPUTED_VALUE"""),"Iguanian Brawler's Headband")</f>
        <v>Iguanian Brawler's Headband</v>
      </c>
      <c r="X875" s="1" t="str">
        <f t="shared" si="1"/>
        <v>Iguanian Brawler's Headband</v>
      </c>
    </row>
    <row r="876">
      <c r="A876" s="1"/>
      <c r="B876" s="18" t="str">
        <f>IFERROR(VLOOKUP($A876,Equipment!$A$2:$AH1001,MATCH("Description",Equipment!$A$1:$AH$1,0),FALSE),"")</f>
        <v/>
      </c>
      <c r="C876" s="18" t="str">
        <f>IFERROR(VLOOKUP($A876,Equipment!$A$2:$AH1001,MATCH("Type",Equipment!$A$1:$AH$1,0),FALSE),"")</f>
        <v/>
      </c>
      <c r="D876" s="18" t="str">
        <f>IFERROR(VLOOKUP($A876,Equipment!$A$2:$AH1001,MATCH("Slot",Equipment!$A$1:$AH$1,0),FALSE),"")</f>
        <v/>
      </c>
      <c r="E876" s="20" t="str">
        <f>IFERROR(VLOOKUP($A876,Equipment!$A$2:$AH1001,MATCH("LevelReq",Equipment!$A$1:$AH$1,0),FALSE),"")</f>
        <v/>
      </c>
      <c r="F876" s="18" t="str">
        <f>IFERROR(VLOOKUP($A876,Equipconvrt!$A$2:$AH1001,MATCH("Abilities",Equipconvrt!$A$1:$AH$1,0),FALSE),"")</f>
        <v/>
      </c>
      <c r="G876" s="20" t="str">
        <f>IFERROR(VLOOKUP($A876,Equipment!$A$2:$AD1001,MATCH("Price",Equipment!$A$1:$AH$1,0),FALSE),"")</f>
        <v/>
      </c>
      <c r="H876" s="1" t="b">
        <v>0</v>
      </c>
      <c r="I876" s="1" t="str">
        <f>IFERROR(VLOOKUP($A876,Equipment!$A$2:$AH1001,MATCH("EquipLoc",Equipment!$A$1:$AH$1,0),FALSE),"")</f>
        <v/>
      </c>
      <c r="W876" s="1" t="str">
        <f>IFERROR(__xludf.DUMMYFUNCTION("""COMPUTED_VALUE"""),"Iguanian Brawler's Cape")</f>
        <v>Iguanian Brawler's Cape</v>
      </c>
      <c r="X876" s="1" t="str">
        <f t="shared" si="1"/>
        <v>Iguanian Brawler's Cape</v>
      </c>
    </row>
    <row r="877">
      <c r="A877" s="1"/>
      <c r="B877" s="18" t="str">
        <f>IFERROR(VLOOKUP($A877,Equipment!$A$2:$AH1001,MATCH("Description",Equipment!$A$1:$AH$1,0),FALSE),"")</f>
        <v/>
      </c>
      <c r="C877" s="18" t="str">
        <f>IFERROR(VLOOKUP($A877,Equipment!$A$2:$AH1001,MATCH("Type",Equipment!$A$1:$AH$1,0),FALSE),"")</f>
        <v/>
      </c>
      <c r="D877" s="18" t="str">
        <f>IFERROR(VLOOKUP($A877,Equipment!$A$2:$AH1001,MATCH("Slot",Equipment!$A$1:$AH$1,0),FALSE),"")</f>
        <v/>
      </c>
      <c r="E877" s="20" t="str">
        <f>IFERROR(VLOOKUP($A877,Equipment!$A$2:$AH1001,MATCH("LevelReq",Equipment!$A$1:$AH$1,0),FALSE),"")</f>
        <v/>
      </c>
      <c r="F877" s="18" t="str">
        <f>IFERROR(VLOOKUP($A877,Equipconvrt!$A$2:$AH1001,MATCH("Abilities",Equipconvrt!$A$1:$AH$1,0),FALSE),"")</f>
        <v/>
      </c>
      <c r="G877" s="20" t="str">
        <f>IFERROR(VLOOKUP($A877,Equipment!$A$2:$AD1001,MATCH("Price",Equipment!$A$1:$AH$1,0),FALSE),"")</f>
        <v/>
      </c>
      <c r="H877" s="1" t="b">
        <v>0</v>
      </c>
      <c r="I877" s="1" t="str">
        <f>IFERROR(VLOOKUP($A877,Equipment!$A$2:$AH1001,MATCH("EquipLoc",Equipment!$A$1:$AH$1,0),FALSE),"")</f>
        <v/>
      </c>
      <c r="W877" s="1" t="str">
        <f>IFERROR(__xludf.DUMMYFUNCTION("""COMPUTED_VALUE"""),"Iguanian Brawler's Sash")</f>
        <v>Iguanian Brawler's Sash</v>
      </c>
      <c r="X877" s="1" t="str">
        <f t="shared" si="1"/>
        <v>Iguanian Brawler's Sash</v>
      </c>
    </row>
    <row r="878">
      <c r="A878" s="1"/>
      <c r="B878" s="18" t="str">
        <f>IFERROR(VLOOKUP($A878,Equipment!$A$2:$AH1001,MATCH("Description",Equipment!$A$1:$AH$1,0),FALSE),"")</f>
        <v/>
      </c>
      <c r="C878" s="18" t="str">
        <f>IFERROR(VLOOKUP($A878,Equipment!$A$2:$AH1001,MATCH("Type",Equipment!$A$1:$AH$1,0),FALSE),"")</f>
        <v/>
      </c>
      <c r="D878" s="18" t="str">
        <f>IFERROR(VLOOKUP($A878,Equipment!$A$2:$AH1001,MATCH("Slot",Equipment!$A$1:$AH$1,0),FALSE),"")</f>
        <v/>
      </c>
      <c r="E878" s="20" t="str">
        <f>IFERROR(VLOOKUP($A878,Equipment!$A$2:$AH1001,MATCH("LevelReq",Equipment!$A$1:$AH$1,0),FALSE),"")</f>
        <v/>
      </c>
      <c r="F878" s="18" t="str">
        <f>IFERROR(VLOOKUP($A878,Equipconvrt!$A$2:$AH1001,MATCH("Abilities",Equipconvrt!$A$1:$AH$1,0),FALSE),"")</f>
        <v/>
      </c>
      <c r="G878" s="20" t="str">
        <f>IFERROR(VLOOKUP($A878,Equipment!$A$2:$AD1001,MATCH("Price",Equipment!$A$1:$AH$1,0),FALSE),"")</f>
        <v/>
      </c>
      <c r="H878" s="1" t="b">
        <v>0</v>
      </c>
      <c r="I878" s="1" t="str">
        <f>IFERROR(VLOOKUP($A878,Equipment!$A$2:$AH1001,MATCH("EquipLoc",Equipment!$A$1:$AH$1,0),FALSE),"")</f>
        <v/>
      </c>
      <c r="W878" s="1" t="str">
        <f>IFERROR(__xludf.DUMMYFUNCTION("""COMPUTED_VALUE"""),"Iguanian Brawler's Arm Wraps")</f>
        <v>Iguanian Brawler's Arm Wraps</v>
      </c>
      <c r="X878" s="1" t="str">
        <f t="shared" si="1"/>
        <v>Iguanian Brawler's Arm Wraps</v>
      </c>
    </row>
    <row r="879">
      <c r="A879" s="1"/>
      <c r="B879" s="18" t="str">
        <f>IFERROR(VLOOKUP($A879,Equipment!$A$2:$AH1001,MATCH("Description",Equipment!$A$1:$AH$1,0),FALSE),"")</f>
        <v/>
      </c>
      <c r="C879" s="18" t="str">
        <f>IFERROR(VLOOKUP($A879,Equipment!$A$2:$AH1001,MATCH("Type",Equipment!$A$1:$AH$1,0),FALSE),"")</f>
        <v/>
      </c>
      <c r="D879" s="18" t="str">
        <f>IFERROR(VLOOKUP($A879,Equipment!$A$2:$AH1001,MATCH("Slot",Equipment!$A$1:$AH$1,0),FALSE),"")</f>
        <v/>
      </c>
      <c r="E879" s="20" t="str">
        <f>IFERROR(VLOOKUP($A879,Equipment!$A$2:$AH1001,MATCH("LevelReq",Equipment!$A$1:$AH$1,0),FALSE),"")</f>
        <v/>
      </c>
      <c r="F879" s="18" t="str">
        <f>IFERROR(VLOOKUP($A879,Equipconvrt!$A$2:$AH1001,MATCH("Abilities",Equipconvrt!$A$1:$AH$1,0),FALSE),"")</f>
        <v/>
      </c>
      <c r="G879" s="20" t="str">
        <f>IFERROR(VLOOKUP($A879,Equipment!$A$2:$AD1001,MATCH("Price",Equipment!$A$1:$AH$1,0),FALSE),"")</f>
        <v/>
      </c>
      <c r="H879" s="1" t="b">
        <v>0</v>
      </c>
      <c r="I879" s="1" t="str">
        <f>IFERROR(VLOOKUP($A879,Equipment!$A$2:$AH1001,MATCH("EquipLoc",Equipment!$A$1:$AH$1,0),FALSE),"")</f>
        <v/>
      </c>
      <c r="W879" s="1" t="str">
        <f>IFERROR(__xludf.DUMMYFUNCTION("""COMPUTED_VALUE"""),"Iguanian Brawler's Shorts")</f>
        <v>Iguanian Brawler's Shorts</v>
      </c>
      <c r="X879" s="1" t="str">
        <f t="shared" si="1"/>
        <v>Iguanian Brawler's Shorts</v>
      </c>
    </row>
    <row r="880">
      <c r="A880" s="1"/>
      <c r="B880" s="18" t="str">
        <f>IFERROR(VLOOKUP($A880,Equipment!$A$2:$AH1001,MATCH("Description",Equipment!$A$1:$AH$1,0),FALSE),"")</f>
        <v/>
      </c>
      <c r="C880" s="18" t="str">
        <f>IFERROR(VLOOKUP($A880,Equipment!$A$2:$AH1001,MATCH("Type",Equipment!$A$1:$AH$1,0),FALSE),"")</f>
        <v/>
      </c>
      <c r="D880" s="18" t="str">
        <f>IFERROR(VLOOKUP($A880,Equipment!$A$2:$AH1001,MATCH("Slot",Equipment!$A$1:$AH$1,0),FALSE),"")</f>
        <v/>
      </c>
      <c r="E880" s="20" t="str">
        <f>IFERROR(VLOOKUP($A880,Equipment!$A$2:$AH1001,MATCH("LevelReq",Equipment!$A$1:$AH$1,0),FALSE),"")</f>
        <v/>
      </c>
      <c r="F880" s="18" t="str">
        <f>IFERROR(VLOOKUP($A880,Equipconvrt!$A$2:$AH1001,MATCH("Abilities",Equipconvrt!$A$1:$AH$1,0),FALSE),"")</f>
        <v/>
      </c>
      <c r="G880" s="20" t="str">
        <f>IFERROR(VLOOKUP($A880,Equipment!$A$2:$AD1001,MATCH("Price",Equipment!$A$1:$AH$1,0),FALSE),"")</f>
        <v/>
      </c>
      <c r="H880" s="1" t="b">
        <v>0</v>
      </c>
      <c r="I880" s="1" t="str">
        <f>IFERROR(VLOOKUP($A880,Equipment!$A$2:$AH1001,MATCH("EquipLoc",Equipment!$A$1:$AH$1,0),FALSE),"")</f>
        <v/>
      </c>
      <c r="W880" s="1" t="str">
        <f>IFERROR(__xludf.DUMMYFUNCTION("""COMPUTED_VALUE"""),"Iguanian Brawler's Sandals")</f>
        <v>Iguanian Brawler's Sandals</v>
      </c>
      <c r="X880" s="1" t="str">
        <f t="shared" si="1"/>
        <v>Iguanian Brawler's Sandals</v>
      </c>
    </row>
    <row r="881">
      <c r="A881" s="1"/>
      <c r="B881" s="18" t="str">
        <f>IFERROR(VLOOKUP($A881,Equipment!$A$2:$AH1001,MATCH("Description",Equipment!$A$1:$AH$1,0),FALSE),"")</f>
        <v/>
      </c>
      <c r="C881" s="18" t="str">
        <f>IFERROR(VLOOKUP($A881,Equipment!$A$2:$AH1001,MATCH("Type",Equipment!$A$1:$AH$1,0),FALSE),"")</f>
        <v/>
      </c>
      <c r="D881" s="18" t="str">
        <f>IFERROR(VLOOKUP($A881,Equipment!$A$2:$AH1001,MATCH("Slot",Equipment!$A$1:$AH$1,0),FALSE),"")</f>
        <v/>
      </c>
      <c r="E881" s="20" t="str">
        <f>IFERROR(VLOOKUP($A881,Equipment!$A$2:$AH1001,MATCH("LevelReq",Equipment!$A$1:$AH$1,0),FALSE),"")</f>
        <v/>
      </c>
      <c r="F881" s="18" t="str">
        <f>IFERROR(VLOOKUP($A881,Equipconvrt!$A$2:$AH1001,MATCH("Abilities",Equipconvrt!$A$1:$AH$1,0),FALSE),"")</f>
        <v/>
      </c>
      <c r="G881" s="20" t="str">
        <f>IFERROR(VLOOKUP($A881,Equipment!$A$2:$AD1001,MATCH("Price",Equipment!$A$1:$AH$1,0),FALSE),"")</f>
        <v/>
      </c>
      <c r="H881" s="1" t="b">
        <v>0</v>
      </c>
      <c r="I881" s="1" t="str">
        <f>IFERROR(VLOOKUP($A881,Equipment!$A$2:$AH1001,MATCH("EquipLoc",Equipment!$A$1:$AH$1,0),FALSE),"")</f>
        <v/>
      </c>
      <c r="W881" s="1" t="str">
        <f>IFERROR(__xludf.DUMMYFUNCTION("""COMPUTED_VALUE"""),"Iguanian Brawler's Knuckles")</f>
        <v>Iguanian Brawler's Knuckles</v>
      </c>
      <c r="X881" s="1" t="str">
        <f t="shared" si="1"/>
        <v>Iguanian Brawler's Knuckles</v>
      </c>
    </row>
    <row r="882">
      <c r="A882" s="1"/>
      <c r="B882" s="18" t="str">
        <f>IFERROR(VLOOKUP($A882,Equipment!$A$2:$AH1001,MATCH("Description",Equipment!$A$1:$AH$1,0),FALSE),"")</f>
        <v/>
      </c>
      <c r="C882" s="18" t="str">
        <f>IFERROR(VLOOKUP($A882,Equipment!$A$2:$AH1001,MATCH("Type",Equipment!$A$1:$AH$1,0),FALSE),"")</f>
        <v/>
      </c>
      <c r="D882" s="18" t="str">
        <f>IFERROR(VLOOKUP($A882,Equipment!$A$2:$AH1001,MATCH("Slot",Equipment!$A$1:$AH$1,0),FALSE),"")</f>
        <v/>
      </c>
      <c r="E882" s="20" t="str">
        <f>IFERROR(VLOOKUP($A882,Equipment!$A$2:$AH1001,MATCH("LevelReq",Equipment!$A$1:$AH$1,0),FALSE),"")</f>
        <v/>
      </c>
      <c r="F882" s="18" t="str">
        <f>IFERROR(VLOOKUP($A882,Equipconvrt!$A$2:$AH1001,MATCH("Abilities",Equipconvrt!$A$1:$AH$1,0),FALSE),"")</f>
        <v/>
      </c>
      <c r="G882" s="20" t="str">
        <f>IFERROR(VLOOKUP($A882,Equipment!$A$2:$AD1001,MATCH("Price",Equipment!$A$1:$AH$1,0),FALSE),"")</f>
        <v/>
      </c>
      <c r="H882" s="1" t="b">
        <v>0</v>
      </c>
      <c r="I882" s="1" t="str">
        <f>IFERROR(VLOOKUP($A882,Equipment!$A$2:$AH1001,MATCH("EquipLoc",Equipment!$A$1:$AH$1,0),FALSE),"")</f>
        <v/>
      </c>
      <c r="W882" s="1" t="str">
        <f>IFERROR(__xludf.DUMMYFUNCTION("""COMPUTED_VALUE"""),"Iguanian Brawler's Ring")</f>
        <v>Iguanian Brawler's Ring</v>
      </c>
      <c r="X882" s="1" t="str">
        <f t="shared" si="1"/>
        <v>Iguanian Brawler's Ring</v>
      </c>
    </row>
    <row r="883">
      <c r="A883" s="1"/>
      <c r="B883" s="18" t="str">
        <f>IFERROR(VLOOKUP($A883,Equipment!$A$2:$AH1001,MATCH("Description",Equipment!$A$1:$AH$1,0),FALSE),"")</f>
        <v/>
      </c>
      <c r="C883" s="18" t="str">
        <f>IFERROR(VLOOKUP($A883,Equipment!$A$2:$AH1001,MATCH("Type",Equipment!$A$1:$AH$1,0),FALSE),"")</f>
        <v/>
      </c>
      <c r="D883" s="18" t="str">
        <f>IFERROR(VLOOKUP($A883,Equipment!$A$2:$AH1001,MATCH("Slot",Equipment!$A$1:$AH$1,0),FALSE),"")</f>
        <v/>
      </c>
      <c r="E883" s="20" t="str">
        <f>IFERROR(VLOOKUP($A883,Equipment!$A$2:$AH1001,MATCH("LevelReq",Equipment!$A$1:$AH$1,0),FALSE),"")</f>
        <v/>
      </c>
      <c r="F883" s="18" t="str">
        <f>IFERROR(VLOOKUP($A883,Equipconvrt!$A$2:$AH1001,MATCH("Abilities",Equipconvrt!$A$1:$AH$1,0),FALSE),"")</f>
        <v/>
      </c>
      <c r="G883" s="20" t="str">
        <f>IFERROR(VLOOKUP($A883,Equipment!$A$2:$AD1001,MATCH("Price",Equipment!$A$1:$AH$1,0),FALSE),"")</f>
        <v/>
      </c>
      <c r="H883" s="1" t="b">
        <v>0</v>
      </c>
      <c r="I883" s="1" t="str">
        <f>IFERROR(VLOOKUP($A883,Equipment!$A$2:$AH1001,MATCH("EquipLoc",Equipment!$A$1:$AH$1,0),FALSE),"")</f>
        <v/>
      </c>
      <c r="W883" s="1" t="str">
        <f>IFERROR(__xludf.DUMMYFUNCTION("""COMPUTED_VALUE"""),"Cursed Ring of Sudden Death")</f>
        <v>Cursed Ring of Sudden Death</v>
      </c>
      <c r="X883" s="1" t="str">
        <f t="shared" si="1"/>
        <v>Cursed Ring of Sudden Death</v>
      </c>
    </row>
    <row r="884">
      <c r="A884" s="1"/>
      <c r="B884" s="18" t="str">
        <f>IFERROR(VLOOKUP($A884,Equipment!$A$2:$AH1001,MATCH("Description",Equipment!$A$1:$AH$1,0),FALSE),"")</f>
        <v/>
      </c>
      <c r="C884" s="18" t="str">
        <f>IFERROR(VLOOKUP($A884,Equipment!$A$2:$AH1001,MATCH("Type",Equipment!$A$1:$AH$1,0),FALSE),"")</f>
        <v/>
      </c>
      <c r="D884" s="18" t="str">
        <f>IFERROR(VLOOKUP($A884,Equipment!$A$2:$AH1001,MATCH("Slot",Equipment!$A$1:$AH$1,0),FALSE),"")</f>
        <v/>
      </c>
      <c r="E884" s="20" t="str">
        <f>IFERROR(VLOOKUP($A884,Equipment!$A$2:$AH1001,MATCH("LevelReq",Equipment!$A$1:$AH$1,0),FALSE),"")</f>
        <v/>
      </c>
      <c r="F884" s="18" t="str">
        <f>IFERROR(VLOOKUP($A884,Equipconvrt!$A$2:$AH1001,MATCH("Abilities",Equipconvrt!$A$1:$AH$1,0),FALSE),"")</f>
        <v/>
      </c>
      <c r="G884" s="20" t="str">
        <f>IFERROR(VLOOKUP($A884,Equipment!$A$2:$AD1001,MATCH("Price",Equipment!$A$1:$AH$1,0),FALSE),"")</f>
        <v/>
      </c>
      <c r="H884" s="1" t="b">
        <v>0</v>
      </c>
      <c r="I884" s="1" t="str">
        <f>IFERROR(VLOOKUP($A884,Equipment!$A$2:$AH1001,MATCH("EquipLoc",Equipment!$A$1:$AH$1,0),FALSE),"")</f>
        <v/>
      </c>
      <c r="W884" s="1" t="str">
        <f>IFERROR(__xludf.DUMMYFUNCTION("""COMPUTED_VALUE"""),"Ring of Action")</f>
        <v>Ring of Action</v>
      </c>
      <c r="X884" s="1" t="str">
        <f t="shared" si="1"/>
        <v>Ring of Action</v>
      </c>
    </row>
    <row r="885">
      <c r="A885" s="1"/>
      <c r="B885" s="18" t="str">
        <f>IFERROR(VLOOKUP($A885,Equipment!$A$2:$AH1001,MATCH("Description",Equipment!$A$1:$AH$1,0),FALSE),"")</f>
        <v/>
      </c>
      <c r="C885" s="18" t="str">
        <f>IFERROR(VLOOKUP($A885,Equipment!$A$2:$AH1001,MATCH("Type",Equipment!$A$1:$AH$1,0),FALSE),"")</f>
        <v/>
      </c>
      <c r="D885" s="18" t="str">
        <f>IFERROR(VLOOKUP($A885,Equipment!$A$2:$AH1001,MATCH("Slot",Equipment!$A$1:$AH$1,0),FALSE),"")</f>
        <v/>
      </c>
      <c r="E885" s="20" t="str">
        <f>IFERROR(VLOOKUP($A885,Equipment!$A$2:$AH1001,MATCH("LevelReq",Equipment!$A$1:$AH$1,0),FALSE),"")</f>
        <v/>
      </c>
      <c r="F885" s="18" t="str">
        <f>IFERROR(VLOOKUP($A885,Equipconvrt!$A$2:$AH1001,MATCH("Abilities",Equipconvrt!$A$1:$AH$1,0),FALSE),"")</f>
        <v/>
      </c>
      <c r="G885" s="20" t="str">
        <f>IFERROR(VLOOKUP($A885,Equipment!$A$2:$AD1001,MATCH("Price",Equipment!$A$1:$AH$1,0),FALSE),"")</f>
        <v/>
      </c>
      <c r="H885" s="1" t="b">
        <v>0</v>
      </c>
      <c r="I885" s="1" t="str">
        <f>IFERROR(VLOOKUP($A885,Equipment!$A$2:$AH1001,MATCH("EquipLoc",Equipment!$A$1:$AH$1,0),FALSE),"")</f>
        <v/>
      </c>
      <c r="W885" s="1" t="str">
        <f>IFERROR(__xludf.DUMMYFUNCTION("""COMPUTED_VALUE"""),"Iguanian Mage Hat")</f>
        <v>Iguanian Mage Hat</v>
      </c>
      <c r="X885" s="1" t="str">
        <f t="shared" si="1"/>
        <v>Iguanian Mage Hat</v>
      </c>
    </row>
    <row r="886">
      <c r="A886" s="1"/>
      <c r="B886" s="18" t="str">
        <f>IFERROR(VLOOKUP($A886,Equipment!$A$2:$AH1001,MATCH("Description",Equipment!$A$1:$AH$1,0),FALSE),"")</f>
        <v/>
      </c>
      <c r="C886" s="18" t="str">
        <f>IFERROR(VLOOKUP($A886,Equipment!$A$2:$AH1001,MATCH("Type",Equipment!$A$1:$AH$1,0),FALSE),"")</f>
        <v/>
      </c>
      <c r="D886" s="18" t="str">
        <f>IFERROR(VLOOKUP($A886,Equipment!$A$2:$AH1001,MATCH("Slot",Equipment!$A$1:$AH$1,0),FALSE),"")</f>
        <v/>
      </c>
      <c r="E886" s="20" t="str">
        <f>IFERROR(VLOOKUP($A886,Equipment!$A$2:$AH1001,MATCH("LevelReq",Equipment!$A$1:$AH$1,0),FALSE),"")</f>
        <v/>
      </c>
      <c r="F886" s="18" t="str">
        <f>IFERROR(VLOOKUP($A886,Equipconvrt!$A$2:$AH1001,MATCH("Abilities",Equipconvrt!$A$1:$AH$1,0),FALSE),"")</f>
        <v/>
      </c>
      <c r="G886" s="20" t="str">
        <f>IFERROR(VLOOKUP($A886,Equipment!$A$2:$AD1001,MATCH("Price",Equipment!$A$1:$AH$1,0),FALSE),"")</f>
        <v/>
      </c>
      <c r="H886" s="1" t="b">
        <v>0</v>
      </c>
      <c r="I886" s="1" t="str">
        <f>IFERROR(VLOOKUP($A886,Equipment!$A$2:$AH1001,MATCH("EquipLoc",Equipment!$A$1:$AH$1,0),FALSE),"")</f>
        <v/>
      </c>
      <c r="W886" s="1" t="str">
        <f>IFERROR(__xludf.DUMMYFUNCTION("""COMPUTED_VALUE"""),"Iguanian Mage Robes")</f>
        <v>Iguanian Mage Robes</v>
      </c>
      <c r="X886" s="1" t="str">
        <f t="shared" si="1"/>
        <v>Iguanian Mage Robes</v>
      </c>
    </row>
    <row r="887">
      <c r="A887" s="1"/>
      <c r="B887" s="18" t="str">
        <f>IFERROR(VLOOKUP($A887,Equipment!$A$2:$AH1001,MATCH("Description",Equipment!$A$1:$AH$1,0),FALSE),"")</f>
        <v/>
      </c>
      <c r="C887" s="18" t="str">
        <f>IFERROR(VLOOKUP($A887,Equipment!$A$2:$AH1001,MATCH("Type",Equipment!$A$1:$AH$1,0),FALSE),"")</f>
        <v/>
      </c>
      <c r="D887" s="18" t="str">
        <f>IFERROR(VLOOKUP($A887,Equipment!$A$2:$AH1001,MATCH("Slot",Equipment!$A$1:$AH$1,0),FALSE),"")</f>
        <v/>
      </c>
      <c r="E887" s="20" t="str">
        <f>IFERROR(VLOOKUP($A887,Equipment!$A$2:$AH1001,MATCH("LevelReq",Equipment!$A$1:$AH$1,0),FALSE),"")</f>
        <v/>
      </c>
      <c r="F887" s="18" t="str">
        <f>IFERROR(VLOOKUP($A887,Equipconvrt!$A$2:$AH1001,MATCH("Abilities",Equipconvrt!$A$1:$AH$1,0),FALSE),"")</f>
        <v/>
      </c>
      <c r="G887" s="20" t="str">
        <f>IFERROR(VLOOKUP($A887,Equipment!$A$2:$AD1001,MATCH("Price",Equipment!$A$1:$AH$1,0),FALSE),"")</f>
        <v/>
      </c>
      <c r="H887" s="1" t="b">
        <v>0</v>
      </c>
      <c r="I887" s="1" t="str">
        <f>IFERROR(VLOOKUP($A887,Equipment!$A$2:$AH1001,MATCH("EquipLoc",Equipment!$A$1:$AH$1,0),FALSE),"")</f>
        <v/>
      </c>
      <c r="W887" s="1" t="str">
        <f>IFERROR(__xludf.DUMMYFUNCTION("""COMPUTED_VALUE"""),"Iguanian Mage Leggings")</f>
        <v>Iguanian Mage Leggings</v>
      </c>
      <c r="X887" s="1" t="str">
        <f t="shared" si="1"/>
        <v>Iguanian Mage Leggings</v>
      </c>
    </row>
    <row r="888">
      <c r="A888" s="1"/>
      <c r="B888" s="18" t="str">
        <f>IFERROR(VLOOKUP($A888,Equipment!$A$2:$AH1001,MATCH("Description",Equipment!$A$1:$AH$1,0),FALSE),"")</f>
        <v/>
      </c>
      <c r="C888" s="18" t="str">
        <f>IFERROR(VLOOKUP($A888,Equipment!$A$2:$AH1001,MATCH("Type",Equipment!$A$1:$AH$1,0),FALSE),"")</f>
        <v/>
      </c>
      <c r="D888" s="18" t="str">
        <f>IFERROR(VLOOKUP($A888,Equipment!$A$2:$AH1001,MATCH("Slot",Equipment!$A$1:$AH$1,0),FALSE),"")</f>
        <v/>
      </c>
      <c r="E888" s="20" t="str">
        <f>IFERROR(VLOOKUP($A888,Equipment!$A$2:$AH1001,MATCH("LevelReq",Equipment!$A$1:$AH$1,0),FALSE),"")</f>
        <v/>
      </c>
      <c r="F888" s="18" t="str">
        <f>IFERROR(VLOOKUP($A888,Equipconvrt!$A$2:$AH1001,MATCH("Abilities",Equipconvrt!$A$1:$AH$1,0),FALSE),"")</f>
        <v/>
      </c>
      <c r="G888" s="20" t="str">
        <f>IFERROR(VLOOKUP($A888,Equipment!$A$2:$AD1001,MATCH("Price",Equipment!$A$1:$AH$1,0),FALSE),"")</f>
        <v/>
      </c>
      <c r="H888" s="1" t="b">
        <v>0</v>
      </c>
      <c r="I888" s="1" t="str">
        <f>IFERROR(VLOOKUP($A888,Equipment!$A$2:$AH1001,MATCH("EquipLoc",Equipment!$A$1:$AH$1,0),FALSE),"")</f>
        <v/>
      </c>
      <c r="W888" s="1" t="str">
        <f>IFERROR(__xludf.DUMMYFUNCTION("""COMPUTED_VALUE"""),"Iguanian Mage Pointed Shoes")</f>
        <v>Iguanian Mage Pointed Shoes</v>
      </c>
      <c r="X888" s="1" t="str">
        <f t="shared" si="1"/>
        <v>Iguanian Mage Pointed Shoes</v>
      </c>
    </row>
    <row r="889">
      <c r="A889" s="1"/>
      <c r="B889" s="18" t="str">
        <f>IFERROR(VLOOKUP($A889,Equipment!$A$2:$AH1001,MATCH("Description",Equipment!$A$1:$AH$1,0),FALSE),"")</f>
        <v/>
      </c>
      <c r="C889" s="18" t="str">
        <f>IFERROR(VLOOKUP($A889,Equipment!$A$2:$AH1001,MATCH("Type",Equipment!$A$1:$AH$1,0),FALSE),"")</f>
        <v/>
      </c>
      <c r="D889" s="18" t="str">
        <f>IFERROR(VLOOKUP($A889,Equipment!$A$2:$AH1001,MATCH("Slot",Equipment!$A$1:$AH$1,0),FALSE),"")</f>
        <v/>
      </c>
      <c r="E889" s="20" t="str">
        <f>IFERROR(VLOOKUP($A889,Equipment!$A$2:$AH1001,MATCH("LevelReq",Equipment!$A$1:$AH$1,0),FALSE),"")</f>
        <v/>
      </c>
      <c r="F889" s="18" t="str">
        <f>IFERROR(VLOOKUP($A889,Equipconvrt!$A$2:$AH1001,MATCH("Abilities",Equipconvrt!$A$1:$AH$1,0),FALSE),"")</f>
        <v/>
      </c>
      <c r="G889" s="20" t="str">
        <f>IFERROR(VLOOKUP($A889,Equipment!$A$2:$AD1001,MATCH("Price",Equipment!$A$1:$AH$1,0),FALSE),"")</f>
        <v/>
      </c>
      <c r="H889" s="1" t="b">
        <v>0</v>
      </c>
      <c r="I889" s="1" t="str">
        <f>IFERROR(VLOOKUP($A889,Equipment!$A$2:$AH1001,MATCH("EquipLoc",Equipment!$A$1:$AH$1,0),FALSE),"")</f>
        <v/>
      </c>
      <c r="W889" s="1" t="str">
        <f>IFERROR(__xludf.DUMMYFUNCTION("""COMPUTED_VALUE"""),"Iguanian Mage Staff of Hail")</f>
        <v>Iguanian Mage Staff of Hail</v>
      </c>
      <c r="X889" s="1" t="str">
        <f t="shared" si="1"/>
        <v>Iguanian Mage Staff of Hail</v>
      </c>
    </row>
    <row r="890">
      <c r="A890" s="1"/>
      <c r="B890" s="18" t="str">
        <f>IFERROR(VLOOKUP($A890,Equipment!$A$2:$AH1001,MATCH("Description",Equipment!$A$1:$AH$1,0),FALSE),"")</f>
        <v/>
      </c>
      <c r="C890" s="18" t="str">
        <f>IFERROR(VLOOKUP($A890,Equipment!$A$2:$AH1001,MATCH("Type",Equipment!$A$1:$AH$1,0),FALSE),"")</f>
        <v/>
      </c>
      <c r="D890" s="18" t="str">
        <f>IFERROR(VLOOKUP($A890,Equipment!$A$2:$AH1001,MATCH("Slot",Equipment!$A$1:$AH$1,0),FALSE),"")</f>
        <v/>
      </c>
      <c r="E890" s="20" t="str">
        <f>IFERROR(VLOOKUP($A890,Equipment!$A$2:$AH1001,MATCH("LevelReq",Equipment!$A$1:$AH$1,0),FALSE),"")</f>
        <v/>
      </c>
      <c r="F890" s="18" t="str">
        <f>IFERROR(VLOOKUP($A890,Equipconvrt!$A$2:$AH1001,MATCH("Abilities",Equipconvrt!$A$1:$AH$1,0),FALSE),"")</f>
        <v/>
      </c>
      <c r="G890" s="20" t="str">
        <f>IFERROR(VLOOKUP($A890,Equipment!$A$2:$AD1001,MATCH("Price",Equipment!$A$1:$AH$1,0),FALSE),"")</f>
        <v/>
      </c>
      <c r="H890" s="1" t="b">
        <v>0</v>
      </c>
      <c r="I890" s="1" t="str">
        <f>IFERROR(VLOOKUP($A890,Equipment!$A$2:$AH1001,MATCH("EquipLoc",Equipment!$A$1:$AH$1,0),FALSE),"")</f>
        <v/>
      </c>
      <c r="W890" s="1"/>
      <c r="X890" s="1" t="str">
        <f t="shared" si="1"/>
        <v/>
      </c>
    </row>
    <row r="891">
      <c r="A891" s="1"/>
      <c r="B891" s="18" t="str">
        <f>IFERROR(VLOOKUP($A891,Equipment!$A$2:$AH1001,MATCH("Description",Equipment!$A$1:$AH$1,0),FALSE),"")</f>
        <v/>
      </c>
      <c r="C891" s="18" t="str">
        <f>IFERROR(VLOOKUP($A891,Equipment!$A$2:$AH1001,MATCH("Type",Equipment!$A$1:$AH$1,0),FALSE),"")</f>
        <v/>
      </c>
      <c r="D891" s="18" t="str">
        <f>IFERROR(VLOOKUP($A891,Equipment!$A$2:$AH1001,MATCH("Slot",Equipment!$A$1:$AH$1,0),FALSE),"")</f>
        <v/>
      </c>
      <c r="E891" s="20" t="str">
        <f>IFERROR(VLOOKUP($A891,Equipment!$A$2:$AH1001,MATCH("LevelReq",Equipment!$A$1:$AH$1,0),FALSE),"")</f>
        <v/>
      </c>
      <c r="F891" s="18" t="str">
        <f>IFERROR(VLOOKUP($A891,Equipconvrt!$A$2:$AH1001,MATCH("Abilities",Equipconvrt!$A$1:$AH$1,0),FALSE),"")</f>
        <v/>
      </c>
      <c r="G891" s="20" t="str">
        <f>IFERROR(VLOOKUP($A891,Equipment!$A$2:$AD1001,MATCH("Price",Equipment!$A$1:$AH$1,0),FALSE),"")</f>
        <v/>
      </c>
      <c r="H891" s="1" t="b">
        <v>0</v>
      </c>
      <c r="I891" s="1" t="str">
        <f>IFERROR(VLOOKUP($A891,Equipment!$A$2:$AH1001,MATCH("EquipLoc",Equipment!$A$1:$AH$1,0),FALSE),"")</f>
        <v/>
      </c>
      <c r="W891" s="1" t="str">
        <f>IFERROR(__xludf.DUMMYFUNCTION("""COMPUTED_VALUE"""),"Blood Finger Ring")</f>
        <v>Blood Finger Ring</v>
      </c>
      <c r="X891" s="1" t="str">
        <f t="shared" si="1"/>
        <v>Blood Finger Ring</v>
      </c>
    </row>
    <row r="892">
      <c r="A892" s="1"/>
      <c r="B892" s="18" t="str">
        <f>IFERROR(VLOOKUP($A892,Equipment!$A$2:$AH1001,MATCH("Description",Equipment!$A$1:$AH$1,0),FALSE),"")</f>
        <v/>
      </c>
      <c r="C892" s="18" t="str">
        <f>IFERROR(VLOOKUP($A892,Equipment!$A$2:$AH1001,MATCH("Type",Equipment!$A$1:$AH$1,0),FALSE),"")</f>
        <v/>
      </c>
      <c r="D892" s="18" t="str">
        <f>IFERROR(VLOOKUP($A892,Equipment!$A$2:$AH1001,MATCH("Slot",Equipment!$A$1:$AH$1,0),FALSE),"")</f>
        <v/>
      </c>
      <c r="E892" s="20" t="str">
        <f>IFERROR(VLOOKUP($A892,Equipment!$A$2:$AH1001,MATCH("LevelReq",Equipment!$A$1:$AH$1,0),FALSE),"")</f>
        <v/>
      </c>
      <c r="F892" s="18" t="str">
        <f>IFERROR(VLOOKUP($A892,Equipconvrt!$A$2:$AH1001,MATCH("Abilities",Equipconvrt!$A$1:$AH$1,0),FALSE),"")</f>
        <v/>
      </c>
      <c r="G892" s="20" t="str">
        <f>IFERROR(VLOOKUP($A892,Equipment!$A$2:$AD1001,MATCH("Price",Equipment!$A$1:$AH$1,0),FALSE),"")</f>
        <v/>
      </c>
      <c r="H892" s="1" t="b">
        <v>0</v>
      </c>
      <c r="I892" s="1" t="str">
        <f>IFERROR(VLOOKUP($A892,Equipment!$A$2:$AH1001,MATCH("EquipLoc",Equipment!$A$1:$AH$1,0),FALSE),"")</f>
        <v/>
      </c>
      <c r="W892" s="1" t="str">
        <f>IFERROR(__xludf.DUMMYFUNCTION("""COMPUTED_VALUE"""),"Finger Food Ring")</f>
        <v>Finger Food Ring</v>
      </c>
      <c r="X892" s="1" t="str">
        <f t="shared" si="1"/>
        <v>Finger Food Ring</v>
      </c>
    </row>
    <row r="893">
      <c r="A893" s="1"/>
      <c r="B893" s="18" t="str">
        <f>IFERROR(VLOOKUP($A893,Equipment!$A$2:$AH1001,MATCH("Description",Equipment!$A$1:$AH$1,0),FALSE),"")</f>
        <v/>
      </c>
      <c r="C893" s="18" t="str">
        <f>IFERROR(VLOOKUP($A893,Equipment!$A$2:$AH1001,MATCH("Type",Equipment!$A$1:$AH$1,0),FALSE),"")</f>
        <v/>
      </c>
      <c r="D893" s="18" t="str">
        <f>IFERROR(VLOOKUP($A893,Equipment!$A$2:$AH1001,MATCH("Slot",Equipment!$A$1:$AH$1,0),FALSE),"")</f>
        <v/>
      </c>
      <c r="E893" s="20" t="str">
        <f>IFERROR(VLOOKUP($A893,Equipment!$A$2:$AH1001,MATCH("LevelReq",Equipment!$A$1:$AH$1,0),FALSE),"")</f>
        <v/>
      </c>
      <c r="F893" s="18" t="str">
        <f>IFERROR(VLOOKUP($A893,Equipconvrt!$A$2:$AH1001,MATCH("Abilities",Equipconvrt!$A$1:$AH$1,0),FALSE),"")</f>
        <v/>
      </c>
      <c r="G893" s="20" t="str">
        <f>IFERROR(VLOOKUP($A893,Equipment!$A$2:$AD1001,MATCH("Price",Equipment!$A$1:$AH$1,0),FALSE),"")</f>
        <v/>
      </c>
      <c r="H893" s="1" t="b">
        <v>0</v>
      </c>
      <c r="I893" s="1" t="str">
        <f>IFERROR(VLOOKUP($A893,Equipment!$A$2:$AH1001,MATCH("EquipLoc",Equipment!$A$1:$AH$1,0),FALSE),"")</f>
        <v/>
      </c>
      <c r="W893" s="1" t="str">
        <f>IFERROR(__xludf.DUMMYFUNCTION("""COMPUTED_VALUE"""),"Ring of Power")</f>
        <v>Ring of Power</v>
      </c>
      <c r="X893" s="1" t="str">
        <f t="shared" si="1"/>
        <v>Ring of Power</v>
      </c>
    </row>
    <row r="894">
      <c r="A894" s="1"/>
      <c r="B894" s="18" t="str">
        <f>IFERROR(VLOOKUP($A894,Equipment!$A$2:$AH1001,MATCH("Description",Equipment!$A$1:$AH$1,0),FALSE),"")</f>
        <v/>
      </c>
      <c r="C894" s="18" t="str">
        <f>IFERROR(VLOOKUP($A894,Equipment!$A$2:$AH1001,MATCH("Type",Equipment!$A$1:$AH$1,0),FALSE),"")</f>
        <v/>
      </c>
      <c r="D894" s="18" t="str">
        <f>IFERROR(VLOOKUP($A894,Equipment!$A$2:$AH1001,MATCH("Slot",Equipment!$A$1:$AH$1,0),FALSE),"")</f>
        <v/>
      </c>
      <c r="E894" s="20" t="str">
        <f>IFERROR(VLOOKUP($A894,Equipment!$A$2:$AH1001,MATCH("LevelReq",Equipment!$A$1:$AH$1,0),FALSE),"")</f>
        <v/>
      </c>
      <c r="F894" s="18" t="str">
        <f>IFERROR(VLOOKUP($A894,Equipconvrt!$A$2:$AH1001,MATCH("Abilities",Equipconvrt!$A$1:$AH$1,0),FALSE),"")</f>
        <v/>
      </c>
      <c r="G894" s="20" t="str">
        <f>IFERROR(VLOOKUP($A894,Equipment!$A$2:$AD1001,MATCH("Price",Equipment!$A$1:$AH$1,0),FALSE),"")</f>
        <v/>
      </c>
      <c r="H894" s="1" t="b">
        <v>0</v>
      </c>
      <c r="I894" s="1" t="str">
        <f>IFERROR(VLOOKUP($A894,Equipment!$A$2:$AH1001,MATCH("EquipLoc",Equipment!$A$1:$AH$1,0),FALSE),"")</f>
        <v/>
      </c>
      <c r="W894" s="1" t="str">
        <f>IFERROR(__xludf.DUMMYFUNCTION("""COMPUTED_VALUE"""),"Axe of Red")</f>
        <v>Axe of Red</v>
      </c>
      <c r="X894" s="1" t="str">
        <f t="shared" si="1"/>
        <v>Axe of Red</v>
      </c>
    </row>
    <row r="895">
      <c r="A895" s="1"/>
      <c r="B895" s="18" t="str">
        <f>IFERROR(VLOOKUP($A895,Equipment!$A$2:$AH1001,MATCH("Description",Equipment!$A$1:$AH$1,0),FALSE),"")</f>
        <v/>
      </c>
      <c r="C895" s="18" t="str">
        <f>IFERROR(VLOOKUP($A895,Equipment!$A$2:$AH1001,MATCH("Type",Equipment!$A$1:$AH$1,0),FALSE),"")</f>
        <v/>
      </c>
      <c r="D895" s="18" t="str">
        <f>IFERROR(VLOOKUP($A895,Equipment!$A$2:$AH1001,MATCH("Slot",Equipment!$A$1:$AH$1,0),FALSE),"")</f>
        <v/>
      </c>
      <c r="E895" s="20" t="str">
        <f>IFERROR(VLOOKUP($A895,Equipment!$A$2:$AH1001,MATCH("LevelReq",Equipment!$A$1:$AH$1,0),FALSE),"")</f>
        <v/>
      </c>
      <c r="F895" s="18" t="str">
        <f>IFERROR(VLOOKUP($A895,Equipconvrt!$A$2:$AH1001,MATCH("Abilities",Equipconvrt!$A$1:$AH$1,0),FALSE),"")</f>
        <v/>
      </c>
      <c r="G895" s="20" t="str">
        <f>IFERROR(VLOOKUP($A895,Equipment!$A$2:$AD1001,MATCH("Price",Equipment!$A$1:$AH$1,0),FALSE),"")</f>
        <v/>
      </c>
      <c r="H895" s="1" t="b">
        <v>0</v>
      </c>
      <c r="I895" s="1" t="str">
        <f>IFERROR(VLOOKUP($A895,Equipment!$A$2:$AH1001,MATCH("EquipLoc",Equipment!$A$1:$AH$1,0),FALSE),"")</f>
        <v/>
      </c>
      <c r="W895" s="1" t="str">
        <f>IFERROR(__xludf.DUMMYFUNCTION("""COMPUTED_VALUE"""),"Wyrmscale Staff")</f>
        <v>Wyrmscale Staff</v>
      </c>
      <c r="X895" s="1" t="str">
        <f t="shared" si="1"/>
        <v>Wyrmscale Staff</v>
      </c>
    </row>
    <row r="896">
      <c r="A896" s="1"/>
      <c r="B896" s="18" t="str">
        <f>IFERROR(VLOOKUP($A896,Equipment!$A$2:$AH1001,MATCH("Description",Equipment!$A$1:$AH$1,0),FALSE),"")</f>
        <v/>
      </c>
      <c r="C896" s="18" t="str">
        <f>IFERROR(VLOOKUP($A896,Equipment!$A$2:$AH1001,MATCH("Type",Equipment!$A$1:$AH$1,0),FALSE),"")</f>
        <v/>
      </c>
      <c r="D896" s="18" t="str">
        <f>IFERROR(VLOOKUP($A896,Equipment!$A$2:$AH1001,MATCH("Slot",Equipment!$A$1:$AH$1,0),FALSE),"")</f>
        <v/>
      </c>
      <c r="E896" s="20" t="str">
        <f>IFERROR(VLOOKUP($A896,Equipment!$A$2:$AH1001,MATCH("LevelReq",Equipment!$A$1:$AH$1,0),FALSE),"")</f>
        <v/>
      </c>
      <c r="F896" s="18" t="str">
        <f>IFERROR(VLOOKUP($A896,Equipconvrt!$A$2:$AH1001,MATCH("Abilities",Equipconvrt!$A$1:$AH$1,0),FALSE),"")</f>
        <v/>
      </c>
      <c r="G896" s="20" t="str">
        <f>IFERROR(VLOOKUP($A896,Equipment!$A$2:$AD1001,MATCH("Price",Equipment!$A$1:$AH$1,0),FALSE),"")</f>
        <v/>
      </c>
      <c r="H896" s="1" t="b">
        <v>0</v>
      </c>
      <c r="I896" s="1" t="str">
        <f>IFERROR(VLOOKUP($A896,Equipment!$A$2:$AH1001,MATCH("EquipLoc",Equipment!$A$1:$AH$1,0),FALSE),"")</f>
        <v/>
      </c>
      <c r="W896" s="1" t="str">
        <f>IFERROR(__xludf.DUMMYFUNCTION("""COMPUTED_VALUE"""),"Wyrmscale Wand")</f>
        <v>Wyrmscale Wand</v>
      </c>
      <c r="X896" s="1" t="str">
        <f t="shared" si="1"/>
        <v>Wyrmscale Wand</v>
      </c>
    </row>
    <row r="897">
      <c r="A897" s="1"/>
      <c r="B897" s="18" t="str">
        <f>IFERROR(VLOOKUP($A897,Equipment!$A$2:$AH1001,MATCH("Description",Equipment!$A$1:$AH$1,0),FALSE),"")</f>
        <v/>
      </c>
      <c r="C897" s="18" t="str">
        <f>IFERROR(VLOOKUP($A897,Equipment!$A$2:$AH1001,MATCH("Type",Equipment!$A$1:$AH$1,0),FALSE),"")</f>
        <v/>
      </c>
      <c r="D897" s="18" t="str">
        <f>IFERROR(VLOOKUP($A897,Equipment!$A$2:$AH1001,MATCH("Slot",Equipment!$A$1:$AH$1,0),FALSE),"")</f>
        <v/>
      </c>
      <c r="E897" s="20" t="str">
        <f>IFERROR(VLOOKUP($A897,Equipment!$A$2:$AH1001,MATCH("LevelReq",Equipment!$A$1:$AH$1,0),FALSE),"")</f>
        <v/>
      </c>
      <c r="F897" s="18" t="str">
        <f>IFERROR(VLOOKUP($A897,Equipconvrt!$A$2:$AH1001,MATCH("Abilities",Equipconvrt!$A$1:$AH$1,0),FALSE),"")</f>
        <v/>
      </c>
      <c r="G897" s="20" t="str">
        <f>IFERROR(VLOOKUP($A897,Equipment!$A$2:$AD1001,MATCH("Price",Equipment!$A$1:$AH$1,0),FALSE),"")</f>
        <v/>
      </c>
      <c r="H897" s="1" t="b">
        <v>0</v>
      </c>
      <c r="I897" s="1" t="str">
        <f>IFERROR(VLOOKUP($A897,Equipment!$A$2:$AH1001,MATCH("EquipLoc",Equipment!$A$1:$AH$1,0),FALSE),"")</f>
        <v/>
      </c>
      <c r="W897" s="1"/>
      <c r="X897" s="1" t="str">
        <f t="shared" si="1"/>
        <v/>
      </c>
    </row>
    <row r="898">
      <c r="A898" s="1"/>
      <c r="B898" s="18" t="str">
        <f>IFERROR(VLOOKUP($A898,Equipment!$A$2:$AH1001,MATCH("Description",Equipment!$A$1:$AH$1,0),FALSE),"")</f>
        <v/>
      </c>
      <c r="C898" s="18" t="str">
        <f>IFERROR(VLOOKUP($A898,Equipment!$A$2:$AH1001,MATCH("Type",Equipment!$A$1:$AH$1,0),FALSE),"")</f>
        <v/>
      </c>
      <c r="D898" s="18" t="str">
        <f>IFERROR(VLOOKUP($A898,Equipment!$A$2:$AH1001,MATCH("Slot",Equipment!$A$1:$AH$1,0),FALSE),"")</f>
        <v/>
      </c>
      <c r="E898" s="20" t="str">
        <f>IFERROR(VLOOKUP($A898,Equipment!$A$2:$AH1001,MATCH("LevelReq",Equipment!$A$1:$AH$1,0),FALSE),"")</f>
        <v/>
      </c>
      <c r="F898" s="18" t="str">
        <f>IFERROR(VLOOKUP($A898,Equipconvrt!$A$2:$AH1001,MATCH("Abilities",Equipconvrt!$A$1:$AH$1,0),FALSE),"")</f>
        <v/>
      </c>
      <c r="G898" s="20" t="str">
        <f>IFERROR(VLOOKUP($A898,Equipment!$A$2:$AD1001,MATCH("Price",Equipment!$A$1:$AH$1,0),FALSE),"")</f>
        <v/>
      </c>
      <c r="H898" s="1" t="b">
        <v>0</v>
      </c>
      <c r="I898" s="1" t="str">
        <f>IFERROR(VLOOKUP($A898,Equipment!$A$2:$AH1001,MATCH("EquipLoc",Equipment!$A$1:$AH$1,0),FALSE),"")</f>
        <v/>
      </c>
      <c r="W898" s="1"/>
      <c r="X898" s="1" t="str">
        <f t="shared" si="1"/>
        <v/>
      </c>
    </row>
    <row r="899">
      <c r="A899" s="1"/>
      <c r="B899" s="18" t="str">
        <f>IFERROR(VLOOKUP($A899,Equipment!$A$2:$AH1001,MATCH("Description",Equipment!$A$1:$AH$1,0),FALSE),"")</f>
        <v/>
      </c>
      <c r="C899" s="18" t="str">
        <f>IFERROR(VLOOKUP($A899,Equipment!$A$2:$AH1001,MATCH("Type",Equipment!$A$1:$AH$1,0),FALSE),"")</f>
        <v/>
      </c>
      <c r="D899" s="18" t="str">
        <f>IFERROR(VLOOKUP($A899,Equipment!$A$2:$AH1001,MATCH("Slot",Equipment!$A$1:$AH$1,0),FALSE),"")</f>
        <v/>
      </c>
      <c r="E899" s="20" t="str">
        <f>IFERROR(VLOOKUP($A899,Equipment!$A$2:$AH1001,MATCH("LevelReq",Equipment!$A$1:$AH$1,0),FALSE),"")</f>
        <v/>
      </c>
      <c r="F899" s="18" t="str">
        <f>IFERROR(VLOOKUP($A899,Equipconvrt!$A$2:$AH1001,MATCH("Abilities",Equipconvrt!$A$1:$AH$1,0),FALSE),"")</f>
        <v/>
      </c>
      <c r="G899" s="20" t="str">
        <f>IFERROR(VLOOKUP($A899,Equipment!$A$2:$AD1001,MATCH("Price",Equipment!$A$1:$AH$1,0),FALSE),"")</f>
        <v/>
      </c>
      <c r="H899" s="1" t="b">
        <v>0</v>
      </c>
      <c r="I899" s="1" t="str">
        <f>IFERROR(VLOOKUP($A899,Equipment!$A$2:$AH1001,MATCH("EquipLoc",Equipment!$A$1:$AH$1,0),FALSE),"")</f>
        <v/>
      </c>
      <c r="W899" s="1"/>
      <c r="X899" s="1" t="str">
        <f t="shared" si="1"/>
        <v/>
      </c>
    </row>
    <row r="900">
      <c r="A900" s="1"/>
      <c r="B900" s="18" t="str">
        <f>IFERROR(VLOOKUP($A900,Equipment!$A$2:$AH1001,MATCH("Description",Equipment!$A$1:$AH$1,0),FALSE),"")</f>
        <v/>
      </c>
      <c r="C900" s="18" t="str">
        <f>IFERROR(VLOOKUP($A900,Equipment!$A$2:$AH1001,MATCH("Type",Equipment!$A$1:$AH$1,0),FALSE),"")</f>
        <v/>
      </c>
      <c r="D900" s="18" t="str">
        <f>IFERROR(VLOOKUP($A900,Equipment!$A$2:$AH1001,MATCH("Slot",Equipment!$A$1:$AH$1,0),FALSE),"")</f>
        <v/>
      </c>
      <c r="E900" s="20" t="str">
        <f>IFERROR(VLOOKUP($A900,Equipment!$A$2:$AH1001,MATCH("LevelReq",Equipment!$A$1:$AH$1,0),FALSE),"")</f>
        <v/>
      </c>
      <c r="F900" s="18" t="str">
        <f>IFERROR(VLOOKUP($A900,Equipconvrt!$A$2:$AH1001,MATCH("Abilities",Equipconvrt!$A$1:$AH$1,0),FALSE),"")</f>
        <v/>
      </c>
      <c r="G900" s="20" t="str">
        <f>IFERROR(VLOOKUP($A900,Equipment!$A$2:$AD1001,MATCH("Price",Equipment!$A$1:$AH$1,0),FALSE),"")</f>
        <v/>
      </c>
      <c r="H900" s="1" t="b">
        <v>0</v>
      </c>
      <c r="I900" s="1" t="str">
        <f>IFERROR(VLOOKUP($A900,Equipment!$A$2:$AH1001,MATCH("EquipLoc",Equipment!$A$1:$AH$1,0),FALSE),"")</f>
        <v/>
      </c>
      <c r="W900" s="1"/>
      <c r="X900" s="1" t="str">
        <f t="shared" si="1"/>
        <v/>
      </c>
    </row>
    <row r="901">
      <c r="A901" s="1"/>
      <c r="B901" s="18" t="str">
        <f>IFERROR(VLOOKUP($A901,Equipment!$A$2:$AH1001,MATCH("Description",Equipment!$A$1:$AH$1,0),FALSE),"")</f>
        <v/>
      </c>
      <c r="C901" s="18" t="str">
        <f>IFERROR(VLOOKUP($A901,Equipment!$A$2:$AH1001,MATCH("Type",Equipment!$A$1:$AH$1,0),FALSE),"")</f>
        <v/>
      </c>
      <c r="D901" s="18" t="str">
        <f>IFERROR(VLOOKUP($A901,Equipment!$A$2:$AH1001,MATCH("Slot",Equipment!$A$1:$AH$1,0),FALSE),"")</f>
        <v/>
      </c>
      <c r="E901" s="20" t="str">
        <f>IFERROR(VLOOKUP($A901,Equipment!$A$2:$AH1001,MATCH("LevelReq",Equipment!$A$1:$AH$1,0),FALSE),"")</f>
        <v/>
      </c>
      <c r="F901" s="18" t="str">
        <f>IFERROR(VLOOKUP($A901,Equipconvrt!$A$2:$AH1001,MATCH("Abilities",Equipconvrt!$A$1:$AH$1,0),FALSE),"")</f>
        <v/>
      </c>
      <c r="G901" s="20" t="str">
        <f>IFERROR(VLOOKUP($A901,Equipment!$A$2:$AD1001,MATCH("Price",Equipment!$A$1:$AH$1,0),FALSE),"")</f>
        <v/>
      </c>
      <c r="H901" s="1" t="b">
        <v>0</v>
      </c>
      <c r="I901" s="1" t="str">
        <f>IFERROR(VLOOKUP($A901,Equipment!$A$2:$AH1001,MATCH("EquipLoc",Equipment!$A$1:$AH$1,0),FALSE),"")</f>
        <v/>
      </c>
      <c r="W901" s="1"/>
      <c r="X901" s="1" t="str">
        <f t="shared" si="1"/>
        <v/>
      </c>
    </row>
    <row r="902">
      <c r="A902" s="1"/>
      <c r="B902" s="18" t="str">
        <f>IFERROR(VLOOKUP($A902,Equipment!$A$2:$AH1001,MATCH("Description",Equipment!$A$1:$AH$1,0),FALSE),"")</f>
        <v/>
      </c>
      <c r="C902" s="18" t="str">
        <f>IFERROR(VLOOKUP($A902,Equipment!$A$2:$AH1001,MATCH("Type",Equipment!$A$1:$AH$1,0),FALSE),"")</f>
        <v/>
      </c>
      <c r="D902" s="18" t="str">
        <f>IFERROR(VLOOKUP($A902,Equipment!$A$2:$AH1001,MATCH("Slot",Equipment!$A$1:$AH$1,0),FALSE),"")</f>
        <v/>
      </c>
      <c r="E902" s="20" t="str">
        <f>IFERROR(VLOOKUP($A902,Equipment!$A$2:$AH1001,MATCH("LevelReq",Equipment!$A$1:$AH$1,0),FALSE),"")</f>
        <v/>
      </c>
      <c r="F902" s="18" t="str">
        <f>IFERROR(VLOOKUP($A902,Equipconvrt!$A$2:$AH1001,MATCH("Abilities",Equipconvrt!$A$1:$AH$1,0),FALSE),"")</f>
        <v/>
      </c>
      <c r="G902" s="20" t="str">
        <f>IFERROR(VLOOKUP($A902,Equipment!$A$2:$AD1001,MATCH("Price",Equipment!$A$1:$AH$1,0),FALSE),"")</f>
        <v/>
      </c>
      <c r="H902" s="1" t="b">
        <v>0</v>
      </c>
      <c r="I902" s="1" t="str">
        <f>IFERROR(VLOOKUP($A902,Equipment!$A$2:$AH1001,MATCH("EquipLoc",Equipment!$A$1:$AH$1,0),FALSE),"")</f>
        <v/>
      </c>
      <c r="W902" s="1"/>
      <c r="X902" s="1" t="str">
        <f t="shared" si="1"/>
        <v/>
      </c>
    </row>
    <row r="903">
      <c r="A903" s="1"/>
      <c r="B903" s="18" t="str">
        <f>IFERROR(VLOOKUP($A903,Equipment!$A$2:$AH1001,MATCH("Description",Equipment!$A$1:$AH$1,0),FALSE),"")</f>
        <v/>
      </c>
      <c r="C903" s="18" t="str">
        <f>IFERROR(VLOOKUP($A903,Equipment!$A$2:$AH1001,MATCH("Type",Equipment!$A$1:$AH$1,0),FALSE),"")</f>
        <v/>
      </c>
      <c r="D903" s="18" t="str">
        <f>IFERROR(VLOOKUP($A903,Equipment!$A$2:$AH1001,MATCH("Slot",Equipment!$A$1:$AH$1,0),FALSE),"")</f>
        <v/>
      </c>
      <c r="E903" s="20" t="str">
        <f>IFERROR(VLOOKUP($A903,Equipment!$A$2:$AH1001,MATCH("LevelReq",Equipment!$A$1:$AH$1,0),FALSE),"")</f>
        <v/>
      </c>
      <c r="F903" s="18" t="str">
        <f>IFERROR(VLOOKUP($A903,Equipconvrt!$A$2:$AH1001,MATCH("Abilities",Equipconvrt!$A$1:$AH$1,0),FALSE),"")</f>
        <v/>
      </c>
      <c r="G903" s="20" t="str">
        <f>IFERROR(VLOOKUP($A903,Equipment!$A$2:$AD1001,MATCH("Price",Equipment!$A$1:$AH$1,0),FALSE),"")</f>
        <v/>
      </c>
      <c r="H903" s="1" t="b">
        <v>0</v>
      </c>
      <c r="I903" s="1" t="str">
        <f>IFERROR(VLOOKUP($A903,Equipment!$A$2:$AH1001,MATCH("EquipLoc",Equipment!$A$1:$AH$1,0),FALSE),"")</f>
        <v/>
      </c>
      <c r="W903" s="1"/>
      <c r="X903" s="1" t="str">
        <f t="shared" si="1"/>
        <v/>
      </c>
    </row>
    <row r="904">
      <c r="A904" s="1"/>
      <c r="B904" s="18" t="str">
        <f>IFERROR(VLOOKUP($A904,Equipment!$A$2:$AH1001,MATCH("Description",Equipment!$A$1:$AH$1,0),FALSE),"")</f>
        <v/>
      </c>
      <c r="C904" s="18" t="str">
        <f>IFERROR(VLOOKUP($A904,Equipment!$A$2:$AH1001,MATCH("Type",Equipment!$A$1:$AH$1,0),FALSE),"")</f>
        <v/>
      </c>
      <c r="D904" s="18" t="str">
        <f>IFERROR(VLOOKUP($A904,Equipment!$A$2:$AH1001,MATCH("Slot",Equipment!$A$1:$AH$1,0),FALSE),"")</f>
        <v/>
      </c>
      <c r="E904" s="20" t="str">
        <f>IFERROR(VLOOKUP($A904,Equipment!$A$2:$AH1001,MATCH("LevelReq",Equipment!$A$1:$AH$1,0),FALSE),"")</f>
        <v/>
      </c>
      <c r="F904" s="18" t="str">
        <f>IFERROR(VLOOKUP($A904,Equipconvrt!$A$2:$AH1001,MATCH("Abilities",Equipconvrt!$A$1:$AH$1,0),FALSE),"")</f>
        <v/>
      </c>
      <c r="G904" s="20" t="str">
        <f>IFERROR(VLOOKUP($A904,Equipment!$A$2:$AD1001,MATCH("Price",Equipment!$A$1:$AH$1,0),FALSE),"")</f>
        <v/>
      </c>
      <c r="H904" s="1" t="b">
        <v>0</v>
      </c>
      <c r="I904" s="1" t="str">
        <f>IFERROR(VLOOKUP($A904,Equipment!$A$2:$AH1001,MATCH("EquipLoc",Equipment!$A$1:$AH$1,0),FALSE),"")</f>
        <v/>
      </c>
      <c r="W904" s="1"/>
      <c r="X904" s="1" t="str">
        <f t="shared" si="1"/>
        <v/>
      </c>
    </row>
    <row r="905">
      <c r="A905" s="1"/>
      <c r="B905" s="18" t="str">
        <f>IFERROR(VLOOKUP($A905,Equipment!$A$2:$AH1001,MATCH("Description",Equipment!$A$1:$AH$1,0),FALSE),"")</f>
        <v/>
      </c>
      <c r="C905" s="18" t="str">
        <f>IFERROR(VLOOKUP($A905,Equipment!$A$2:$AH1001,MATCH("Type",Equipment!$A$1:$AH$1,0),FALSE),"")</f>
        <v/>
      </c>
      <c r="D905" s="18" t="str">
        <f>IFERROR(VLOOKUP($A905,Equipment!$A$2:$AH1001,MATCH("Slot",Equipment!$A$1:$AH$1,0),FALSE),"")</f>
        <v/>
      </c>
      <c r="E905" s="20" t="str">
        <f>IFERROR(VLOOKUP($A905,Equipment!$A$2:$AH1001,MATCH("LevelReq",Equipment!$A$1:$AH$1,0),FALSE),"")</f>
        <v/>
      </c>
      <c r="F905" s="18" t="str">
        <f>IFERROR(VLOOKUP($A905,Equipconvrt!$A$2:$AH1001,MATCH("Abilities",Equipconvrt!$A$1:$AH$1,0),FALSE),"")</f>
        <v/>
      </c>
      <c r="G905" s="20" t="str">
        <f>IFERROR(VLOOKUP($A905,Equipment!$A$2:$AD1001,MATCH("Price",Equipment!$A$1:$AH$1,0),FALSE),"")</f>
        <v/>
      </c>
      <c r="H905" s="1" t="b">
        <v>0</v>
      </c>
      <c r="I905" s="1" t="str">
        <f>IFERROR(VLOOKUP($A905,Equipment!$A$2:$AH1001,MATCH("EquipLoc",Equipment!$A$1:$AH$1,0),FALSE),"")</f>
        <v/>
      </c>
      <c r="W905" s="1"/>
      <c r="X905" s="1" t="str">
        <f t="shared" si="1"/>
        <v/>
      </c>
    </row>
    <row r="906">
      <c r="A906" s="1"/>
      <c r="B906" s="18" t="str">
        <f>IFERROR(VLOOKUP($A906,Equipment!$A$2:$AH1001,MATCH("Description",Equipment!$A$1:$AH$1,0),FALSE),"")</f>
        <v/>
      </c>
      <c r="C906" s="18" t="str">
        <f>IFERROR(VLOOKUP($A906,Equipment!$A$2:$AH1001,MATCH("Type",Equipment!$A$1:$AH$1,0),FALSE),"")</f>
        <v/>
      </c>
      <c r="D906" s="18" t="str">
        <f>IFERROR(VLOOKUP($A906,Equipment!$A$2:$AH1001,MATCH("Slot",Equipment!$A$1:$AH$1,0),FALSE),"")</f>
        <v/>
      </c>
      <c r="E906" s="20" t="str">
        <f>IFERROR(VLOOKUP($A906,Equipment!$A$2:$AH1001,MATCH("LevelReq",Equipment!$A$1:$AH$1,0),FALSE),"")</f>
        <v/>
      </c>
      <c r="F906" s="18" t="str">
        <f>IFERROR(VLOOKUP($A906,Equipconvrt!$A$2:$AH1001,MATCH("Abilities",Equipconvrt!$A$1:$AH$1,0),FALSE),"")</f>
        <v/>
      </c>
      <c r="G906" s="20" t="str">
        <f>IFERROR(VLOOKUP($A906,Equipment!$A$2:$AD1001,MATCH("Price",Equipment!$A$1:$AH$1,0),FALSE),"")</f>
        <v/>
      </c>
      <c r="H906" s="1" t="b">
        <v>0</v>
      </c>
      <c r="I906" s="1" t="str">
        <f>IFERROR(VLOOKUP($A906,Equipment!$A$2:$AH1001,MATCH("EquipLoc",Equipment!$A$1:$AH$1,0),FALSE),"")</f>
        <v/>
      </c>
      <c r="W906" s="1"/>
      <c r="X906" s="1" t="str">
        <f t="shared" si="1"/>
        <v/>
      </c>
    </row>
    <row r="907">
      <c r="A907" s="1"/>
      <c r="B907" s="18" t="str">
        <f>IFERROR(VLOOKUP($A907,Equipment!$A$2:$AH1001,MATCH("Description",Equipment!$A$1:$AH$1,0),FALSE),"")</f>
        <v/>
      </c>
      <c r="C907" s="18" t="str">
        <f>IFERROR(VLOOKUP($A907,Equipment!$A$2:$AH1001,MATCH("Type",Equipment!$A$1:$AH$1,0),FALSE),"")</f>
        <v/>
      </c>
      <c r="D907" s="18" t="str">
        <f>IFERROR(VLOOKUP($A907,Equipment!$A$2:$AH1001,MATCH("Slot",Equipment!$A$1:$AH$1,0),FALSE),"")</f>
        <v/>
      </c>
      <c r="E907" s="20" t="str">
        <f>IFERROR(VLOOKUP($A907,Equipment!$A$2:$AH1001,MATCH("LevelReq",Equipment!$A$1:$AH$1,0),FALSE),"")</f>
        <v/>
      </c>
      <c r="F907" s="18" t="str">
        <f>IFERROR(VLOOKUP($A907,Equipconvrt!$A$2:$AH1001,MATCH("Abilities",Equipconvrt!$A$1:$AH$1,0),FALSE),"")</f>
        <v/>
      </c>
      <c r="G907" s="20" t="str">
        <f>IFERROR(VLOOKUP($A907,Equipment!$A$2:$AD1001,MATCH("Price",Equipment!$A$1:$AH$1,0),FALSE),"")</f>
        <v/>
      </c>
      <c r="H907" s="1" t="b">
        <v>0</v>
      </c>
      <c r="I907" s="1" t="str">
        <f>IFERROR(VLOOKUP($A907,Equipment!$A$2:$AH1001,MATCH("EquipLoc",Equipment!$A$1:$AH$1,0),FALSE),"")</f>
        <v/>
      </c>
      <c r="W907" s="1"/>
      <c r="X907" s="1" t="str">
        <f t="shared" si="1"/>
        <v/>
      </c>
    </row>
    <row r="908">
      <c r="A908" s="1"/>
      <c r="B908" s="18" t="str">
        <f>IFERROR(VLOOKUP($A908,Equipment!$A$2:$AH1001,MATCH("Description",Equipment!$A$1:$AH$1,0),FALSE),"")</f>
        <v/>
      </c>
      <c r="C908" s="18" t="str">
        <f>IFERROR(VLOOKUP($A908,Equipment!$A$2:$AH1001,MATCH("Type",Equipment!$A$1:$AH$1,0),FALSE),"")</f>
        <v/>
      </c>
      <c r="D908" s="18" t="str">
        <f>IFERROR(VLOOKUP($A908,Equipment!$A$2:$AH1001,MATCH("Slot",Equipment!$A$1:$AH$1,0),FALSE),"")</f>
        <v/>
      </c>
      <c r="E908" s="20" t="str">
        <f>IFERROR(VLOOKUP($A908,Equipment!$A$2:$AH1001,MATCH("LevelReq",Equipment!$A$1:$AH$1,0),FALSE),"")</f>
        <v/>
      </c>
      <c r="F908" s="18" t="str">
        <f>IFERROR(VLOOKUP($A908,Equipconvrt!$A$2:$AH1001,MATCH("Abilities",Equipconvrt!$A$1:$AH$1,0),FALSE),"")</f>
        <v/>
      </c>
      <c r="G908" s="20" t="str">
        <f>IFERROR(VLOOKUP($A908,Equipment!$A$2:$AD1001,MATCH("Price",Equipment!$A$1:$AH$1,0),FALSE),"")</f>
        <v/>
      </c>
      <c r="H908" s="1" t="b">
        <v>0</v>
      </c>
      <c r="I908" s="1" t="str">
        <f>IFERROR(VLOOKUP($A908,Equipment!$A$2:$AH1001,MATCH("EquipLoc",Equipment!$A$1:$AH$1,0),FALSE),"")</f>
        <v/>
      </c>
      <c r="W908" s="1"/>
      <c r="X908" s="1" t="str">
        <f t="shared" si="1"/>
        <v/>
      </c>
    </row>
    <row r="909">
      <c r="A909" s="1"/>
      <c r="B909" s="18" t="str">
        <f>IFERROR(VLOOKUP($A909,Equipment!$A$2:$AH1001,MATCH("Description",Equipment!$A$1:$AH$1,0),FALSE),"")</f>
        <v/>
      </c>
      <c r="C909" s="18" t="str">
        <f>IFERROR(VLOOKUP($A909,Equipment!$A$2:$AH1001,MATCH("Type",Equipment!$A$1:$AH$1,0),FALSE),"")</f>
        <v/>
      </c>
      <c r="D909" s="18" t="str">
        <f>IFERROR(VLOOKUP($A909,Equipment!$A$2:$AH1001,MATCH("Slot",Equipment!$A$1:$AH$1,0),FALSE),"")</f>
        <v/>
      </c>
      <c r="E909" s="20" t="str">
        <f>IFERROR(VLOOKUP($A909,Equipment!$A$2:$AH1001,MATCH("LevelReq",Equipment!$A$1:$AH$1,0),FALSE),"")</f>
        <v/>
      </c>
      <c r="F909" s="18" t="str">
        <f>IFERROR(VLOOKUP($A909,Equipconvrt!$A$2:$AH1001,MATCH("Abilities",Equipconvrt!$A$1:$AH$1,0),FALSE),"")</f>
        <v/>
      </c>
      <c r="G909" s="20" t="str">
        <f>IFERROR(VLOOKUP($A909,Equipment!$A$2:$AD1001,MATCH("Price",Equipment!$A$1:$AH$1,0),FALSE),"")</f>
        <v/>
      </c>
      <c r="H909" s="1" t="b">
        <v>0</v>
      </c>
      <c r="I909" s="1" t="str">
        <f>IFERROR(VLOOKUP($A909,Equipment!$A$2:$AH1001,MATCH("EquipLoc",Equipment!$A$1:$AH$1,0),FALSE),"")</f>
        <v/>
      </c>
      <c r="W909" s="1"/>
      <c r="X909" s="1" t="str">
        <f t="shared" si="1"/>
        <v/>
      </c>
    </row>
    <row r="910">
      <c r="A910" s="1"/>
      <c r="B910" s="18" t="str">
        <f>IFERROR(VLOOKUP($A910,Equipment!$A$2:$AH1001,MATCH("Description",Equipment!$A$1:$AH$1,0),FALSE),"")</f>
        <v/>
      </c>
      <c r="C910" s="18" t="str">
        <f>IFERROR(VLOOKUP($A910,Equipment!$A$2:$AH1001,MATCH("Type",Equipment!$A$1:$AH$1,0),FALSE),"")</f>
        <v/>
      </c>
      <c r="D910" s="18" t="str">
        <f>IFERROR(VLOOKUP($A910,Equipment!$A$2:$AH1001,MATCH("Slot",Equipment!$A$1:$AH$1,0),FALSE),"")</f>
        <v/>
      </c>
      <c r="E910" s="20" t="str">
        <f>IFERROR(VLOOKUP($A910,Equipment!$A$2:$AH1001,MATCH("LevelReq",Equipment!$A$1:$AH$1,0),FALSE),"")</f>
        <v/>
      </c>
      <c r="F910" s="18" t="str">
        <f>IFERROR(VLOOKUP($A910,Equipconvrt!$A$2:$AH1001,MATCH("Abilities",Equipconvrt!$A$1:$AH$1,0),FALSE),"")</f>
        <v/>
      </c>
      <c r="G910" s="20" t="str">
        <f>IFERROR(VLOOKUP($A910,Equipment!$A$2:$AD1001,MATCH("Price",Equipment!$A$1:$AH$1,0),FALSE),"")</f>
        <v/>
      </c>
      <c r="H910" s="1" t="b">
        <v>0</v>
      </c>
      <c r="I910" s="1" t="str">
        <f>IFERROR(VLOOKUP($A910,Equipment!$A$2:$AH1001,MATCH("EquipLoc",Equipment!$A$1:$AH$1,0),FALSE),"")</f>
        <v/>
      </c>
      <c r="W910" s="1"/>
      <c r="X910" s="1" t="str">
        <f t="shared" si="1"/>
        <v/>
      </c>
    </row>
    <row r="911">
      <c r="A911" s="1"/>
      <c r="B911" s="18" t="str">
        <f>IFERROR(VLOOKUP($A911,Equipment!$A$2:$AH1001,MATCH("Description",Equipment!$A$1:$AH$1,0),FALSE),"")</f>
        <v/>
      </c>
      <c r="C911" s="18" t="str">
        <f>IFERROR(VLOOKUP($A911,Equipment!$A$2:$AH1001,MATCH("Type",Equipment!$A$1:$AH$1,0),FALSE),"")</f>
        <v/>
      </c>
      <c r="D911" s="18" t="str">
        <f>IFERROR(VLOOKUP($A911,Equipment!$A$2:$AH1001,MATCH("Slot",Equipment!$A$1:$AH$1,0),FALSE),"")</f>
        <v/>
      </c>
      <c r="E911" s="20" t="str">
        <f>IFERROR(VLOOKUP($A911,Equipment!$A$2:$AH1001,MATCH("LevelReq",Equipment!$A$1:$AH$1,0),FALSE),"")</f>
        <v/>
      </c>
      <c r="F911" s="18" t="str">
        <f>IFERROR(VLOOKUP($A911,Equipconvrt!$A$2:$AH1001,MATCH("Abilities",Equipconvrt!$A$1:$AH$1,0),FALSE),"")</f>
        <v/>
      </c>
      <c r="G911" s="20" t="str">
        <f>IFERROR(VLOOKUP($A911,Equipment!$A$2:$AD1001,MATCH("Price",Equipment!$A$1:$AH$1,0),FALSE),"")</f>
        <v/>
      </c>
      <c r="H911" s="1" t="b">
        <v>0</v>
      </c>
      <c r="I911" s="1" t="str">
        <f>IFERROR(VLOOKUP($A911,Equipment!$A$2:$AH1001,MATCH("EquipLoc",Equipment!$A$1:$AH$1,0),FALSE),"")</f>
        <v/>
      </c>
      <c r="W911" s="1"/>
      <c r="X911" s="1" t="str">
        <f t="shared" si="1"/>
        <v/>
      </c>
    </row>
    <row r="912">
      <c r="A912" s="1"/>
      <c r="B912" s="18" t="str">
        <f>IFERROR(VLOOKUP($A912,Equipment!$A$2:$AH1001,MATCH("Description",Equipment!$A$1:$AH$1,0),FALSE),"")</f>
        <v/>
      </c>
      <c r="C912" s="18" t="str">
        <f>IFERROR(VLOOKUP($A912,Equipment!$A$2:$AH1001,MATCH("Type",Equipment!$A$1:$AH$1,0),FALSE),"")</f>
        <v/>
      </c>
      <c r="D912" s="18" t="str">
        <f>IFERROR(VLOOKUP($A912,Equipment!$A$2:$AH1001,MATCH("Slot",Equipment!$A$1:$AH$1,0),FALSE),"")</f>
        <v/>
      </c>
      <c r="E912" s="20" t="str">
        <f>IFERROR(VLOOKUP($A912,Equipment!$A$2:$AH1001,MATCH("LevelReq",Equipment!$A$1:$AH$1,0),FALSE),"")</f>
        <v/>
      </c>
      <c r="F912" s="18" t="str">
        <f>IFERROR(VLOOKUP($A912,Equipconvrt!$A$2:$AH1001,MATCH("Abilities",Equipconvrt!$A$1:$AH$1,0),FALSE),"")</f>
        <v/>
      </c>
      <c r="G912" s="20" t="str">
        <f>IFERROR(VLOOKUP($A912,Equipment!$A$2:$AD1001,MATCH("Price",Equipment!$A$1:$AH$1,0),FALSE),"")</f>
        <v/>
      </c>
      <c r="H912" s="1" t="b">
        <v>0</v>
      </c>
      <c r="I912" s="1" t="str">
        <f>IFERROR(VLOOKUP($A912,Equipment!$A$2:$AH1001,MATCH("EquipLoc",Equipment!$A$1:$AH$1,0),FALSE),"")</f>
        <v/>
      </c>
      <c r="W912" s="1"/>
      <c r="X912" s="1" t="str">
        <f t="shared" si="1"/>
        <v/>
      </c>
    </row>
    <row r="913">
      <c r="A913" s="1"/>
      <c r="B913" s="18" t="str">
        <f>IFERROR(VLOOKUP($A913,Equipment!$A$2:$AH1001,MATCH("Description",Equipment!$A$1:$AH$1,0),FALSE),"")</f>
        <v/>
      </c>
      <c r="C913" s="18" t="str">
        <f>IFERROR(VLOOKUP($A913,Equipment!$A$2:$AH1001,MATCH("Type",Equipment!$A$1:$AH$1,0),FALSE),"")</f>
        <v/>
      </c>
      <c r="D913" s="18" t="str">
        <f>IFERROR(VLOOKUP($A913,Equipment!$A$2:$AH1001,MATCH("Slot",Equipment!$A$1:$AH$1,0),FALSE),"")</f>
        <v/>
      </c>
      <c r="E913" s="20" t="str">
        <f>IFERROR(VLOOKUP($A913,Equipment!$A$2:$AH1001,MATCH("LevelReq",Equipment!$A$1:$AH$1,0),FALSE),"")</f>
        <v/>
      </c>
      <c r="F913" s="18" t="str">
        <f>IFERROR(VLOOKUP($A913,Equipconvrt!$A$2:$AH1001,MATCH("Abilities",Equipconvrt!$A$1:$AH$1,0),FALSE),"")</f>
        <v/>
      </c>
      <c r="G913" s="20" t="str">
        <f>IFERROR(VLOOKUP($A913,Equipment!$A$2:$AD1001,MATCH("Price",Equipment!$A$1:$AH$1,0),FALSE),"")</f>
        <v/>
      </c>
      <c r="H913" s="1" t="b">
        <v>0</v>
      </c>
      <c r="I913" s="1" t="str">
        <f>IFERROR(VLOOKUP($A913,Equipment!$A$2:$AH1001,MATCH("EquipLoc",Equipment!$A$1:$AH$1,0),FALSE),"")</f>
        <v/>
      </c>
      <c r="W913" s="1"/>
      <c r="X913" s="1" t="str">
        <f t="shared" si="1"/>
        <v/>
      </c>
    </row>
    <row r="914">
      <c r="A914" s="1"/>
      <c r="B914" s="18" t="str">
        <f>IFERROR(VLOOKUP($A914,Equipment!$A$2:$AH1001,MATCH("Description",Equipment!$A$1:$AH$1,0),FALSE),"")</f>
        <v/>
      </c>
      <c r="C914" s="18" t="str">
        <f>IFERROR(VLOOKUP($A914,Equipment!$A$2:$AH1001,MATCH("Type",Equipment!$A$1:$AH$1,0),FALSE),"")</f>
        <v/>
      </c>
      <c r="D914" s="18" t="str">
        <f>IFERROR(VLOOKUP($A914,Equipment!$A$2:$AH1001,MATCH("Slot",Equipment!$A$1:$AH$1,0),FALSE),"")</f>
        <v/>
      </c>
      <c r="E914" s="20" t="str">
        <f>IFERROR(VLOOKUP($A914,Equipment!$A$2:$AH1001,MATCH("LevelReq",Equipment!$A$1:$AH$1,0),FALSE),"")</f>
        <v/>
      </c>
      <c r="F914" s="18" t="str">
        <f>IFERROR(VLOOKUP($A914,Equipconvrt!$A$2:$AH1001,MATCH("Abilities",Equipconvrt!$A$1:$AH$1,0),FALSE),"")</f>
        <v/>
      </c>
      <c r="G914" s="20" t="str">
        <f>IFERROR(VLOOKUP($A914,Equipment!$A$2:$AD1001,MATCH("Price",Equipment!$A$1:$AH$1,0),FALSE),"")</f>
        <v/>
      </c>
      <c r="H914" s="1" t="b">
        <v>0</v>
      </c>
      <c r="I914" s="1" t="str">
        <f>IFERROR(VLOOKUP($A914,Equipment!$A$2:$AH1001,MATCH("EquipLoc",Equipment!$A$1:$AH$1,0),FALSE),"")</f>
        <v/>
      </c>
      <c r="W914" s="1"/>
      <c r="X914" s="1" t="str">
        <f t="shared" si="1"/>
        <v/>
      </c>
    </row>
    <row r="915">
      <c r="A915" s="1"/>
      <c r="B915" s="18" t="str">
        <f>IFERROR(VLOOKUP($A915,Equipment!$A$2:$AH1001,MATCH("Description",Equipment!$A$1:$AH$1,0),FALSE),"")</f>
        <v/>
      </c>
      <c r="C915" s="18" t="str">
        <f>IFERROR(VLOOKUP($A915,Equipment!$A$2:$AH1001,MATCH("Type",Equipment!$A$1:$AH$1,0),FALSE),"")</f>
        <v/>
      </c>
      <c r="D915" s="18" t="str">
        <f>IFERROR(VLOOKUP($A915,Equipment!$A$2:$AH1001,MATCH("Slot",Equipment!$A$1:$AH$1,0),FALSE),"")</f>
        <v/>
      </c>
      <c r="E915" s="20" t="str">
        <f>IFERROR(VLOOKUP($A915,Equipment!$A$2:$AH1001,MATCH("LevelReq",Equipment!$A$1:$AH$1,0),FALSE),"")</f>
        <v/>
      </c>
      <c r="F915" s="18" t="str">
        <f>IFERROR(VLOOKUP($A915,Equipconvrt!$A$2:$AH1001,MATCH("Abilities",Equipconvrt!$A$1:$AH$1,0),FALSE),"")</f>
        <v/>
      </c>
      <c r="G915" s="20" t="str">
        <f>IFERROR(VLOOKUP($A915,Equipment!$A$2:$AD1001,MATCH("Price",Equipment!$A$1:$AH$1,0),FALSE),"")</f>
        <v/>
      </c>
      <c r="H915" s="1" t="b">
        <v>0</v>
      </c>
      <c r="I915" s="1" t="str">
        <f>IFERROR(VLOOKUP($A915,Equipment!$A$2:$AH1001,MATCH("EquipLoc",Equipment!$A$1:$AH$1,0),FALSE),"")</f>
        <v/>
      </c>
      <c r="W915" s="1"/>
      <c r="X915" s="1" t="str">
        <f t="shared" si="1"/>
        <v/>
      </c>
    </row>
    <row r="916">
      <c r="A916" s="1"/>
      <c r="B916" s="18" t="str">
        <f>IFERROR(VLOOKUP($A916,Equipment!$A$2:$AH1001,MATCH("Description",Equipment!$A$1:$AH$1,0),FALSE),"")</f>
        <v/>
      </c>
      <c r="C916" s="18" t="str">
        <f>IFERROR(VLOOKUP($A916,Equipment!$A$2:$AH1001,MATCH("Type",Equipment!$A$1:$AH$1,0),FALSE),"")</f>
        <v/>
      </c>
      <c r="D916" s="18" t="str">
        <f>IFERROR(VLOOKUP($A916,Equipment!$A$2:$AH1001,MATCH("Slot",Equipment!$A$1:$AH$1,0),FALSE),"")</f>
        <v/>
      </c>
      <c r="E916" s="20" t="str">
        <f>IFERROR(VLOOKUP($A916,Equipment!$A$2:$AH1001,MATCH("LevelReq",Equipment!$A$1:$AH$1,0),FALSE),"")</f>
        <v/>
      </c>
      <c r="F916" s="18" t="str">
        <f>IFERROR(VLOOKUP($A916,Equipconvrt!$A$2:$AH1001,MATCH("Abilities",Equipconvrt!$A$1:$AH$1,0),FALSE),"")</f>
        <v/>
      </c>
      <c r="G916" s="20" t="str">
        <f>IFERROR(VLOOKUP($A916,Equipment!$A$2:$AD1001,MATCH("Price",Equipment!$A$1:$AH$1,0),FALSE),"")</f>
        <v/>
      </c>
      <c r="H916" s="1" t="b">
        <v>0</v>
      </c>
      <c r="I916" s="1" t="str">
        <f>IFERROR(VLOOKUP($A916,Equipment!$A$2:$AH1001,MATCH("EquipLoc",Equipment!$A$1:$AH$1,0),FALSE),"")</f>
        <v/>
      </c>
      <c r="W916" s="1"/>
      <c r="X916" s="1" t="str">
        <f t="shared" si="1"/>
        <v/>
      </c>
    </row>
    <row r="917">
      <c r="A917" s="1"/>
      <c r="B917" s="18" t="str">
        <f>IFERROR(VLOOKUP($A917,Equipment!$A$2:$AH1001,MATCH("Description",Equipment!$A$1:$AH$1,0),FALSE),"")</f>
        <v/>
      </c>
      <c r="C917" s="18" t="str">
        <f>IFERROR(VLOOKUP($A917,Equipment!$A$2:$AH1001,MATCH("Type",Equipment!$A$1:$AH$1,0),FALSE),"")</f>
        <v/>
      </c>
      <c r="D917" s="18" t="str">
        <f>IFERROR(VLOOKUP($A917,Equipment!$A$2:$AH1001,MATCH("Slot",Equipment!$A$1:$AH$1,0),FALSE),"")</f>
        <v/>
      </c>
      <c r="E917" s="20" t="str">
        <f>IFERROR(VLOOKUP($A917,Equipment!$A$2:$AH1001,MATCH("LevelReq",Equipment!$A$1:$AH$1,0),FALSE),"")</f>
        <v/>
      </c>
      <c r="F917" s="18" t="str">
        <f>IFERROR(VLOOKUP($A917,Equipconvrt!$A$2:$AH1001,MATCH("Abilities",Equipconvrt!$A$1:$AH$1,0),FALSE),"")</f>
        <v/>
      </c>
      <c r="G917" s="20" t="str">
        <f>IFERROR(VLOOKUP($A917,Equipment!$A$2:$AD1001,MATCH("Price",Equipment!$A$1:$AH$1,0),FALSE),"")</f>
        <v/>
      </c>
      <c r="H917" s="1" t="b">
        <v>0</v>
      </c>
      <c r="I917" s="1" t="str">
        <f>IFERROR(VLOOKUP($A917,Equipment!$A$2:$AH1001,MATCH("EquipLoc",Equipment!$A$1:$AH$1,0),FALSE),"")</f>
        <v/>
      </c>
      <c r="W917" s="1"/>
      <c r="X917" s="1" t="str">
        <f t="shared" si="1"/>
        <v/>
      </c>
    </row>
    <row r="918">
      <c r="A918" s="1"/>
      <c r="B918" s="18" t="str">
        <f>IFERROR(VLOOKUP($A918,Equipment!$A$2:$AH1001,MATCH("Description",Equipment!$A$1:$AH$1,0),FALSE),"")</f>
        <v/>
      </c>
      <c r="C918" s="18" t="str">
        <f>IFERROR(VLOOKUP($A918,Equipment!$A$2:$AH1001,MATCH("Type",Equipment!$A$1:$AH$1,0),FALSE),"")</f>
        <v/>
      </c>
      <c r="D918" s="18" t="str">
        <f>IFERROR(VLOOKUP($A918,Equipment!$A$2:$AH1001,MATCH("Slot",Equipment!$A$1:$AH$1,0),FALSE),"")</f>
        <v/>
      </c>
      <c r="E918" s="20" t="str">
        <f>IFERROR(VLOOKUP($A918,Equipment!$A$2:$AH1001,MATCH("LevelReq",Equipment!$A$1:$AH$1,0),FALSE),"")</f>
        <v/>
      </c>
      <c r="F918" s="18" t="str">
        <f>IFERROR(VLOOKUP($A918,Equipconvrt!$A$2:$AH1001,MATCH("Abilities",Equipconvrt!$A$1:$AH$1,0),FALSE),"")</f>
        <v/>
      </c>
      <c r="G918" s="20" t="str">
        <f>IFERROR(VLOOKUP($A918,Equipment!$A$2:$AD1001,MATCH("Price",Equipment!$A$1:$AH$1,0),FALSE),"")</f>
        <v/>
      </c>
      <c r="H918" s="1" t="b">
        <v>0</v>
      </c>
      <c r="I918" s="1" t="str">
        <f>IFERROR(VLOOKUP($A918,Equipment!$A$2:$AH1001,MATCH("EquipLoc",Equipment!$A$1:$AH$1,0),FALSE),"")</f>
        <v/>
      </c>
      <c r="W918" s="1"/>
      <c r="X918" s="1" t="str">
        <f t="shared" si="1"/>
        <v/>
      </c>
    </row>
    <row r="919">
      <c r="A919" s="1"/>
      <c r="B919" s="18" t="str">
        <f>IFERROR(VLOOKUP($A919,Equipment!$A$2:$AH1001,MATCH("Description",Equipment!$A$1:$AH$1,0),FALSE),"")</f>
        <v/>
      </c>
      <c r="C919" s="18" t="str">
        <f>IFERROR(VLOOKUP($A919,Equipment!$A$2:$AH1001,MATCH("Type",Equipment!$A$1:$AH$1,0),FALSE),"")</f>
        <v/>
      </c>
      <c r="D919" s="18" t="str">
        <f>IFERROR(VLOOKUP($A919,Equipment!$A$2:$AH1001,MATCH("Slot",Equipment!$A$1:$AH$1,0),FALSE),"")</f>
        <v/>
      </c>
      <c r="E919" s="20" t="str">
        <f>IFERROR(VLOOKUP($A919,Equipment!$A$2:$AH1001,MATCH("LevelReq",Equipment!$A$1:$AH$1,0),FALSE),"")</f>
        <v/>
      </c>
      <c r="F919" s="18" t="str">
        <f>IFERROR(VLOOKUP($A919,Equipconvrt!$A$2:$AH1001,MATCH("Abilities",Equipconvrt!$A$1:$AH$1,0),FALSE),"")</f>
        <v/>
      </c>
      <c r="G919" s="20" t="str">
        <f>IFERROR(VLOOKUP($A919,Equipment!$A$2:$AD1001,MATCH("Price",Equipment!$A$1:$AH$1,0),FALSE),"")</f>
        <v/>
      </c>
      <c r="H919" s="1" t="b">
        <v>0</v>
      </c>
      <c r="I919" s="1" t="str">
        <f>IFERROR(VLOOKUP($A919,Equipment!$A$2:$AH1001,MATCH("EquipLoc",Equipment!$A$1:$AH$1,0),FALSE),"")</f>
        <v/>
      </c>
      <c r="W919" s="1"/>
      <c r="X919" s="1" t="str">
        <f t="shared" si="1"/>
        <v/>
      </c>
    </row>
    <row r="920">
      <c r="A920" s="1"/>
      <c r="B920" s="18" t="str">
        <f>IFERROR(VLOOKUP($A920,Equipment!$A$2:$AH1001,MATCH("Description",Equipment!$A$1:$AH$1,0),FALSE),"")</f>
        <v/>
      </c>
      <c r="C920" s="18" t="str">
        <f>IFERROR(VLOOKUP($A920,Equipment!$A$2:$AH1001,MATCH("Type",Equipment!$A$1:$AH$1,0),FALSE),"")</f>
        <v/>
      </c>
      <c r="D920" s="18" t="str">
        <f>IFERROR(VLOOKUP($A920,Equipment!$A$2:$AH1001,MATCH("Slot",Equipment!$A$1:$AH$1,0),FALSE),"")</f>
        <v/>
      </c>
      <c r="E920" s="20" t="str">
        <f>IFERROR(VLOOKUP($A920,Equipment!$A$2:$AH1001,MATCH("LevelReq",Equipment!$A$1:$AH$1,0),FALSE),"")</f>
        <v/>
      </c>
      <c r="F920" s="18" t="str">
        <f>IFERROR(VLOOKUP($A920,Equipconvrt!$A$2:$AH1001,MATCH("Abilities",Equipconvrt!$A$1:$AH$1,0),FALSE),"")</f>
        <v/>
      </c>
      <c r="G920" s="20" t="str">
        <f>IFERROR(VLOOKUP($A920,Equipment!$A$2:$AD1001,MATCH("Price",Equipment!$A$1:$AH$1,0),FALSE),"")</f>
        <v/>
      </c>
      <c r="H920" s="1" t="b">
        <v>0</v>
      </c>
      <c r="I920" s="1" t="str">
        <f>IFERROR(VLOOKUP($A920,Equipment!$A$2:$AH1001,MATCH("EquipLoc",Equipment!$A$1:$AH$1,0),FALSE),"")</f>
        <v/>
      </c>
      <c r="W920" s="1"/>
      <c r="X920" s="1" t="str">
        <f t="shared" si="1"/>
        <v/>
      </c>
    </row>
    <row r="921">
      <c r="A921" s="1"/>
      <c r="B921" s="18" t="str">
        <f>IFERROR(VLOOKUP($A921,Equipment!$A$2:$AH1001,MATCH("Description",Equipment!$A$1:$AH$1,0),FALSE),"")</f>
        <v/>
      </c>
      <c r="C921" s="18" t="str">
        <f>IFERROR(VLOOKUP($A921,Equipment!$A$2:$AH1001,MATCH("Type",Equipment!$A$1:$AH$1,0),FALSE),"")</f>
        <v/>
      </c>
      <c r="D921" s="18" t="str">
        <f>IFERROR(VLOOKUP($A921,Equipment!$A$2:$AH1001,MATCH("Slot",Equipment!$A$1:$AH$1,0),FALSE),"")</f>
        <v/>
      </c>
      <c r="E921" s="20" t="str">
        <f>IFERROR(VLOOKUP($A921,Equipment!$A$2:$AH1001,MATCH("LevelReq",Equipment!$A$1:$AH$1,0),FALSE),"")</f>
        <v/>
      </c>
      <c r="F921" s="18" t="str">
        <f>IFERROR(VLOOKUP($A921,Equipconvrt!$A$2:$AH1001,MATCH("Abilities",Equipconvrt!$A$1:$AH$1,0),FALSE),"")</f>
        <v/>
      </c>
      <c r="G921" s="20" t="str">
        <f>IFERROR(VLOOKUP($A921,Equipment!$A$2:$AD1001,MATCH("Price",Equipment!$A$1:$AH$1,0),FALSE),"")</f>
        <v/>
      </c>
      <c r="H921" s="1" t="b">
        <v>0</v>
      </c>
      <c r="I921" s="1" t="str">
        <f>IFERROR(VLOOKUP($A921,Equipment!$A$2:$AH1001,MATCH("EquipLoc",Equipment!$A$1:$AH$1,0),FALSE),"")</f>
        <v/>
      </c>
      <c r="W921" s="1"/>
      <c r="X921" s="1" t="str">
        <f t="shared" si="1"/>
        <v/>
      </c>
    </row>
    <row r="922">
      <c r="A922" s="1"/>
      <c r="B922" s="18" t="str">
        <f>IFERROR(VLOOKUP($A922,Equipment!$A$2:$AH1001,MATCH("Description",Equipment!$A$1:$AH$1,0),FALSE),"")</f>
        <v/>
      </c>
      <c r="C922" s="18" t="str">
        <f>IFERROR(VLOOKUP($A922,Equipment!$A$2:$AH1001,MATCH("Type",Equipment!$A$1:$AH$1,0),FALSE),"")</f>
        <v/>
      </c>
      <c r="D922" s="18" t="str">
        <f>IFERROR(VLOOKUP($A922,Equipment!$A$2:$AH1001,MATCH("Slot",Equipment!$A$1:$AH$1,0),FALSE),"")</f>
        <v/>
      </c>
      <c r="E922" s="20" t="str">
        <f>IFERROR(VLOOKUP($A922,Equipment!$A$2:$AH1001,MATCH("LevelReq",Equipment!$A$1:$AH$1,0),FALSE),"")</f>
        <v/>
      </c>
      <c r="F922" s="18" t="str">
        <f>IFERROR(VLOOKUP($A922,Equipconvrt!$A$2:$AH1001,MATCH("Abilities",Equipconvrt!$A$1:$AH$1,0),FALSE),"")</f>
        <v/>
      </c>
      <c r="G922" s="20" t="str">
        <f>IFERROR(VLOOKUP($A922,Equipment!$A$2:$AD1001,MATCH("Price",Equipment!$A$1:$AH$1,0),FALSE),"")</f>
        <v/>
      </c>
      <c r="H922" s="1" t="b">
        <v>0</v>
      </c>
      <c r="I922" s="1" t="str">
        <f>IFERROR(VLOOKUP($A922,Equipment!$A$2:$AH1001,MATCH("EquipLoc",Equipment!$A$1:$AH$1,0),FALSE),"")</f>
        <v/>
      </c>
      <c r="W922" s="1"/>
      <c r="X922" s="1" t="str">
        <f t="shared" si="1"/>
        <v/>
      </c>
    </row>
    <row r="923">
      <c r="A923" s="1"/>
      <c r="B923" s="18" t="str">
        <f>IFERROR(VLOOKUP($A923,Equipment!$A$2:$AH1001,MATCH("Description",Equipment!$A$1:$AH$1,0),FALSE),"")</f>
        <v/>
      </c>
      <c r="C923" s="18" t="str">
        <f>IFERROR(VLOOKUP($A923,Equipment!$A$2:$AH1001,MATCH("Type",Equipment!$A$1:$AH$1,0),FALSE),"")</f>
        <v/>
      </c>
      <c r="D923" s="18" t="str">
        <f>IFERROR(VLOOKUP($A923,Equipment!$A$2:$AH1001,MATCH("Slot",Equipment!$A$1:$AH$1,0),FALSE),"")</f>
        <v/>
      </c>
      <c r="E923" s="20" t="str">
        <f>IFERROR(VLOOKUP($A923,Equipment!$A$2:$AH1001,MATCH("LevelReq",Equipment!$A$1:$AH$1,0),FALSE),"")</f>
        <v/>
      </c>
      <c r="F923" s="18" t="str">
        <f>IFERROR(VLOOKUP($A923,Equipconvrt!$A$2:$AH1001,MATCH("Abilities",Equipconvrt!$A$1:$AH$1,0),FALSE),"")</f>
        <v/>
      </c>
      <c r="G923" s="20" t="str">
        <f>IFERROR(VLOOKUP($A923,Equipment!$A$2:$AD1001,MATCH("Price",Equipment!$A$1:$AH$1,0),FALSE),"")</f>
        <v/>
      </c>
      <c r="H923" s="1" t="b">
        <v>0</v>
      </c>
      <c r="I923" s="1" t="str">
        <f>IFERROR(VLOOKUP($A923,Equipment!$A$2:$AH1001,MATCH("EquipLoc",Equipment!$A$1:$AH$1,0),FALSE),"")</f>
        <v/>
      </c>
      <c r="W923" s="1"/>
      <c r="X923" s="1" t="str">
        <f t="shared" si="1"/>
        <v/>
      </c>
    </row>
    <row r="924">
      <c r="A924" s="1"/>
      <c r="B924" s="18" t="str">
        <f>IFERROR(VLOOKUP($A924,Equipment!$A$2:$AH1001,MATCH("Description",Equipment!$A$1:$AH$1,0),FALSE),"")</f>
        <v/>
      </c>
      <c r="C924" s="18" t="str">
        <f>IFERROR(VLOOKUP($A924,Equipment!$A$2:$AH1001,MATCH("Type",Equipment!$A$1:$AH$1,0),FALSE),"")</f>
        <v/>
      </c>
      <c r="D924" s="18" t="str">
        <f>IFERROR(VLOOKUP($A924,Equipment!$A$2:$AH1001,MATCH("Slot",Equipment!$A$1:$AH$1,0),FALSE),"")</f>
        <v/>
      </c>
      <c r="E924" s="20" t="str">
        <f>IFERROR(VLOOKUP($A924,Equipment!$A$2:$AH1001,MATCH("LevelReq",Equipment!$A$1:$AH$1,0),FALSE),"")</f>
        <v/>
      </c>
      <c r="F924" s="18" t="str">
        <f>IFERROR(VLOOKUP($A924,Equipconvrt!$A$2:$AH1001,MATCH("Abilities",Equipconvrt!$A$1:$AH$1,0),FALSE),"")</f>
        <v/>
      </c>
      <c r="G924" s="20" t="str">
        <f>IFERROR(VLOOKUP($A924,Equipment!$A$2:$AD1001,MATCH("Price",Equipment!$A$1:$AH$1,0),FALSE),"")</f>
        <v/>
      </c>
      <c r="H924" s="1" t="b">
        <v>0</v>
      </c>
      <c r="I924" s="1" t="str">
        <f>IFERROR(VLOOKUP($A924,Equipment!$A$2:$AH1001,MATCH("EquipLoc",Equipment!$A$1:$AH$1,0),FALSE),"")</f>
        <v/>
      </c>
      <c r="W924" s="1"/>
      <c r="X924" s="1" t="str">
        <f t="shared" si="1"/>
        <v/>
      </c>
    </row>
    <row r="925">
      <c r="A925" s="1"/>
      <c r="B925" s="18" t="str">
        <f>IFERROR(VLOOKUP($A925,Equipment!$A$2:$AH1001,MATCH("Description",Equipment!$A$1:$AH$1,0),FALSE),"")</f>
        <v/>
      </c>
      <c r="C925" s="18" t="str">
        <f>IFERROR(VLOOKUP($A925,Equipment!$A$2:$AH1001,MATCH("Type",Equipment!$A$1:$AH$1,0),FALSE),"")</f>
        <v/>
      </c>
      <c r="D925" s="18" t="str">
        <f>IFERROR(VLOOKUP($A925,Equipment!$A$2:$AH1001,MATCH("Slot",Equipment!$A$1:$AH$1,0),FALSE),"")</f>
        <v/>
      </c>
      <c r="E925" s="20" t="str">
        <f>IFERROR(VLOOKUP($A925,Equipment!$A$2:$AH1001,MATCH("LevelReq",Equipment!$A$1:$AH$1,0),FALSE),"")</f>
        <v/>
      </c>
      <c r="F925" s="18" t="str">
        <f>IFERROR(VLOOKUP($A925,Equipconvrt!$A$2:$AH1001,MATCH("Abilities",Equipconvrt!$A$1:$AH$1,0),FALSE),"")</f>
        <v/>
      </c>
      <c r="G925" s="20" t="str">
        <f>IFERROR(VLOOKUP($A925,Equipment!$A$2:$AD1001,MATCH("Price",Equipment!$A$1:$AH$1,0),FALSE),"")</f>
        <v/>
      </c>
      <c r="H925" s="1" t="b">
        <v>0</v>
      </c>
      <c r="I925" s="1" t="str">
        <f>IFERROR(VLOOKUP($A925,Equipment!$A$2:$AH1001,MATCH("EquipLoc",Equipment!$A$1:$AH$1,0),FALSE),"")</f>
        <v/>
      </c>
      <c r="W925" s="1"/>
      <c r="X925" s="1" t="str">
        <f t="shared" si="1"/>
        <v/>
      </c>
    </row>
    <row r="926">
      <c r="A926" s="1"/>
      <c r="B926" s="18" t="str">
        <f>IFERROR(VLOOKUP($A926,Equipment!$A$2:$AH1001,MATCH("Description",Equipment!$A$1:$AH$1,0),FALSE),"")</f>
        <v/>
      </c>
      <c r="C926" s="18" t="str">
        <f>IFERROR(VLOOKUP($A926,Equipment!$A$2:$AH1001,MATCH("Type",Equipment!$A$1:$AH$1,0),FALSE),"")</f>
        <v/>
      </c>
      <c r="D926" s="18" t="str">
        <f>IFERROR(VLOOKUP($A926,Equipment!$A$2:$AH1001,MATCH("Slot",Equipment!$A$1:$AH$1,0),FALSE),"")</f>
        <v/>
      </c>
      <c r="E926" s="20" t="str">
        <f>IFERROR(VLOOKUP($A926,Equipment!$A$2:$AH1001,MATCH("LevelReq",Equipment!$A$1:$AH$1,0),FALSE),"")</f>
        <v/>
      </c>
      <c r="F926" s="18" t="str">
        <f>IFERROR(VLOOKUP($A926,Equipconvrt!$A$2:$AH1001,MATCH("Abilities",Equipconvrt!$A$1:$AH$1,0),FALSE),"")</f>
        <v/>
      </c>
      <c r="G926" s="20" t="str">
        <f>IFERROR(VLOOKUP($A926,Equipment!$A$2:$AD1001,MATCH("Price",Equipment!$A$1:$AH$1,0),FALSE),"")</f>
        <v/>
      </c>
      <c r="H926" s="1" t="b">
        <v>0</v>
      </c>
      <c r="I926" s="1" t="str">
        <f>IFERROR(VLOOKUP($A926,Equipment!$A$2:$AH1001,MATCH("EquipLoc",Equipment!$A$1:$AH$1,0),FALSE),"")</f>
        <v/>
      </c>
      <c r="W926" s="1"/>
      <c r="X926" s="1" t="str">
        <f t="shared" si="1"/>
        <v/>
      </c>
    </row>
    <row r="927">
      <c r="A927" s="1"/>
      <c r="B927" s="18" t="str">
        <f>IFERROR(VLOOKUP($A927,Equipment!$A$2:$AH1001,MATCH("Description",Equipment!$A$1:$AH$1,0),FALSE),"")</f>
        <v/>
      </c>
      <c r="C927" s="18" t="str">
        <f>IFERROR(VLOOKUP($A927,Equipment!$A$2:$AH1001,MATCH("Type",Equipment!$A$1:$AH$1,0),FALSE),"")</f>
        <v/>
      </c>
      <c r="D927" s="18" t="str">
        <f>IFERROR(VLOOKUP($A927,Equipment!$A$2:$AH1001,MATCH("Slot",Equipment!$A$1:$AH$1,0),FALSE),"")</f>
        <v/>
      </c>
      <c r="E927" s="20" t="str">
        <f>IFERROR(VLOOKUP($A927,Equipment!$A$2:$AH1001,MATCH("LevelReq",Equipment!$A$1:$AH$1,0),FALSE),"")</f>
        <v/>
      </c>
      <c r="F927" s="18" t="str">
        <f>IFERROR(VLOOKUP($A927,Equipconvrt!$A$2:$AH1001,MATCH("Abilities",Equipconvrt!$A$1:$AH$1,0),FALSE),"")</f>
        <v/>
      </c>
      <c r="G927" s="20" t="str">
        <f>IFERROR(VLOOKUP($A927,Equipment!$A$2:$AD1001,MATCH("Price",Equipment!$A$1:$AH$1,0),FALSE),"")</f>
        <v/>
      </c>
      <c r="H927" s="1" t="b">
        <v>0</v>
      </c>
      <c r="I927" s="1" t="str">
        <f>IFERROR(VLOOKUP($A927,Equipment!$A$2:$AH1001,MATCH("EquipLoc",Equipment!$A$1:$AH$1,0),FALSE),"")</f>
        <v/>
      </c>
      <c r="W927" s="1"/>
      <c r="X927" s="1" t="str">
        <f t="shared" si="1"/>
        <v/>
      </c>
    </row>
    <row r="928">
      <c r="A928" s="1"/>
      <c r="B928" s="18" t="str">
        <f>IFERROR(VLOOKUP($A928,Equipment!$A$2:$AH1001,MATCH("Description",Equipment!$A$1:$AH$1,0),FALSE),"")</f>
        <v/>
      </c>
      <c r="C928" s="18" t="str">
        <f>IFERROR(VLOOKUP($A928,Equipment!$A$2:$AH1001,MATCH("Type",Equipment!$A$1:$AH$1,0),FALSE),"")</f>
        <v/>
      </c>
      <c r="D928" s="18" t="str">
        <f>IFERROR(VLOOKUP($A928,Equipment!$A$2:$AH1001,MATCH("Slot",Equipment!$A$1:$AH$1,0),FALSE),"")</f>
        <v/>
      </c>
      <c r="E928" s="20" t="str">
        <f>IFERROR(VLOOKUP($A928,Equipment!$A$2:$AH1001,MATCH("LevelReq",Equipment!$A$1:$AH$1,0),FALSE),"")</f>
        <v/>
      </c>
      <c r="F928" s="18" t="str">
        <f>IFERROR(VLOOKUP($A928,Equipconvrt!$A$2:$AH1001,MATCH("Abilities",Equipconvrt!$A$1:$AH$1,0),FALSE),"")</f>
        <v/>
      </c>
      <c r="G928" s="20" t="str">
        <f>IFERROR(VLOOKUP($A928,Equipment!$A$2:$AD1001,MATCH("Price",Equipment!$A$1:$AH$1,0),FALSE),"")</f>
        <v/>
      </c>
      <c r="H928" s="1" t="b">
        <v>0</v>
      </c>
      <c r="I928" s="1" t="str">
        <f>IFERROR(VLOOKUP($A928,Equipment!$A$2:$AH1001,MATCH("EquipLoc",Equipment!$A$1:$AH$1,0),FALSE),"")</f>
        <v/>
      </c>
      <c r="W928" s="1"/>
      <c r="X928" s="1" t="str">
        <f t="shared" si="1"/>
        <v/>
      </c>
    </row>
    <row r="929">
      <c r="A929" s="1"/>
      <c r="B929" s="18" t="str">
        <f>IFERROR(VLOOKUP($A929,Equipment!$A$2:$AH1001,MATCH("Description",Equipment!$A$1:$AH$1,0),FALSE),"")</f>
        <v/>
      </c>
      <c r="C929" s="18" t="str">
        <f>IFERROR(VLOOKUP($A929,Equipment!$A$2:$AH1001,MATCH("Type",Equipment!$A$1:$AH$1,0),FALSE),"")</f>
        <v/>
      </c>
      <c r="D929" s="18" t="str">
        <f>IFERROR(VLOOKUP($A929,Equipment!$A$2:$AH1001,MATCH("Slot",Equipment!$A$1:$AH$1,0),FALSE),"")</f>
        <v/>
      </c>
      <c r="E929" s="20" t="str">
        <f>IFERROR(VLOOKUP($A929,Equipment!$A$2:$AH1001,MATCH("LevelReq",Equipment!$A$1:$AH$1,0),FALSE),"")</f>
        <v/>
      </c>
      <c r="F929" s="18" t="str">
        <f>IFERROR(VLOOKUP($A929,Equipconvrt!$A$2:$AH1001,MATCH("Abilities",Equipconvrt!$A$1:$AH$1,0),FALSE),"")</f>
        <v/>
      </c>
      <c r="G929" s="20" t="str">
        <f>IFERROR(VLOOKUP($A929,Equipment!$A$2:$AD1001,MATCH("Price",Equipment!$A$1:$AH$1,0),FALSE),"")</f>
        <v/>
      </c>
      <c r="H929" s="1" t="b">
        <v>0</v>
      </c>
      <c r="I929" s="1" t="str">
        <f>IFERROR(VLOOKUP($A929,Equipment!$A$2:$AH1001,MATCH("EquipLoc",Equipment!$A$1:$AH$1,0),FALSE),"")</f>
        <v/>
      </c>
      <c r="W929" s="1"/>
      <c r="X929" s="1" t="str">
        <f t="shared" si="1"/>
        <v/>
      </c>
    </row>
    <row r="930">
      <c r="A930" s="1"/>
      <c r="B930" s="18" t="str">
        <f>IFERROR(VLOOKUP($A930,Equipment!$A$2:$AH1001,MATCH("Description",Equipment!$A$1:$AH$1,0),FALSE),"")</f>
        <v/>
      </c>
      <c r="C930" s="18" t="str">
        <f>IFERROR(VLOOKUP($A930,Equipment!$A$2:$AH1001,MATCH("Type",Equipment!$A$1:$AH$1,0),FALSE),"")</f>
        <v/>
      </c>
      <c r="D930" s="18" t="str">
        <f>IFERROR(VLOOKUP($A930,Equipment!$A$2:$AH1001,MATCH("Slot",Equipment!$A$1:$AH$1,0),FALSE),"")</f>
        <v/>
      </c>
      <c r="E930" s="20" t="str">
        <f>IFERROR(VLOOKUP($A930,Equipment!$A$2:$AH1001,MATCH("LevelReq",Equipment!$A$1:$AH$1,0),FALSE),"")</f>
        <v/>
      </c>
      <c r="F930" s="18" t="str">
        <f>IFERROR(VLOOKUP($A930,Equipconvrt!$A$2:$AH1001,MATCH("Abilities",Equipconvrt!$A$1:$AH$1,0),FALSE),"")</f>
        <v/>
      </c>
      <c r="G930" s="20" t="str">
        <f>IFERROR(VLOOKUP($A930,Equipment!$A$2:$AD1001,MATCH("Price",Equipment!$A$1:$AH$1,0),FALSE),"")</f>
        <v/>
      </c>
      <c r="H930" s="1" t="b">
        <v>0</v>
      </c>
      <c r="I930" s="1" t="str">
        <f>IFERROR(VLOOKUP($A930,Equipment!$A$2:$AH1001,MATCH("EquipLoc",Equipment!$A$1:$AH$1,0),FALSE),"")</f>
        <v/>
      </c>
      <c r="W930" s="1"/>
      <c r="X930" s="1" t="str">
        <f t="shared" si="1"/>
        <v/>
      </c>
    </row>
    <row r="931">
      <c r="A931" s="1"/>
      <c r="B931" s="18" t="str">
        <f>IFERROR(VLOOKUP($A931,Equipment!$A$2:$AH1001,MATCH("Description",Equipment!$A$1:$AH$1,0),FALSE),"")</f>
        <v/>
      </c>
      <c r="C931" s="18" t="str">
        <f>IFERROR(VLOOKUP($A931,Equipment!$A$2:$AH1001,MATCH("Type",Equipment!$A$1:$AH$1,0),FALSE),"")</f>
        <v/>
      </c>
      <c r="D931" s="18" t="str">
        <f>IFERROR(VLOOKUP($A931,Equipment!$A$2:$AH1001,MATCH("Slot",Equipment!$A$1:$AH$1,0),FALSE),"")</f>
        <v/>
      </c>
      <c r="E931" s="20" t="str">
        <f>IFERROR(VLOOKUP($A931,Equipment!$A$2:$AH1001,MATCH("LevelReq",Equipment!$A$1:$AH$1,0),FALSE),"")</f>
        <v/>
      </c>
      <c r="F931" s="18" t="str">
        <f>IFERROR(VLOOKUP($A931,Equipconvrt!$A$2:$AH1001,MATCH("Abilities",Equipconvrt!$A$1:$AH$1,0),FALSE),"")</f>
        <v/>
      </c>
      <c r="G931" s="20" t="str">
        <f>IFERROR(VLOOKUP($A931,Equipment!$A$2:$AD1001,MATCH("Price",Equipment!$A$1:$AH$1,0),FALSE),"")</f>
        <v/>
      </c>
      <c r="H931" s="1" t="b">
        <v>0</v>
      </c>
      <c r="I931" s="1" t="str">
        <f>IFERROR(VLOOKUP($A931,Equipment!$A$2:$AH1001,MATCH("EquipLoc",Equipment!$A$1:$AH$1,0),FALSE),"")</f>
        <v/>
      </c>
      <c r="W931" s="1"/>
      <c r="X931" s="1" t="str">
        <f t="shared" si="1"/>
        <v/>
      </c>
    </row>
    <row r="932">
      <c r="A932" s="1"/>
      <c r="B932" s="18" t="str">
        <f>IFERROR(VLOOKUP($A932,Equipment!$A$2:$AH1001,MATCH("Description",Equipment!$A$1:$AH$1,0),FALSE),"")</f>
        <v/>
      </c>
      <c r="C932" s="18" t="str">
        <f>IFERROR(VLOOKUP($A932,Equipment!$A$2:$AH1001,MATCH("Type",Equipment!$A$1:$AH$1,0),FALSE),"")</f>
        <v/>
      </c>
      <c r="D932" s="18" t="str">
        <f>IFERROR(VLOOKUP($A932,Equipment!$A$2:$AH1001,MATCH("Slot",Equipment!$A$1:$AH$1,0),FALSE),"")</f>
        <v/>
      </c>
      <c r="E932" s="20" t="str">
        <f>IFERROR(VLOOKUP($A932,Equipment!$A$2:$AH1001,MATCH("LevelReq",Equipment!$A$1:$AH$1,0),FALSE),"")</f>
        <v/>
      </c>
      <c r="F932" s="18" t="str">
        <f>IFERROR(VLOOKUP($A932,Equipconvrt!$A$2:$AH1001,MATCH("Abilities",Equipconvrt!$A$1:$AH$1,0),FALSE),"")</f>
        <v/>
      </c>
      <c r="G932" s="20" t="str">
        <f>IFERROR(VLOOKUP($A932,Equipment!$A$2:$AD1001,MATCH("Price",Equipment!$A$1:$AH$1,0),FALSE),"")</f>
        <v/>
      </c>
      <c r="H932" s="1" t="b">
        <v>0</v>
      </c>
      <c r="I932" s="1" t="str">
        <f>IFERROR(VLOOKUP($A932,Equipment!$A$2:$AH1001,MATCH("EquipLoc",Equipment!$A$1:$AH$1,0),FALSE),"")</f>
        <v/>
      </c>
      <c r="W932" s="1"/>
      <c r="X932" s="1" t="str">
        <f t="shared" si="1"/>
        <v/>
      </c>
    </row>
    <row r="933">
      <c r="A933" s="1"/>
      <c r="B933" s="18" t="str">
        <f>IFERROR(VLOOKUP($A933,Equipment!$A$2:$AH1001,MATCH("Description",Equipment!$A$1:$AH$1,0),FALSE),"")</f>
        <v/>
      </c>
      <c r="C933" s="18" t="str">
        <f>IFERROR(VLOOKUP($A933,Equipment!$A$2:$AH1001,MATCH("Type",Equipment!$A$1:$AH$1,0),FALSE),"")</f>
        <v/>
      </c>
      <c r="D933" s="18" t="str">
        <f>IFERROR(VLOOKUP($A933,Equipment!$A$2:$AH1001,MATCH("Slot",Equipment!$A$1:$AH$1,0),FALSE),"")</f>
        <v/>
      </c>
      <c r="E933" s="20" t="str">
        <f>IFERROR(VLOOKUP($A933,Equipment!$A$2:$AH1001,MATCH("LevelReq",Equipment!$A$1:$AH$1,0),FALSE),"")</f>
        <v/>
      </c>
      <c r="F933" s="18" t="str">
        <f>IFERROR(VLOOKUP($A933,Equipconvrt!$A$2:$AH1001,MATCH("Abilities",Equipconvrt!$A$1:$AH$1,0),FALSE),"")</f>
        <v/>
      </c>
      <c r="G933" s="20" t="str">
        <f>IFERROR(VLOOKUP($A933,Equipment!$A$2:$AD1001,MATCH("Price",Equipment!$A$1:$AH$1,0),FALSE),"")</f>
        <v/>
      </c>
      <c r="H933" s="1" t="b">
        <v>0</v>
      </c>
      <c r="I933" s="1" t="str">
        <f>IFERROR(VLOOKUP($A933,Equipment!$A$2:$AH1001,MATCH("EquipLoc",Equipment!$A$1:$AH$1,0),FALSE),"")</f>
        <v/>
      </c>
      <c r="W933" s="1"/>
      <c r="X933" s="1" t="str">
        <f t="shared" si="1"/>
        <v/>
      </c>
    </row>
    <row r="934">
      <c r="A934" s="1"/>
      <c r="B934" s="18" t="str">
        <f>IFERROR(VLOOKUP($A934,Equipment!$A$2:$AH1001,MATCH("Description",Equipment!$A$1:$AH$1,0),FALSE),"")</f>
        <v/>
      </c>
      <c r="C934" s="18" t="str">
        <f>IFERROR(VLOOKUP($A934,Equipment!$A$2:$AH1001,MATCH("Type",Equipment!$A$1:$AH$1,0),FALSE),"")</f>
        <v/>
      </c>
      <c r="D934" s="18" t="str">
        <f>IFERROR(VLOOKUP($A934,Equipment!$A$2:$AH1001,MATCH("Slot",Equipment!$A$1:$AH$1,0),FALSE),"")</f>
        <v/>
      </c>
      <c r="E934" s="20" t="str">
        <f>IFERROR(VLOOKUP($A934,Equipment!$A$2:$AH1001,MATCH("LevelReq",Equipment!$A$1:$AH$1,0),FALSE),"")</f>
        <v/>
      </c>
      <c r="F934" s="18" t="str">
        <f>IFERROR(VLOOKUP($A934,Equipconvrt!$A$2:$AH1001,MATCH("Abilities",Equipconvrt!$A$1:$AH$1,0),FALSE),"")</f>
        <v/>
      </c>
      <c r="G934" s="20" t="str">
        <f>IFERROR(VLOOKUP($A934,Equipment!$A$2:$AD1001,MATCH("Price",Equipment!$A$1:$AH$1,0),FALSE),"")</f>
        <v/>
      </c>
      <c r="H934" s="1" t="b">
        <v>0</v>
      </c>
      <c r="I934" s="1" t="str">
        <f>IFERROR(VLOOKUP($A934,Equipment!$A$2:$AH1001,MATCH("EquipLoc",Equipment!$A$1:$AH$1,0),FALSE),"")</f>
        <v/>
      </c>
      <c r="W934" s="1"/>
      <c r="X934" s="1" t="str">
        <f t="shared" si="1"/>
        <v/>
      </c>
    </row>
    <row r="935">
      <c r="A935" s="1"/>
      <c r="B935" s="18" t="str">
        <f>IFERROR(VLOOKUP($A935,Equipment!$A$2:$AH1001,MATCH("Description",Equipment!$A$1:$AH$1,0),FALSE),"")</f>
        <v/>
      </c>
      <c r="C935" s="18" t="str">
        <f>IFERROR(VLOOKUP($A935,Equipment!$A$2:$AH1001,MATCH("Type",Equipment!$A$1:$AH$1,0),FALSE),"")</f>
        <v/>
      </c>
      <c r="D935" s="18" t="str">
        <f>IFERROR(VLOOKUP($A935,Equipment!$A$2:$AH1001,MATCH("Slot",Equipment!$A$1:$AH$1,0),FALSE),"")</f>
        <v/>
      </c>
      <c r="E935" s="20" t="str">
        <f>IFERROR(VLOOKUP($A935,Equipment!$A$2:$AH1001,MATCH("LevelReq",Equipment!$A$1:$AH$1,0),FALSE),"")</f>
        <v/>
      </c>
      <c r="F935" s="18" t="str">
        <f>IFERROR(VLOOKUP($A935,Equipconvrt!$A$2:$AH1001,MATCH("Abilities",Equipconvrt!$A$1:$AH$1,0),FALSE),"")</f>
        <v/>
      </c>
      <c r="G935" s="20" t="str">
        <f>IFERROR(VLOOKUP($A935,Equipment!$A$2:$AD1001,MATCH("Price",Equipment!$A$1:$AH$1,0),FALSE),"")</f>
        <v/>
      </c>
      <c r="H935" s="1" t="b">
        <v>0</v>
      </c>
      <c r="I935" s="1" t="str">
        <f>IFERROR(VLOOKUP($A935,Equipment!$A$2:$AH1001,MATCH("EquipLoc",Equipment!$A$1:$AH$1,0),FALSE),"")</f>
        <v/>
      </c>
      <c r="W935" s="1"/>
      <c r="X935" s="1" t="str">
        <f t="shared" si="1"/>
        <v/>
      </c>
    </row>
    <row r="936">
      <c r="A936" s="1"/>
      <c r="B936" s="18" t="str">
        <f>IFERROR(VLOOKUP($A936,Equipment!$A$2:$AH1001,MATCH("Description",Equipment!$A$1:$AH$1,0),FALSE),"")</f>
        <v/>
      </c>
      <c r="C936" s="18" t="str">
        <f>IFERROR(VLOOKUP($A936,Equipment!$A$2:$AH1001,MATCH("Type",Equipment!$A$1:$AH$1,0),FALSE),"")</f>
        <v/>
      </c>
      <c r="D936" s="18" t="str">
        <f>IFERROR(VLOOKUP($A936,Equipment!$A$2:$AH1001,MATCH("Slot",Equipment!$A$1:$AH$1,0),FALSE),"")</f>
        <v/>
      </c>
      <c r="E936" s="20" t="str">
        <f>IFERROR(VLOOKUP($A936,Equipment!$A$2:$AH1001,MATCH("LevelReq",Equipment!$A$1:$AH$1,0),FALSE),"")</f>
        <v/>
      </c>
      <c r="F936" s="18" t="str">
        <f>IFERROR(VLOOKUP($A936,Equipconvrt!$A$2:$AH1001,MATCH("Abilities",Equipconvrt!$A$1:$AH$1,0),FALSE),"")</f>
        <v/>
      </c>
      <c r="G936" s="20" t="str">
        <f>IFERROR(VLOOKUP($A936,Equipment!$A$2:$AD1001,MATCH("Price",Equipment!$A$1:$AH$1,0),FALSE),"")</f>
        <v/>
      </c>
      <c r="H936" s="1" t="b">
        <v>0</v>
      </c>
      <c r="I936" s="1" t="str">
        <f>IFERROR(VLOOKUP($A936,Equipment!$A$2:$AH1001,MATCH("EquipLoc",Equipment!$A$1:$AH$1,0),FALSE),"")</f>
        <v/>
      </c>
      <c r="W936" s="1"/>
      <c r="X936" s="1" t="str">
        <f t="shared" si="1"/>
        <v/>
      </c>
    </row>
    <row r="937">
      <c r="A937" s="1"/>
      <c r="B937" s="18" t="str">
        <f>IFERROR(VLOOKUP($A937,Equipment!$A$2:$AH1001,MATCH("Description",Equipment!$A$1:$AH$1,0),FALSE),"")</f>
        <v/>
      </c>
      <c r="C937" s="18" t="str">
        <f>IFERROR(VLOOKUP($A937,Equipment!$A$2:$AH1001,MATCH("Type",Equipment!$A$1:$AH$1,0),FALSE),"")</f>
        <v/>
      </c>
      <c r="D937" s="18" t="str">
        <f>IFERROR(VLOOKUP($A937,Equipment!$A$2:$AH1001,MATCH("Slot",Equipment!$A$1:$AH$1,0),FALSE),"")</f>
        <v/>
      </c>
      <c r="E937" s="20" t="str">
        <f>IFERROR(VLOOKUP($A937,Equipment!$A$2:$AH1001,MATCH("LevelReq",Equipment!$A$1:$AH$1,0),FALSE),"")</f>
        <v/>
      </c>
      <c r="F937" s="18" t="str">
        <f>IFERROR(VLOOKUP($A937,Equipconvrt!$A$2:$AH1001,MATCH("Abilities",Equipconvrt!$A$1:$AH$1,0),FALSE),"")</f>
        <v/>
      </c>
      <c r="G937" s="20" t="str">
        <f>IFERROR(VLOOKUP($A937,Equipment!$A$2:$AD1001,MATCH("Price",Equipment!$A$1:$AH$1,0),FALSE),"")</f>
        <v/>
      </c>
      <c r="H937" s="1" t="b">
        <v>0</v>
      </c>
      <c r="I937" s="1" t="str">
        <f>IFERROR(VLOOKUP($A937,Equipment!$A$2:$AH1001,MATCH("EquipLoc",Equipment!$A$1:$AH$1,0),FALSE),"")</f>
        <v/>
      </c>
      <c r="W937" s="1"/>
      <c r="X937" s="1" t="str">
        <f t="shared" si="1"/>
        <v/>
      </c>
    </row>
    <row r="938">
      <c r="A938" s="1"/>
      <c r="B938" s="18" t="str">
        <f>IFERROR(VLOOKUP($A938,Equipment!$A$2:$AH1001,MATCH("Description",Equipment!$A$1:$AH$1,0),FALSE),"")</f>
        <v/>
      </c>
      <c r="C938" s="18" t="str">
        <f>IFERROR(VLOOKUP($A938,Equipment!$A$2:$AH1001,MATCH("Type",Equipment!$A$1:$AH$1,0),FALSE),"")</f>
        <v/>
      </c>
      <c r="D938" s="18" t="str">
        <f>IFERROR(VLOOKUP($A938,Equipment!$A$2:$AH1001,MATCH("Slot",Equipment!$A$1:$AH$1,0),FALSE),"")</f>
        <v/>
      </c>
      <c r="E938" s="20" t="str">
        <f>IFERROR(VLOOKUP($A938,Equipment!$A$2:$AH1001,MATCH("LevelReq",Equipment!$A$1:$AH$1,0),FALSE),"")</f>
        <v/>
      </c>
      <c r="F938" s="18" t="str">
        <f>IFERROR(VLOOKUP($A938,Equipconvrt!$A$2:$AH1001,MATCH("Abilities",Equipconvrt!$A$1:$AH$1,0),FALSE),"")</f>
        <v/>
      </c>
      <c r="G938" s="20" t="str">
        <f>IFERROR(VLOOKUP($A938,Equipment!$A$2:$AD1001,MATCH("Price",Equipment!$A$1:$AH$1,0),FALSE),"")</f>
        <v/>
      </c>
      <c r="H938" s="1" t="b">
        <v>0</v>
      </c>
      <c r="I938" s="1" t="str">
        <f>IFERROR(VLOOKUP($A938,Equipment!$A$2:$AH1001,MATCH("EquipLoc",Equipment!$A$1:$AH$1,0),FALSE),"")</f>
        <v/>
      </c>
      <c r="W938" s="1"/>
      <c r="X938" s="1" t="str">
        <f t="shared" si="1"/>
        <v/>
      </c>
    </row>
    <row r="939">
      <c r="A939" s="1"/>
      <c r="B939" s="18" t="str">
        <f>IFERROR(VLOOKUP($A939,Equipment!$A$2:$AH1001,MATCH("Description",Equipment!$A$1:$AH$1,0),FALSE),"")</f>
        <v/>
      </c>
      <c r="C939" s="18" t="str">
        <f>IFERROR(VLOOKUP($A939,Equipment!$A$2:$AH1001,MATCH("Type",Equipment!$A$1:$AH$1,0),FALSE),"")</f>
        <v/>
      </c>
      <c r="D939" s="18" t="str">
        <f>IFERROR(VLOOKUP($A939,Equipment!$A$2:$AH1001,MATCH("Slot",Equipment!$A$1:$AH$1,0),FALSE),"")</f>
        <v/>
      </c>
      <c r="E939" s="20" t="str">
        <f>IFERROR(VLOOKUP($A939,Equipment!$A$2:$AH1001,MATCH("LevelReq",Equipment!$A$1:$AH$1,0),FALSE),"")</f>
        <v/>
      </c>
      <c r="F939" s="18" t="str">
        <f>IFERROR(VLOOKUP($A939,Equipconvrt!$A$2:$AH1001,MATCH("Abilities",Equipconvrt!$A$1:$AH$1,0),FALSE),"")</f>
        <v/>
      </c>
      <c r="G939" s="20" t="str">
        <f>IFERROR(VLOOKUP($A939,Equipment!$A$2:$AD1001,MATCH("Price",Equipment!$A$1:$AH$1,0),FALSE),"")</f>
        <v/>
      </c>
      <c r="H939" s="1" t="b">
        <v>0</v>
      </c>
      <c r="I939" s="1" t="str">
        <f>IFERROR(VLOOKUP($A939,Equipment!$A$2:$AH1001,MATCH("EquipLoc",Equipment!$A$1:$AH$1,0),FALSE),"")</f>
        <v/>
      </c>
      <c r="W939" s="1"/>
      <c r="X939" s="1" t="str">
        <f t="shared" si="1"/>
        <v/>
      </c>
    </row>
    <row r="940">
      <c r="A940" s="1"/>
      <c r="B940" s="18" t="str">
        <f>IFERROR(VLOOKUP($A940,Equipment!$A$2:$AH1001,MATCH("Description",Equipment!$A$1:$AH$1,0),FALSE),"")</f>
        <v/>
      </c>
      <c r="C940" s="18" t="str">
        <f>IFERROR(VLOOKUP($A940,Equipment!$A$2:$AH1001,MATCH("Type",Equipment!$A$1:$AH$1,0),FALSE),"")</f>
        <v/>
      </c>
      <c r="D940" s="18" t="str">
        <f>IFERROR(VLOOKUP($A940,Equipment!$A$2:$AH1001,MATCH("Slot",Equipment!$A$1:$AH$1,0),FALSE),"")</f>
        <v/>
      </c>
      <c r="E940" s="20" t="str">
        <f>IFERROR(VLOOKUP($A940,Equipment!$A$2:$AH1001,MATCH("LevelReq",Equipment!$A$1:$AH$1,0),FALSE),"")</f>
        <v/>
      </c>
      <c r="F940" s="18" t="str">
        <f>IFERROR(VLOOKUP($A940,Equipconvrt!$A$2:$AH1001,MATCH("Abilities",Equipconvrt!$A$1:$AH$1,0),FALSE),"")</f>
        <v/>
      </c>
      <c r="G940" s="20" t="str">
        <f>IFERROR(VLOOKUP($A940,Equipment!$A$2:$AD1001,MATCH("Price",Equipment!$A$1:$AH$1,0),FALSE),"")</f>
        <v/>
      </c>
      <c r="H940" s="1" t="b">
        <v>0</v>
      </c>
      <c r="I940" s="1" t="str">
        <f>IFERROR(VLOOKUP($A940,Equipment!$A$2:$AH1001,MATCH("EquipLoc",Equipment!$A$1:$AH$1,0),FALSE),"")</f>
        <v/>
      </c>
      <c r="W940" s="1"/>
      <c r="X940" s="1" t="str">
        <f t="shared" si="1"/>
        <v/>
      </c>
    </row>
    <row r="941">
      <c r="A941" s="1"/>
      <c r="B941" s="18" t="str">
        <f>IFERROR(VLOOKUP($A941,Equipment!$A$2:$AH1001,MATCH("Description",Equipment!$A$1:$AH$1,0),FALSE),"")</f>
        <v/>
      </c>
      <c r="C941" s="18" t="str">
        <f>IFERROR(VLOOKUP($A941,Equipment!$A$2:$AH1001,MATCH("Type",Equipment!$A$1:$AH$1,0),FALSE),"")</f>
        <v/>
      </c>
      <c r="D941" s="18" t="str">
        <f>IFERROR(VLOOKUP($A941,Equipment!$A$2:$AH1001,MATCH("Slot",Equipment!$A$1:$AH$1,0),FALSE),"")</f>
        <v/>
      </c>
      <c r="E941" s="20" t="str">
        <f>IFERROR(VLOOKUP($A941,Equipment!$A$2:$AH1001,MATCH("LevelReq",Equipment!$A$1:$AH$1,0),FALSE),"")</f>
        <v/>
      </c>
      <c r="F941" s="18" t="str">
        <f>IFERROR(VLOOKUP($A941,Equipconvrt!$A$2:$AH1001,MATCH("Abilities",Equipconvrt!$A$1:$AH$1,0),FALSE),"")</f>
        <v/>
      </c>
      <c r="G941" s="20" t="str">
        <f>IFERROR(VLOOKUP($A941,Equipment!$A$2:$AD1001,MATCH("Price",Equipment!$A$1:$AH$1,0),FALSE),"")</f>
        <v/>
      </c>
      <c r="H941" s="1" t="b">
        <v>0</v>
      </c>
      <c r="I941" s="1" t="str">
        <f>IFERROR(VLOOKUP($A941,Equipment!$A$2:$AH1001,MATCH("EquipLoc",Equipment!$A$1:$AH$1,0),FALSE),"")</f>
        <v/>
      </c>
      <c r="W941" s="1"/>
      <c r="X941" s="1" t="str">
        <f t="shared" si="1"/>
        <v/>
      </c>
    </row>
    <row r="942">
      <c r="A942" s="1"/>
      <c r="B942" s="18" t="str">
        <f>IFERROR(VLOOKUP($A942,Equipment!$A$2:$AH1001,MATCH("Description",Equipment!$A$1:$AH$1,0),FALSE),"")</f>
        <v/>
      </c>
      <c r="C942" s="18" t="str">
        <f>IFERROR(VLOOKUP($A942,Equipment!$A$2:$AH1001,MATCH("Type",Equipment!$A$1:$AH$1,0),FALSE),"")</f>
        <v/>
      </c>
      <c r="D942" s="18" t="str">
        <f>IFERROR(VLOOKUP($A942,Equipment!$A$2:$AH1001,MATCH("Slot",Equipment!$A$1:$AH$1,0),FALSE),"")</f>
        <v/>
      </c>
      <c r="E942" s="20" t="str">
        <f>IFERROR(VLOOKUP($A942,Equipment!$A$2:$AH1001,MATCH("LevelReq",Equipment!$A$1:$AH$1,0),FALSE),"")</f>
        <v/>
      </c>
      <c r="F942" s="18" t="str">
        <f>IFERROR(VLOOKUP($A942,Equipconvrt!$A$2:$AH1001,MATCH("Abilities",Equipconvrt!$A$1:$AH$1,0),FALSE),"")</f>
        <v/>
      </c>
      <c r="G942" s="20" t="str">
        <f>IFERROR(VLOOKUP($A942,Equipment!$A$2:$AD1001,MATCH("Price",Equipment!$A$1:$AH$1,0),FALSE),"")</f>
        <v/>
      </c>
      <c r="H942" s="1" t="b">
        <v>0</v>
      </c>
      <c r="I942" s="1" t="str">
        <f>IFERROR(VLOOKUP($A942,Equipment!$A$2:$AH1001,MATCH("EquipLoc",Equipment!$A$1:$AH$1,0),FALSE),"")</f>
        <v/>
      </c>
      <c r="W942" s="1"/>
      <c r="X942" s="1" t="str">
        <f t="shared" si="1"/>
        <v/>
      </c>
    </row>
    <row r="943">
      <c r="A943" s="1"/>
      <c r="B943" s="18" t="str">
        <f>IFERROR(VLOOKUP($A943,Equipment!$A$2:$AH1001,MATCH("Description",Equipment!$A$1:$AH$1,0),FALSE),"")</f>
        <v/>
      </c>
      <c r="C943" s="18" t="str">
        <f>IFERROR(VLOOKUP($A943,Equipment!$A$2:$AH1001,MATCH("Type",Equipment!$A$1:$AH$1,0),FALSE),"")</f>
        <v/>
      </c>
      <c r="D943" s="18" t="str">
        <f>IFERROR(VLOOKUP($A943,Equipment!$A$2:$AH1001,MATCH("Slot",Equipment!$A$1:$AH$1,0),FALSE),"")</f>
        <v/>
      </c>
      <c r="E943" s="20" t="str">
        <f>IFERROR(VLOOKUP($A943,Equipment!$A$2:$AH1001,MATCH("LevelReq",Equipment!$A$1:$AH$1,0),FALSE),"")</f>
        <v/>
      </c>
      <c r="F943" s="18" t="str">
        <f>IFERROR(VLOOKUP($A943,Equipconvrt!$A$2:$AH1001,MATCH("Abilities",Equipconvrt!$A$1:$AH$1,0),FALSE),"")</f>
        <v/>
      </c>
      <c r="G943" s="20" t="str">
        <f>IFERROR(VLOOKUP($A943,Equipment!$A$2:$AD1001,MATCH("Price",Equipment!$A$1:$AH$1,0),FALSE),"")</f>
        <v/>
      </c>
      <c r="H943" s="1" t="b">
        <v>0</v>
      </c>
      <c r="I943" s="1" t="str">
        <f>IFERROR(VLOOKUP($A943,Equipment!$A$2:$AH1001,MATCH("EquipLoc",Equipment!$A$1:$AH$1,0),FALSE),"")</f>
        <v/>
      </c>
      <c r="W943" s="1"/>
      <c r="X943" s="1" t="str">
        <f t="shared" si="1"/>
        <v/>
      </c>
    </row>
    <row r="944">
      <c r="A944" s="1"/>
      <c r="B944" s="18" t="str">
        <f>IFERROR(VLOOKUP($A944,Equipment!$A$2:$AH1001,MATCH("Description",Equipment!$A$1:$AH$1,0),FALSE),"")</f>
        <v/>
      </c>
      <c r="C944" s="18" t="str">
        <f>IFERROR(VLOOKUP($A944,Equipment!$A$2:$AH1001,MATCH("Type",Equipment!$A$1:$AH$1,0),FALSE),"")</f>
        <v/>
      </c>
      <c r="D944" s="18" t="str">
        <f>IFERROR(VLOOKUP($A944,Equipment!$A$2:$AH1001,MATCH("Slot",Equipment!$A$1:$AH$1,0),FALSE),"")</f>
        <v/>
      </c>
      <c r="E944" s="20" t="str">
        <f>IFERROR(VLOOKUP($A944,Equipment!$A$2:$AH1001,MATCH("LevelReq",Equipment!$A$1:$AH$1,0),FALSE),"")</f>
        <v/>
      </c>
      <c r="F944" s="18" t="str">
        <f>IFERROR(VLOOKUP($A944,Equipconvrt!$A$2:$AH1001,MATCH("Abilities",Equipconvrt!$A$1:$AH$1,0),FALSE),"")</f>
        <v/>
      </c>
      <c r="G944" s="20" t="str">
        <f>IFERROR(VLOOKUP($A944,Equipment!$A$2:$AD1001,MATCH("Price",Equipment!$A$1:$AH$1,0),FALSE),"")</f>
        <v/>
      </c>
      <c r="H944" s="1" t="b">
        <v>0</v>
      </c>
      <c r="I944" s="1" t="str">
        <f>IFERROR(VLOOKUP($A944,Equipment!$A$2:$AH1001,MATCH("EquipLoc",Equipment!$A$1:$AH$1,0),FALSE),"")</f>
        <v/>
      </c>
      <c r="W944" s="1"/>
      <c r="X944" s="1" t="str">
        <f t="shared" si="1"/>
        <v/>
      </c>
    </row>
    <row r="945">
      <c r="A945" s="1"/>
      <c r="B945" s="18" t="str">
        <f>IFERROR(VLOOKUP($A945,Equipment!$A$2:$AH1001,MATCH("Description",Equipment!$A$1:$AH$1,0),FALSE),"")</f>
        <v/>
      </c>
      <c r="C945" s="18" t="str">
        <f>IFERROR(VLOOKUP($A945,Equipment!$A$2:$AH1001,MATCH("Type",Equipment!$A$1:$AH$1,0),FALSE),"")</f>
        <v/>
      </c>
      <c r="D945" s="18" t="str">
        <f>IFERROR(VLOOKUP($A945,Equipment!$A$2:$AH1001,MATCH("Slot",Equipment!$A$1:$AH$1,0),FALSE),"")</f>
        <v/>
      </c>
      <c r="E945" s="20" t="str">
        <f>IFERROR(VLOOKUP($A945,Equipment!$A$2:$AH1001,MATCH("LevelReq",Equipment!$A$1:$AH$1,0),FALSE),"")</f>
        <v/>
      </c>
      <c r="F945" s="18" t="str">
        <f>IFERROR(VLOOKUP($A945,Equipconvrt!$A$2:$AH1001,MATCH("Abilities",Equipconvrt!$A$1:$AH$1,0),FALSE),"")</f>
        <v/>
      </c>
      <c r="G945" s="20" t="str">
        <f>IFERROR(VLOOKUP($A945,Equipment!$A$2:$AD1001,MATCH("Price",Equipment!$A$1:$AH$1,0),FALSE),"")</f>
        <v/>
      </c>
      <c r="H945" s="1" t="b">
        <v>0</v>
      </c>
      <c r="I945" s="1" t="str">
        <f>IFERROR(VLOOKUP($A945,Equipment!$A$2:$AH1001,MATCH("EquipLoc",Equipment!$A$1:$AH$1,0),FALSE),"")</f>
        <v/>
      </c>
      <c r="W945" s="1"/>
      <c r="X945" s="1" t="str">
        <f t="shared" si="1"/>
        <v/>
      </c>
    </row>
    <row r="946">
      <c r="A946" s="1"/>
      <c r="B946" s="18" t="str">
        <f>IFERROR(VLOOKUP($A946,Equipment!$A$2:$AH1001,MATCH("Description",Equipment!$A$1:$AH$1,0),FALSE),"")</f>
        <v/>
      </c>
      <c r="C946" s="18" t="str">
        <f>IFERROR(VLOOKUP($A946,Equipment!$A$2:$AH1001,MATCH("Type",Equipment!$A$1:$AH$1,0),FALSE),"")</f>
        <v/>
      </c>
      <c r="D946" s="18" t="str">
        <f>IFERROR(VLOOKUP($A946,Equipment!$A$2:$AH1001,MATCH("Slot",Equipment!$A$1:$AH$1,0),FALSE),"")</f>
        <v/>
      </c>
      <c r="E946" s="20" t="str">
        <f>IFERROR(VLOOKUP($A946,Equipment!$A$2:$AH1001,MATCH("LevelReq",Equipment!$A$1:$AH$1,0),FALSE),"")</f>
        <v/>
      </c>
      <c r="F946" s="18" t="str">
        <f>IFERROR(VLOOKUP($A946,Equipconvrt!$A$2:$AH1001,MATCH("Abilities",Equipconvrt!$A$1:$AH$1,0),FALSE),"")</f>
        <v/>
      </c>
      <c r="G946" s="20" t="str">
        <f>IFERROR(VLOOKUP($A946,Equipment!$A$2:$AD1001,MATCH("Price",Equipment!$A$1:$AH$1,0),FALSE),"")</f>
        <v/>
      </c>
      <c r="H946" s="1" t="b">
        <v>0</v>
      </c>
      <c r="I946" s="1" t="str">
        <f>IFERROR(VLOOKUP($A946,Equipment!$A$2:$AH1001,MATCH("EquipLoc",Equipment!$A$1:$AH$1,0),FALSE),"")</f>
        <v/>
      </c>
      <c r="W946" s="1"/>
      <c r="X946" s="1" t="str">
        <f t="shared" si="1"/>
        <v/>
      </c>
    </row>
    <row r="947">
      <c r="A947" s="1"/>
      <c r="B947" s="18" t="str">
        <f>IFERROR(VLOOKUP($A947,Equipment!$A$2:$AH1001,MATCH("Description",Equipment!$A$1:$AH$1,0),FALSE),"")</f>
        <v/>
      </c>
      <c r="C947" s="18" t="str">
        <f>IFERROR(VLOOKUP($A947,Equipment!$A$2:$AH1001,MATCH("Type",Equipment!$A$1:$AH$1,0),FALSE),"")</f>
        <v/>
      </c>
      <c r="D947" s="18" t="str">
        <f>IFERROR(VLOOKUP($A947,Equipment!$A$2:$AH1001,MATCH("Slot",Equipment!$A$1:$AH$1,0),FALSE),"")</f>
        <v/>
      </c>
      <c r="E947" s="20" t="str">
        <f>IFERROR(VLOOKUP($A947,Equipment!$A$2:$AH1001,MATCH("LevelReq",Equipment!$A$1:$AH$1,0),FALSE),"")</f>
        <v/>
      </c>
      <c r="F947" s="18" t="str">
        <f>IFERROR(VLOOKUP($A947,Equipconvrt!$A$2:$AH1001,MATCH("Abilities",Equipconvrt!$A$1:$AH$1,0),FALSE),"")</f>
        <v/>
      </c>
      <c r="G947" s="20" t="str">
        <f>IFERROR(VLOOKUP($A947,Equipment!$A$2:$AD1001,MATCH("Price",Equipment!$A$1:$AH$1,0),FALSE),"")</f>
        <v/>
      </c>
      <c r="H947" s="1" t="b">
        <v>0</v>
      </c>
      <c r="I947" s="1" t="str">
        <f>IFERROR(VLOOKUP($A947,Equipment!$A$2:$AH1001,MATCH("EquipLoc",Equipment!$A$1:$AH$1,0),FALSE),"")</f>
        <v/>
      </c>
      <c r="W947" s="1"/>
      <c r="X947" s="1" t="str">
        <f t="shared" si="1"/>
        <v/>
      </c>
    </row>
    <row r="948">
      <c r="A948" s="1"/>
      <c r="B948" s="18" t="str">
        <f>IFERROR(VLOOKUP($A948,Equipment!$A$2:$AH1001,MATCH("Description",Equipment!$A$1:$AH$1,0),FALSE),"")</f>
        <v/>
      </c>
      <c r="C948" s="18" t="str">
        <f>IFERROR(VLOOKUP($A948,Equipment!$A$2:$AH1001,MATCH("Type",Equipment!$A$1:$AH$1,0),FALSE),"")</f>
        <v/>
      </c>
      <c r="D948" s="18" t="str">
        <f>IFERROR(VLOOKUP($A948,Equipment!$A$2:$AH1001,MATCH("Slot",Equipment!$A$1:$AH$1,0),FALSE),"")</f>
        <v/>
      </c>
      <c r="E948" s="20" t="str">
        <f>IFERROR(VLOOKUP($A948,Equipment!$A$2:$AH1001,MATCH("LevelReq",Equipment!$A$1:$AH$1,0),FALSE),"")</f>
        <v/>
      </c>
      <c r="F948" s="18" t="str">
        <f>IFERROR(VLOOKUP($A948,Equipconvrt!$A$2:$AH1001,MATCH("Abilities",Equipconvrt!$A$1:$AH$1,0),FALSE),"")</f>
        <v/>
      </c>
      <c r="G948" s="20" t="str">
        <f>IFERROR(VLOOKUP($A948,Equipment!$A$2:$AD1001,MATCH("Price",Equipment!$A$1:$AH$1,0),FALSE),"")</f>
        <v/>
      </c>
      <c r="H948" s="1" t="b">
        <v>0</v>
      </c>
      <c r="I948" s="1" t="str">
        <f>IFERROR(VLOOKUP($A948,Equipment!$A$2:$AH1001,MATCH("EquipLoc",Equipment!$A$1:$AH$1,0),FALSE),"")</f>
        <v/>
      </c>
      <c r="W948" s="1"/>
      <c r="X948" s="1" t="str">
        <f t="shared" si="1"/>
        <v/>
      </c>
    </row>
    <row r="949">
      <c r="A949" s="1"/>
      <c r="B949" s="18" t="str">
        <f>IFERROR(VLOOKUP($A949,Equipment!$A$2:$AH1001,MATCH("Description",Equipment!$A$1:$AH$1,0),FALSE),"")</f>
        <v/>
      </c>
      <c r="C949" s="18" t="str">
        <f>IFERROR(VLOOKUP($A949,Equipment!$A$2:$AH1001,MATCH("Type",Equipment!$A$1:$AH$1,0),FALSE),"")</f>
        <v/>
      </c>
      <c r="D949" s="18" t="str">
        <f>IFERROR(VLOOKUP($A949,Equipment!$A$2:$AH1001,MATCH("Slot",Equipment!$A$1:$AH$1,0),FALSE),"")</f>
        <v/>
      </c>
      <c r="E949" s="20" t="str">
        <f>IFERROR(VLOOKUP($A949,Equipment!$A$2:$AH1001,MATCH("LevelReq",Equipment!$A$1:$AH$1,0),FALSE),"")</f>
        <v/>
      </c>
      <c r="F949" s="18" t="str">
        <f>IFERROR(VLOOKUP($A949,Equipconvrt!$A$2:$AH1001,MATCH("Abilities",Equipconvrt!$A$1:$AH$1,0),FALSE),"")</f>
        <v/>
      </c>
      <c r="G949" s="20" t="str">
        <f>IFERROR(VLOOKUP($A949,Equipment!$A$2:$AD1001,MATCH("Price",Equipment!$A$1:$AH$1,0),FALSE),"")</f>
        <v/>
      </c>
      <c r="H949" s="1" t="b">
        <v>0</v>
      </c>
      <c r="I949" s="1" t="str">
        <f>IFERROR(VLOOKUP($A949,Equipment!$A$2:$AH1001,MATCH("EquipLoc",Equipment!$A$1:$AH$1,0),FALSE),"")</f>
        <v/>
      </c>
      <c r="W949" s="1"/>
      <c r="X949" s="1" t="str">
        <f t="shared" si="1"/>
        <v/>
      </c>
    </row>
    <row r="950">
      <c r="A950" s="1"/>
      <c r="B950" s="18" t="str">
        <f>IFERROR(VLOOKUP($A950,Equipment!$A$2:$AH1001,MATCH("Description",Equipment!$A$1:$AH$1,0),FALSE),"")</f>
        <v/>
      </c>
      <c r="C950" s="18" t="str">
        <f>IFERROR(VLOOKUP($A950,Equipment!$A$2:$AH1001,MATCH("Type",Equipment!$A$1:$AH$1,0),FALSE),"")</f>
        <v/>
      </c>
      <c r="D950" s="18" t="str">
        <f>IFERROR(VLOOKUP($A950,Equipment!$A$2:$AH1001,MATCH("Slot",Equipment!$A$1:$AH$1,0),FALSE),"")</f>
        <v/>
      </c>
      <c r="E950" s="20" t="str">
        <f>IFERROR(VLOOKUP($A950,Equipment!$A$2:$AH1001,MATCH("LevelReq",Equipment!$A$1:$AH$1,0),FALSE),"")</f>
        <v/>
      </c>
      <c r="F950" s="18" t="str">
        <f>IFERROR(VLOOKUP($A950,Equipconvrt!$A$2:$AH1001,MATCH("Abilities",Equipconvrt!$A$1:$AH$1,0),FALSE),"")</f>
        <v/>
      </c>
      <c r="G950" s="20" t="str">
        <f>IFERROR(VLOOKUP($A950,Equipment!$A$2:$AD1001,MATCH("Price",Equipment!$A$1:$AH$1,0),FALSE),"")</f>
        <v/>
      </c>
      <c r="H950" s="1" t="b">
        <v>0</v>
      </c>
      <c r="I950" s="1" t="str">
        <f>IFERROR(VLOOKUP($A950,Equipment!$A$2:$AH1001,MATCH("EquipLoc",Equipment!$A$1:$AH$1,0),FALSE),"")</f>
        <v/>
      </c>
      <c r="W950" s="1"/>
      <c r="X950" s="1" t="str">
        <f t="shared" si="1"/>
        <v/>
      </c>
    </row>
    <row r="951">
      <c r="A951" s="1"/>
      <c r="B951" s="18" t="str">
        <f>IFERROR(VLOOKUP($A951,Equipment!$A$2:$AH1001,MATCH("Description",Equipment!$A$1:$AH$1,0),FALSE),"")</f>
        <v/>
      </c>
      <c r="C951" s="18" t="str">
        <f>IFERROR(VLOOKUP($A951,Equipment!$A$2:$AH1001,MATCH("Type",Equipment!$A$1:$AH$1,0),FALSE),"")</f>
        <v/>
      </c>
      <c r="D951" s="18" t="str">
        <f>IFERROR(VLOOKUP($A951,Equipment!$A$2:$AH1001,MATCH("Slot",Equipment!$A$1:$AH$1,0),FALSE),"")</f>
        <v/>
      </c>
      <c r="E951" s="20" t="str">
        <f>IFERROR(VLOOKUP($A951,Equipment!$A$2:$AH1001,MATCH("LevelReq",Equipment!$A$1:$AH$1,0),FALSE),"")</f>
        <v/>
      </c>
      <c r="F951" s="18" t="str">
        <f>IFERROR(VLOOKUP($A951,Equipconvrt!$A$2:$AH1001,MATCH("Abilities",Equipconvrt!$A$1:$AH$1,0),FALSE),"")</f>
        <v/>
      </c>
      <c r="G951" s="20" t="str">
        <f>IFERROR(VLOOKUP($A951,Equipment!$A$2:$AD1001,MATCH("Price",Equipment!$A$1:$AH$1,0),FALSE),"")</f>
        <v/>
      </c>
      <c r="H951" s="1" t="b">
        <v>0</v>
      </c>
      <c r="I951" s="1" t="str">
        <f>IFERROR(VLOOKUP($A951,Equipment!$A$2:$AH1001,MATCH("EquipLoc",Equipment!$A$1:$AH$1,0),FALSE),"")</f>
        <v/>
      </c>
      <c r="W951" s="1"/>
      <c r="X951" s="1" t="str">
        <f t="shared" si="1"/>
        <v/>
      </c>
    </row>
    <row r="952">
      <c r="A952" s="1"/>
      <c r="B952" s="18" t="str">
        <f>IFERROR(VLOOKUP($A952,Equipment!$A$2:$AH1001,MATCH("Description",Equipment!$A$1:$AH$1,0),FALSE),"")</f>
        <v/>
      </c>
      <c r="C952" s="18" t="str">
        <f>IFERROR(VLOOKUP($A952,Equipment!$A$2:$AH1001,MATCH("Type",Equipment!$A$1:$AH$1,0),FALSE),"")</f>
        <v/>
      </c>
      <c r="D952" s="18" t="str">
        <f>IFERROR(VLOOKUP($A952,Equipment!$A$2:$AH1001,MATCH("Slot",Equipment!$A$1:$AH$1,0),FALSE),"")</f>
        <v/>
      </c>
      <c r="E952" s="20" t="str">
        <f>IFERROR(VLOOKUP($A952,Equipment!$A$2:$AH1001,MATCH("LevelReq",Equipment!$A$1:$AH$1,0),FALSE),"")</f>
        <v/>
      </c>
      <c r="F952" s="18" t="str">
        <f>IFERROR(VLOOKUP($A952,Equipconvrt!$A$2:$AH1001,MATCH("Abilities",Equipconvrt!$A$1:$AH$1,0),FALSE),"")</f>
        <v/>
      </c>
      <c r="G952" s="20" t="str">
        <f>IFERROR(VLOOKUP($A952,Equipment!$A$2:$AD1001,MATCH("Price",Equipment!$A$1:$AH$1,0),FALSE),"")</f>
        <v/>
      </c>
      <c r="H952" s="1" t="b">
        <v>0</v>
      </c>
      <c r="I952" s="1" t="str">
        <f>IFERROR(VLOOKUP($A952,Equipment!$A$2:$AH1001,MATCH("EquipLoc",Equipment!$A$1:$AH$1,0),FALSE),"")</f>
        <v/>
      </c>
      <c r="W952" s="1"/>
      <c r="X952" s="1" t="str">
        <f t="shared" si="1"/>
        <v/>
      </c>
    </row>
    <row r="953">
      <c r="A953" s="1"/>
      <c r="B953" s="18" t="str">
        <f>IFERROR(VLOOKUP($A953,Equipment!$A$2:$AH1001,MATCH("Description",Equipment!$A$1:$AH$1,0),FALSE),"")</f>
        <v/>
      </c>
      <c r="C953" s="18" t="str">
        <f>IFERROR(VLOOKUP($A953,Equipment!$A$2:$AH1001,MATCH("Type",Equipment!$A$1:$AH$1,0),FALSE),"")</f>
        <v/>
      </c>
      <c r="D953" s="18" t="str">
        <f>IFERROR(VLOOKUP($A953,Equipment!$A$2:$AH1001,MATCH("Slot",Equipment!$A$1:$AH$1,0),FALSE),"")</f>
        <v/>
      </c>
      <c r="E953" s="20" t="str">
        <f>IFERROR(VLOOKUP($A953,Equipment!$A$2:$AH1001,MATCH("LevelReq",Equipment!$A$1:$AH$1,0),FALSE),"")</f>
        <v/>
      </c>
      <c r="F953" s="18" t="str">
        <f>IFERROR(VLOOKUP($A953,Equipconvrt!$A$2:$AH1001,MATCH("Abilities",Equipconvrt!$A$1:$AH$1,0),FALSE),"")</f>
        <v/>
      </c>
      <c r="G953" s="20" t="str">
        <f>IFERROR(VLOOKUP($A953,Equipment!$A$2:$AD1001,MATCH("Price",Equipment!$A$1:$AH$1,0),FALSE),"")</f>
        <v/>
      </c>
      <c r="H953" s="1" t="b">
        <v>0</v>
      </c>
      <c r="I953" s="1" t="str">
        <f>IFERROR(VLOOKUP($A953,Equipment!$A$2:$AH1001,MATCH("EquipLoc",Equipment!$A$1:$AH$1,0),FALSE),"")</f>
        <v/>
      </c>
      <c r="W953" s="1"/>
      <c r="X953" s="1" t="str">
        <f t="shared" si="1"/>
        <v/>
      </c>
    </row>
    <row r="954">
      <c r="A954" s="1"/>
      <c r="B954" s="18" t="str">
        <f>IFERROR(VLOOKUP($A954,Equipment!$A$2:$AH1001,MATCH("Description",Equipment!$A$1:$AH$1,0),FALSE),"")</f>
        <v/>
      </c>
      <c r="C954" s="18" t="str">
        <f>IFERROR(VLOOKUP($A954,Equipment!$A$2:$AH1001,MATCH("Type",Equipment!$A$1:$AH$1,0),FALSE),"")</f>
        <v/>
      </c>
      <c r="D954" s="18" t="str">
        <f>IFERROR(VLOOKUP($A954,Equipment!$A$2:$AH1001,MATCH("Slot",Equipment!$A$1:$AH$1,0),FALSE),"")</f>
        <v/>
      </c>
      <c r="E954" s="20" t="str">
        <f>IFERROR(VLOOKUP($A954,Equipment!$A$2:$AH1001,MATCH("LevelReq",Equipment!$A$1:$AH$1,0),FALSE),"")</f>
        <v/>
      </c>
      <c r="F954" s="18" t="str">
        <f>IFERROR(VLOOKUP($A954,Equipconvrt!$A$2:$AH1001,MATCH("Abilities",Equipconvrt!$A$1:$AH$1,0),FALSE),"")</f>
        <v/>
      </c>
      <c r="G954" s="20" t="str">
        <f>IFERROR(VLOOKUP($A954,Equipment!$A$2:$AD1001,MATCH("Price",Equipment!$A$1:$AH$1,0),FALSE),"")</f>
        <v/>
      </c>
      <c r="H954" s="1" t="b">
        <v>0</v>
      </c>
      <c r="I954" s="1" t="str">
        <f>IFERROR(VLOOKUP($A954,Equipment!$A$2:$AH1001,MATCH("EquipLoc",Equipment!$A$1:$AH$1,0),FALSE),"")</f>
        <v/>
      </c>
      <c r="W954" s="1"/>
      <c r="X954" s="1" t="str">
        <f t="shared" si="1"/>
        <v/>
      </c>
    </row>
    <row r="955">
      <c r="A955" s="1"/>
      <c r="B955" s="18" t="str">
        <f>IFERROR(VLOOKUP($A955,Equipment!$A$2:$AH1001,MATCH("Description",Equipment!$A$1:$AH$1,0),FALSE),"")</f>
        <v/>
      </c>
      <c r="C955" s="18" t="str">
        <f>IFERROR(VLOOKUP($A955,Equipment!$A$2:$AH1001,MATCH("Type",Equipment!$A$1:$AH$1,0),FALSE),"")</f>
        <v/>
      </c>
      <c r="D955" s="18" t="str">
        <f>IFERROR(VLOOKUP($A955,Equipment!$A$2:$AH1001,MATCH("Slot",Equipment!$A$1:$AH$1,0),FALSE),"")</f>
        <v/>
      </c>
      <c r="E955" s="20" t="str">
        <f>IFERROR(VLOOKUP($A955,Equipment!$A$2:$AH1001,MATCH("LevelReq",Equipment!$A$1:$AH$1,0),FALSE),"")</f>
        <v/>
      </c>
      <c r="F955" s="18" t="str">
        <f>IFERROR(VLOOKUP($A955,Equipconvrt!$A$2:$AH1001,MATCH("Abilities",Equipconvrt!$A$1:$AH$1,0),FALSE),"")</f>
        <v/>
      </c>
      <c r="G955" s="20" t="str">
        <f>IFERROR(VLOOKUP($A955,Equipment!$A$2:$AD1001,MATCH("Price",Equipment!$A$1:$AH$1,0),FALSE),"")</f>
        <v/>
      </c>
      <c r="H955" s="1" t="b">
        <v>0</v>
      </c>
      <c r="I955" s="1" t="str">
        <f>IFERROR(VLOOKUP($A955,Equipment!$A$2:$AH1001,MATCH("EquipLoc",Equipment!$A$1:$AH$1,0),FALSE),"")</f>
        <v/>
      </c>
      <c r="W955" s="1"/>
      <c r="X955" s="1" t="str">
        <f t="shared" si="1"/>
        <v/>
      </c>
    </row>
    <row r="956">
      <c r="A956" s="1"/>
      <c r="B956" s="18" t="str">
        <f>IFERROR(VLOOKUP($A956,Equipment!$A$2:$AH1001,MATCH("Description",Equipment!$A$1:$AH$1,0),FALSE),"")</f>
        <v/>
      </c>
      <c r="C956" s="18" t="str">
        <f>IFERROR(VLOOKUP($A956,Equipment!$A$2:$AH1001,MATCH("Type",Equipment!$A$1:$AH$1,0),FALSE),"")</f>
        <v/>
      </c>
      <c r="D956" s="18" t="str">
        <f>IFERROR(VLOOKUP($A956,Equipment!$A$2:$AH1001,MATCH("Slot",Equipment!$A$1:$AH$1,0),FALSE),"")</f>
        <v/>
      </c>
      <c r="E956" s="20" t="str">
        <f>IFERROR(VLOOKUP($A956,Equipment!$A$2:$AH1001,MATCH("LevelReq",Equipment!$A$1:$AH$1,0),FALSE),"")</f>
        <v/>
      </c>
      <c r="F956" s="18" t="str">
        <f>IFERROR(VLOOKUP($A956,Equipconvrt!$A$2:$AH1001,MATCH("Abilities",Equipconvrt!$A$1:$AH$1,0),FALSE),"")</f>
        <v/>
      </c>
      <c r="G956" s="20" t="str">
        <f>IFERROR(VLOOKUP($A956,Equipment!$A$2:$AD1001,MATCH("Price",Equipment!$A$1:$AH$1,0),FALSE),"")</f>
        <v/>
      </c>
      <c r="H956" s="1" t="b">
        <v>0</v>
      </c>
      <c r="I956" s="1" t="str">
        <f>IFERROR(VLOOKUP($A956,Equipment!$A$2:$AH1001,MATCH("EquipLoc",Equipment!$A$1:$AH$1,0),FALSE),"")</f>
        <v/>
      </c>
      <c r="W956" s="1"/>
      <c r="X956" s="1" t="str">
        <f t="shared" si="1"/>
        <v/>
      </c>
    </row>
    <row r="957">
      <c r="A957" s="1"/>
      <c r="B957" s="18" t="str">
        <f>IFERROR(VLOOKUP($A957,Equipment!$A$2:$AH1001,MATCH("Description",Equipment!$A$1:$AH$1,0),FALSE),"")</f>
        <v/>
      </c>
      <c r="C957" s="18" t="str">
        <f>IFERROR(VLOOKUP($A957,Equipment!$A$2:$AH1001,MATCH("Type",Equipment!$A$1:$AH$1,0),FALSE),"")</f>
        <v/>
      </c>
      <c r="D957" s="18" t="str">
        <f>IFERROR(VLOOKUP($A957,Equipment!$A$2:$AH1001,MATCH("Slot",Equipment!$A$1:$AH$1,0),FALSE),"")</f>
        <v/>
      </c>
      <c r="E957" s="20" t="str">
        <f>IFERROR(VLOOKUP($A957,Equipment!$A$2:$AH1001,MATCH("LevelReq",Equipment!$A$1:$AH$1,0),FALSE),"")</f>
        <v/>
      </c>
      <c r="F957" s="18" t="str">
        <f>IFERROR(VLOOKUP($A957,Equipconvrt!$A$2:$AH1001,MATCH("Abilities",Equipconvrt!$A$1:$AH$1,0),FALSE),"")</f>
        <v/>
      </c>
      <c r="G957" s="20" t="str">
        <f>IFERROR(VLOOKUP($A957,Equipment!$A$2:$AD1001,MATCH("Price",Equipment!$A$1:$AH$1,0),FALSE),"")</f>
        <v/>
      </c>
      <c r="H957" s="1" t="b">
        <v>0</v>
      </c>
      <c r="I957" s="1" t="str">
        <f>IFERROR(VLOOKUP($A957,Equipment!$A$2:$AH1001,MATCH("EquipLoc",Equipment!$A$1:$AH$1,0),FALSE),"")</f>
        <v/>
      </c>
      <c r="W957" s="1"/>
      <c r="X957" s="1" t="str">
        <f t="shared" si="1"/>
        <v/>
      </c>
    </row>
    <row r="958">
      <c r="A958" s="1"/>
      <c r="B958" s="18" t="str">
        <f>IFERROR(VLOOKUP($A958,Equipment!$A$2:$AH1001,MATCH("Description",Equipment!$A$1:$AH$1,0),FALSE),"")</f>
        <v/>
      </c>
      <c r="C958" s="18" t="str">
        <f>IFERROR(VLOOKUP($A958,Equipment!$A$2:$AH1001,MATCH("Type",Equipment!$A$1:$AH$1,0),FALSE),"")</f>
        <v/>
      </c>
      <c r="D958" s="18" t="str">
        <f>IFERROR(VLOOKUP($A958,Equipment!$A$2:$AH1001,MATCH("Slot",Equipment!$A$1:$AH$1,0),FALSE),"")</f>
        <v/>
      </c>
      <c r="E958" s="20" t="str">
        <f>IFERROR(VLOOKUP($A958,Equipment!$A$2:$AH1001,MATCH("LevelReq",Equipment!$A$1:$AH$1,0),FALSE),"")</f>
        <v/>
      </c>
      <c r="F958" s="18" t="str">
        <f>IFERROR(VLOOKUP($A958,Equipconvrt!$A$2:$AH1001,MATCH("Abilities",Equipconvrt!$A$1:$AH$1,0),FALSE),"")</f>
        <v/>
      </c>
      <c r="G958" s="20" t="str">
        <f>IFERROR(VLOOKUP($A958,Equipment!$A$2:$AD1001,MATCH("Price",Equipment!$A$1:$AH$1,0),FALSE),"")</f>
        <v/>
      </c>
      <c r="H958" s="1" t="b">
        <v>0</v>
      </c>
      <c r="I958" s="1" t="str">
        <f>IFERROR(VLOOKUP($A958,Equipment!$A$2:$AH1001,MATCH("EquipLoc",Equipment!$A$1:$AH$1,0),FALSE),"")</f>
        <v/>
      </c>
      <c r="W958" s="1"/>
      <c r="X958" s="1" t="str">
        <f t="shared" si="1"/>
        <v/>
      </c>
    </row>
    <row r="959">
      <c r="A959" s="1"/>
      <c r="B959" s="18" t="str">
        <f>IFERROR(VLOOKUP($A959,Equipment!$A$2:$AH1001,MATCH("Description",Equipment!$A$1:$AH$1,0),FALSE),"")</f>
        <v/>
      </c>
      <c r="C959" s="18" t="str">
        <f>IFERROR(VLOOKUP($A959,Equipment!$A$2:$AH1001,MATCH("Type",Equipment!$A$1:$AH$1,0),FALSE),"")</f>
        <v/>
      </c>
      <c r="D959" s="18" t="str">
        <f>IFERROR(VLOOKUP($A959,Equipment!$A$2:$AH1001,MATCH("Slot",Equipment!$A$1:$AH$1,0),FALSE),"")</f>
        <v/>
      </c>
      <c r="E959" s="20" t="str">
        <f>IFERROR(VLOOKUP($A959,Equipment!$A$2:$AH1001,MATCH("LevelReq",Equipment!$A$1:$AH$1,0),FALSE),"")</f>
        <v/>
      </c>
      <c r="F959" s="18" t="str">
        <f>IFERROR(VLOOKUP($A959,Equipconvrt!$A$2:$AH1001,MATCH("Abilities",Equipconvrt!$A$1:$AH$1,0),FALSE),"")</f>
        <v/>
      </c>
      <c r="G959" s="20" t="str">
        <f>IFERROR(VLOOKUP($A959,Equipment!$A$2:$AD1001,MATCH("Price",Equipment!$A$1:$AH$1,0),FALSE),"")</f>
        <v/>
      </c>
      <c r="H959" s="1" t="b">
        <v>0</v>
      </c>
      <c r="I959" s="1" t="str">
        <f>IFERROR(VLOOKUP($A959,Equipment!$A$2:$AH1001,MATCH("EquipLoc",Equipment!$A$1:$AH$1,0),FALSE),"")</f>
        <v/>
      </c>
      <c r="W959" s="1"/>
      <c r="X959" s="1" t="str">
        <f t="shared" si="1"/>
        <v/>
      </c>
    </row>
    <row r="960">
      <c r="A960" s="1"/>
      <c r="B960" s="18" t="str">
        <f>IFERROR(VLOOKUP($A960,Equipment!$A$2:$AH1001,MATCH("Description",Equipment!$A$1:$AH$1,0),FALSE),"")</f>
        <v/>
      </c>
      <c r="C960" s="18" t="str">
        <f>IFERROR(VLOOKUP($A960,Equipment!$A$2:$AH1001,MATCH("Type",Equipment!$A$1:$AH$1,0),FALSE),"")</f>
        <v/>
      </c>
      <c r="D960" s="18" t="str">
        <f>IFERROR(VLOOKUP($A960,Equipment!$A$2:$AH1001,MATCH("Slot",Equipment!$A$1:$AH$1,0),FALSE),"")</f>
        <v/>
      </c>
      <c r="E960" s="20" t="str">
        <f>IFERROR(VLOOKUP($A960,Equipment!$A$2:$AH1001,MATCH("LevelReq",Equipment!$A$1:$AH$1,0),FALSE),"")</f>
        <v/>
      </c>
      <c r="F960" s="18" t="str">
        <f>IFERROR(VLOOKUP($A960,Equipconvrt!$A$2:$AH1001,MATCH("Abilities",Equipconvrt!$A$1:$AH$1,0),FALSE),"")</f>
        <v/>
      </c>
      <c r="G960" s="20" t="str">
        <f>IFERROR(VLOOKUP($A960,Equipment!$A$2:$AD1001,MATCH("Price",Equipment!$A$1:$AH$1,0),FALSE),"")</f>
        <v/>
      </c>
      <c r="H960" s="1" t="b">
        <v>0</v>
      </c>
      <c r="I960" s="1" t="str">
        <f>IFERROR(VLOOKUP($A960,Equipment!$A$2:$AH1001,MATCH("EquipLoc",Equipment!$A$1:$AH$1,0),FALSE),"")</f>
        <v/>
      </c>
      <c r="W960" s="1"/>
      <c r="X960" s="1" t="str">
        <f t="shared" si="1"/>
        <v/>
      </c>
    </row>
    <row r="961">
      <c r="A961" s="1"/>
      <c r="B961" s="18" t="str">
        <f>IFERROR(VLOOKUP($A961,Equipment!$A$2:$AH1001,MATCH("Description",Equipment!$A$1:$AH$1,0),FALSE),"")</f>
        <v/>
      </c>
      <c r="C961" s="18" t="str">
        <f>IFERROR(VLOOKUP($A961,Equipment!$A$2:$AH1001,MATCH("Type",Equipment!$A$1:$AH$1,0),FALSE),"")</f>
        <v/>
      </c>
      <c r="D961" s="18" t="str">
        <f>IFERROR(VLOOKUP($A961,Equipment!$A$2:$AH1001,MATCH("Slot",Equipment!$A$1:$AH$1,0),FALSE),"")</f>
        <v/>
      </c>
      <c r="E961" s="20" t="str">
        <f>IFERROR(VLOOKUP($A961,Equipment!$A$2:$AH1001,MATCH("LevelReq",Equipment!$A$1:$AH$1,0),FALSE),"")</f>
        <v/>
      </c>
      <c r="F961" s="18" t="str">
        <f>IFERROR(VLOOKUP($A961,Equipconvrt!$A$2:$AH1001,MATCH("Abilities",Equipconvrt!$A$1:$AH$1,0),FALSE),"")</f>
        <v/>
      </c>
      <c r="G961" s="20" t="str">
        <f>IFERROR(VLOOKUP($A961,Equipment!$A$2:$AD1001,MATCH("Price",Equipment!$A$1:$AH$1,0),FALSE),"")</f>
        <v/>
      </c>
      <c r="H961" s="1" t="b">
        <v>0</v>
      </c>
      <c r="I961" s="1" t="str">
        <f>IFERROR(VLOOKUP($A961,Equipment!$A$2:$AH1001,MATCH("EquipLoc",Equipment!$A$1:$AH$1,0),FALSE),"")</f>
        <v/>
      </c>
      <c r="W961" s="1"/>
      <c r="X961" s="1" t="str">
        <f t="shared" si="1"/>
        <v/>
      </c>
    </row>
    <row r="962">
      <c r="A962" s="1"/>
      <c r="B962" s="18" t="str">
        <f>IFERROR(VLOOKUP($A962,Equipment!$A$2:$AH1001,MATCH("Description",Equipment!$A$1:$AH$1,0),FALSE),"")</f>
        <v/>
      </c>
      <c r="C962" s="18" t="str">
        <f>IFERROR(VLOOKUP($A962,Equipment!$A$2:$AH1001,MATCH("Type",Equipment!$A$1:$AH$1,0),FALSE),"")</f>
        <v/>
      </c>
      <c r="D962" s="18" t="str">
        <f>IFERROR(VLOOKUP($A962,Equipment!$A$2:$AH1001,MATCH("Slot",Equipment!$A$1:$AH$1,0),FALSE),"")</f>
        <v/>
      </c>
      <c r="E962" s="20" t="str">
        <f>IFERROR(VLOOKUP($A962,Equipment!$A$2:$AH1001,MATCH("LevelReq",Equipment!$A$1:$AH$1,0),FALSE),"")</f>
        <v/>
      </c>
      <c r="F962" s="18" t="str">
        <f>IFERROR(VLOOKUP($A962,Equipconvrt!$A$2:$AH1001,MATCH("Abilities",Equipconvrt!$A$1:$AH$1,0),FALSE),"")</f>
        <v/>
      </c>
      <c r="G962" s="20" t="str">
        <f>IFERROR(VLOOKUP($A962,Equipment!$A$2:$AD1001,MATCH("Price",Equipment!$A$1:$AH$1,0),FALSE),"")</f>
        <v/>
      </c>
      <c r="H962" s="1" t="b">
        <v>0</v>
      </c>
      <c r="I962" s="1" t="str">
        <f>IFERROR(VLOOKUP($A962,Equipment!$A$2:$AH1001,MATCH("EquipLoc",Equipment!$A$1:$AH$1,0),FALSE),"")</f>
        <v/>
      </c>
      <c r="W962" s="1"/>
      <c r="X962" s="1" t="str">
        <f t="shared" si="1"/>
        <v/>
      </c>
    </row>
    <row r="963">
      <c r="A963" s="1"/>
      <c r="B963" s="18" t="str">
        <f>IFERROR(VLOOKUP($A963,Equipment!$A$2:$AH1001,MATCH("Description",Equipment!$A$1:$AH$1,0),FALSE),"")</f>
        <v/>
      </c>
      <c r="C963" s="18" t="str">
        <f>IFERROR(VLOOKUP($A963,Equipment!$A$2:$AH1001,MATCH("Type",Equipment!$A$1:$AH$1,0),FALSE),"")</f>
        <v/>
      </c>
      <c r="D963" s="18" t="str">
        <f>IFERROR(VLOOKUP($A963,Equipment!$A$2:$AH1001,MATCH("Slot",Equipment!$A$1:$AH$1,0),FALSE),"")</f>
        <v/>
      </c>
      <c r="E963" s="20" t="str">
        <f>IFERROR(VLOOKUP($A963,Equipment!$A$2:$AH1001,MATCH("LevelReq",Equipment!$A$1:$AH$1,0),FALSE),"")</f>
        <v/>
      </c>
      <c r="F963" s="18" t="str">
        <f>IFERROR(VLOOKUP($A963,Equipconvrt!$A$2:$AH1001,MATCH("Abilities",Equipconvrt!$A$1:$AH$1,0),FALSE),"")</f>
        <v/>
      </c>
      <c r="G963" s="20" t="str">
        <f>IFERROR(VLOOKUP($A963,Equipment!$A$2:$AD1001,MATCH("Price",Equipment!$A$1:$AH$1,0),FALSE),"")</f>
        <v/>
      </c>
      <c r="H963" s="1" t="b">
        <v>0</v>
      </c>
      <c r="I963" s="1" t="str">
        <f>IFERROR(VLOOKUP($A963,Equipment!$A$2:$AH1001,MATCH("EquipLoc",Equipment!$A$1:$AH$1,0),FALSE),"")</f>
        <v/>
      </c>
      <c r="W963" s="1"/>
      <c r="X963" s="1" t="str">
        <f t="shared" si="1"/>
        <v/>
      </c>
    </row>
    <row r="964">
      <c r="A964" s="1"/>
      <c r="B964" s="18" t="str">
        <f>IFERROR(VLOOKUP($A964,Equipment!$A$2:$AH1001,MATCH("Description",Equipment!$A$1:$AH$1,0),FALSE),"")</f>
        <v/>
      </c>
      <c r="C964" s="18" t="str">
        <f>IFERROR(VLOOKUP($A964,Equipment!$A$2:$AH1001,MATCH("Type",Equipment!$A$1:$AH$1,0),FALSE),"")</f>
        <v/>
      </c>
      <c r="D964" s="18" t="str">
        <f>IFERROR(VLOOKUP($A964,Equipment!$A$2:$AH1001,MATCH("Slot",Equipment!$A$1:$AH$1,0),FALSE),"")</f>
        <v/>
      </c>
      <c r="E964" s="20" t="str">
        <f>IFERROR(VLOOKUP($A964,Equipment!$A$2:$AH1001,MATCH("LevelReq",Equipment!$A$1:$AH$1,0),FALSE),"")</f>
        <v/>
      </c>
      <c r="F964" s="18" t="str">
        <f>IFERROR(VLOOKUP($A964,Equipconvrt!$A$2:$AH1001,MATCH("Abilities",Equipconvrt!$A$1:$AH$1,0),FALSE),"")</f>
        <v/>
      </c>
      <c r="G964" s="20" t="str">
        <f>IFERROR(VLOOKUP($A964,Equipment!$A$2:$AD1001,MATCH("Price",Equipment!$A$1:$AH$1,0),FALSE),"")</f>
        <v/>
      </c>
      <c r="H964" s="1" t="b">
        <v>0</v>
      </c>
      <c r="I964" s="1" t="str">
        <f>IFERROR(VLOOKUP($A964,Equipment!$A$2:$AH1001,MATCH("EquipLoc",Equipment!$A$1:$AH$1,0),FALSE),"")</f>
        <v/>
      </c>
      <c r="W964" s="1"/>
      <c r="X964" s="1" t="str">
        <f t="shared" si="1"/>
        <v/>
      </c>
    </row>
    <row r="965">
      <c r="A965" s="1"/>
      <c r="B965" s="18" t="str">
        <f>IFERROR(VLOOKUP($A965,Equipment!$A$2:$AH1001,MATCH("Description",Equipment!$A$1:$AH$1,0),FALSE),"")</f>
        <v/>
      </c>
      <c r="C965" s="18" t="str">
        <f>IFERROR(VLOOKUP($A965,Equipment!$A$2:$AH1001,MATCH("Type",Equipment!$A$1:$AH$1,0),FALSE),"")</f>
        <v/>
      </c>
      <c r="D965" s="18" t="str">
        <f>IFERROR(VLOOKUP($A965,Equipment!$A$2:$AH1001,MATCH("Slot",Equipment!$A$1:$AH$1,0),FALSE),"")</f>
        <v/>
      </c>
      <c r="E965" s="20" t="str">
        <f>IFERROR(VLOOKUP($A965,Equipment!$A$2:$AH1001,MATCH("LevelReq",Equipment!$A$1:$AH$1,0),FALSE),"")</f>
        <v/>
      </c>
      <c r="F965" s="18" t="str">
        <f>IFERROR(VLOOKUP($A965,Equipconvrt!$A$2:$AH1001,MATCH("Abilities",Equipconvrt!$A$1:$AH$1,0),FALSE),"")</f>
        <v/>
      </c>
      <c r="G965" s="20" t="str">
        <f>IFERROR(VLOOKUP($A965,Equipment!$A$2:$AD1001,MATCH("Price",Equipment!$A$1:$AH$1,0),FALSE),"")</f>
        <v/>
      </c>
      <c r="H965" s="1" t="b">
        <v>0</v>
      </c>
      <c r="I965" s="1" t="str">
        <f>IFERROR(VLOOKUP($A965,Equipment!$A$2:$AH1001,MATCH("EquipLoc",Equipment!$A$1:$AH$1,0),FALSE),"")</f>
        <v/>
      </c>
      <c r="W965" s="1"/>
      <c r="X965" s="1" t="str">
        <f t="shared" si="1"/>
        <v/>
      </c>
    </row>
    <row r="966">
      <c r="A966" s="1"/>
      <c r="B966" s="18" t="str">
        <f>IFERROR(VLOOKUP($A966,Equipment!$A$2:$AH1001,MATCH("Description",Equipment!$A$1:$AH$1,0),FALSE),"")</f>
        <v/>
      </c>
      <c r="C966" s="18" t="str">
        <f>IFERROR(VLOOKUP($A966,Equipment!$A$2:$AH1001,MATCH("Type",Equipment!$A$1:$AH$1,0),FALSE),"")</f>
        <v/>
      </c>
      <c r="D966" s="18" t="str">
        <f>IFERROR(VLOOKUP($A966,Equipment!$A$2:$AH1001,MATCH("Slot",Equipment!$A$1:$AH$1,0),FALSE),"")</f>
        <v/>
      </c>
      <c r="E966" s="20" t="str">
        <f>IFERROR(VLOOKUP($A966,Equipment!$A$2:$AH1001,MATCH("LevelReq",Equipment!$A$1:$AH$1,0),FALSE),"")</f>
        <v/>
      </c>
      <c r="F966" s="18" t="str">
        <f>IFERROR(VLOOKUP($A966,Equipconvrt!$A$2:$AH1001,MATCH("Abilities",Equipconvrt!$A$1:$AH$1,0),FALSE),"")</f>
        <v/>
      </c>
      <c r="G966" s="20" t="str">
        <f>IFERROR(VLOOKUP($A966,Equipment!$A$2:$AD1001,MATCH("Price",Equipment!$A$1:$AH$1,0),FALSE),"")</f>
        <v/>
      </c>
      <c r="H966" s="1" t="b">
        <v>0</v>
      </c>
      <c r="I966" s="1" t="str">
        <f>IFERROR(VLOOKUP($A966,Equipment!$A$2:$AH1001,MATCH("EquipLoc",Equipment!$A$1:$AH$1,0),FALSE),"")</f>
        <v/>
      </c>
      <c r="W966" s="1"/>
      <c r="X966" s="1" t="str">
        <f t="shared" si="1"/>
        <v/>
      </c>
    </row>
    <row r="967">
      <c r="A967" s="1"/>
      <c r="B967" s="18" t="str">
        <f>IFERROR(VLOOKUP($A967,Equipment!$A$2:$AH1001,MATCH("Description",Equipment!$A$1:$AH$1,0),FALSE),"")</f>
        <v/>
      </c>
      <c r="C967" s="18" t="str">
        <f>IFERROR(VLOOKUP($A967,Equipment!$A$2:$AH1001,MATCH("Type",Equipment!$A$1:$AH$1,0),FALSE),"")</f>
        <v/>
      </c>
      <c r="D967" s="18" t="str">
        <f>IFERROR(VLOOKUP($A967,Equipment!$A$2:$AH1001,MATCH("Slot",Equipment!$A$1:$AH$1,0),FALSE),"")</f>
        <v/>
      </c>
      <c r="E967" s="20" t="str">
        <f>IFERROR(VLOOKUP($A967,Equipment!$A$2:$AH1001,MATCH("LevelReq",Equipment!$A$1:$AH$1,0),FALSE),"")</f>
        <v/>
      </c>
      <c r="F967" s="18" t="str">
        <f>IFERROR(VLOOKUP($A967,Equipconvrt!$A$2:$AH1001,MATCH("Abilities",Equipconvrt!$A$1:$AH$1,0),FALSE),"")</f>
        <v/>
      </c>
      <c r="G967" s="20" t="str">
        <f>IFERROR(VLOOKUP($A967,Equipment!$A$2:$AD1001,MATCH("Price",Equipment!$A$1:$AH$1,0),FALSE),"")</f>
        <v/>
      </c>
      <c r="H967" s="1" t="b">
        <v>0</v>
      </c>
      <c r="I967" s="1" t="str">
        <f>IFERROR(VLOOKUP($A967,Equipment!$A$2:$AH1001,MATCH("EquipLoc",Equipment!$A$1:$AH$1,0),FALSE),"")</f>
        <v/>
      </c>
      <c r="W967" s="1"/>
      <c r="X967" s="1" t="str">
        <f t="shared" si="1"/>
        <v/>
      </c>
    </row>
    <row r="968">
      <c r="A968" s="1"/>
      <c r="B968" s="18" t="str">
        <f>IFERROR(VLOOKUP($A968,Equipment!$A$2:$AH1001,MATCH("Description",Equipment!$A$1:$AH$1,0),FALSE),"")</f>
        <v/>
      </c>
      <c r="C968" s="18" t="str">
        <f>IFERROR(VLOOKUP($A968,Equipment!$A$2:$AH1001,MATCH("Type",Equipment!$A$1:$AH$1,0),FALSE),"")</f>
        <v/>
      </c>
      <c r="D968" s="18" t="str">
        <f>IFERROR(VLOOKUP($A968,Equipment!$A$2:$AH1001,MATCH("Slot",Equipment!$A$1:$AH$1,0),FALSE),"")</f>
        <v/>
      </c>
      <c r="E968" s="20" t="str">
        <f>IFERROR(VLOOKUP($A968,Equipment!$A$2:$AH1001,MATCH("LevelReq",Equipment!$A$1:$AH$1,0),FALSE),"")</f>
        <v/>
      </c>
      <c r="F968" s="18" t="str">
        <f>IFERROR(VLOOKUP($A968,Equipconvrt!$A$2:$AH1001,MATCH("Abilities",Equipconvrt!$A$1:$AH$1,0),FALSE),"")</f>
        <v/>
      </c>
      <c r="G968" s="20" t="str">
        <f>IFERROR(VLOOKUP($A968,Equipment!$A$2:$AD1001,MATCH("Price",Equipment!$A$1:$AH$1,0),FALSE),"")</f>
        <v/>
      </c>
      <c r="H968" s="1" t="b">
        <v>0</v>
      </c>
      <c r="I968" s="1" t="str">
        <f>IFERROR(VLOOKUP($A968,Equipment!$A$2:$AH1001,MATCH("EquipLoc",Equipment!$A$1:$AH$1,0),FALSE),"")</f>
        <v/>
      </c>
      <c r="W968" s="1"/>
      <c r="X968" s="1" t="str">
        <f t="shared" si="1"/>
        <v/>
      </c>
    </row>
    <row r="969">
      <c r="A969" s="1"/>
      <c r="B969" s="18" t="str">
        <f>IFERROR(VLOOKUP($A969,Equipment!$A$2:$AH1001,MATCH("Description",Equipment!$A$1:$AH$1,0),FALSE),"")</f>
        <v/>
      </c>
      <c r="C969" s="18" t="str">
        <f>IFERROR(VLOOKUP($A969,Equipment!$A$2:$AH1001,MATCH("Type",Equipment!$A$1:$AH$1,0),FALSE),"")</f>
        <v/>
      </c>
      <c r="D969" s="18" t="str">
        <f>IFERROR(VLOOKUP($A969,Equipment!$A$2:$AH1001,MATCH("Slot",Equipment!$A$1:$AH$1,0),FALSE),"")</f>
        <v/>
      </c>
      <c r="E969" s="20" t="str">
        <f>IFERROR(VLOOKUP($A969,Equipment!$A$2:$AH1001,MATCH("LevelReq",Equipment!$A$1:$AH$1,0),FALSE),"")</f>
        <v/>
      </c>
      <c r="F969" s="18" t="str">
        <f>IFERROR(VLOOKUP($A969,Equipconvrt!$A$2:$AH1001,MATCH("Abilities",Equipconvrt!$A$1:$AH$1,0),FALSE),"")</f>
        <v/>
      </c>
      <c r="G969" s="20" t="str">
        <f>IFERROR(VLOOKUP($A969,Equipment!$A$2:$AD1001,MATCH("Price",Equipment!$A$1:$AH$1,0),FALSE),"")</f>
        <v/>
      </c>
      <c r="H969" s="1" t="b">
        <v>0</v>
      </c>
      <c r="I969" s="1" t="str">
        <f>IFERROR(VLOOKUP($A969,Equipment!$A$2:$AH1001,MATCH("EquipLoc",Equipment!$A$1:$AH$1,0),FALSE),"")</f>
        <v/>
      </c>
      <c r="W969" s="1"/>
      <c r="X969" s="1" t="str">
        <f t="shared" si="1"/>
        <v/>
      </c>
    </row>
    <row r="970">
      <c r="A970" s="1"/>
      <c r="B970" s="18" t="str">
        <f>IFERROR(VLOOKUP($A970,Equipment!$A$2:$AH1001,MATCH("Description",Equipment!$A$1:$AH$1,0),FALSE),"")</f>
        <v/>
      </c>
      <c r="C970" s="18" t="str">
        <f>IFERROR(VLOOKUP($A970,Equipment!$A$2:$AH1001,MATCH("Type",Equipment!$A$1:$AH$1,0),FALSE),"")</f>
        <v/>
      </c>
      <c r="D970" s="18" t="str">
        <f>IFERROR(VLOOKUP($A970,Equipment!$A$2:$AH1001,MATCH("Slot",Equipment!$A$1:$AH$1,0),FALSE),"")</f>
        <v/>
      </c>
      <c r="E970" s="20" t="str">
        <f>IFERROR(VLOOKUP($A970,Equipment!$A$2:$AH1001,MATCH("LevelReq",Equipment!$A$1:$AH$1,0),FALSE),"")</f>
        <v/>
      </c>
      <c r="F970" s="18" t="str">
        <f>IFERROR(VLOOKUP($A970,Equipconvrt!$A$2:$AH1001,MATCH("Abilities",Equipconvrt!$A$1:$AH$1,0),FALSE),"")</f>
        <v/>
      </c>
      <c r="G970" s="20" t="str">
        <f>IFERROR(VLOOKUP($A970,Equipment!$A$2:$AD1001,MATCH("Price",Equipment!$A$1:$AH$1,0),FALSE),"")</f>
        <v/>
      </c>
      <c r="H970" s="1" t="b">
        <v>0</v>
      </c>
      <c r="I970" s="1" t="str">
        <f>IFERROR(VLOOKUP($A970,Equipment!$A$2:$AH1001,MATCH("EquipLoc",Equipment!$A$1:$AH$1,0),FALSE),"")</f>
        <v/>
      </c>
      <c r="W970" s="1"/>
      <c r="X970" s="1" t="str">
        <f t="shared" si="1"/>
        <v/>
      </c>
    </row>
    <row r="971">
      <c r="A971" s="1"/>
      <c r="B971" s="18" t="str">
        <f>IFERROR(VLOOKUP($A971,Equipment!$A$2:$AH1001,MATCH("Description",Equipment!$A$1:$AH$1,0),FALSE),"")</f>
        <v/>
      </c>
      <c r="C971" s="18" t="str">
        <f>IFERROR(VLOOKUP($A971,Equipment!$A$2:$AH1001,MATCH("Type",Equipment!$A$1:$AH$1,0),FALSE),"")</f>
        <v/>
      </c>
      <c r="D971" s="18" t="str">
        <f>IFERROR(VLOOKUP($A971,Equipment!$A$2:$AH1001,MATCH("Slot",Equipment!$A$1:$AH$1,0),FALSE),"")</f>
        <v/>
      </c>
      <c r="E971" s="20" t="str">
        <f>IFERROR(VLOOKUP($A971,Equipment!$A$2:$AH1001,MATCH("LevelReq",Equipment!$A$1:$AH$1,0),FALSE),"")</f>
        <v/>
      </c>
      <c r="F971" s="18" t="str">
        <f>IFERROR(VLOOKUP($A971,Equipconvrt!$A$2:$AH1001,MATCH("Abilities",Equipconvrt!$A$1:$AH$1,0),FALSE),"")</f>
        <v/>
      </c>
      <c r="G971" s="20" t="str">
        <f>IFERROR(VLOOKUP($A971,Equipment!$A$2:$AD1001,MATCH("Price",Equipment!$A$1:$AH$1,0),FALSE),"")</f>
        <v/>
      </c>
      <c r="H971" s="1" t="b">
        <v>0</v>
      </c>
      <c r="I971" s="1" t="str">
        <f>IFERROR(VLOOKUP($A971,Equipment!$A$2:$AH1001,MATCH("EquipLoc",Equipment!$A$1:$AH$1,0),FALSE),"")</f>
        <v/>
      </c>
      <c r="W971" s="1"/>
      <c r="X971" s="1" t="str">
        <f t="shared" si="1"/>
        <v/>
      </c>
    </row>
    <row r="972">
      <c r="A972" s="1"/>
      <c r="B972" s="18" t="str">
        <f>IFERROR(VLOOKUP($A972,Equipment!$A$2:$AH1001,MATCH("Description",Equipment!$A$1:$AH$1,0),FALSE),"")</f>
        <v/>
      </c>
      <c r="C972" s="18" t="str">
        <f>IFERROR(VLOOKUP($A972,Equipment!$A$2:$AH1001,MATCH("Type",Equipment!$A$1:$AH$1,0),FALSE),"")</f>
        <v/>
      </c>
      <c r="D972" s="18" t="str">
        <f>IFERROR(VLOOKUP($A972,Equipment!$A$2:$AH1001,MATCH("Slot",Equipment!$A$1:$AH$1,0),FALSE),"")</f>
        <v/>
      </c>
      <c r="E972" s="20" t="str">
        <f>IFERROR(VLOOKUP($A972,Equipment!$A$2:$AH1001,MATCH("LevelReq",Equipment!$A$1:$AH$1,0),FALSE),"")</f>
        <v/>
      </c>
      <c r="F972" s="18" t="str">
        <f>IFERROR(VLOOKUP($A972,Equipconvrt!$A$2:$AH1001,MATCH("Abilities",Equipconvrt!$A$1:$AH$1,0),FALSE),"")</f>
        <v/>
      </c>
      <c r="G972" s="20" t="str">
        <f>IFERROR(VLOOKUP($A972,Equipment!$A$2:$AD1001,MATCH("Price",Equipment!$A$1:$AH$1,0),FALSE),"")</f>
        <v/>
      </c>
      <c r="H972" s="1" t="b">
        <v>0</v>
      </c>
      <c r="I972" s="1" t="str">
        <f>IFERROR(VLOOKUP($A972,Equipment!$A$2:$AH1001,MATCH("EquipLoc",Equipment!$A$1:$AH$1,0),FALSE),"")</f>
        <v/>
      </c>
      <c r="W972" s="1"/>
      <c r="X972" s="1" t="str">
        <f t="shared" si="1"/>
        <v/>
      </c>
    </row>
    <row r="973">
      <c r="A973" s="1"/>
      <c r="B973" s="18" t="str">
        <f>IFERROR(VLOOKUP($A973,Equipment!$A$2:$AH1001,MATCH("Description",Equipment!$A$1:$AH$1,0),FALSE),"")</f>
        <v/>
      </c>
      <c r="C973" s="18" t="str">
        <f>IFERROR(VLOOKUP($A973,Equipment!$A$2:$AH1001,MATCH("Type",Equipment!$A$1:$AH$1,0),FALSE),"")</f>
        <v/>
      </c>
      <c r="D973" s="18" t="str">
        <f>IFERROR(VLOOKUP($A973,Equipment!$A$2:$AH1001,MATCH("Slot",Equipment!$A$1:$AH$1,0),FALSE),"")</f>
        <v/>
      </c>
      <c r="E973" s="20" t="str">
        <f>IFERROR(VLOOKUP($A973,Equipment!$A$2:$AH1001,MATCH("LevelReq",Equipment!$A$1:$AH$1,0),FALSE),"")</f>
        <v/>
      </c>
      <c r="F973" s="18" t="str">
        <f>IFERROR(VLOOKUP($A973,Equipconvrt!$A$2:$AH1001,MATCH("Abilities",Equipconvrt!$A$1:$AH$1,0),FALSE),"")</f>
        <v/>
      </c>
      <c r="G973" s="20" t="str">
        <f>IFERROR(VLOOKUP($A973,Equipment!$A$2:$AD1001,MATCH("Price",Equipment!$A$1:$AH$1,0),FALSE),"")</f>
        <v/>
      </c>
      <c r="H973" s="1" t="b">
        <v>0</v>
      </c>
      <c r="I973" s="1" t="str">
        <f>IFERROR(VLOOKUP($A973,Equipment!$A$2:$AH1001,MATCH("EquipLoc",Equipment!$A$1:$AH$1,0),FALSE),"")</f>
        <v/>
      </c>
      <c r="W973" s="1"/>
      <c r="X973" s="1" t="str">
        <f t="shared" si="1"/>
        <v/>
      </c>
    </row>
    <row r="974">
      <c r="A974" s="1"/>
      <c r="B974" s="18" t="str">
        <f>IFERROR(VLOOKUP($A974,Equipment!$A$2:$AH1001,MATCH("Description",Equipment!$A$1:$AH$1,0),FALSE),"")</f>
        <v/>
      </c>
      <c r="C974" s="18" t="str">
        <f>IFERROR(VLOOKUP($A974,Equipment!$A$2:$AH1001,MATCH("Type",Equipment!$A$1:$AH$1,0),FALSE),"")</f>
        <v/>
      </c>
      <c r="D974" s="18" t="str">
        <f>IFERROR(VLOOKUP($A974,Equipment!$A$2:$AH1001,MATCH("Slot",Equipment!$A$1:$AH$1,0),FALSE),"")</f>
        <v/>
      </c>
      <c r="E974" s="20" t="str">
        <f>IFERROR(VLOOKUP($A974,Equipment!$A$2:$AH1001,MATCH("LevelReq",Equipment!$A$1:$AH$1,0),FALSE),"")</f>
        <v/>
      </c>
      <c r="F974" s="18" t="str">
        <f>IFERROR(VLOOKUP($A974,Equipconvrt!$A$2:$AH1001,MATCH("Abilities",Equipconvrt!$A$1:$AH$1,0),FALSE),"")</f>
        <v/>
      </c>
      <c r="G974" s="20" t="str">
        <f>IFERROR(VLOOKUP($A974,Equipment!$A$2:$AD1001,MATCH("Price",Equipment!$A$1:$AH$1,0),FALSE),"")</f>
        <v/>
      </c>
      <c r="H974" s="1" t="b">
        <v>0</v>
      </c>
      <c r="I974" s="1" t="str">
        <f>IFERROR(VLOOKUP($A974,Equipment!$A$2:$AH1001,MATCH("EquipLoc",Equipment!$A$1:$AH$1,0),FALSE),"")</f>
        <v/>
      </c>
      <c r="W974" s="1"/>
      <c r="X974" s="1" t="str">
        <f t="shared" si="1"/>
        <v/>
      </c>
    </row>
    <row r="975">
      <c r="A975" s="1"/>
      <c r="B975" s="18" t="str">
        <f>IFERROR(VLOOKUP($A975,Equipment!$A$2:$AH1001,MATCH("Description",Equipment!$A$1:$AH$1,0),FALSE),"")</f>
        <v/>
      </c>
      <c r="C975" s="18" t="str">
        <f>IFERROR(VLOOKUP($A975,Equipment!$A$2:$AH1001,MATCH("Type",Equipment!$A$1:$AH$1,0),FALSE),"")</f>
        <v/>
      </c>
      <c r="D975" s="18" t="str">
        <f>IFERROR(VLOOKUP($A975,Equipment!$A$2:$AH1001,MATCH("Slot",Equipment!$A$1:$AH$1,0),FALSE),"")</f>
        <v/>
      </c>
      <c r="E975" s="20" t="str">
        <f>IFERROR(VLOOKUP($A975,Equipment!$A$2:$AH1001,MATCH("LevelReq",Equipment!$A$1:$AH$1,0),FALSE),"")</f>
        <v/>
      </c>
      <c r="F975" s="18" t="str">
        <f>IFERROR(VLOOKUP($A975,Equipconvrt!$A$2:$AH1001,MATCH("Abilities",Equipconvrt!$A$1:$AH$1,0),FALSE),"")</f>
        <v/>
      </c>
      <c r="G975" s="20" t="str">
        <f>IFERROR(VLOOKUP($A975,Equipment!$A$2:$AD1001,MATCH("Price",Equipment!$A$1:$AH$1,0),FALSE),"")</f>
        <v/>
      </c>
      <c r="H975" s="1" t="b">
        <v>0</v>
      </c>
      <c r="I975" s="1" t="str">
        <f>IFERROR(VLOOKUP($A975,Equipment!$A$2:$AH1001,MATCH("EquipLoc",Equipment!$A$1:$AH$1,0),FALSE),"")</f>
        <v/>
      </c>
      <c r="W975" s="1"/>
      <c r="X975" s="1" t="str">
        <f t="shared" si="1"/>
        <v/>
      </c>
    </row>
    <row r="976">
      <c r="A976" s="1"/>
      <c r="B976" s="18" t="str">
        <f>IFERROR(VLOOKUP($A976,Equipment!$A$2:$AH1001,MATCH("Description",Equipment!$A$1:$AH$1,0),FALSE),"")</f>
        <v/>
      </c>
      <c r="C976" s="18" t="str">
        <f>IFERROR(VLOOKUP($A976,Equipment!$A$2:$AH1001,MATCH("Type",Equipment!$A$1:$AH$1,0),FALSE),"")</f>
        <v/>
      </c>
      <c r="D976" s="18" t="str">
        <f>IFERROR(VLOOKUP($A976,Equipment!$A$2:$AH1001,MATCH("Slot",Equipment!$A$1:$AH$1,0),FALSE),"")</f>
        <v/>
      </c>
      <c r="E976" s="20" t="str">
        <f>IFERROR(VLOOKUP($A976,Equipment!$A$2:$AH1001,MATCH("LevelReq",Equipment!$A$1:$AH$1,0),FALSE),"")</f>
        <v/>
      </c>
      <c r="F976" s="18" t="str">
        <f>IFERROR(VLOOKUP($A976,Equipconvrt!$A$2:$AH1001,MATCH("Abilities",Equipconvrt!$A$1:$AH$1,0),FALSE),"")</f>
        <v/>
      </c>
      <c r="G976" s="20" t="str">
        <f>IFERROR(VLOOKUP($A976,Equipment!$A$2:$AD1001,MATCH("Price",Equipment!$A$1:$AH$1,0),FALSE),"")</f>
        <v/>
      </c>
      <c r="H976" s="1" t="b">
        <v>0</v>
      </c>
      <c r="I976" s="1" t="str">
        <f>IFERROR(VLOOKUP($A976,Equipment!$A$2:$AH1001,MATCH("EquipLoc",Equipment!$A$1:$AH$1,0),FALSE),"")</f>
        <v/>
      </c>
      <c r="W976" s="1"/>
      <c r="X976" s="1" t="str">
        <f t="shared" si="1"/>
        <v/>
      </c>
    </row>
    <row r="977">
      <c r="A977" s="1"/>
      <c r="B977" s="18" t="str">
        <f>IFERROR(VLOOKUP($A977,Equipment!$A$2:$AH1001,MATCH("Description",Equipment!$A$1:$AH$1,0),FALSE),"")</f>
        <v/>
      </c>
      <c r="C977" s="18" t="str">
        <f>IFERROR(VLOOKUP($A977,Equipment!$A$2:$AH1001,MATCH("Type",Equipment!$A$1:$AH$1,0),FALSE),"")</f>
        <v/>
      </c>
      <c r="D977" s="18" t="str">
        <f>IFERROR(VLOOKUP($A977,Equipment!$A$2:$AH1001,MATCH("Slot",Equipment!$A$1:$AH$1,0),FALSE),"")</f>
        <v/>
      </c>
      <c r="E977" s="20" t="str">
        <f>IFERROR(VLOOKUP($A977,Equipment!$A$2:$AH1001,MATCH("LevelReq",Equipment!$A$1:$AH$1,0),FALSE),"")</f>
        <v/>
      </c>
      <c r="F977" s="18" t="str">
        <f>IFERROR(VLOOKUP($A977,Equipconvrt!$A$2:$AH1001,MATCH("Abilities",Equipconvrt!$A$1:$AH$1,0),FALSE),"")</f>
        <v/>
      </c>
      <c r="G977" s="20" t="str">
        <f>IFERROR(VLOOKUP($A977,Equipment!$A$2:$AD1001,MATCH("Price",Equipment!$A$1:$AH$1,0),FALSE),"")</f>
        <v/>
      </c>
      <c r="H977" s="1" t="b">
        <v>0</v>
      </c>
      <c r="I977" s="1" t="str">
        <f>IFERROR(VLOOKUP($A977,Equipment!$A$2:$AH1001,MATCH("EquipLoc",Equipment!$A$1:$AH$1,0),FALSE),"")</f>
        <v/>
      </c>
      <c r="W977" s="1"/>
      <c r="X977" s="1" t="str">
        <f t="shared" si="1"/>
        <v/>
      </c>
    </row>
    <row r="978">
      <c r="A978" s="1"/>
      <c r="B978" s="18" t="str">
        <f>IFERROR(VLOOKUP($A978,Equipment!$A$2:$AH1001,MATCH("Description",Equipment!$A$1:$AH$1,0),FALSE),"")</f>
        <v/>
      </c>
      <c r="C978" s="18" t="str">
        <f>IFERROR(VLOOKUP($A978,Equipment!$A$2:$AH1001,MATCH("Type",Equipment!$A$1:$AH$1,0),FALSE),"")</f>
        <v/>
      </c>
      <c r="D978" s="18" t="str">
        <f>IFERROR(VLOOKUP($A978,Equipment!$A$2:$AH1001,MATCH("Slot",Equipment!$A$1:$AH$1,0),FALSE),"")</f>
        <v/>
      </c>
      <c r="E978" s="20" t="str">
        <f>IFERROR(VLOOKUP($A978,Equipment!$A$2:$AH1001,MATCH("LevelReq",Equipment!$A$1:$AH$1,0),FALSE),"")</f>
        <v/>
      </c>
      <c r="F978" s="18" t="str">
        <f>IFERROR(VLOOKUP($A978,Equipconvrt!$A$2:$AH1001,MATCH("Abilities",Equipconvrt!$A$1:$AH$1,0),FALSE),"")</f>
        <v/>
      </c>
      <c r="G978" s="20" t="str">
        <f>IFERROR(VLOOKUP($A978,Equipment!$A$2:$AD1001,MATCH("Price",Equipment!$A$1:$AH$1,0),FALSE),"")</f>
        <v/>
      </c>
      <c r="H978" s="1" t="b">
        <v>0</v>
      </c>
      <c r="I978" s="1" t="str">
        <f>IFERROR(VLOOKUP($A978,Equipment!$A$2:$AH1001,MATCH("EquipLoc",Equipment!$A$1:$AH$1,0),FALSE),"")</f>
        <v/>
      </c>
      <c r="W978" s="1"/>
      <c r="X978" s="1" t="str">
        <f t="shared" si="1"/>
        <v/>
      </c>
    </row>
    <row r="979">
      <c r="A979" s="1"/>
      <c r="B979" s="18" t="str">
        <f>IFERROR(VLOOKUP($A979,Equipment!$A$2:$AH1001,MATCH("Description",Equipment!$A$1:$AH$1,0),FALSE),"")</f>
        <v/>
      </c>
      <c r="C979" s="18" t="str">
        <f>IFERROR(VLOOKUP($A979,Equipment!$A$2:$AH1001,MATCH("Type",Equipment!$A$1:$AH$1,0),FALSE),"")</f>
        <v/>
      </c>
      <c r="D979" s="18" t="str">
        <f>IFERROR(VLOOKUP($A979,Equipment!$A$2:$AH1001,MATCH("Slot",Equipment!$A$1:$AH$1,0),FALSE),"")</f>
        <v/>
      </c>
      <c r="E979" s="20" t="str">
        <f>IFERROR(VLOOKUP($A979,Equipment!$A$2:$AH1001,MATCH("LevelReq",Equipment!$A$1:$AH$1,0),FALSE),"")</f>
        <v/>
      </c>
      <c r="F979" s="18" t="str">
        <f>IFERROR(VLOOKUP($A979,Equipconvrt!$A$2:$AH1001,MATCH("Abilities",Equipconvrt!$A$1:$AH$1,0),FALSE),"")</f>
        <v/>
      </c>
      <c r="G979" s="20" t="str">
        <f>IFERROR(VLOOKUP($A979,Equipment!$A$2:$AD1001,MATCH("Price",Equipment!$A$1:$AH$1,0),FALSE),"")</f>
        <v/>
      </c>
      <c r="H979" s="1" t="b">
        <v>0</v>
      </c>
      <c r="I979" s="1" t="str">
        <f>IFERROR(VLOOKUP($A979,Equipment!$A$2:$AH1001,MATCH("EquipLoc",Equipment!$A$1:$AH$1,0),FALSE),"")</f>
        <v/>
      </c>
      <c r="W979" s="1"/>
      <c r="X979" s="1" t="str">
        <f t="shared" si="1"/>
        <v/>
      </c>
    </row>
    <row r="980">
      <c r="A980" s="1"/>
      <c r="B980" s="18" t="str">
        <f>IFERROR(VLOOKUP($A980,Equipment!$A$2:$AH1001,MATCH("Description",Equipment!$A$1:$AH$1,0),FALSE),"")</f>
        <v/>
      </c>
      <c r="C980" s="18" t="str">
        <f>IFERROR(VLOOKUP($A980,Equipment!$A$2:$AH1001,MATCH("Type",Equipment!$A$1:$AH$1,0),FALSE),"")</f>
        <v/>
      </c>
      <c r="D980" s="18" t="str">
        <f>IFERROR(VLOOKUP($A980,Equipment!$A$2:$AH1001,MATCH("Slot",Equipment!$A$1:$AH$1,0),FALSE),"")</f>
        <v/>
      </c>
      <c r="E980" s="20" t="str">
        <f>IFERROR(VLOOKUP($A980,Equipment!$A$2:$AH1001,MATCH("LevelReq",Equipment!$A$1:$AH$1,0),FALSE),"")</f>
        <v/>
      </c>
      <c r="F980" s="18" t="str">
        <f>IFERROR(VLOOKUP($A980,Equipconvrt!$A$2:$AH1001,MATCH("Abilities",Equipconvrt!$A$1:$AH$1,0),FALSE),"")</f>
        <v/>
      </c>
      <c r="G980" s="20" t="str">
        <f>IFERROR(VLOOKUP($A980,Equipment!$A$2:$AD1001,MATCH("Price",Equipment!$A$1:$AH$1,0),FALSE),"")</f>
        <v/>
      </c>
      <c r="H980" s="1" t="b">
        <v>0</v>
      </c>
      <c r="I980" s="1" t="str">
        <f>IFERROR(VLOOKUP($A980,Equipment!$A$2:$AH1001,MATCH("EquipLoc",Equipment!$A$1:$AH$1,0),FALSE),"")</f>
        <v/>
      </c>
      <c r="W980" s="1"/>
      <c r="X980" s="1" t="str">
        <f t="shared" si="1"/>
        <v/>
      </c>
    </row>
    <row r="981">
      <c r="A981" s="1"/>
      <c r="B981" s="18" t="str">
        <f>IFERROR(VLOOKUP($A981,Equipment!$A$2:$AH1001,MATCH("Description",Equipment!$A$1:$AH$1,0),FALSE),"")</f>
        <v/>
      </c>
      <c r="C981" s="18" t="str">
        <f>IFERROR(VLOOKUP($A981,Equipment!$A$2:$AH1001,MATCH("Type",Equipment!$A$1:$AH$1,0),FALSE),"")</f>
        <v/>
      </c>
      <c r="D981" s="18" t="str">
        <f>IFERROR(VLOOKUP($A981,Equipment!$A$2:$AH1001,MATCH("Slot",Equipment!$A$1:$AH$1,0),FALSE),"")</f>
        <v/>
      </c>
      <c r="E981" s="20" t="str">
        <f>IFERROR(VLOOKUP($A981,Equipment!$A$2:$AH1001,MATCH("LevelReq",Equipment!$A$1:$AH$1,0),FALSE),"")</f>
        <v/>
      </c>
      <c r="F981" s="18" t="str">
        <f>IFERROR(VLOOKUP($A981,Equipconvrt!$A$2:$AH1001,MATCH("Abilities",Equipconvrt!$A$1:$AH$1,0),FALSE),"")</f>
        <v/>
      </c>
      <c r="G981" s="20" t="str">
        <f>IFERROR(VLOOKUP($A981,Equipment!$A$2:$AD1001,MATCH("Price",Equipment!$A$1:$AH$1,0),FALSE),"")</f>
        <v/>
      </c>
      <c r="H981" s="1" t="b">
        <v>0</v>
      </c>
      <c r="I981" s="1" t="str">
        <f>IFERROR(VLOOKUP($A981,Equipment!$A$2:$AH1001,MATCH("EquipLoc",Equipment!$A$1:$AH$1,0),FALSE),"")</f>
        <v/>
      </c>
      <c r="W981" s="1"/>
      <c r="X981" s="1" t="str">
        <f t="shared" si="1"/>
        <v/>
      </c>
    </row>
    <row r="982">
      <c r="A982" s="1"/>
      <c r="B982" s="18" t="str">
        <f>IFERROR(VLOOKUP($A982,Equipment!$A$2:$AH1001,MATCH("Description",Equipment!$A$1:$AH$1,0),FALSE),"")</f>
        <v/>
      </c>
      <c r="C982" s="18" t="str">
        <f>IFERROR(VLOOKUP($A982,Equipment!$A$2:$AH1001,MATCH("Type",Equipment!$A$1:$AH$1,0),FALSE),"")</f>
        <v/>
      </c>
      <c r="D982" s="18" t="str">
        <f>IFERROR(VLOOKUP($A982,Equipment!$A$2:$AH1001,MATCH("Slot",Equipment!$A$1:$AH$1,0),FALSE),"")</f>
        <v/>
      </c>
      <c r="E982" s="20" t="str">
        <f>IFERROR(VLOOKUP($A982,Equipment!$A$2:$AH1001,MATCH("LevelReq",Equipment!$A$1:$AH$1,0),FALSE),"")</f>
        <v/>
      </c>
      <c r="F982" s="18" t="str">
        <f>IFERROR(VLOOKUP($A982,Equipconvrt!$A$2:$AH1001,MATCH("Abilities",Equipconvrt!$A$1:$AH$1,0),FALSE),"")</f>
        <v/>
      </c>
      <c r="G982" s="20" t="str">
        <f>IFERROR(VLOOKUP($A982,Equipment!$A$2:$AD1001,MATCH("Price",Equipment!$A$1:$AH$1,0),FALSE),"")</f>
        <v/>
      </c>
      <c r="H982" s="1" t="b">
        <v>0</v>
      </c>
      <c r="I982" s="1" t="str">
        <f>IFERROR(VLOOKUP($A982,Equipment!$A$2:$AH1001,MATCH("EquipLoc",Equipment!$A$1:$AH$1,0),FALSE),"")</f>
        <v/>
      </c>
      <c r="W982" s="1"/>
      <c r="X982" s="1" t="str">
        <f t="shared" si="1"/>
        <v/>
      </c>
    </row>
    <row r="983">
      <c r="A983" s="1"/>
      <c r="B983" s="18" t="str">
        <f>IFERROR(VLOOKUP($A983,Equipment!$A$2:$AH1001,MATCH("Description",Equipment!$A$1:$AH$1,0),FALSE),"")</f>
        <v/>
      </c>
      <c r="C983" s="18" t="str">
        <f>IFERROR(VLOOKUP($A983,Equipment!$A$2:$AH1001,MATCH("Type",Equipment!$A$1:$AH$1,0),FALSE),"")</f>
        <v/>
      </c>
      <c r="D983" s="18" t="str">
        <f>IFERROR(VLOOKUP($A983,Equipment!$A$2:$AH1001,MATCH("Slot",Equipment!$A$1:$AH$1,0),FALSE),"")</f>
        <v/>
      </c>
      <c r="E983" s="20" t="str">
        <f>IFERROR(VLOOKUP($A983,Equipment!$A$2:$AH1001,MATCH("LevelReq",Equipment!$A$1:$AH$1,0),FALSE),"")</f>
        <v/>
      </c>
      <c r="F983" s="18" t="str">
        <f>IFERROR(VLOOKUP($A983,Equipconvrt!$A$2:$AH1001,MATCH("Abilities",Equipconvrt!$A$1:$AH$1,0),FALSE),"")</f>
        <v/>
      </c>
      <c r="G983" s="20" t="str">
        <f>IFERROR(VLOOKUP($A983,Equipment!$A$2:$AD1001,MATCH("Price",Equipment!$A$1:$AH$1,0),FALSE),"")</f>
        <v/>
      </c>
      <c r="H983" s="1" t="b">
        <v>0</v>
      </c>
      <c r="I983" s="1" t="str">
        <f>IFERROR(VLOOKUP($A983,Equipment!$A$2:$AH1001,MATCH("EquipLoc",Equipment!$A$1:$AH$1,0),FALSE),"")</f>
        <v/>
      </c>
      <c r="W983" s="1"/>
      <c r="X983" s="1" t="str">
        <f t="shared" si="1"/>
        <v/>
      </c>
    </row>
    <row r="984">
      <c r="A984" s="1"/>
      <c r="B984" s="18" t="str">
        <f>IFERROR(VLOOKUP($A984,Equipment!$A$2:$AH1001,MATCH("Description",Equipment!$A$1:$AH$1,0),FALSE),"")</f>
        <v/>
      </c>
      <c r="C984" s="18" t="str">
        <f>IFERROR(VLOOKUP($A984,Equipment!$A$2:$AH1001,MATCH("Type",Equipment!$A$1:$AH$1,0),FALSE),"")</f>
        <v/>
      </c>
      <c r="D984" s="18" t="str">
        <f>IFERROR(VLOOKUP($A984,Equipment!$A$2:$AH1001,MATCH("Slot",Equipment!$A$1:$AH$1,0),FALSE),"")</f>
        <v/>
      </c>
      <c r="E984" s="20" t="str">
        <f>IFERROR(VLOOKUP($A984,Equipment!$A$2:$AH1001,MATCH("LevelReq",Equipment!$A$1:$AH$1,0),FALSE),"")</f>
        <v/>
      </c>
      <c r="F984" s="18" t="str">
        <f>IFERROR(VLOOKUP($A984,Equipconvrt!$A$2:$AH1001,MATCH("Abilities",Equipconvrt!$A$1:$AH$1,0),FALSE),"")</f>
        <v/>
      </c>
      <c r="G984" s="20" t="str">
        <f>IFERROR(VLOOKUP($A984,Equipment!$A$2:$AD1001,MATCH("Price",Equipment!$A$1:$AH$1,0),FALSE),"")</f>
        <v/>
      </c>
      <c r="H984" s="1" t="b">
        <v>0</v>
      </c>
      <c r="I984" s="1" t="str">
        <f>IFERROR(VLOOKUP($A984,Equipment!$A$2:$AH1001,MATCH("EquipLoc",Equipment!$A$1:$AH$1,0),FALSE),"")</f>
        <v/>
      </c>
      <c r="W984" s="1"/>
      <c r="X984" s="1" t="str">
        <f t="shared" si="1"/>
        <v/>
      </c>
    </row>
    <row r="985">
      <c r="A985" s="1"/>
      <c r="B985" s="18" t="str">
        <f>IFERROR(VLOOKUP($A985,Equipment!$A$2:$AH1001,MATCH("Description",Equipment!$A$1:$AH$1,0),FALSE),"")</f>
        <v/>
      </c>
      <c r="C985" s="18" t="str">
        <f>IFERROR(VLOOKUP($A985,Equipment!$A$2:$AH1001,MATCH("Type",Equipment!$A$1:$AH$1,0),FALSE),"")</f>
        <v/>
      </c>
      <c r="D985" s="18" t="str">
        <f>IFERROR(VLOOKUP($A985,Equipment!$A$2:$AH1001,MATCH("Slot",Equipment!$A$1:$AH$1,0),FALSE),"")</f>
        <v/>
      </c>
      <c r="E985" s="20" t="str">
        <f>IFERROR(VLOOKUP($A985,Equipment!$A$2:$AH1001,MATCH("LevelReq",Equipment!$A$1:$AH$1,0),FALSE),"")</f>
        <v/>
      </c>
      <c r="F985" s="18" t="str">
        <f>IFERROR(VLOOKUP($A985,Equipconvrt!$A$2:$AH1001,MATCH("Abilities",Equipconvrt!$A$1:$AH$1,0),FALSE),"")</f>
        <v/>
      </c>
      <c r="G985" s="20" t="str">
        <f>IFERROR(VLOOKUP($A985,Equipment!$A$2:$AD1001,MATCH("Price",Equipment!$A$1:$AH$1,0),FALSE),"")</f>
        <v/>
      </c>
      <c r="H985" s="1" t="b">
        <v>0</v>
      </c>
      <c r="I985" s="1" t="str">
        <f>IFERROR(VLOOKUP($A985,Equipment!$A$2:$AH1001,MATCH("EquipLoc",Equipment!$A$1:$AH$1,0),FALSE),"")</f>
        <v/>
      </c>
      <c r="W985" s="1"/>
      <c r="X985" s="1" t="str">
        <f t="shared" si="1"/>
        <v/>
      </c>
    </row>
    <row r="986">
      <c r="A986" s="1"/>
      <c r="B986" s="18" t="str">
        <f>IFERROR(VLOOKUP($A986,Equipment!$A$2:$AH1001,MATCH("Description",Equipment!$A$1:$AH$1,0),FALSE),"")</f>
        <v/>
      </c>
      <c r="C986" s="18" t="str">
        <f>IFERROR(VLOOKUP($A986,Equipment!$A$2:$AH1001,MATCH("Type",Equipment!$A$1:$AH$1,0),FALSE),"")</f>
        <v/>
      </c>
      <c r="D986" s="18" t="str">
        <f>IFERROR(VLOOKUP($A986,Equipment!$A$2:$AH1001,MATCH("Slot",Equipment!$A$1:$AH$1,0),FALSE),"")</f>
        <v/>
      </c>
      <c r="E986" s="20" t="str">
        <f>IFERROR(VLOOKUP($A986,Equipment!$A$2:$AH1001,MATCH("LevelReq",Equipment!$A$1:$AH$1,0),FALSE),"")</f>
        <v/>
      </c>
      <c r="F986" s="18" t="str">
        <f>IFERROR(VLOOKUP($A986,Equipconvrt!$A$2:$AH1001,MATCH("Abilities",Equipconvrt!$A$1:$AH$1,0),FALSE),"")</f>
        <v/>
      </c>
      <c r="G986" s="20" t="str">
        <f>IFERROR(VLOOKUP($A986,Equipment!$A$2:$AD1001,MATCH("Price",Equipment!$A$1:$AH$1,0),FALSE),"")</f>
        <v/>
      </c>
      <c r="H986" s="1" t="b">
        <v>0</v>
      </c>
      <c r="I986" s="1" t="str">
        <f>IFERROR(VLOOKUP($A986,Equipment!$A$2:$AH1001,MATCH("EquipLoc",Equipment!$A$1:$AH$1,0),FALSE),"")</f>
        <v/>
      </c>
      <c r="W986" s="1"/>
      <c r="X986" s="1" t="str">
        <f t="shared" si="1"/>
        <v/>
      </c>
    </row>
    <row r="987">
      <c r="A987" s="1"/>
      <c r="B987" s="18" t="str">
        <f>IFERROR(VLOOKUP($A987,Equipment!$A$2:$AH1001,MATCH("Description",Equipment!$A$1:$AH$1,0),FALSE),"")</f>
        <v/>
      </c>
      <c r="C987" s="18" t="str">
        <f>IFERROR(VLOOKUP($A987,Equipment!$A$2:$AH1001,MATCH("Type",Equipment!$A$1:$AH$1,0),FALSE),"")</f>
        <v/>
      </c>
      <c r="D987" s="18" t="str">
        <f>IFERROR(VLOOKUP($A987,Equipment!$A$2:$AH1001,MATCH("Slot",Equipment!$A$1:$AH$1,0),FALSE),"")</f>
        <v/>
      </c>
      <c r="E987" s="20" t="str">
        <f>IFERROR(VLOOKUP($A987,Equipment!$A$2:$AH1001,MATCH("LevelReq",Equipment!$A$1:$AH$1,0),FALSE),"")</f>
        <v/>
      </c>
      <c r="F987" s="18" t="str">
        <f>IFERROR(VLOOKUP($A987,Equipconvrt!$A$2:$AH1001,MATCH("Abilities",Equipconvrt!$A$1:$AH$1,0),FALSE),"")</f>
        <v/>
      </c>
      <c r="G987" s="20" t="str">
        <f>IFERROR(VLOOKUP($A987,Equipment!$A$2:$AD1001,MATCH("Price",Equipment!$A$1:$AH$1,0),FALSE),"")</f>
        <v/>
      </c>
      <c r="H987" s="1" t="b">
        <v>0</v>
      </c>
      <c r="I987" s="1" t="str">
        <f>IFERROR(VLOOKUP($A987,Equipment!$A$2:$AH1001,MATCH("EquipLoc",Equipment!$A$1:$AH$1,0),FALSE),"")</f>
        <v/>
      </c>
      <c r="W987" s="1"/>
      <c r="X987" s="1" t="str">
        <f t="shared" si="1"/>
        <v/>
      </c>
    </row>
    <row r="988">
      <c r="A988" s="1"/>
      <c r="B988" s="18" t="str">
        <f>IFERROR(VLOOKUP($A988,Equipment!$A$2:$AH1001,MATCH("Description",Equipment!$A$1:$AH$1,0),FALSE),"")</f>
        <v/>
      </c>
      <c r="C988" s="18" t="str">
        <f>IFERROR(VLOOKUP($A988,Equipment!$A$2:$AH1001,MATCH("Type",Equipment!$A$1:$AH$1,0),FALSE),"")</f>
        <v/>
      </c>
      <c r="D988" s="18" t="str">
        <f>IFERROR(VLOOKUP($A988,Equipment!$A$2:$AH1001,MATCH("Slot",Equipment!$A$1:$AH$1,0),FALSE),"")</f>
        <v/>
      </c>
      <c r="E988" s="20" t="str">
        <f>IFERROR(VLOOKUP($A988,Equipment!$A$2:$AH1001,MATCH("LevelReq",Equipment!$A$1:$AH$1,0),FALSE),"")</f>
        <v/>
      </c>
      <c r="F988" s="18" t="str">
        <f>IFERROR(VLOOKUP($A988,Equipconvrt!$A$2:$AH1001,MATCH("Abilities",Equipconvrt!$A$1:$AH$1,0),FALSE),"")</f>
        <v/>
      </c>
      <c r="G988" s="20" t="str">
        <f>IFERROR(VLOOKUP($A988,Equipment!$A$2:$AD1001,MATCH("Price",Equipment!$A$1:$AH$1,0),FALSE),"")</f>
        <v/>
      </c>
      <c r="H988" s="1" t="b">
        <v>0</v>
      </c>
      <c r="I988" s="1" t="str">
        <f>IFERROR(VLOOKUP($A988,Equipment!$A$2:$AH1001,MATCH("EquipLoc",Equipment!$A$1:$AH$1,0),FALSE),"")</f>
        <v/>
      </c>
      <c r="W988" s="1"/>
      <c r="X988" s="1" t="str">
        <f t="shared" si="1"/>
        <v/>
      </c>
    </row>
    <row r="989">
      <c r="A989" s="1"/>
      <c r="B989" s="18" t="str">
        <f>IFERROR(VLOOKUP($A989,Equipment!$A$2:$AH1001,MATCH("Description",Equipment!$A$1:$AH$1,0),FALSE),"")</f>
        <v/>
      </c>
      <c r="C989" s="18" t="str">
        <f>IFERROR(VLOOKUP($A989,Equipment!$A$2:$AH1001,MATCH("Type",Equipment!$A$1:$AH$1,0),FALSE),"")</f>
        <v/>
      </c>
      <c r="D989" s="18" t="str">
        <f>IFERROR(VLOOKUP($A989,Equipment!$A$2:$AH1001,MATCH("Slot",Equipment!$A$1:$AH$1,0),FALSE),"")</f>
        <v/>
      </c>
      <c r="E989" s="20" t="str">
        <f>IFERROR(VLOOKUP($A989,Equipment!$A$2:$AH1001,MATCH("LevelReq",Equipment!$A$1:$AH$1,0),FALSE),"")</f>
        <v/>
      </c>
      <c r="F989" s="18" t="str">
        <f>IFERROR(VLOOKUP($A989,Equipconvrt!$A$2:$AH1001,MATCH("Abilities",Equipconvrt!$A$1:$AH$1,0),FALSE),"")</f>
        <v/>
      </c>
      <c r="G989" s="20" t="str">
        <f>IFERROR(VLOOKUP($A989,Equipment!$A$2:$AD1001,MATCH("Price",Equipment!$A$1:$AH$1,0),FALSE),"")</f>
        <v/>
      </c>
      <c r="H989" s="1" t="b">
        <v>0</v>
      </c>
      <c r="I989" s="1" t="str">
        <f>IFERROR(VLOOKUP($A989,Equipment!$A$2:$AH1001,MATCH("EquipLoc",Equipment!$A$1:$AH$1,0),FALSE),"")</f>
        <v/>
      </c>
      <c r="W989" s="1"/>
      <c r="X989" s="1" t="str">
        <f t="shared" si="1"/>
        <v/>
      </c>
    </row>
    <row r="990">
      <c r="A990" s="1"/>
      <c r="B990" s="18" t="str">
        <f>IFERROR(VLOOKUP($A990,Equipment!$A$2:$AH1001,MATCH("Description",Equipment!$A$1:$AH$1,0),FALSE),"")</f>
        <v/>
      </c>
      <c r="C990" s="18" t="str">
        <f>IFERROR(VLOOKUP($A990,Equipment!$A$2:$AH1001,MATCH("Type",Equipment!$A$1:$AH$1,0),FALSE),"")</f>
        <v/>
      </c>
      <c r="D990" s="18" t="str">
        <f>IFERROR(VLOOKUP($A990,Equipment!$A$2:$AH1001,MATCH("Slot",Equipment!$A$1:$AH$1,0),FALSE),"")</f>
        <v/>
      </c>
      <c r="E990" s="20" t="str">
        <f>IFERROR(VLOOKUP($A990,Equipment!$A$2:$AH1001,MATCH("LevelReq",Equipment!$A$1:$AH$1,0),FALSE),"")</f>
        <v/>
      </c>
      <c r="F990" s="18" t="str">
        <f>IFERROR(VLOOKUP($A990,Equipconvrt!$A$2:$AH1001,MATCH("Abilities",Equipconvrt!$A$1:$AH$1,0),FALSE),"")</f>
        <v/>
      </c>
      <c r="G990" s="20" t="str">
        <f>IFERROR(VLOOKUP($A990,Equipment!$A$2:$AD1001,MATCH("Price",Equipment!$A$1:$AH$1,0),FALSE),"")</f>
        <v/>
      </c>
      <c r="H990" s="1" t="b">
        <v>0</v>
      </c>
      <c r="I990" s="1" t="str">
        <f>IFERROR(VLOOKUP($A990,Equipment!$A$2:$AH1001,MATCH("EquipLoc",Equipment!$A$1:$AH$1,0),FALSE),"")</f>
        <v/>
      </c>
      <c r="W990" s="1"/>
      <c r="X990" s="1" t="str">
        <f t="shared" si="1"/>
        <v/>
      </c>
    </row>
    <row r="991">
      <c r="A991" s="1"/>
      <c r="B991" s="18" t="str">
        <f>IFERROR(VLOOKUP($A991,Equipment!$A$2:$AH1001,MATCH("Description",Equipment!$A$1:$AH$1,0),FALSE),"")</f>
        <v/>
      </c>
      <c r="C991" s="18" t="str">
        <f>IFERROR(VLOOKUP($A991,Equipment!$A$2:$AH1001,MATCH("Type",Equipment!$A$1:$AH$1,0),FALSE),"")</f>
        <v/>
      </c>
      <c r="D991" s="18" t="str">
        <f>IFERROR(VLOOKUP($A991,Equipment!$A$2:$AH1001,MATCH("Slot",Equipment!$A$1:$AH$1,0),FALSE),"")</f>
        <v/>
      </c>
      <c r="E991" s="20" t="str">
        <f>IFERROR(VLOOKUP($A991,Equipment!$A$2:$AH1001,MATCH("LevelReq",Equipment!$A$1:$AH$1,0),FALSE),"")</f>
        <v/>
      </c>
      <c r="F991" s="18" t="str">
        <f>IFERROR(VLOOKUP($A991,Equipconvrt!$A$2:$AH1001,MATCH("Abilities",Equipconvrt!$A$1:$AH$1,0),FALSE),"")</f>
        <v/>
      </c>
      <c r="G991" s="20" t="str">
        <f>IFERROR(VLOOKUP($A991,Equipment!$A$2:$AD1001,MATCH("Price",Equipment!$A$1:$AH$1,0),FALSE),"")</f>
        <v/>
      </c>
      <c r="H991" s="1" t="b">
        <v>0</v>
      </c>
      <c r="I991" s="1" t="str">
        <f>IFERROR(VLOOKUP($A991,Equipment!$A$2:$AH1001,MATCH("EquipLoc",Equipment!$A$1:$AH$1,0),FALSE),"")</f>
        <v/>
      </c>
      <c r="W991" s="1"/>
      <c r="X991" s="1" t="str">
        <f t="shared" si="1"/>
        <v/>
      </c>
    </row>
    <row r="992">
      <c r="A992" s="1"/>
      <c r="B992" s="18" t="str">
        <f>IFERROR(VLOOKUP($A992,Equipment!$A$2:$AH1001,MATCH("Description",Equipment!$A$1:$AH$1,0),FALSE),"")</f>
        <v/>
      </c>
      <c r="C992" s="18" t="str">
        <f>IFERROR(VLOOKUP($A992,Equipment!$A$2:$AH1001,MATCH("Type",Equipment!$A$1:$AH$1,0),FALSE),"")</f>
        <v/>
      </c>
      <c r="D992" s="18" t="str">
        <f>IFERROR(VLOOKUP($A992,Equipment!$A$2:$AH1001,MATCH("Slot",Equipment!$A$1:$AH$1,0),FALSE),"")</f>
        <v/>
      </c>
      <c r="E992" s="20" t="str">
        <f>IFERROR(VLOOKUP($A992,Equipment!$A$2:$AH1001,MATCH("LevelReq",Equipment!$A$1:$AH$1,0),FALSE),"")</f>
        <v/>
      </c>
      <c r="F992" s="18" t="str">
        <f>IFERROR(VLOOKUP($A992,Equipconvrt!$A$2:$AH1001,MATCH("Abilities",Equipconvrt!$A$1:$AH$1,0),FALSE),"")</f>
        <v/>
      </c>
      <c r="G992" s="20" t="str">
        <f>IFERROR(VLOOKUP($A992,Equipment!$A$2:$AD1001,MATCH("Price",Equipment!$A$1:$AH$1,0),FALSE),"")</f>
        <v/>
      </c>
      <c r="H992" s="1" t="b">
        <v>0</v>
      </c>
      <c r="I992" s="1" t="str">
        <f>IFERROR(VLOOKUP($A992,Equipment!$A$2:$AH1001,MATCH("EquipLoc",Equipment!$A$1:$AH$1,0),FALSE),"")</f>
        <v/>
      </c>
      <c r="W992" s="1"/>
      <c r="X992" s="1" t="str">
        <f t="shared" si="1"/>
        <v/>
      </c>
    </row>
    <row r="993">
      <c r="A993" s="1"/>
      <c r="B993" s="18" t="str">
        <f>IFERROR(VLOOKUP($A993,Equipment!$A$2:$AH1001,MATCH("Description",Equipment!$A$1:$AH$1,0),FALSE),"")</f>
        <v/>
      </c>
      <c r="C993" s="18" t="str">
        <f>IFERROR(VLOOKUP($A993,Equipment!$A$2:$AH1001,MATCH("Type",Equipment!$A$1:$AH$1,0),FALSE),"")</f>
        <v/>
      </c>
      <c r="D993" s="18" t="str">
        <f>IFERROR(VLOOKUP($A993,Equipment!$A$2:$AH1001,MATCH("Slot",Equipment!$A$1:$AH$1,0),FALSE),"")</f>
        <v/>
      </c>
      <c r="E993" s="20" t="str">
        <f>IFERROR(VLOOKUP($A993,Equipment!$A$2:$AH1001,MATCH("LevelReq",Equipment!$A$1:$AH$1,0),FALSE),"")</f>
        <v/>
      </c>
      <c r="F993" s="18" t="str">
        <f>IFERROR(VLOOKUP($A993,Equipconvrt!$A$2:$AH1001,MATCH("Abilities",Equipconvrt!$A$1:$AH$1,0),FALSE),"")</f>
        <v/>
      </c>
      <c r="G993" s="20" t="str">
        <f>IFERROR(VLOOKUP($A993,Equipment!$A$2:$AD1001,MATCH("Price",Equipment!$A$1:$AH$1,0),FALSE),"")</f>
        <v/>
      </c>
      <c r="H993" s="1" t="b">
        <v>0</v>
      </c>
      <c r="I993" s="1" t="str">
        <f>IFERROR(VLOOKUP($A993,Equipment!$A$2:$AH1001,MATCH("EquipLoc",Equipment!$A$1:$AH$1,0),FALSE),"")</f>
        <v/>
      </c>
      <c r="W993" s="1"/>
      <c r="X993" s="1" t="str">
        <f t="shared" si="1"/>
        <v/>
      </c>
    </row>
    <row r="994">
      <c r="A994" s="1"/>
      <c r="B994" s="18" t="str">
        <f>IFERROR(VLOOKUP($A994,Equipment!$A$2:$AH1001,MATCH("Description",Equipment!$A$1:$AH$1,0),FALSE),"")</f>
        <v/>
      </c>
      <c r="C994" s="18" t="str">
        <f>IFERROR(VLOOKUP($A994,Equipment!$A$2:$AH1001,MATCH("Type",Equipment!$A$1:$AH$1,0),FALSE),"")</f>
        <v/>
      </c>
      <c r="D994" s="18" t="str">
        <f>IFERROR(VLOOKUP($A994,Equipment!$A$2:$AH1001,MATCH("Slot",Equipment!$A$1:$AH$1,0),FALSE),"")</f>
        <v/>
      </c>
      <c r="E994" s="20" t="str">
        <f>IFERROR(VLOOKUP($A994,Equipment!$A$2:$AH1001,MATCH("LevelReq",Equipment!$A$1:$AH$1,0),FALSE),"")</f>
        <v/>
      </c>
      <c r="F994" s="18" t="str">
        <f>IFERROR(VLOOKUP($A994,Equipconvrt!$A$2:$AH1001,MATCH("Abilities",Equipconvrt!$A$1:$AH$1,0),FALSE),"")</f>
        <v/>
      </c>
      <c r="G994" s="20" t="str">
        <f>IFERROR(VLOOKUP($A994,Equipment!$A$2:$AD1001,MATCH("Price",Equipment!$A$1:$AH$1,0),FALSE),"")</f>
        <v/>
      </c>
      <c r="H994" s="1" t="b">
        <v>0</v>
      </c>
      <c r="I994" s="1" t="str">
        <f>IFERROR(VLOOKUP($A994,Equipment!$A$2:$AH1001,MATCH("EquipLoc",Equipment!$A$1:$AH$1,0),FALSE),"")</f>
        <v/>
      </c>
      <c r="W994" s="1"/>
      <c r="X994" s="1" t="str">
        <f t="shared" si="1"/>
        <v/>
      </c>
    </row>
    <row r="995">
      <c r="A995" s="1"/>
      <c r="B995" s="18" t="str">
        <f>IFERROR(VLOOKUP($A995,Equipment!$A$2:$AH1001,MATCH("Description",Equipment!$A$1:$AH$1,0),FALSE),"")</f>
        <v/>
      </c>
      <c r="C995" s="18" t="str">
        <f>IFERROR(VLOOKUP($A995,Equipment!$A$2:$AH1001,MATCH("Type",Equipment!$A$1:$AH$1,0),FALSE),"")</f>
        <v/>
      </c>
      <c r="D995" s="18" t="str">
        <f>IFERROR(VLOOKUP($A995,Equipment!$A$2:$AH1001,MATCH("Slot",Equipment!$A$1:$AH$1,0),FALSE),"")</f>
        <v/>
      </c>
      <c r="E995" s="20" t="str">
        <f>IFERROR(VLOOKUP($A995,Equipment!$A$2:$AH1001,MATCH("LevelReq",Equipment!$A$1:$AH$1,0),FALSE),"")</f>
        <v/>
      </c>
      <c r="F995" s="18" t="str">
        <f>IFERROR(VLOOKUP($A995,Equipconvrt!$A$2:$AH1001,MATCH("Abilities",Equipconvrt!$A$1:$AH$1,0),FALSE),"")</f>
        <v/>
      </c>
      <c r="G995" s="20" t="str">
        <f>IFERROR(VLOOKUP($A995,Equipment!$A$2:$AD1001,MATCH("Price",Equipment!$A$1:$AH$1,0),FALSE),"")</f>
        <v/>
      </c>
      <c r="H995" s="1" t="b">
        <v>0</v>
      </c>
      <c r="I995" s="1" t="str">
        <f>IFERROR(VLOOKUP($A995,Equipment!$A$2:$AH1001,MATCH("EquipLoc",Equipment!$A$1:$AH$1,0),FALSE),"")</f>
        <v/>
      </c>
      <c r="W995" s="1"/>
      <c r="X995" s="1" t="str">
        <f t="shared" si="1"/>
        <v/>
      </c>
    </row>
    <row r="996">
      <c r="A996" s="1"/>
      <c r="B996" s="18" t="str">
        <f>IFERROR(VLOOKUP($A996,Equipment!$A$2:$AH1001,MATCH("Description",Equipment!$A$1:$AH$1,0),FALSE),"")</f>
        <v/>
      </c>
      <c r="C996" s="18" t="str">
        <f>IFERROR(VLOOKUP($A996,Equipment!$A$2:$AH1001,MATCH("Type",Equipment!$A$1:$AH$1,0),FALSE),"")</f>
        <v/>
      </c>
      <c r="D996" s="18" t="str">
        <f>IFERROR(VLOOKUP($A996,Equipment!$A$2:$AH1001,MATCH("Slot",Equipment!$A$1:$AH$1,0),FALSE),"")</f>
        <v/>
      </c>
      <c r="E996" s="20" t="str">
        <f>IFERROR(VLOOKUP($A996,Equipment!$A$2:$AH1001,MATCH("LevelReq",Equipment!$A$1:$AH$1,0),FALSE),"")</f>
        <v/>
      </c>
      <c r="F996" s="18" t="str">
        <f>IFERROR(VLOOKUP($A996,Equipconvrt!$A$2:$AH1001,MATCH("Abilities",Equipconvrt!$A$1:$AH$1,0),FALSE),"")</f>
        <v/>
      </c>
      <c r="G996" s="20" t="str">
        <f>IFERROR(VLOOKUP($A996,Equipment!$A$2:$AD1001,MATCH("Price",Equipment!$A$1:$AH$1,0),FALSE),"")</f>
        <v/>
      </c>
      <c r="H996" s="1" t="b">
        <v>0</v>
      </c>
      <c r="I996" s="1" t="str">
        <f>IFERROR(VLOOKUP($A996,Equipment!$A$2:$AH1001,MATCH("EquipLoc",Equipment!$A$1:$AH$1,0),FALSE),"")</f>
        <v/>
      </c>
      <c r="W996" s="1"/>
      <c r="X996" s="1" t="str">
        <f t="shared" si="1"/>
        <v/>
      </c>
    </row>
    <row r="997">
      <c r="A997" s="1"/>
      <c r="B997" s="18" t="str">
        <f>IFERROR(VLOOKUP($A997,Equipment!$A$2:$AH1001,MATCH("Description",Equipment!$A$1:$AH$1,0),FALSE),"")</f>
        <v/>
      </c>
      <c r="C997" s="18" t="str">
        <f>IFERROR(VLOOKUP($A997,Equipment!$A$2:$AH1001,MATCH("Type",Equipment!$A$1:$AH$1,0),FALSE),"")</f>
        <v/>
      </c>
      <c r="D997" s="18" t="str">
        <f>IFERROR(VLOOKUP($A997,Equipment!$A$2:$AH1001,MATCH("Slot",Equipment!$A$1:$AH$1,0),FALSE),"")</f>
        <v/>
      </c>
      <c r="E997" s="20" t="str">
        <f>IFERROR(VLOOKUP($A997,Equipment!$A$2:$AH1001,MATCH("LevelReq",Equipment!$A$1:$AH$1,0),FALSE),"")</f>
        <v/>
      </c>
      <c r="F997" s="18" t="str">
        <f>IFERROR(VLOOKUP($A997,Equipconvrt!$A$2:$AH1001,MATCH("Abilities",Equipconvrt!$A$1:$AH$1,0),FALSE),"")</f>
        <v/>
      </c>
      <c r="G997" s="20" t="str">
        <f>IFERROR(VLOOKUP($A997,Equipment!$A$2:$AD1001,MATCH("Price",Equipment!$A$1:$AH$1,0),FALSE),"")</f>
        <v/>
      </c>
      <c r="H997" s="1" t="b">
        <v>0</v>
      </c>
      <c r="I997" s="1" t="str">
        <f>IFERROR(VLOOKUP($A997,Equipment!$A$2:$AH1001,MATCH("EquipLoc",Equipment!$A$1:$AH$1,0),FALSE),"")</f>
        <v/>
      </c>
      <c r="W997" s="1"/>
      <c r="X997" s="1" t="str">
        <f t="shared" si="1"/>
        <v/>
      </c>
    </row>
    <row r="998">
      <c r="A998" s="1"/>
      <c r="B998" s="18" t="str">
        <f>IFERROR(VLOOKUP($A998,Equipment!$A$2:$AH1001,MATCH("Description",Equipment!$A$1:$AH$1,0),FALSE),"")</f>
        <v/>
      </c>
      <c r="C998" s="18" t="str">
        <f>IFERROR(VLOOKUP($A998,Equipment!$A$2:$AH1001,MATCH("Type",Equipment!$A$1:$AH$1,0),FALSE),"")</f>
        <v/>
      </c>
      <c r="D998" s="18" t="str">
        <f>IFERROR(VLOOKUP($A998,Equipment!$A$2:$AH1001,MATCH("Slot",Equipment!$A$1:$AH$1,0),FALSE),"")</f>
        <v/>
      </c>
      <c r="E998" s="20" t="str">
        <f>IFERROR(VLOOKUP($A998,Equipment!$A$2:$AH1001,MATCH("LevelReq",Equipment!$A$1:$AH$1,0),FALSE),"")</f>
        <v/>
      </c>
      <c r="F998" s="18" t="str">
        <f>IFERROR(VLOOKUP($A998,Equipconvrt!$A$2:$AH1001,MATCH("Abilities",Equipconvrt!$A$1:$AH$1,0),FALSE),"")</f>
        <v/>
      </c>
      <c r="G998" s="20" t="str">
        <f>IFERROR(VLOOKUP($A998,Equipment!$A$2:$AD1001,MATCH("Price",Equipment!$A$1:$AH$1,0),FALSE),"")</f>
        <v/>
      </c>
      <c r="H998" s="1" t="b">
        <v>0</v>
      </c>
      <c r="I998" s="1" t="str">
        <f>IFERROR(VLOOKUP($A998,Equipment!$A$2:$AH1001,MATCH("EquipLoc",Equipment!$A$1:$AH$1,0),FALSE),"")</f>
        <v/>
      </c>
      <c r="W998" s="1"/>
      <c r="X998" s="1" t="str">
        <f t="shared" si="1"/>
        <v/>
      </c>
    </row>
    <row r="999">
      <c r="A999" s="1"/>
      <c r="B999" s="18" t="str">
        <f>IFERROR(VLOOKUP($A999,Equipment!$A$2:$AH1001,MATCH("Description",Equipment!$A$1:$AH$1,0),FALSE),"")</f>
        <v/>
      </c>
      <c r="C999" s="18" t="str">
        <f>IFERROR(VLOOKUP($A999,Equipment!$A$2:$AH1001,MATCH("Type",Equipment!$A$1:$AH$1,0),FALSE),"")</f>
        <v/>
      </c>
      <c r="D999" s="18" t="str">
        <f>IFERROR(VLOOKUP($A999,Equipment!$A$2:$AH1001,MATCH("Slot",Equipment!$A$1:$AH$1,0),FALSE),"")</f>
        <v/>
      </c>
      <c r="E999" s="20" t="str">
        <f>IFERROR(VLOOKUP($A999,Equipment!$A$2:$AH1001,MATCH("LevelReq",Equipment!$A$1:$AH$1,0),FALSE),"")</f>
        <v/>
      </c>
      <c r="F999" s="18" t="str">
        <f>IFERROR(VLOOKUP($A999,Equipconvrt!$A$2:$AH1001,MATCH("Abilities",Equipconvrt!$A$1:$AH$1,0),FALSE),"")</f>
        <v/>
      </c>
      <c r="G999" s="20" t="str">
        <f>IFERROR(VLOOKUP($A999,Equipment!$A$2:$AD1001,MATCH("Price",Equipment!$A$1:$AH$1,0),FALSE),"")</f>
        <v/>
      </c>
      <c r="H999" s="1" t="b">
        <v>0</v>
      </c>
      <c r="I999" s="1" t="str">
        <f>IFERROR(VLOOKUP($A999,Equipment!$A$2:$AH1001,MATCH("EquipLoc",Equipment!$A$1:$AH$1,0),FALSE),"")</f>
        <v/>
      </c>
      <c r="W999" s="1"/>
      <c r="X999" s="1" t="str">
        <f t="shared" si="1"/>
        <v/>
      </c>
    </row>
    <row r="1000">
      <c r="A1000" s="1"/>
      <c r="B1000" s="18" t="str">
        <f>IFERROR(VLOOKUP($A1000,Equipment!$A$2:$AH1001,MATCH("Description",Equipment!$A$1:$AH$1,0),FALSE),"")</f>
        <v/>
      </c>
      <c r="C1000" s="18" t="str">
        <f>IFERROR(VLOOKUP($A1000,Equipment!$A$2:$AH1001,MATCH("Type",Equipment!$A$1:$AH$1,0),FALSE),"")</f>
        <v/>
      </c>
      <c r="D1000" s="18" t="str">
        <f>IFERROR(VLOOKUP($A1000,Equipment!$A$2:$AH1001,MATCH("Slot",Equipment!$A$1:$AH$1,0),FALSE),"")</f>
        <v/>
      </c>
      <c r="E1000" s="20" t="str">
        <f>IFERROR(VLOOKUP($A1000,Equipment!$A$2:$AH1001,MATCH("LevelReq",Equipment!$A$1:$AH$1,0),FALSE),"")</f>
        <v/>
      </c>
      <c r="F1000" s="18" t="str">
        <f>IFERROR(VLOOKUP($A1000,Equipconvrt!$A$2:$AH1001,MATCH("Abilities",Equipconvrt!$A$1:$AH$1,0),FALSE),"")</f>
        <v/>
      </c>
      <c r="G1000" s="20" t="str">
        <f>IFERROR(VLOOKUP($A1000,Equipment!$A$2:$AD1001,MATCH("Price",Equipment!$A$1:$AH$1,0),FALSE),"")</f>
        <v/>
      </c>
      <c r="H1000" s="1" t="b">
        <v>0</v>
      </c>
      <c r="I1000" s="1" t="str">
        <f>IFERROR(VLOOKUP($A1000,Equipment!$A$2:$AH1001,MATCH("EquipLoc",Equipment!$A$1:$AH$1,0),FALSE),"")</f>
        <v/>
      </c>
      <c r="W1000" s="1"/>
      <c r="X1000" s="1" t="str">
        <f t="shared" si="1"/>
        <v/>
      </c>
    </row>
    <row r="1001">
      <c r="A1001" s="1"/>
      <c r="B1001" s="18" t="str">
        <f>IFERROR(VLOOKUP($A1001,Equipment!$A$2:$AH1001,MATCH("Description",Equipment!$A$1:$AH$1,0),FALSE),"")</f>
        <v/>
      </c>
      <c r="C1001" s="18" t="str">
        <f>IFERROR(VLOOKUP($A1001,Equipment!$A$2:$AH1001,MATCH("Type",Equipment!$A$1:$AH$1,0),FALSE),"")</f>
        <v/>
      </c>
      <c r="D1001" s="18" t="str">
        <f>IFERROR(VLOOKUP($A1001,Equipment!$A$2:$AH1001,MATCH("Slot",Equipment!$A$1:$AH$1,0),FALSE),"")</f>
        <v/>
      </c>
      <c r="E1001" s="20" t="str">
        <f>IFERROR(VLOOKUP($A1001,Equipment!$A$2:$AH1001,MATCH("LevelReq",Equipment!$A$1:$AH$1,0),FALSE),"")</f>
        <v/>
      </c>
      <c r="F1001" s="18" t="str">
        <f>IFERROR(VLOOKUP($A1001,Equipconvrt!$A$2:$AH1001,MATCH("Abilities",Equipconvrt!$A$1:$AH$1,0),FALSE),"")</f>
        <v/>
      </c>
      <c r="G1001" s="20" t="str">
        <f>IFERROR(VLOOKUP($A1001,Equipment!$A$2:$AD1001,MATCH("Price",Equipment!$A$1:$AH$1,0),FALSE),"")</f>
        <v/>
      </c>
      <c r="I1001" s="1" t="str">
        <f>IFERROR(VLOOKUP($A1001,Equipment!$A$2:$AH1001,MATCH("EquipLoc",Equipment!$A$1:$AH$1,0),FALSE),"")</f>
        <v/>
      </c>
      <c r="W1001" s="1"/>
      <c r="X1001" s="1" t="str">
        <f t="shared" si="1"/>
        <v/>
      </c>
    </row>
  </sheetData>
  <dataValidations>
    <dataValidation type="list" allowBlank="1" showErrorMessage="1" sqref="A2:A1001">
      <formula1>Equipment!$A$2:$A1001</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tr">
        <f>IFERROR(__xludf.DUMMYFUNCTION("IMPORTRANGE(""https://docs.google.com/spreadsheets/d/1HXoAI5UG3zq1UHqU5n7fPdbQk93qOha2VQb1r7iRi1o"",""Equipconvert!A:AH"")"),"Name")</f>
        <v>Name</v>
      </c>
      <c r="B1" s="1" t="str">
        <f>IFERROR(__xludf.DUMMYFUNCTION("""COMPUTED_VALUE"""),"Description")</f>
        <v>Description</v>
      </c>
      <c r="C1" s="1" t="str">
        <f>IFERROR(__xludf.DUMMYFUNCTION("""COMPUTED_VALUE"""),"Type")</f>
        <v>Type</v>
      </c>
      <c r="D1" s="1" t="str">
        <f>IFERROR(__xludf.DUMMYFUNCTION("""COMPUTED_VALUE"""),"Slot")</f>
        <v>Slot</v>
      </c>
      <c r="E1" s="1" t="str">
        <f>IFERROR(__xludf.DUMMYFUNCTION("""COMPUTED_VALUE"""),"Level Requirement")</f>
        <v>Level Requirement</v>
      </c>
      <c r="F1" s="1" t="str">
        <f>IFERROR(__xludf.DUMMYFUNCTION("""COMPUTED_VALUE"""),"Abilities")</f>
        <v>Abilities</v>
      </c>
      <c r="G1" s="1" t="str">
        <f>IFERROR(__xludf.DUMMYFUNCTION("""COMPUTED_VALUE"""),"Estimated Price")</f>
        <v>Estimated Price</v>
      </c>
      <c r="H1" s="1"/>
      <c r="I1" s="1"/>
      <c r="J1" s="1"/>
      <c r="K1" s="1"/>
      <c r="L1" s="1"/>
      <c r="M1" s="1"/>
      <c r="N1" s="1"/>
      <c r="O1" s="1"/>
      <c r="P1" s="1"/>
      <c r="Q1" s="1"/>
      <c r="R1" s="1"/>
      <c r="S1" s="1"/>
      <c r="T1" s="1"/>
      <c r="U1" s="1"/>
      <c r="V1" s="1"/>
      <c r="W1" s="1"/>
      <c r="X1" s="1"/>
      <c r="Y1" s="1"/>
      <c r="Z1" s="1"/>
    </row>
    <row r="2">
      <c r="A2" s="1" t="str">
        <f>IFERROR(__xludf.DUMMYFUNCTION("""COMPUTED_VALUE"""),"""Hellfire Club"" Vest of Metal Harmony's")</f>
        <v>"Hellfire Club" Vest of Metal Harmony's</v>
      </c>
      <c r="B2" s="1"/>
      <c r="C2" s="1"/>
      <c r="D2" s="1" t="str">
        <f>IFERROR(__xludf.DUMMYFUNCTION("""COMPUTED_VALUE"""),"Torso")</f>
        <v>Torso</v>
      </c>
      <c r="E2" s="1">
        <f>IFERROR(__xludf.DUMMYFUNCTION("""COMPUTED_VALUE"""),200.0)</f>
        <v>200</v>
      </c>
      <c r="F2" s="1" t="str">
        <f>IFERROR(__xludf.DUMMYFUNCTION("""COMPUTED_VALUE"""),"DEF: ++10000 ++When dealing damage with an instrument you will regain sp equal to the damage you caused.")</f>
        <v>DEF: ++10000 ++When dealing damage with an instrument you will regain sp equal to the damage you caused.</v>
      </c>
      <c r="G2" s="1">
        <f>IFERROR(__xludf.DUMMYFUNCTION("""COMPUTED_VALUE"""),1900000.0)</f>
        <v>1900000</v>
      </c>
      <c r="H2" s="1"/>
      <c r="I2" s="1"/>
      <c r="J2" s="1"/>
      <c r="K2" s="1"/>
      <c r="L2" s="1"/>
      <c r="M2" s="1"/>
      <c r="N2" s="1"/>
      <c r="O2" s="1"/>
      <c r="P2" s="1"/>
      <c r="Q2" s="1"/>
      <c r="R2" s="1"/>
      <c r="S2" s="1"/>
      <c r="T2" s="1"/>
      <c r="U2" s="1"/>
      <c r="V2" s="1"/>
      <c r="W2" s="1"/>
      <c r="X2" s="1"/>
      <c r="Y2" s="1"/>
      <c r="Z2" s="1"/>
    </row>
    <row r="3">
      <c r="A3" s="1" t="str">
        <f>IFERROR(__xludf.DUMMYFUNCTION("""COMPUTED_VALUE"""),"""Sweetheart"" Guitar of The Upside Down")</f>
        <v>"Sweetheart" Guitar of The Upside Down</v>
      </c>
      <c r="B3" s="1"/>
      <c r="C3" s="1" t="str">
        <f>IFERROR(__xludf.DUMMYFUNCTION("""COMPUTED_VALUE"""),"Instrument")</f>
        <v>Instrument</v>
      </c>
      <c r="D3" s="1" t="str">
        <f>IFERROR(__xludf.DUMMYFUNCTION("""COMPUTED_VALUE"""),"Hand")</f>
        <v>Hand</v>
      </c>
      <c r="E3" s="1">
        <f>IFERROR(__xludf.DUMMYFUNCTION("""COMPUTED_VALUE"""),200.0)</f>
        <v>200</v>
      </c>
      <c r="F3" s="1" t="str">
        <f>IFERROR(__xludf.DUMMYFUNCTION("""COMPUTED_VALUE"""),"DMG: +2500, Fire DMG: +2500, Dark DMG: +2500, Chaos DMG: +2500 ++This instrument will deal X2 damage while it's equipped. ++Any spells that deal damage for the user will now do an additional X2. ++25% chance to port the target you hit to a random location"&amp;".")</f>
        <v>DMG: +2500, Fire DMG: +2500, Dark DMG: +2500, Chaos DMG: +2500 ++This instrument will deal X2 damage while it's equipped. ++Any spells that deal damage for the user will now do an additional X2. ++25% chance to port the target you hit to a random location.</v>
      </c>
      <c r="G3" s="1">
        <f>IFERROR(__xludf.DUMMYFUNCTION("""COMPUTED_VALUE"""),1900000.0)</f>
        <v>1900000</v>
      </c>
      <c r="H3" s="1"/>
      <c r="I3" s="1"/>
      <c r="J3" s="1"/>
      <c r="K3" s="1"/>
      <c r="L3" s="1"/>
      <c r="M3" s="1"/>
      <c r="N3" s="1"/>
      <c r="O3" s="1"/>
      <c r="P3" s="1"/>
      <c r="Q3" s="1"/>
      <c r="R3" s="1"/>
      <c r="S3" s="1"/>
      <c r="T3" s="1"/>
      <c r="U3" s="1"/>
      <c r="V3" s="1"/>
      <c r="W3" s="1"/>
      <c r="X3" s="1"/>
      <c r="Y3" s="1"/>
      <c r="Z3" s="1"/>
    </row>
    <row r="4">
      <c r="A4" s="1" t="str">
        <f>IFERROR(__xludf.DUMMYFUNCTION("""COMPUTED_VALUE"""),"Alpha Sword")</f>
        <v>Alpha Sword</v>
      </c>
      <c r="B4" s="1"/>
      <c r="C4" s="1" t="str">
        <f>IFERROR(__xludf.DUMMYFUNCTION("""COMPUTED_VALUE"""),"Sword")</f>
        <v>Sword</v>
      </c>
      <c r="D4" s="1" t="str">
        <f>IFERROR(__xludf.DUMMYFUNCTION("""COMPUTED_VALUE"""),"Hand")</f>
        <v>Hand</v>
      </c>
      <c r="E4" s="1">
        <f>IFERROR(__xludf.DUMMYFUNCTION("""COMPUTED_VALUE"""),4000.0)</f>
        <v>4000</v>
      </c>
      <c r="F4" s="1" t="str">
        <f>IFERROR(__xludf.DUMMYFUNCTION("""COMPUTED_VALUE"""),"DMG: +100000, Dark DMG: +100000 ++If you kill an enemy using this weapon you may attack another enemy once more using this weapon on the same turn but this can only be done once per turn.")</f>
        <v>DMG: +100000, Dark DMG: +100000 ++If you kill an enemy using this weapon you may attack another enemy once more using this weapon on the same turn but this can only be done once per turn.</v>
      </c>
      <c r="G4" s="1">
        <f>IFERROR(__xludf.DUMMYFUNCTION("""COMPUTED_VALUE"""),7.98E8)</f>
        <v>798000000</v>
      </c>
      <c r="H4" s="1"/>
      <c r="I4" s="1"/>
      <c r="J4" s="1"/>
      <c r="K4" s="1"/>
      <c r="L4" s="1"/>
      <c r="M4" s="1"/>
      <c r="N4" s="1"/>
      <c r="O4" s="1"/>
      <c r="P4" s="1"/>
      <c r="Q4" s="1"/>
      <c r="R4" s="1"/>
      <c r="S4" s="1"/>
      <c r="T4" s="1"/>
      <c r="U4" s="1"/>
      <c r="V4" s="1"/>
      <c r="W4" s="1"/>
      <c r="X4" s="1"/>
      <c r="Y4" s="1"/>
      <c r="Z4" s="1"/>
    </row>
    <row r="5">
      <c r="A5" s="1" t="str">
        <f>IFERROR(__xludf.DUMMYFUNCTION("""COMPUTED_VALUE"""),"Ancient Colossus Forest Hammer")</f>
        <v>Ancient Colossus Forest Hammer</v>
      </c>
      <c r="B5" s="1"/>
      <c r="C5" s="1" t="str">
        <f>IFERROR(__xludf.DUMMYFUNCTION("""COMPUTED_VALUE"""),"Club")</f>
        <v>Club</v>
      </c>
      <c r="D5" s="1" t="str">
        <f>IFERROR(__xludf.DUMMYFUNCTION("""COMPUTED_VALUE"""),"Hand")</f>
        <v>Hand</v>
      </c>
      <c r="E5" s="1">
        <f>IFERROR(__xludf.DUMMYFUNCTION("""COMPUTED_VALUE"""),700.0)</f>
        <v>700</v>
      </c>
      <c r="F5" s="1" t="str">
        <f>IFERROR(__xludf.DUMMYFUNCTION("""COMPUTED_VALUE"""),"DMG: +25000, Nature DMG: +10000 ++When in a Natural environment all attacks with this weapon will roll twice and take the higher number")</f>
        <v>DMG: +25000, Nature DMG: +10000 ++When in a Natural environment all attacks with this weapon will roll twice and take the higher number</v>
      </c>
      <c r="G5" s="1">
        <f>IFERROR(__xludf.DUMMYFUNCTION("""COMPUTED_VALUE"""),2.415E7)</f>
        <v>24150000</v>
      </c>
      <c r="H5" s="1"/>
      <c r="I5" s="1"/>
      <c r="J5" s="1"/>
      <c r="K5" s="1"/>
      <c r="L5" s="1"/>
      <c r="M5" s="1"/>
      <c r="N5" s="1"/>
      <c r="O5" s="1"/>
      <c r="P5" s="1"/>
      <c r="Q5" s="1"/>
      <c r="R5" s="1"/>
      <c r="S5" s="1"/>
      <c r="T5" s="1"/>
      <c r="U5" s="1"/>
      <c r="V5" s="1"/>
      <c r="W5" s="1"/>
      <c r="X5" s="1"/>
      <c r="Y5" s="1"/>
      <c r="Z5" s="1"/>
    </row>
    <row r="6">
      <c r="A6" s="1" t="str">
        <f>IFERROR(__xludf.DUMMYFUNCTION("""COMPUTED_VALUE"""),"Ancient Samurai Sword")</f>
        <v>Ancient Samurai Sword</v>
      </c>
      <c r="B6" s="1"/>
      <c r="C6" s="1" t="str">
        <f>IFERROR(__xludf.DUMMYFUNCTION("""COMPUTED_VALUE"""),"Sword")</f>
        <v>Sword</v>
      </c>
      <c r="D6" s="1" t="str">
        <f>IFERROR(__xludf.DUMMYFUNCTION("""COMPUTED_VALUE"""),"Hand")</f>
        <v>Hand</v>
      </c>
      <c r="E6" s="1">
        <f>IFERROR(__xludf.DUMMYFUNCTION("""COMPUTED_VALUE"""),800.0)</f>
        <v>800</v>
      </c>
      <c r="F6" s="1" t="str">
        <f>IFERROR(__xludf.DUMMYFUNCTION("""COMPUTED_VALUE"""),"DMG: +10000, Fire DMG: +10000, Light DMG: +10000, Order DMG: +10000 ++Doubles the chance for the Sword ability to activate")</f>
        <v>DMG: +10000, Fire DMG: +10000, Light DMG: +10000, Order DMG: +10000 ++Doubles the chance for the Sword ability to activate</v>
      </c>
      <c r="G6" s="1">
        <f>IFERROR(__xludf.DUMMYFUNCTION("""COMPUTED_VALUE"""),3.16E7)</f>
        <v>31600000</v>
      </c>
      <c r="H6" s="1"/>
      <c r="I6" s="1"/>
      <c r="J6" s="1"/>
      <c r="K6" s="1"/>
      <c r="L6" s="1"/>
      <c r="M6" s="1"/>
      <c r="N6" s="1"/>
      <c r="O6" s="1"/>
      <c r="P6" s="1"/>
      <c r="Q6" s="1"/>
      <c r="R6" s="1"/>
      <c r="S6" s="1"/>
      <c r="T6" s="1"/>
      <c r="U6" s="1"/>
      <c r="V6" s="1"/>
      <c r="W6" s="1"/>
      <c r="X6" s="1"/>
      <c r="Y6" s="1"/>
      <c r="Z6" s="1"/>
    </row>
    <row r="7">
      <c r="A7" s="1" t="str">
        <f>IFERROR(__xludf.DUMMYFUNCTION("""COMPUTED_VALUE"""),"Ancient Stone Guardians Sword")</f>
        <v>Ancient Stone Guardians Sword</v>
      </c>
      <c r="B7" s="1"/>
      <c r="C7" s="1" t="str">
        <f>IFERROR(__xludf.DUMMYFUNCTION("""COMPUTED_VALUE"""),"Sword")</f>
        <v>Sword</v>
      </c>
      <c r="D7" s="1" t="str">
        <f>IFERROR(__xludf.DUMMYFUNCTION("""COMPUTED_VALUE"""),"Hand")</f>
        <v>Hand</v>
      </c>
      <c r="E7" s="1">
        <f>IFERROR(__xludf.DUMMYFUNCTION("""COMPUTED_VALUE"""),1200.0)</f>
        <v>1200</v>
      </c>
      <c r="F7" s="1" t="str">
        <f>IFERROR(__xludf.DUMMYFUNCTION("""COMPUTED_VALUE"""),"DMG: +20000, Earth DMG: +20000, Light DMG: +20000 ++X2 Defense for all allies")</f>
        <v>DMG: +20000, Earth DMG: +20000, Light DMG: +20000 ++X2 Defense for all allies</v>
      </c>
      <c r="G7" s="1">
        <f>IFERROR(__xludf.DUMMYFUNCTION("""COMPUTED_VALUE"""),7.14E7)</f>
        <v>71400000</v>
      </c>
      <c r="H7" s="1"/>
      <c r="I7" s="1"/>
      <c r="J7" s="1"/>
      <c r="K7" s="1"/>
      <c r="L7" s="1"/>
      <c r="M7" s="1"/>
      <c r="N7" s="1"/>
      <c r="O7" s="1"/>
      <c r="P7" s="1"/>
      <c r="Q7" s="1"/>
      <c r="R7" s="1"/>
      <c r="S7" s="1"/>
      <c r="T7" s="1"/>
      <c r="U7" s="1"/>
      <c r="V7" s="1"/>
      <c r="W7" s="1"/>
      <c r="X7" s="1"/>
      <c r="Y7" s="1"/>
      <c r="Z7" s="1"/>
    </row>
    <row r="8">
      <c r="A8" s="1" t="str">
        <f>IFERROR(__xludf.DUMMYFUNCTION("""COMPUTED_VALUE"""),"Aqua Robe")</f>
        <v>Aqua Robe</v>
      </c>
      <c r="B8" s="1"/>
      <c r="C8" s="1"/>
      <c r="D8" s="1" t="str">
        <f>IFERROR(__xludf.DUMMYFUNCTION("""COMPUTED_VALUE"""),"Torso")</f>
        <v>Torso</v>
      </c>
      <c r="E8" s="1">
        <f>IFERROR(__xludf.DUMMYFUNCTION("""COMPUTED_VALUE"""),40.0)</f>
        <v>40</v>
      </c>
      <c r="F8" s="1" t="str">
        <f>IFERROR(__xludf.DUMMYFUNCTION("""COMPUTED_VALUE"""),"DEF: +1000, Water DEF: +1000 ++X4 damage additional water damage for the user.")</f>
        <v>DEF: +1000, Water DEF: +1000 ++X4 damage additional water damage for the user.</v>
      </c>
      <c r="G8" s="1">
        <f>IFERROR(__xludf.DUMMYFUNCTION("""COMPUTED_VALUE"""),60000.0)</f>
        <v>60000</v>
      </c>
      <c r="H8" s="1"/>
      <c r="I8" s="1"/>
      <c r="J8" s="1"/>
      <c r="K8" s="1"/>
      <c r="L8" s="1"/>
      <c r="M8" s="1"/>
      <c r="N8" s="1"/>
      <c r="O8" s="1"/>
      <c r="P8" s="1"/>
      <c r="Q8" s="1"/>
      <c r="R8" s="1"/>
      <c r="S8" s="1"/>
      <c r="T8" s="1"/>
      <c r="U8" s="1"/>
      <c r="V8" s="1"/>
      <c r="W8" s="1"/>
      <c r="X8" s="1"/>
      <c r="Y8" s="1"/>
      <c r="Z8" s="1"/>
    </row>
    <row r="9">
      <c r="A9" s="1" t="str">
        <f>IFERROR(__xludf.DUMMYFUNCTION("""COMPUTED_VALUE"""),"Aquatic Boots of Atlantis")</f>
        <v>Aquatic Boots of Atlantis</v>
      </c>
      <c r="B9" s="1"/>
      <c r="C9" s="1"/>
      <c r="D9" s="1" t="str">
        <f>IFERROR(__xludf.DUMMYFUNCTION("""COMPUTED_VALUE"""),"Feet")</f>
        <v>Feet</v>
      </c>
      <c r="E9" s="1">
        <f>IFERROR(__xludf.DUMMYFUNCTION("""COMPUTED_VALUE"""),300.0)</f>
        <v>300</v>
      </c>
      <c r="F9" s="1" t="str">
        <f>IFERROR(__xludf.DUMMYFUNCTION("""COMPUTED_VALUE"""),"DEF: +7500, Water DEF: +7500 ++X6 additional water damage for self.")</f>
        <v>DEF: +7500, Water DEF: +7500 ++X6 additional water damage for self.</v>
      </c>
      <c r="G9" s="1">
        <f>IFERROR(__xludf.DUMMYFUNCTION("""COMPUTED_VALUE"""),4350000.0)</f>
        <v>4350000</v>
      </c>
      <c r="H9" s="1"/>
      <c r="I9" s="1"/>
      <c r="J9" s="1"/>
      <c r="K9" s="1"/>
      <c r="L9" s="1"/>
      <c r="M9" s="1"/>
      <c r="N9" s="1"/>
      <c r="O9" s="1"/>
      <c r="P9" s="1"/>
      <c r="Q9" s="1"/>
      <c r="R9" s="1"/>
      <c r="S9" s="1"/>
      <c r="T9" s="1"/>
      <c r="U9" s="1"/>
      <c r="V9" s="1"/>
      <c r="W9" s="1"/>
      <c r="X9" s="1"/>
      <c r="Y9" s="1"/>
      <c r="Z9" s="1"/>
    </row>
    <row r="10">
      <c r="A10" s="1" t="str">
        <f>IFERROR(__xludf.DUMMYFUNCTION("""COMPUTED_VALUE"""),"Aquatic Chestplate of Atlantis")</f>
        <v>Aquatic Chestplate of Atlantis</v>
      </c>
      <c r="B10" s="1"/>
      <c r="C10" s="1"/>
      <c r="D10" s="1" t="str">
        <f>IFERROR(__xludf.DUMMYFUNCTION("""COMPUTED_VALUE"""),"Torso")</f>
        <v>Torso</v>
      </c>
      <c r="E10" s="1">
        <f>IFERROR(__xludf.DUMMYFUNCTION("""COMPUTED_VALUE"""),600.0)</f>
        <v>600</v>
      </c>
      <c r="F10" s="1" t="str">
        <f>IFERROR(__xludf.DUMMYFUNCTION("""COMPUTED_VALUE"""),"DEF: +15000, Water DEF: +15000 ++X6 additional water damage for self.  ++X8 Defense for self and allies if you have all Aquatic Atlantis Equipment Equipped.")</f>
        <v>DEF: +15000, Water DEF: +15000 ++X6 additional water damage for self.  ++X8 Defense for self and allies if you have all Aquatic Atlantis Equipment Equipped.</v>
      </c>
      <c r="G10" s="1">
        <f>IFERROR(__xludf.DUMMYFUNCTION("""COMPUTED_VALUE"""),1.77E7)</f>
        <v>17700000</v>
      </c>
      <c r="H10" s="1"/>
      <c r="I10" s="1"/>
      <c r="J10" s="1"/>
      <c r="K10" s="1"/>
      <c r="L10" s="1"/>
      <c r="M10" s="1"/>
      <c r="N10" s="1"/>
      <c r="O10" s="1"/>
      <c r="P10" s="1"/>
      <c r="Q10" s="1"/>
      <c r="R10" s="1"/>
      <c r="S10" s="1"/>
      <c r="T10" s="1"/>
      <c r="U10" s="1"/>
      <c r="V10" s="1"/>
      <c r="W10" s="1"/>
      <c r="X10" s="1"/>
      <c r="Y10" s="1"/>
      <c r="Z10" s="1"/>
    </row>
    <row r="11">
      <c r="A11" s="1" t="str">
        <f>IFERROR(__xludf.DUMMYFUNCTION("""COMPUTED_VALUE"""),"Aquatic Greaves of Atlantis")</f>
        <v>Aquatic Greaves of Atlantis</v>
      </c>
      <c r="B11" s="1"/>
      <c r="C11" s="1"/>
      <c r="D11" s="1" t="str">
        <f>IFERROR(__xludf.DUMMYFUNCTION("""COMPUTED_VALUE"""),"Legs")</f>
        <v>Legs</v>
      </c>
      <c r="E11" s="1">
        <f>IFERROR(__xludf.DUMMYFUNCTION("""COMPUTED_VALUE"""),300.0)</f>
        <v>300</v>
      </c>
      <c r="F11" s="1" t="str">
        <f>IFERROR(__xludf.DUMMYFUNCTION("""COMPUTED_VALUE"""),"DEF: +7500, Water DEF: +7500 ++X6 additional water damage for self.")</f>
        <v>DEF: +7500, Water DEF: +7500 ++X6 additional water damage for self.</v>
      </c>
      <c r="G11" s="1">
        <f>IFERROR(__xludf.DUMMYFUNCTION("""COMPUTED_VALUE"""),4350000.0)</f>
        <v>4350000</v>
      </c>
      <c r="H11" s="1"/>
      <c r="I11" s="1"/>
      <c r="J11" s="1"/>
      <c r="K11" s="1"/>
      <c r="L11" s="1"/>
      <c r="M11" s="1"/>
      <c r="N11" s="1"/>
      <c r="O11" s="1"/>
      <c r="P11" s="1"/>
      <c r="Q11" s="1"/>
      <c r="R11" s="1"/>
      <c r="S11" s="1"/>
      <c r="T11" s="1"/>
      <c r="U11" s="1"/>
      <c r="V11" s="1"/>
      <c r="W11" s="1"/>
      <c r="X11" s="1"/>
      <c r="Y11" s="1"/>
      <c r="Z11" s="1"/>
    </row>
    <row r="12">
      <c r="A12" s="1" t="str">
        <f>IFERROR(__xludf.DUMMYFUNCTION("""COMPUTED_VALUE"""),"Aquatic Helmet of Atlantis")</f>
        <v>Aquatic Helmet of Atlantis</v>
      </c>
      <c r="B12" s="1"/>
      <c r="C12" s="1"/>
      <c r="D12" s="1" t="str">
        <f>IFERROR(__xludf.DUMMYFUNCTION("""COMPUTED_VALUE"""),"Head")</f>
        <v>Head</v>
      </c>
      <c r="E12" s="1">
        <f>IFERROR(__xludf.DUMMYFUNCTION("""COMPUTED_VALUE"""),300.0)</f>
        <v>300</v>
      </c>
      <c r="F12" s="1" t="str">
        <f>IFERROR(__xludf.DUMMYFUNCTION("""COMPUTED_VALUE"""),"DEF: +7500, Water DEF: +7500 ++X6 additional water damage for self.")</f>
        <v>DEF: +7500, Water DEF: +7500 ++X6 additional water damage for self.</v>
      </c>
      <c r="G12" s="1">
        <f>IFERROR(__xludf.DUMMYFUNCTION("""COMPUTED_VALUE"""),4350000.0)</f>
        <v>4350000</v>
      </c>
      <c r="H12" s="1"/>
      <c r="I12" s="1"/>
      <c r="J12" s="1"/>
      <c r="K12" s="1"/>
      <c r="L12" s="1"/>
      <c r="M12" s="1"/>
      <c r="N12" s="1"/>
      <c r="O12" s="1"/>
      <c r="P12" s="1"/>
      <c r="Q12" s="1"/>
      <c r="R12" s="1"/>
      <c r="S12" s="1"/>
      <c r="T12" s="1"/>
      <c r="U12" s="1"/>
      <c r="V12" s="1"/>
      <c r="W12" s="1"/>
      <c r="X12" s="1"/>
      <c r="Y12" s="1"/>
      <c r="Z12" s="1"/>
    </row>
    <row r="13">
      <c r="A13" s="1" t="str">
        <f>IFERROR(__xludf.DUMMYFUNCTION("""COMPUTED_VALUE"""),"Aquatic Pauldrons of Atlantis")</f>
        <v>Aquatic Pauldrons of Atlantis</v>
      </c>
      <c r="B13" s="1"/>
      <c r="C13" s="1"/>
      <c r="D13" s="1" t="str">
        <f>IFERROR(__xludf.DUMMYFUNCTION("""COMPUTED_VALUE"""),"Shoulders")</f>
        <v>Shoulders</v>
      </c>
      <c r="E13" s="1">
        <f>IFERROR(__xludf.DUMMYFUNCTION("""COMPUTED_VALUE"""),300.0)</f>
        <v>300</v>
      </c>
      <c r="F13" s="1" t="str">
        <f>IFERROR(__xludf.DUMMYFUNCTION("""COMPUTED_VALUE"""),"DEF: +7500, Water DEF: +7500 ++X6 additional water damage for self.")</f>
        <v>DEF: +7500, Water DEF: +7500 ++X6 additional water damage for self.</v>
      </c>
      <c r="G13" s="1">
        <f>IFERROR(__xludf.DUMMYFUNCTION("""COMPUTED_VALUE"""),4350000.0)</f>
        <v>4350000</v>
      </c>
      <c r="H13" s="1"/>
      <c r="I13" s="1"/>
      <c r="J13" s="1"/>
      <c r="K13" s="1"/>
      <c r="L13" s="1"/>
      <c r="M13" s="1"/>
      <c r="N13" s="1"/>
      <c r="O13" s="1"/>
      <c r="P13" s="1"/>
      <c r="Q13" s="1"/>
      <c r="R13" s="1"/>
      <c r="S13" s="1"/>
      <c r="T13" s="1"/>
      <c r="U13" s="1"/>
      <c r="V13" s="1"/>
      <c r="W13" s="1"/>
      <c r="X13" s="1"/>
      <c r="Y13" s="1"/>
      <c r="Z13" s="1"/>
    </row>
    <row r="14">
      <c r="A14" s="1" t="str">
        <f>IFERROR(__xludf.DUMMYFUNCTION("""COMPUTED_VALUE"""),"Aquatic Sword of Atlantis")</f>
        <v>Aquatic Sword of Atlantis</v>
      </c>
      <c r="B14" s="1"/>
      <c r="C14" s="1" t="str">
        <f>IFERROR(__xludf.DUMMYFUNCTION("""COMPUTED_VALUE"""),"Sword")</f>
        <v>Sword</v>
      </c>
      <c r="D14" s="1" t="str">
        <f>IFERROR(__xludf.DUMMYFUNCTION("""COMPUTED_VALUE"""),"Hand")</f>
        <v>Hand</v>
      </c>
      <c r="E14" s="1">
        <f>IFERROR(__xludf.DUMMYFUNCTION("""COMPUTED_VALUE"""),1200.0)</f>
        <v>1200</v>
      </c>
      <c r="F14" s="1" t="str">
        <f>IFERROR(__xludf.DUMMYFUNCTION("""COMPUTED_VALUE"""),"DMG: +30000, Water DMG: +30000 ++X6 additional water damage for self, ++Tides of Atlantis: Upon a successful hit this weapon has a 50% chance to cast Tsunami for no sp cost. Cannot be duplicated.")</f>
        <v>DMG: +30000, Water DMG: +30000 ++X6 additional water damage for self, ++Tides of Atlantis: Upon a successful hit this weapon has a 50% chance to cast Tsunami for no sp cost. Cannot be duplicated.</v>
      </c>
      <c r="G14" s="1">
        <f>IFERROR(__xludf.DUMMYFUNCTION("""COMPUTED_VALUE"""),7.14E7)</f>
        <v>71400000</v>
      </c>
      <c r="H14" s="1"/>
      <c r="I14" s="1"/>
      <c r="J14" s="1"/>
      <c r="K14" s="1"/>
      <c r="L14" s="1"/>
      <c r="M14" s="1"/>
      <c r="N14" s="1"/>
      <c r="O14" s="1"/>
      <c r="P14" s="1"/>
      <c r="Q14" s="1"/>
      <c r="R14" s="1"/>
      <c r="S14" s="1"/>
      <c r="T14" s="1"/>
      <c r="U14" s="1"/>
      <c r="V14" s="1"/>
      <c r="W14" s="1"/>
      <c r="X14" s="1"/>
      <c r="Y14" s="1"/>
      <c r="Z14" s="1"/>
    </row>
    <row r="15">
      <c r="A15" s="1" t="str">
        <f>IFERROR(__xludf.DUMMYFUNCTION("""COMPUTED_VALUE"""),"Aquatic Vambraces of Atlantis")</f>
        <v>Aquatic Vambraces of Atlantis</v>
      </c>
      <c r="B15" s="1"/>
      <c r="C15" s="1"/>
      <c r="D15" s="1" t="str">
        <f>IFERROR(__xludf.DUMMYFUNCTION("""COMPUTED_VALUE"""),"Arms")</f>
        <v>Arms</v>
      </c>
      <c r="E15" s="1">
        <f>IFERROR(__xludf.DUMMYFUNCTION("""COMPUTED_VALUE"""),300.0)</f>
        <v>300</v>
      </c>
      <c r="F15" s="1" t="str">
        <f>IFERROR(__xludf.DUMMYFUNCTION("""COMPUTED_VALUE"""),"DEF: +7500, Water DEF: +7500 X6 additional water damage for self.")</f>
        <v>DEF: +7500, Water DEF: +7500 X6 additional water damage for self.</v>
      </c>
      <c r="G15" s="1">
        <f>IFERROR(__xludf.DUMMYFUNCTION("""COMPUTED_VALUE"""),4350000.0)</f>
        <v>4350000</v>
      </c>
      <c r="H15" s="1"/>
      <c r="I15" s="1"/>
      <c r="J15" s="1"/>
      <c r="K15" s="1"/>
      <c r="L15" s="1"/>
      <c r="M15" s="1"/>
      <c r="N15" s="1"/>
      <c r="O15" s="1"/>
      <c r="P15" s="1"/>
      <c r="Q15" s="1"/>
      <c r="R15" s="1"/>
      <c r="S15" s="1"/>
      <c r="T15" s="1"/>
      <c r="U15" s="1"/>
      <c r="V15" s="1"/>
      <c r="W15" s="1"/>
      <c r="X15" s="1"/>
      <c r="Y15" s="1"/>
      <c r="Z15" s="1"/>
    </row>
    <row r="16">
      <c r="A16" s="1" t="str">
        <f>IFERROR(__xludf.DUMMYFUNCTION("""COMPUTED_VALUE"""),"Archer’s Cloaked Vest")</f>
        <v>Archer’s Cloaked Vest</v>
      </c>
      <c r="B16" s="1"/>
      <c r="C16" s="1"/>
      <c r="D16" s="1" t="str">
        <f>IFERROR(__xludf.DUMMYFUNCTION("""COMPUTED_VALUE"""),"Torso")</f>
        <v>Torso</v>
      </c>
      <c r="E16" s="1">
        <f>IFERROR(__xludf.DUMMYFUNCTION("""COMPUTED_VALUE"""),20.0)</f>
        <v>20</v>
      </c>
      <c r="F16" s="1" t="str">
        <f>IFERROR(__xludf.DUMMYFUNCTION("""COMPUTED_VALUE"""),"DEF: +800 (Ranger Set) ++Half the Arrow - Range Spells cost half the sp cost, ++Ranger Enrage - All Ranged Spells do double in damage ++only archers can equip")</f>
        <v>DEF: +800 (Ranger Set) ++Half the Arrow - Range Spells cost half the sp cost, ++Ranger Enrage - All Ranged Spells do double in damage ++only archers can equip</v>
      </c>
      <c r="G16" s="1">
        <f>IFERROR(__xludf.DUMMYFUNCTION("""COMPUTED_VALUE"""),1000.0)</f>
        <v>1000</v>
      </c>
      <c r="H16" s="1"/>
      <c r="I16" s="1"/>
      <c r="J16" s="1"/>
      <c r="K16" s="1"/>
      <c r="L16" s="1"/>
      <c r="M16" s="1"/>
      <c r="N16" s="1"/>
      <c r="O16" s="1"/>
      <c r="P16" s="1"/>
      <c r="Q16" s="1"/>
      <c r="R16" s="1"/>
      <c r="S16" s="1"/>
      <c r="T16" s="1"/>
      <c r="U16" s="1"/>
      <c r="V16" s="1"/>
      <c r="W16" s="1"/>
      <c r="X16" s="1"/>
      <c r="Y16" s="1"/>
      <c r="Z16" s="1"/>
    </row>
    <row r="17">
      <c r="A17" s="1" t="str">
        <f>IFERROR(__xludf.DUMMYFUNCTION("""COMPUTED_VALUE"""),"Archers Boots")</f>
        <v>Archers Boots</v>
      </c>
      <c r="B17" s="1"/>
      <c r="C17" s="1"/>
      <c r="D17" s="1" t="str">
        <f>IFERROR(__xludf.DUMMYFUNCTION("""COMPUTED_VALUE"""),"Feet")</f>
        <v>Feet</v>
      </c>
      <c r="E17" s="1">
        <f>IFERROR(__xludf.DUMMYFUNCTION("""COMPUTED_VALUE"""),1.0)</f>
        <v>1</v>
      </c>
      <c r="F17" s="1" t="str">
        <f>IFERROR(__xludf.DUMMYFUNCTION("""COMPUTED_VALUE""")," (Ranger Set) ++5 evasion ++Only archers can equip, +-Cannot be duplicated or forged.")</f>
        <v> (Ranger Set) ++5 evasion ++Only archers can equip, +-Cannot be duplicated or forged.</v>
      </c>
      <c r="G17" s="1">
        <f>IFERROR(__xludf.DUMMYFUNCTION("""COMPUTED_VALUE"""),0.0)</f>
        <v>0</v>
      </c>
      <c r="H17" s="1"/>
      <c r="I17" s="1"/>
      <c r="J17" s="1"/>
      <c r="K17" s="1"/>
      <c r="L17" s="1"/>
      <c r="M17" s="1"/>
      <c r="N17" s="1"/>
      <c r="O17" s="1"/>
      <c r="P17" s="1"/>
      <c r="Q17" s="1"/>
      <c r="R17" s="1"/>
      <c r="S17" s="1"/>
      <c r="T17" s="1"/>
      <c r="U17" s="1"/>
      <c r="V17" s="1"/>
      <c r="W17" s="1"/>
      <c r="X17" s="1"/>
      <c r="Y17" s="1"/>
      <c r="Z17" s="1"/>
    </row>
    <row r="18">
      <c r="A18" s="1" t="str">
        <f>IFERROR(__xludf.DUMMYFUNCTION("""COMPUTED_VALUE"""),"Archers Cloak")</f>
        <v>Archers Cloak</v>
      </c>
      <c r="B18" s="1"/>
      <c r="C18" s="1"/>
      <c r="D18" s="1" t="str">
        <f>IFERROR(__xludf.DUMMYFUNCTION("""COMPUTED_VALUE"""),"Torso")</f>
        <v>Torso</v>
      </c>
      <c r="E18" s="1">
        <f>IFERROR(__xludf.DUMMYFUNCTION("""COMPUTED_VALUE"""),1.0)</f>
        <v>1</v>
      </c>
      <c r="F18" s="1" t="str">
        <f>IFERROR(__xludf.DUMMYFUNCTION("""COMPUTED_VALUE""")," (Ranger Set) ++Ranged Spells cost half the sp cost ++Only archers can equip")</f>
        <v> (Ranger Set) ++Ranged Spells cost half the sp cost ++Only archers can equip</v>
      </c>
      <c r="G18" s="1">
        <f>IFERROR(__xludf.DUMMYFUNCTION("""COMPUTED_VALUE"""),0.0)</f>
        <v>0</v>
      </c>
      <c r="H18" s="1"/>
      <c r="I18" s="1"/>
      <c r="J18" s="1"/>
      <c r="K18" s="1"/>
      <c r="L18" s="1"/>
      <c r="M18" s="1"/>
      <c r="N18" s="1"/>
      <c r="O18" s="1"/>
      <c r="P18" s="1"/>
      <c r="Q18" s="1"/>
      <c r="R18" s="1"/>
      <c r="S18" s="1"/>
      <c r="T18" s="1"/>
      <c r="U18" s="1"/>
      <c r="V18" s="1"/>
      <c r="W18" s="1"/>
      <c r="X18" s="1"/>
      <c r="Y18" s="1"/>
      <c r="Z18" s="1"/>
    </row>
    <row r="19">
      <c r="A19" s="1" t="str">
        <f>IFERROR(__xludf.DUMMYFUNCTION("""COMPUTED_VALUE"""),"Armor Of Cthulhu")</f>
        <v>Armor Of Cthulhu</v>
      </c>
      <c r="B19" s="1"/>
      <c r="C19" s="1"/>
      <c r="D19" s="1" t="str">
        <f>IFERROR(__xludf.DUMMYFUNCTION("""COMPUTED_VALUE"""),"Torso")</f>
        <v>Torso</v>
      </c>
      <c r="E19" s="1">
        <f>IFERROR(__xludf.DUMMYFUNCTION("""COMPUTED_VALUE"""),400.0)</f>
        <v>400</v>
      </c>
      <c r="F19" s="1" t="str">
        <f>IFERROR(__xludf.DUMMYFUNCTION("""COMPUTED_VALUE"""),"DEF: +20000 (Cthulhu Set) ++Curse of Cthulhu - When the wearer takes damage the wearer will gain half the damage back as HP and SP.")</f>
        <v>DEF: +20000 (Cthulhu Set) ++Curse of Cthulhu - When the wearer takes damage the wearer will gain half the damage back as HP and SP.</v>
      </c>
      <c r="G19" s="1">
        <f>IFERROR(__xludf.DUMMYFUNCTION("""COMPUTED_VALUE"""),7800000.0)</f>
        <v>7800000</v>
      </c>
      <c r="H19" s="1"/>
      <c r="I19" s="1"/>
      <c r="J19" s="1"/>
      <c r="K19" s="1"/>
      <c r="L19" s="1"/>
      <c r="M19" s="1"/>
      <c r="N19" s="1"/>
      <c r="O19" s="1"/>
      <c r="P19" s="1"/>
      <c r="Q19" s="1"/>
      <c r="R19" s="1"/>
      <c r="S19" s="1"/>
      <c r="T19" s="1"/>
      <c r="U19" s="1"/>
      <c r="V19" s="1"/>
      <c r="W19" s="1"/>
      <c r="X19" s="1"/>
      <c r="Y19" s="1"/>
      <c r="Z19" s="1"/>
    </row>
    <row r="20">
      <c r="A20" s="1" t="str">
        <f>IFERROR(__xludf.DUMMYFUNCTION("""COMPUTED_VALUE"""),"Armor Of Zeldron")</f>
        <v>Armor Of Zeldron</v>
      </c>
      <c r="B20" s="1" t="str">
        <f>IFERROR(__xludf.DUMMYFUNCTION("""COMPUTED_VALUE"""),"Made of gold")</f>
        <v>Made of gold</v>
      </c>
      <c r="C20" s="1"/>
      <c r="D20" s="1" t="str">
        <f>IFERROR(__xludf.DUMMYFUNCTION("""COMPUTED_VALUE"""),"Torso")</f>
        <v>Torso</v>
      </c>
      <c r="E20" s="1">
        <f>IFERROR(__xludf.DUMMYFUNCTION("""COMPUTED_VALUE"""),400.0)</f>
        <v>400</v>
      </c>
      <c r="F20" s="1" t="str">
        <f>IFERROR(__xludf.DUMMYFUNCTION("""COMPUTED_VALUE"""),"DEF: +10000, Order DEF: +10000")</f>
        <v>DEF: +10000, Order DEF: +10000</v>
      </c>
      <c r="G20" s="1">
        <f>IFERROR(__xludf.DUMMYFUNCTION("""COMPUTED_VALUE"""),7800000.0)</f>
        <v>7800000</v>
      </c>
      <c r="H20" s="1"/>
      <c r="I20" s="1"/>
      <c r="J20" s="1"/>
      <c r="K20" s="1"/>
      <c r="L20" s="1"/>
      <c r="M20" s="1"/>
      <c r="N20" s="1"/>
      <c r="O20" s="1"/>
      <c r="P20" s="1"/>
      <c r="Q20" s="1"/>
      <c r="R20" s="1"/>
      <c r="S20" s="1"/>
      <c r="T20" s="1"/>
      <c r="U20" s="1"/>
      <c r="V20" s="1"/>
      <c r="W20" s="1"/>
      <c r="X20" s="1"/>
      <c r="Y20" s="1"/>
      <c r="Z20" s="1"/>
    </row>
    <row r="21">
      <c r="A21" s="1" t="str">
        <f>IFERROR(__xludf.DUMMYFUNCTION("""COMPUTED_VALUE"""),"Ashen Pole Axe")</f>
        <v>Ashen Pole Axe</v>
      </c>
      <c r="B21" s="1"/>
      <c r="C21" s="1" t="str">
        <f>IFERROR(__xludf.DUMMYFUNCTION("""COMPUTED_VALUE"""),"Axe")</f>
        <v>Axe</v>
      </c>
      <c r="D21" s="1" t="str">
        <f>IFERROR(__xludf.DUMMYFUNCTION("""COMPUTED_VALUE"""),"Hand")</f>
        <v>Hand</v>
      </c>
      <c r="E21" s="1">
        <f>IFERROR(__xludf.DUMMYFUNCTION("""COMPUTED_VALUE"""),20.0)</f>
        <v>20</v>
      </c>
      <c r="F21" s="1" t="str">
        <f>IFERROR(__xludf.DUMMYFUNCTION("""COMPUTED_VALUE"""),"DMG: +500, Fire DMG: +500 ++Inflicts Burn 500")</f>
        <v>DMG: +500, Fire DMG: +500 ++Inflicts Burn 500</v>
      </c>
      <c r="G21" s="1">
        <f>IFERROR(__xludf.DUMMYFUNCTION("""COMPUTED_VALUE"""),10000.0)</f>
        <v>10000</v>
      </c>
      <c r="H21" s="1"/>
      <c r="I21" s="1"/>
      <c r="J21" s="1"/>
      <c r="K21" s="1"/>
      <c r="L21" s="1"/>
      <c r="M21" s="1"/>
      <c r="N21" s="1"/>
      <c r="O21" s="1"/>
      <c r="P21" s="1"/>
      <c r="Q21" s="1"/>
      <c r="R21" s="1"/>
      <c r="S21" s="1"/>
      <c r="T21" s="1"/>
      <c r="U21" s="1"/>
      <c r="V21" s="1"/>
      <c r="W21" s="1"/>
      <c r="X21" s="1"/>
      <c r="Y21" s="1"/>
      <c r="Z21" s="1"/>
    </row>
    <row r="22">
      <c r="A22" s="1" t="str">
        <f>IFERROR(__xludf.DUMMYFUNCTION("""COMPUTED_VALUE"""),"Bamboo Spear")</f>
        <v>Bamboo Spear</v>
      </c>
      <c r="B22" s="1"/>
      <c r="C22" s="1" t="str">
        <f>IFERROR(__xludf.DUMMYFUNCTION("""COMPUTED_VALUE"""),"Spear")</f>
        <v>Spear</v>
      </c>
      <c r="D22" s="1" t="str">
        <f>IFERROR(__xludf.DUMMYFUNCTION("""COMPUTED_VALUE"""),"Hand")</f>
        <v>Hand</v>
      </c>
      <c r="E22" s="1">
        <f>IFERROR(__xludf.DUMMYFUNCTION("""COMPUTED_VALUE"""),60.0)</f>
        <v>60</v>
      </c>
      <c r="F22" s="1" t="str">
        <f>IFERROR(__xludf.DUMMYFUNCTION("""COMPUTED_VALUE"""),"DMG: +1000, Nature DMG: +1000, Blood DMG: +1000 ++When striking an enemy with this weapon, they X2 additional Nature damage.")</f>
        <v>DMG: +1000, Nature DMG: +1000, Blood DMG: +1000 ++When striking an enemy with this weapon, they X2 additional Nature damage.</v>
      </c>
      <c r="G22" s="1">
        <f>IFERROR(__xludf.DUMMYFUNCTION("""COMPUTED_VALUE"""),150000.0)</f>
        <v>150000</v>
      </c>
      <c r="H22" s="1"/>
      <c r="I22" s="1"/>
      <c r="J22" s="1"/>
      <c r="K22" s="1"/>
      <c r="L22" s="1"/>
      <c r="M22" s="1"/>
      <c r="N22" s="1"/>
      <c r="O22" s="1"/>
      <c r="P22" s="1"/>
      <c r="Q22" s="1"/>
      <c r="R22" s="1"/>
      <c r="S22" s="1"/>
      <c r="T22" s="1"/>
      <c r="U22" s="1"/>
      <c r="V22" s="1"/>
      <c r="W22" s="1"/>
      <c r="X22" s="1"/>
      <c r="Y22" s="1"/>
      <c r="Z22" s="1"/>
    </row>
    <row r="23">
      <c r="A23" s="1" t="str">
        <f>IFERROR(__xludf.DUMMYFUNCTION("""COMPUTED_VALUE"""),"Baosheng’s Restore Pendant")</f>
        <v>Baosheng’s Restore Pendant</v>
      </c>
      <c r="B23" s="1"/>
      <c r="C23" s="1"/>
      <c r="D23" s="1" t="str">
        <f>IFERROR(__xludf.DUMMYFUNCTION("""COMPUTED_VALUE"""),"Neck")</f>
        <v>Neck</v>
      </c>
      <c r="E23" s="1">
        <f>IFERROR(__xludf.DUMMYFUNCTION("""COMPUTED_VALUE"""),1.0)</f>
        <v>1</v>
      </c>
      <c r="F23" s="1" t="str">
        <f>IFERROR(__xludf.DUMMYFUNCTION("""COMPUTED_VALUE""")," ++Restores 100 HP and SP per round during battle.")</f>
        <v> ++Restores 100 HP and SP per round during battle.</v>
      </c>
      <c r="G23" s="1">
        <f>IFERROR(__xludf.DUMMYFUNCTION("""COMPUTED_VALUE"""),0.0)</f>
        <v>0</v>
      </c>
      <c r="H23" s="1"/>
      <c r="I23" s="1"/>
      <c r="J23" s="1"/>
      <c r="K23" s="1"/>
      <c r="L23" s="1"/>
      <c r="M23" s="1"/>
      <c r="N23" s="1"/>
      <c r="O23" s="1"/>
      <c r="P23" s="1"/>
      <c r="Q23" s="1"/>
      <c r="R23" s="1"/>
      <c r="S23" s="1"/>
      <c r="T23" s="1"/>
      <c r="U23" s="1"/>
      <c r="V23" s="1"/>
      <c r="W23" s="1"/>
      <c r="X23" s="1"/>
      <c r="Y23" s="1"/>
      <c r="Z23" s="1"/>
    </row>
    <row r="24">
      <c r="A24" s="1" t="str">
        <f>IFERROR(__xludf.DUMMYFUNCTION("""COMPUTED_VALUE"""),"Basic Cannon")</f>
        <v>Basic Cannon</v>
      </c>
      <c r="B24" s="1"/>
      <c r="C24" s="1" t="str">
        <f>IFERROR(__xludf.DUMMYFUNCTION("""COMPUTED_VALUE"""),"Firearm")</f>
        <v>Firearm</v>
      </c>
      <c r="D24" s="1" t="str">
        <f>IFERROR(__xludf.DUMMYFUNCTION("""COMPUTED_VALUE"""),"BoatGun")</f>
        <v>BoatGun</v>
      </c>
      <c r="E24" s="1">
        <f>IFERROR(__xludf.DUMMYFUNCTION("""COMPUTED_VALUE"""),400.0)</f>
        <v>400</v>
      </c>
      <c r="F24" s="1" t="str">
        <f>IFERROR(__xludf.DUMMYFUNCTION("""COMPUTED_VALUE"""),"DMG: +20000")</f>
        <v>DMG: +20000</v>
      </c>
      <c r="G24" s="1">
        <f>IFERROR(__xludf.DUMMYFUNCTION("""COMPUTED_VALUE"""),7800000.0)</f>
        <v>7800000</v>
      </c>
      <c r="H24" s="1"/>
      <c r="I24" s="1"/>
      <c r="J24" s="1"/>
      <c r="K24" s="1"/>
      <c r="L24" s="1"/>
      <c r="M24" s="1"/>
      <c r="N24" s="1"/>
      <c r="O24" s="1"/>
      <c r="P24" s="1"/>
      <c r="Q24" s="1"/>
      <c r="R24" s="1"/>
      <c r="S24" s="1"/>
      <c r="T24" s="1"/>
      <c r="U24" s="1"/>
      <c r="V24" s="1"/>
      <c r="W24" s="1"/>
      <c r="X24" s="1"/>
      <c r="Y24" s="1"/>
      <c r="Z24" s="1"/>
    </row>
    <row r="25">
      <c r="A25" s="1" t="str">
        <f>IFERROR(__xludf.DUMMYFUNCTION("""COMPUTED_VALUE"""),"Beltane Floral crown")</f>
        <v>Beltane Floral crown</v>
      </c>
      <c r="B25" s="1"/>
      <c r="C25" s="1"/>
      <c r="D25" s="1" t="str">
        <f>IFERROR(__xludf.DUMMYFUNCTION("""COMPUTED_VALUE"""),"Head")</f>
        <v>Head</v>
      </c>
      <c r="E25" s="1">
        <f>IFERROR(__xludf.DUMMYFUNCTION("""COMPUTED_VALUE"""),1.0)</f>
        <v>1</v>
      </c>
      <c r="F25" s="1" t="str">
        <f>IFERROR(__xludf.DUMMYFUNCTION("""COMPUTED_VALUE""")," ++Grants immunity to Nature.")</f>
        <v> ++Grants immunity to Nature.</v>
      </c>
      <c r="G25" s="1">
        <f>IFERROR(__xludf.DUMMYFUNCTION("""COMPUTED_VALUE"""),0.0)</f>
        <v>0</v>
      </c>
      <c r="H25" s="1"/>
      <c r="I25" s="1"/>
      <c r="J25" s="1"/>
      <c r="K25" s="1"/>
      <c r="L25" s="1"/>
      <c r="M25" s="1"/>
      <c r="N25" s="1"/>
      <c r="O25" s="1"/>
      <c r="P25" s="1"/>
      <c r="Q25" s="1"/>
      <c r="R25" s="1"/>
      <c r="S25" s="1"/>
      <c r="T25" s="1"/>
      <c r="U25" s="1"/>
      <c r="V25" s="1"/>
      <c r="W25" s="1"/>
      <c r="X25" s="1"/>
      <c r="Y25" s="1"/>
      <c r="Z25" s="1"/>
    </row>
    <row r="26">
      <c r="A26" s="1" t="str">
        <f>IFERROR(__xludf.DUMMYFUNCTION("""COMPUTED_VALUE"""),"Beta Sword")</f>
        <v>Beta Sword</v>
      </c>
      <c r="B26" s="1"/>
      <c r="C26" s="1"/>
      <c r="D26" s="1" t="str">
        <f>IFERROR(__xludf.DUMMYFUNCTION("""COMPUTED_VALUE"""),"Hand")</f>
        <v>Hand</v>
      </c>
      <c r="E26" s="1">
        <f>IFERROR(__xludf.DUMMYFUNCTION("""COMPUTED_VALUE"""),3000.0)</f>
        <v>3000</v>
      </c>
      <c r="F26" s="1" t="str">
        <f>IFERROR(__xludf.DUMMYFUNCTION("""COMPUTED_VALUE"""),"DMG: +125000, Dark DMG: +25000 ++Allows you to use another party members companion on your turn as a second action.")</f>
        <v>DMG: +125000, Dark DMG: +25000 ++Allows you to use another party members companion on your turn as a second action.</v>
      </c>
      <c r="G26" s="1">
        <f>IFERROR(__xludf.DUMMYFUNCTION("""COMPUTED_VALUE"""),4.485E8)</f>
        <v>448500000</v>
      </c>
      <c r="H26" s="1"/>
      <c r="I26" s="1"/>
      <c r="J26" s="1"/>
      <c r="K26" s="1"/>
      <c r="L26" s="1"/>
      <c r="M26" s="1"/>
      <c r="N26" s="1"/>
      <c r="O26" s="1"/>
      <c r="P26" s="1"/>
      <c r="Q26" s="1"/>
      <c r="R26" s="1"/>
      <c r="S26" s="1"/>
      <c r="T26" s="1"/>
      <c r="U26" s="1"/>
      <c r="V26" s="1"/>
      <c r="W26" s="1"/>
      <c r="X26" s="1"/>
      <c r="Y26" s="1"/>
      <c r="Z26" s="1"/>
    </row>
    <row r="27">
      <c r="A27" s="1" t="str">
        <f>IFERROR(__xludf.DUMMYFUNCTION("""COMPUTED_VALUE"""),"Black Crystal Necklace of Luck")</f>
        <v>Black Crystal Necklace of Luck</v>
      </c>
      <c r="B27" s="1"/>
      <c r="C27" s="1"/>
      <c r="D27" s="1" t="str">
        <f>IFERROR(__xludf.DUMMYFUNCTION("""COMPUTED_VALUE"""),"Neck")</f>
        <v>Neck</v>
      </c>
      <c r="E27" s="1">
        <f>IFERROR(__xludf.DUMMYFUNCTION("""COMPUTED_VALUE"""),1.0)</f>
        <v>1</v>
      </c>
      <c r="F27" s="1" t="str">
        <f>IFERROR(__xludf.DUMMYFUNCTION("""COMPUTED_VALUE""")," ++Plus 2 is added to whatever number you roll on a d20 ++can only wear one, +-Cannot be forged or duplicated.")</f>
        <v> ++Plus 2 is added to whatever number you roll on a d20 ++can only wear one, +-Cannot be forged or duplicated.</v>
      </c>
      <c r="G27" s="1">
        <f>IFERROR(__xludf.DUMMYFUNCTION("""COMPUTED_VALUE"""),0.0)</f>
        <v>0</v>
      </c>
      <c r="H27" s="1"/>
      <c r="I27" s="1"/>
      <c r="J27" s="1"/>
      <c r="K27" s="1"/>
      <c r="L27" s="1"/>
      <c r="M27" s="1"/>
      <c r="N27" s="1"/>
      <c r="O27" s="1"/>
      <c r="P27" s="1"/>
      <c r="Q27" s="1"/>
      <c r="R27" s="1"/>
      <c r="S27" s="1"/>
      <c r="T27" s="1"/>
      <c r="U27" s="1"/>
      <c r="V27" s="1"/>
      <c r="W27" s="1"/>
      <c r="X27" s="1"/>
      <c r="Y27" s="1"/>
      <c r="Z27" s="1"/>
    </row>
    <row r="28">
      <c r="A28" s="1" t="str">
        <f>IFERROR(__xludf.DUMMYFUNCTION("""COMPUTED_VALUE"""),"Black Serpent Dragon Pendant")</f>
        <v>Black Serpent Dragon Pendant</v>
      </c>
      <c r="B28" s="1"/>
      <c r="C28" s="1"/>
      <c r="D28" s="1" t="str">
        <f>IFERROR(__xludf.DUMMYFUNCTION("""COMPUTED_VALUE"""),"Neck")</f>
        <v>Neck</v>
      </c>
      <c r="E28" s="1">
        <f>IFERROR(__xludf.DUMMYFUNCTION("""COMPUTED_VALUE"""),1.0)</f>
        <v>1</v>
      </c>
      <c r="F28" s="1" t="str">
        <f>IFERROR(__xludf.DUMMYFUNCTION("""COMPUTED_VALUE""")," ++Immunity to dark and water damage. ++X2 additional dark and water damage for the wearer.")</f>
        <v> ++Immunity to dark and water damage. ++X2 additional dark and water damage for the wearer.</v>
      </c>
      <c r="G28" s="1">
        <f>IFERROR(__xludf.DUMMYFUNCTION("""COMPUTED_VALUE"""),0.0)</f>
        <v>0</v>
      </c>
      <c r="H28" s="1"/>
      <c r="I28" s="1"/>
      <c r="J28" s="1"/>
      <c r="K28" s="1"/>
      <c r="L28" s="1"/>
      <c r="M28" s="1"/>
      <c r="N28" s="1"/>
      <c r="O28" s="1"/>
      <c r="P28" s="1"/>
      <c r="Q28" s="1"/>
      <c r="R28" s="1"/>
      <c r="S28" s="1"/>
      <c r="T28" s="1"/>
      <c r="U28" s="1"/>
      <c r="V28" s="1"/>
      <c r="W28" s="1"/>
      <c r="X28" s="1"/>
      <c r="Y28" s="1"/>
      <c r="Z28" s="1"/>
    </row>
    <row r="29">
      <c r="A29" s="1" t="str">
        <f>IFERROR(__xludf.DUMMYFUNCTION("""COMPUTED_VALUE"""),"Blade of Burning Energy")</f>
        <v>Blade of Burning Energy</v>
      </c>
      <c r="B29" s="1"/>
      <c r="C29" s="1" t="str">
        <f>IFERROR(__xludf.DUMMYFUNCTION("""COMPUTED_VALUE"""),"Sword")</f>
        <v>Sword</v>
      </c>
      <c r="D29" s="1" t="str">
        <f>IFERROR(__xludf.DUMMYFUNCTION("""COMPUTED_VALUE"""),"Hand")</f>
        <v>Hand</v>
      </c>
      <c r="E29" s="1">
        <f>IFERROR(__xludf.DUMMYFUNCTION("""COMPUTED_VALUE"""),400.0)</f>
        <v>400</v>
      </c>
      <c r="F29" s="1" t="str">
        <f>IFERROR(__xludf.DUMMYFUNCTION("""COMPUTED_VALUE"""),"DMG: +10000, Fire DMG: +10000 ++Burn 5000")</f>
        <v>DMG: +10000, Fire DMG: +10000 ++Burn 5000</v>
      </c>
      <c r="G29" s="1">
        <f>IFERROR(__xludf.DUMMYFUNCTION("""COMPUTED_VALUE"""),7800000.0)</f>
        <v>7800000</v>
      </c>
      <c r="H29" s="1"/>
      <c r="I29" s="1"/>
      <c r="J29" s="1"/>
      <c r="K29" s="1"/>
      <c r="L29" s="1"/>
      <c r="M29" s="1"/>
      <c r="N29" s="1"/>
      <c r="O29" s="1"/>
      <c r="P29" s="1"/>
      <c r="Q29" s="1"/>
      <c r="R29" s="1"/>
      <c r="S29" s="1"/>
      <c r="T29" s="1"/>
      <c r="U29" s="1"/>
      <c r="V29" s="1"/>
      <c r="W29" s="1"/>
      <c r="X29" s="1"/>
      <c r="Y29" s="1"/>
      <c r="Z29" s="1"/>
    </row>
    <row r="30">
      <c r="A30" s="1" t="str">
        <f>IFERROR(__xludf.DUMMYFUNCTION("""COMPUTED_VALUE"""),"Blood Katana")</f>
        <v>Blood Katana</v>
      </c>
      <c r="B30" s="1"/>
      <c r="C30" s="1" t="str">
        <f>IFERROR(__xludf.DUMMYFUNCTION("""COMPUTED_VALUE"""),"Sword")</f>
        <v>Sword</v>
      </c>
      <c r="D30" s="1" t="str">
        <f>IFERROR(__xludf.DUMMYFUNCTION("""COMPUTED_VALUE"""),"Hand")</f>
        <v>Hand</v>
      </c>
      <c r="E30" s="1">
        <f>IFERROR(__xludf.DUMMYFUNCTION("""COMPUTED_VALUE"""),400.0)</f>
        <v>400</v>
      </c>
      <c r="F30" s="1" t="str">
        <f>IFERROR(__xludf.DUMMYFUNCTION("""COMPUTED_VALUE"""),"DMG: +10000, Blood DMG: +10000 ++X2 blood damage for spells and weapons. +-Cannot be duplicated.")</f>
        <v>DMG: +10000, Blood DMG: +10000 ++X2 blood damage for spells and weapons. +-Cannot be duplicated.</v>
      </c>
      <c r="G30" s="1">
        <f>IFERROR(__xludf.DUMMYFUNCTION("""COMPUTED_VALUE"""),7800000.0)</f>
        <v>7800000</v>
      </c>
      <c r="H30" s="1"/>
      <c r="I30" s="1"/>
      <c r="J30" s="1"/>
      <c r="K30" s="1"/>
      <c r="L30" s="1"/>
      <c r="M30" s="1"/>
      <c r="N30" s="1"/>
      <c r="O30" s="1"/>
      <c r="P30" s="1"/>
      <c r="Q30" s="1"/>
      <c r="R30" s="1"/>
      <c r="S30" s="1"/>
      <c r="T30" s="1"/>
      <c r="U30" s="1"/>
      <c r="V30" s="1"/>
      <c r="W30" s="1"/>
      <c r="X30" s="1"/>
      <c r="Y30" s="1"/>
      <c r="Z30" s="1"/>
    </row>
    <row r="31">
      <c r="A31" s="1" t="str">
        <f>IFERROR(__xludf.DUMMYFUNCTION("""COMPUTED_VALUE"""),"Blue Steel Sword")</f>
        <v>Blue Steel Sword</v>
      </c>
      <c r="B31" s="1"/>
      <c r="C31" s="1" t="str">
        <f>IFERROR(__xludf.DUMMYFUNCTION("""COMPUTED_VALUE"""),"Sword")</f>
        <v>Sword</v>
      </c>
      <c r="D31" s="1" t="str">
        <f>IFERROR(__xludf.DUMMYFUNCTION("""COMPUTED_VALUE"""),"Hand")</f>
        <v>Hand</v>
      </c>
      <c r="E31" s="1">
        <f>IFERROR(__xludf.DUMMYFUNCTION("""COMPUTED_VALUE"""),40.0)</f>
        <v>40</v>
      </c>
      <c r="F31" s="1" t="str">
        <f>IFERROR(__xludf.DUMMYFUNCTION("""COMPUTED_VALUE"""),"DMG: +1000, Water DMG: +1000")</f>
        <v>DMG: +1000, Water DMG: +1000</v>
      </c>
      <c r="G31" s="1">
        <f>IFERROR(__xludf.DUMMYFUNCTION("""COMPUTED_VALUE"""),60000.0)</f>
        <v>60000</v>
      </c>
      <c r="H31" s="1"/>
      <c r="I31" s="1"/>
      <c r="J31" s="1"/>
      <c r="K31" s="1"/>
      <c r="L31" s="1"/>
      <c r="M31" s="1"/>
      <c r="N31" s="1"/>
      <c r="O31" s="1"/>
      <c r="P31" s="1"/>
      <c r="Q31" s="1"/>
      <c r="R31" s="1"/>
      <c r="S31" s="1"/>
      <c r="T31" s="1"/>
      <c r="U31" s="1"/>
      <c r="V31" s="1"/>
      <c r="W31" s="1"/>
      <c r="X31" s="1"/>
      <c r="Y31" s="1"/>
      <c r="Z31" s="1"/>
    </row>
    <row r="32">
      <c r="A32" s="1" t="str">
        <f>IFERROR(__xludf.DUMMYFUNCTION("""COMPUTED_VALUE"""),"Blunderbuss (Exclusive)")</f>
        <v>Blunderbuss (Exclusive)</v>
      </c>
      <c r="B32" s="1" t="str">
        <f>IFERROR(__xludf.DUMMYFUNCTION("""COMPUTED_VALUE"""),"The feast enjoyed on the first Thanksgiving didn’t hunt itself! The Pilgrims had to forage and hunt before setting the table. You can count on the Blunderbuss to help you when times are rough.")</f>
        <v>The feast enjoyed on the first Thanksgiving didn’t hunt itself! The Pilgrims had to forage and hunt before setting the table. You can count on the Blunderbuss to help you when times are rough.</v>
      </c>
      <c r="C32" s="1" t="str">
        <f>IFERROR(__xludf.DUMMYFUNCTION("""COMPUTED_VALUE"""),"Firearm")</f>
        <v>Firearm</v>
      </c>
      <c r="D32" s="1" t="str">
        <f>IFERROR(__xludf.DUMMYFUNCTION("""COMPUTED_VALUE"""),"Hand")</f>
        <v>Hand</v>
      </c>
      <c r="E32" s="1">
        <f>IFERROR(__xludf.DUMMYFUNCTION("""COMPUTED_VALUE"""),200.0)</f>
        <v>200</v>
      </c>
      <c r="F32" s="1" t="str">
        <f>IFERROR(__xludf.DUMMYFUNCTION("""COMPUTED_VALUE"""),": +50000, Celestial : +50000 ++This weapon will deal x4 damage if you are using the turkey hydra companion. +-You must take a turn to reload this weapon after using it.")</f>
        <v>: +50000, Celestial : +50000 ++This weapon will deal x4 damage if you are using the turkey hydra companion. +-You must take a turn to reload this weapon after using it.</v>
      </c>
      <c r="G32" s="1">
        <f>IFERROR(__xludf.DUMMYFUNCTION("""COMPUTED_VALUE"""),1.99E8)</f>
        <v>199000000</v>
      </c>
      <c r="H32" s="1"/>
      <c r="I32" s="1"/>
      <c r="J32" s="1"/>
      <c r="K32" s="1"/>
      <c r="L32" s="1"/>
      <c r="M32" s="1"/>
      <c r="N32" s="1"/>
      <c r="O32" s="1"/>
      <c r="P32" s="1"/>
      <c r="Q32" s="1"/>
      <c r="R32" s="1"/>
      <c r="S32" s="1"/>
      <c r="T32" s="1"/>
      <c r="U32" s="1"/>
      <c r="V32" s="1"/>
      <c r="W32" s="1"/>
      <c r="X32" s="1"/>
      <c r="Y32" s="1"/>
      <c r="Z32" s="1"/>
    </row>
    <row r="33">
      <c r="A33" s="1" t="str">
        <f>IFERROR(__xludf.DUMMYFUNCTION("""COMPUTED_VALUE"""),"Bone Sword ")</f>
        <v>Bone Sword </v>
      </c>
      <c r="B33" s="1"/>
      <c r="C33" s="1" t="str">
        <f>IFERROR(__xludf.DUMMYFUNCTION("""COMPUTED_VALUE"""),"Sword")</f>
        <v>Sword</v>
      </c>
      <c r="D33" s="1" t="str">
        <f>IFERROR(__xludf.DUMMYFUNCTION("""COMPUTED_VALUE"""),"Hand")</f>
        <v>Hand</v>
      </c>
      <c r="E33" s="1">
        <f>IFERROR(__xludf.DUMMYFUNCTION("""COMPUTED_VALUE"""),300.0)</f>
        <v>300</v>
      </c>
      <c r="F33" s="1" t="str">
        <f>IFERROR(__xludf.DUMMYFUNCTION("""COMPUTED_VALUE"""),"DMG: +5000, Earth DMG: +5000, Dark DMG: +5000 ++X2 Earth damage. ")</f>
        <v>DMG: +5000, Earth DMG: +5000, Dark DMG: +5000 ++X2 Earth damage. </v>
      </c>
      <c r="G33" s="1">
        <f>IFERROR(__xludf.DUMMYFUNCTION("""COMPUTED_VALUE"""),4350000.0)</f>
        <v>4350000</v>
      </c>
      <c r="H33" s="1"/>
      <c r="I33" s="1"/>
      <c r="J33" s="1"/>
      <c r="K33" s="1"/>
      <c r="L33" s="1"/>
      <c r="M33" s="1"/>
      <c r="N33" s="1"/>
      <c r="O33" s="1"/>
      <c r="P33" s="1"/>
      <c r="Q33" s="1"/>
      <c r="R33" s="1"/>
      <c r="S33" s="1"/>
      <c r="T33" s="1"/>
      <c r="U33" s="1"/>
      <c r="V33" s="1"/>
      <c r="W33" s="1"/>
      <c r="X33" s="1"/>
      <c r="Y33" s="1"/>
      <c r="Z33" s="1"/>
    </row>
    <row r="34">
      <c r="A34" s="1" t="str">
        <f>IFERROR(__xludf.DUMMYFUNCTION("""COMPUTED_VALUE"""),"Boots of Waking Waters")</f>
        <v>Boots of Waking Waters</v>
      </c>
      <c r="B34" s="1"/>
      <c r="C34" s="1"/>
      <c r="D34" s="1" t="str">
        <f>IFERROR(__xludf.DUMMYFUNCTION("""COMPUTED_VALUE"""),"Feet")</f>
        <v>Feet</v>
      </c>
      <c r="E34" s="1">
        <f>IFERROR(__xludf.DUMMYFUNCTION("""COMPUTED_VALUE"""),200.0)</f>
        <v>200</v>
      </c>
      <c r="F34" s="1" t="str">
        <f>IFERROR(__xludf.DUMMYFUNCTION("""COMPUTED_VALUE"""),"DEF: +5000, Water DEF: +5000 ++X4 additional water damage for self.")</f>
        <v>DEF: +5000, Water DEF: +5000 ++X4 additional water damage for self.</v>
      </c>
      <c r="G34" s="1">
        <f>IFERROR(__xludf.DUMMYFUNCTION("""COMPUTED_VALUE"""),1900000.0)</f>
        <v>1900000</v>
      </c>
      <c r="H34" s="1"/>
      <c r="I34" s="1"/>
      <c r="J34" s="1"/>
      <c r="K34" s="1"/>
      <c r="L34" s="1"/>
      <c r="M34" s="1"/>
      <c r="N34" s="1"/>
      <c r="O34" s="1"/>
      <c r="P34" s="1"/>
      <c r="Q34" s="1"/>
      <c r="R34" s="1"/>
      <c r="S34" s="1"/>
      <c r="T34" s="1"/>
      <c r="U34" s="1"/>
      <c r="V34" s="1"/>
      <c r="W34" s="1"/>
      <c r="X34" s="1"/>
      <c r="Y34" s="1"/>
      <c r="Z34" s="1"/>
    </row>
    <row r="35">
      <c r="A35" s="1" t="str">
        <f>IFERROR(__xludf.DUMMYFUNCTION("""COMPUTED_VALUE"""),"Bow of Chaotic Darkness")</f>
        <v>Bow of Chaotic Darkness</v>
      </c>
      <c r="B35" s="1"/>
      <c r="C35" s="1" t="str">
        <f>IFERROR(__xludf.DUMMYFUNCTION("""COMPUTED_VALUE"""),"Bow")</f>
        <v>Bow</v>
      </c>
      <c r="D35" s="1" t="str">
        <f>IFERROR(__xludf.DUMMYFUNCTION("""COMPUTED_VALUE"""),"Hand")</f>
        <v>Hand</v>
      </c>
      <c r="E35" s="1">
        <f>IFERROR(__xludf.DUMMYFUNCTION("""COMPUTED_VALUE"""),4400.0)</f>
        <v>4400</v>
      </c>
      <c r="F35" s="1" t="str">
        <f>IFERROR(__xludf.DUMMYFUNCTION("""COMPUTED_VALUE"""),"DMG: +140000, Dark DMG: +40000, Chaos DMG: +40000 ++You may use up to 4 arrows with this bow.")</f>
        <v>DMG: +140000, Dark DMG: +40000, Chaos DMG: +40000 ++You may use up to 4 arrows with this bow.</v>
      </c>
      <c r="G35" s="1">
        <f>IFERROR(__xludf.DUMMYFUNCTION("""COMPUTED_VALUE"""),9.658E8)</f>
        <v>965800000</v>
      </c>
      <c r="H35" s="1"/>
      <c r="I35" s="1"/>
      <c r="J35" s="1"/>
      <c r="K35" s="1"/>
      <c r="L35" s="1"/>
      <c r="M35" s="1"/>
      <c r="N35" s="1"/>
      <c r="O35" s="1"/>
      <c r="P35" s="1"/>
      <c r="Q35" s="1"/>
      <c r="R35" s="1"/>
      <c r="S35" s="1"/>
      <c r="T35" s="1"/>
      <c r="U35" s="1"/>
      <c r="V35" s="1"/>
      <c r="W35" s="1"/>
      <c r="X35" s="1"/>
      <c r="Y35" s="1"/>
      <c r="Z35" s="1"/>
    </row>
    <row r="36">
      <c r="A36" s="1" t="str">
        <f>IFERROR(__xludf.DUMMYFUNCTION("""COMPUTED_VALUE"""),"Bow of Luck")</f>
        <v>Bow of Luck</v>
      </c>
      <c r="B36" s="1"/>
      <c r="C36" s="1" t="str">
        <f>IFERROR(__xludf.DUMMYFUNCTION("""COMPUTED_VALUE"""),"Bow")</f>
        <v>Bow</v>
      </c>
      <c r="D36" s="1" t="str">
        <f>IFERROR(__xludf.DUMMYFUNCTION("""COMPUTED_VALUE"""),"Hand")</f>
        <v>Hand</v>
      </c>
      <c r="E36" s="1">
        <f>IFERROR(__xludf.DUMMYFUNCTION("""COMPUTED_VALUE"""),3000.0)</f>
        <v>3000</v>
      </c>
      <c r="F36" s="1" t="str">
        <f>IFERROR(__xludf.DUMMYFUNCTION("""COMPUTED_VALUE"""),"DMG: +150000 ++You may add mobility to your attack rolls as long as you are attacking with a bow. +-Cannot be forged")</f>
        <v>DMG: +150000 ++You may add mobility to your attack rolls as long as you are attacking with a bow. +-Cannot be forged</v>
      </c>
      <c r="G36" s="1">
        <f>IFERROR(__xludf.DUMMYFUNCTION("""COMPUTED_VALUE"""),4.485E8)</f>
        <v>448500000</v>
      </c>
      <c r="H36" s="1"/>
      <c r="I36" s="1"/>
      <c r="J36" s="1"/>
      <c r="K36" s="1"/>
      <c r="L36" s="1"/>
      <c r="M36" s="1"/>
      <c r="N36" s="1"/>
      <c r="O36" s="1"/>
      <c r="P36" s="1"/>
      <c r="Q36" s="1"/>
      <c r="R36" s="1"/>
      <c r="S36" s="1"/>
      <c r="T36" s="1"/>
      <c r="U36" s="1"/>
      <c r="V36" s="1"/>
      <c r="W36" s="1"/>
      <c r="X36" s="1"/>
      <c r="Y36" s="1"/>
      <c r="Z36" s="1"/>
    </row>
    <row r="37">
      <c r="A37" s="1" t="str">
        <f>IFERROR(__xludf.DUMMYFUNCTION("""COMPUTED_VALUE"""),"Bow of The Sacred Druids")</f>
        <v>Bow of The Sacred Druids</v>
      </c>
      <c r="B37" s="1"/>
      <c r="C37" s="1" t="str">
        <f>IFERROR(__xludf.DUMMYFUNCTION("""COMPUTED_VALUE"""),"Bow")</f>
        <v>Bow</v>
      </c>
      <c r="D37" s="1" t="str">
        <f>IFERROR(__xludf.DUMMYFUNCTION("""COMPUTED_VALUE"""),"Hand")</f>
        <v>Hand</v>
      </c>
      <c r="E37" s="1">
        <f>IFERROR(__xludf.DUMMYFUNCTION("""COMPUTED_VALUE"""),200.0)</f>
        <v>200</v>
      </c>
      <c r="F37" s="1" t="str">
        <f>IFERROR(__xludf.DUMMYFUNCTION("""COMPUTED_VALUE"""),"DMG: +5000, Nature DMG: +5000 ++Druids Call - X4 additional damage for ranged weapons.")</f>
        <v>DMG: +5000, Nature DMG: +5000 ++Druids Call - X4 additional damage for ranged weapons.</v>
      </c>
      <c r="G37" s="1">
        <f>IFERROR(__xludf.DUMMYFUNCTION("""COMPUTED_VALUE"""),1900000.0)</f>
        <v>1900000</v>
      </c>
      <c r="H37" s="1"/>
      <c r="I37" s="1"/>
      <c r="J37" s="1"/>
      <c r="K37" s="1"/>
      <c r="L37" s="1"/>
      <c r="M37" s="1"/>
      <c r="N37" s="1"/>
      <c r="O37" s="1"/>
      <c r="P37" s="1"/>
      <c r="Q37" s="1"/>
      <c r="R37" s="1"/>
      <c r="S37" s="1"/>
      <c r="T37" s="1"/>
      <c r="U37" s="1"/>
      <c r="V37" s="1"/>
      <c r="W37" s="1"/>
      <c r="X37" s="1"/>
      <c r="Y37" s="1"/>
      <c r="Z37" s="1"/>
    </row>
    <row r="38">
      <c r="A38" s="1" t="str">
        <f>IFERROR(__xludf.DUMMYFUNCTION("""COMPUTED_VALUE"""),"Bo Staff Of Zhenmay")</f>
        <v>Bo Staff Of Zhenmay</v>
      </c>
      <c r="B38" s="1"/>
      <c r="C38" s="1" t="str">
        <f>IFERROR(__xludf.DUMMYFUNCTION("""COMPUTED_VALUE"""),"Club")</f>
        <v>Club</v>
      </c>
      <c r="D38" s="1" t="str">
        <f>IFERROR(__xludf.DUMMYFUNCTION("""COMPUTED_VALUE"""),"Hand")</f>
        <v>Hand</v>
      </c>
      <c r="E38" s="1">
        <f>IFERROR(__xludf.DUMMYFUNCTION("""COMPUTED_VALUE"""),3000.0)</f>
        <v>3000</v>
      </c>
      <c r="F38" s="1" t="str">
        <f>IFERROR(__xludf.DUMMYFUNCTION("""COMPUTED_VALUE"""),"DMG: +100000, Zen DMG: +50000 ++Blindness 2. ")</f>
        <v>DMG: +100000, Zen DMG: +50000 ++Blindness 2. </v>
      </c>
      <c r="G38" s="1">
        <f>IFERROR(__xludf.DUMMYFUNCTION("""COMPUTED_VALUE"""),4.485E8)</f>
        <v>448500000</v>
      </c>
      <c r="H38" s="1"/>
      <c r="I38" s="1"/>
      <c r="J38" s="1"/>
      <c r="K38" s="1"/>
      <c r="L38" s="1"/>
      <c r="M38" s="1"/>
      <c r="N38" s="1"/>
      <c r="O38" s="1"/>
      <c r="P38" s="1"/>
      <c r="Q38" s="1"/>
      <c r="R38" s="1"/>
      <c r="S38" s="1"/>
      <c r="T38" s="1"/>
      <c r="U38" s="1"/>
      <c r="V38" s="1"/>
      <c r="W38" s="1"/>
      <c r="X38" s="1"/>
      <c r="Y38" s="1"/>
      <c r="Z38" s="1"/>
    </row>
    <row r="39">
      <c r="A39" s="1" t="str">
        <f>IFERROR(__xludf.DUMMYFUNCTION("""COMPUTED_VALUE"""),"Breezy Clothes")</f>
        <v>Breezy Clothes</v>
      </c>
      <c r="B39" s="1"/>
      <c r="C39" s="1"/>
      <c r="D39" s="1" t="str">
        <f>IFERROR(__xludf.DUMMYFUNCTION("""COMPUTED_VALUE"""),"Torso")</f>
        <v>Torso</v>
      </c>
      <c r="E39" s="1">
        <f>IFERROR(__xludf.DUMMYFUNCTION("""COMPUTED_VALUE"""),1.0)</f>
        <v>1</v>
      </c>
      <c r="F39" s="1" t="str">
        <f>IFERROR(__xludf.DUMMYFUNCTION("""COMPUTED_VALUE""")," ++While equipped, Take half damage from fire damage, But decrease water damage you deal by half. ")</f>
        <v> ++While equipped, Take half damage from fire damage, But decrease water damage you deal by half. </v>
      </c>
      <c r="G39" s="1">
        <f>IFERROR(__xludf.DUMMYFUNCTION("""COMPUTED_VALUE"""),0.0)</f>
        <v>0</v>
      </c>
      <c r="H39" s="1"/>
      <c r="I39" s="1"/>
      <c r="J39" s="1"/>
      <c r="K39" s="1"/>
      <c r="L39" s="1"/>
      <c r="M39" s="1"/>
      <c r="N39" s="1"/>
      <c r="O39" s="1"/>
      <c r="P39" s="1"/>
      <c r="Q39" s="1"/>
      <c r="R39" s="1"/>
      <c r="S39" s="1"/>
      <c r="T39" s="1"/>
      <c r="U39" s="1"/>
      <c r="V39" s="1"/>
      <c r="W39" s="1"/>
      <c r="X39" s="1"/>
      <c r="Y39" s="1"/>
      <c r="Z39" s="1"/>
    </row>
    <row r="40">
      <c r="A40" s="1" t="str">
        <f>IFERROR(__xludf.DUMMYFUNCTION("""COMPUTED_VALUE"""),"Bright Flame Sword")</f>
        <v>Bright Flame Sword</v>
      </c>
      <c r="B40" s="1"/>
      <c r="C40" s="1" t="str">
        <f>IFERROR(__xludf.DUMMYFUNCTION("""COMPUTED_VALUE"""),"Sword")</f>
        <v>Sword</v>
      </c>
      <c r="D40" s="1" t="str">
        <f>IFERROR(__xludf.DUMMYFUNCTION("""COMPUTED_VALUE"""),"Hand")</f>
        <v>Hand</v>
      </c>
      <c r="E40" s="1">
        <f>IFERROR(__xludf.DUMMYFUNCTION("""COMPUTED_VALUE"""),300.0)</f>
        <v>300</v>
      </c>
      <c r="F40" s="1" t="str">
        <f>IFERROR(__xludf.DUMMYFUNCTION("""COMPUTED_VALUE"""),"DMG: +10000, Fire DMG: +5000")</f>
        <v>DMG: +10000, Fire DMG: +5000</v>
      </c>
      <c r="G40" s="1">
        <f>IFERROR(__xludf.DUMMYFUNCTION("""COMPUTED_VALUE"""),4350000.0)</f>
        <v>4350000</v>
      </c>
      <c r="H40" s="1"/>
      <c r="I40" s="1"/>
      <c r="J40" s="1"/>
      <c r="K40" s="1"/>
      <c r="L40" s="1"/>
      <c r="M40" s="1"/>
      <c r="N40" s="1"/>
      <c r="O40" s="1"/>
      <c r="P40" s="1"/>
      <c r="Q40" s="1"/>
      <c r="R40" s="1"/>
      <c r="S40" s="1"/>
      <c r="T40" s="1"/>
      <c r="U40" s="1"/>
      <c r="V40" s="1"/>
      <c r="W40" s="1"/>
      <c r="X40" s="1"/>
      <c r="Y40" s="1"/>
      <c r="Z40" s="1"/>
    </row>
    <row r="41">
      <c r="A41" s="1" t="str">
        <f>IFERROR(__xludf.DUMMYFUNCTION("""COMPUTED_VALUE"""),"Broken Sword")</f>
        <v>Broken Sword</v>
      </c>
      <c r="B41" s="1"/>
      <c r="C41" s="1" t="str">
        <f>IFERROR(__xludf.DUMMYFUNCTION("""COMPUTED_VALUE"""),"Knife")</f>
        <v>Knife</v>
      </c>
      <c r="D41" s="1" t="str">
        <f>IFERROR(__xludf.DUMMYFUNCTION("""COMPUTED_VALUE"""),"Hand")</f>
        <v>Hand</v>
      </c>
      <c r="E41" s="1">
        <f>IFERROR(__xludf.DUMMYFUNCTION("""COMPUTED_VALUE"""),1.0)</f>
        <v>1</v>
      </c>
      <c r="F41" s="1" t="str">
        <f>IFERROR(__xludf.DUMMYFUNCTION("""COMPUTED_VALUE"""),"DMG: +1 ++ -1 evasion")</f>
        <v>DMG: +1 ++ -1 evasion</v>
      </c>
      <c r="G41" s="1">
        <f>IFERROR(__xludf.DUMMYFUNCTION("""COMPUTED_VALUE"""),0.0)</f>
        <v>0</v>
      </c>
      <c r="H41" s="1"/>
      <c r="I41" s="1"/>
      <c r="J41" s="1"/>
      <c r="K41" s="1"/>
      <c r="L41" s="1"/>
      <c r="M41" s="1"/>
      <c r="N41" s="1"/>
      <c r="O41" s="1"/>
      <c r="P41" s="1"/>
      <c r="Q41" s="1"/>
      <c r="R41" s="1"/>
      <c r="S41" s="1"/>
      <c r="T41" s="1"/>
      <c r="U41" s="1"/>
      <c r="V41" s="1"/>
      <c r="W41" s="1"/>
      <c r="X41" s="1"/>
      <c r="Y41" s="1"/>
      <c r="Z41" s="1"/>
    </row>
    <row r="42">
      <c r="A42" s="1" t="str">
        <f>IFERROR(__xludf.DUMMYFUNCTION("""COMPUTED_VALUE"""),"Burning Broadsword")</f>
        <v>Burning Broadsword</v>
      </c>
      <c r="B42" s="1"/>
      <c r="C42" s="1" t="str">
        <f>IFERROR(__xludf.DUMMYFUNCTION("""COMPUTED_VALUE"""),"Sword")</f>
        <v>Sword</v>
      </c>
      <c r="D42" s="1" t="str">
        <f>IFERROR(__xludf.DUMMYFUNCTION("""COMPUTED_VALUE"""),"Hand")</f>
        <v>Hand</v>
      </c>
      <c r="E42" s="1">
        <f>IFERROR(__xludf.DUMMYFUNCTION("""COMPUTED_VALUE"""),200.0)</f>
        <v>200</v>
      </c>
      <c r="F42" s="1" t="str">
        <f>IFERROR(__xludf.DUMMYFUNCTION("""COMPUTED_VALUE"""),"DMG: +5000, Fire DMG: +5000 ++10,000 fire damage per round for 3 rounds.")</f>
        <v>DMG: +5000, Fire DMG: +5000 ++10,000 fire damage per round for 3 rounds.</v>
      </c>
      <c r="G42" s="1">
        <f>IFERROR(__xludf.DUMMYFUNCTION("""COMPUTED_VALUE"""),1900000.0)</f>
        <v>1900000</v>
      </c>
      <c r="H42" s="1"/>
      <c r="I42" s="1"/>
      <c r="J42" s="1"/>
      <c r="K42" s="1"/>
      <c r="L42" s="1"/>
      <c r="M42" s="1"/>
      <c r="N42" s="1"/>
      <c r="O42" s="1"/>
      <c r="P42" s="1"/>
      <c r="Q42" s="1"/>
      <c r="R42" s="1"/>
      <c r="S42" s="1"/>
      <c r="T42" s="1"/>
      <c r="U42" s="1"/>
      <c r="V42" s="1"/>
      <c r="W42" s="1"/>
      <c r="X42" s="1"/>
      <c r="Y42" s="1"/>
      <c r="Z42" s="1"/>
    </row>
    <row r="43">
      <c r="A43" s="1" t="str">
        <f>IFERROR(__xludf.DUMMYFUNCTION("""COMPUTED_VALUE"""),"Candy Corn Necklace")</f>
        <v>Candy Corn Necklace</v>
      </c>
      <c r="B43" s="1" t="str">
        <f>IFERROR(__xludf.DUMMYFUNCTION("""COMPUTED_VALUE"""),"Halloween Exclusive")</f>
        <v>Halloween Exclusive</v>
      </c>
      <c r="C43" s="1"/>
      <c r="D43" s="1" t="str">
        <f>IFERROR(__xludf.DUMMYFUNCTION("""COMPUTED_VALUE"""),"Neck")</f>
        <v>Neck</v>
      </c>
      <c r="E43" s="1">
        <f>IFERROR(__xludf.DUMMYFUNCTION("""COMPUTED_VALUE"""),1.0)</f>
        <v>1</v>
      </c>
      <c r="F43" s="1" t="str">
        <f>IFERROR(__xludf.DUMMYFUNCTION("""COMPUTED_VALUE""")," ++Gives Immunity to Dark and Chaos Damage, ++ +2 Intimidation.")</f>
        <v> ++Gives Immunity to Dark and Chaos Damage, ++ +2 Intimidation.</v>
      </c>
      <c r="G43" s="1">
        <f>IFERROR(__xludf.DUMMYFUNCTION("""COMPUTED_VALUE"""),0.0)</f>
        <v>0</v>
      </c>
      <c r="H43" s="1"/>
      <c r="I43" s="1"/>
      <c r="J43" s="1"/>
      <c r="K43" s="1"/>
      <c r="L43" s="1"/>
      <c r="M43" s="1"/>
      <c r="N43" s="1"/>
      <c r="O43" s="1"/>
      <c r="P43" s="1"/>
      <c r="Q43" s="1"/>
      <c r="R43" s="1"/>
      <c r="S43" s="1"/>
      <c r="T43" s="1"/>
      <c r="U43" s="1"/>
      <c r="V43" s="1"/>
      <c r="W43" s="1"/>
      <c r="X43" s="1"/>
      <c r="Y43" s="1"/>
      <c r="Z43" s="1"/>
    </row>
    <row r="44">
      <c r="A44" s="1" t="str">
        <f>IFERROR(__xludf.DUMMYFUNCTION("""COMPUTED_VALUE"""),"Candy Corn Rifle")</f>
        <v>Candy Corn Rifle</v>
      </c>
      <c r="B44" s="1" t="str">
        <f>IFERROR(__xludf.DUMMYFUNCTION("""COMPUTED_VALUE"""),"Halloween Exclusive")</f>
        <v>Halloween Exclusive</v>
      </c>
      <c r="C44" s="1" t="str">
        <f>IFERROR(__xludf.DUMMYFUNCTION("""COMPUTED_VALUE"""),"Firearm")</f>
        <v>Firearm</v>
      </c>
      <c r="D44" s="1" t="str">
        <f>IFERROR(__xludf.DUMMYFUNCTION("""COMPUTED_VALUE"""),"Hand")</f>
        <v>Hand</v>
      </c>
      <c r="E44" s="1">
        <f>IFERROR(__xludf.DUMMYFUNCTION("""COMPUTED_VALUE"""),200.0)</f>
        <v>200</v>
      </c>
      <c r="F44" s="1" t="str">
        <f>IFERROR(__xludf.DUMMYFUNCTION("""COMPUTED_VALUE"""),"DMG: +10000, Fire DMG: +10000, Dark DMG: +10000, Spirit DMG: +10000, Chaos DMG: +10000, Voodoo DMG: +10000, Blood DMG: +10000, Celestial DMG: +10000 ++Uses Candy Corn as Ammunition. ++Can use mobility when attacking with this weapon. +-Cannot be forged or"&amp;" duplicated. ")</f>
        <v>DMG: +10000, Fire DMG: +10000, Dark DMG: +10000, Spirit DMG: +10000, Chaos DMG: +10000, Voodoo DMG: +10000, Blood DMG: +10000, Celestial DMG: +10000 ++Uses Candy Corn as Ammunition. ++Can use mobility when attacking with this weapon. +-Cannot be forged or duplicated. </v>
      </c>
      <c r="G44" s="1">
        <f>IFERROR(__xludf.DUMMYFUNCTION("""COMPUTED_VALUE"""),1.272E8)</f>
        <v>127200000</v>
      </c>
      <c r="H44" s="1"/>
      <c r="I44" s="1"/>
      <c r="J44" s="1"/>
      <c r="K44" s="1"/>
      <c r="L44" s="1"/>
      <c r="M44" s="1"/>
      <c r="N44" s="1"/>
      <c r="O44" s="1"/>
      <c r="P44" s="1"/>
      <c r="Q44" s="1"/>
      <c r="R44" s="1"/>
      <c r="S44" s="1"/>
      <c r="T44" s="1"/>
      <c r="U44" s="1"/>
      <c r="V44" s="1"/>
      <c r="W44" s="1"/>
      <c r="X44" s="1"/>
      <c r="Y44" s="1"/>
      <c r="Z44" s="1"/>
    </row>
    <row r="45">
      <c r="A45" s="1" t="str">
        <f>IFERROR(__xludf.DUMMYFUNCTION("""COMPUTED_VALUE"""),"Cap of Metal Harmony's")</f>
        <v>Cap of Metal Harmony's</v>
      </c>
      <c r="B45" s="1"/>
      <c r="C45" s="1"/>
      <c r="D45" s="1" t="str">
        <f>IFERROR(__xludf.DUMMYFUNCTION("""COMPUTED_VALUE"""),"Head")</f>
        <v>Head</v>
      </c>
      <c r="E45" s="1">
        <f>IFERROR(__xludf.DUMMYFUNCTION("""COMPUTED_VALUE"""),200.0)</f>
        <v>200</v>
      </c>
      <c r="F45" s="1" t="str">
        <f>IFERROR(__xludf.DUMMYFUNCTION("""COMPUTED_VALUE"""),"DEF: +10000 ++Half the SP cost for Fire, Water, Storm, Earth, and Nature spells.")</f>
        <v>DEF: +10000 ++Half the SP cost for Fire, Water, Storm, Earth, and Nature spells.</v>
      </c>
      <c r="G45" s="1">
        <f>IFERROR(__xludf.DUMMYFUNCTION("""COMPUTED_VALUE"""),1900000.0)</f>
        <v>1900000</v>
      </c>
      <c r="H45" s="1"/>
      <c r="I45" s="1"/>
      <c r="J45" s="1"/>
      <c r="K45" s="1"/>
      <c r="L45" s="1"/>
      <c r="M45" s="1"/>
      <c r="N45" s="1"/>
      <c r="O45" s="1"/>
      <c r="P45" s="1"/>
      <c r="Q45" s="1"/>
      <c r="R45" s="1"/>
      <c r="S45" s="1"/>
      <c r="T45" s="1"/>
      <c r="U45" s="1"/>
      <c r="V45" s="1"/>
      <c r="W45" s="1"/>
      <c r="X45" s="1"/>
      <c r="Y45" s="1"/>
      <c r="Z45" s="1"/>
    </row>
    <row r="46">
      <c r="A46" s="1" t="str">
        <f>IFERROR(__xludf.DUMMYFUNCTION("""COMPUTED_VALUE"""),"Celestian Royal Shield")</f>
        <v>Celestian Royal Shield</v>
      </c>
      <c r="B46" s="1" t="str">
        <f>IFERROR(__xludf.DUMMYFUNCTION("""COMPUTED_VALUE"""),"Quest Item")</f>
        <v>Quest Item</v>
      </c>
      <c r="C46" s="1" t="str">
        <f>IFERROR(__xludf.DUMMYFUNCTION("""COMPUTED_VALUE"""),"Towershield")</f>
        <v>Towershield</v>
      </c>
      <c r="D46" s="1" t="str">
        <f>IFERROR(__xludf.DUMMYFUNCTION("""COMPUTED_VALUE"""),"Hand")</f>
        <v>Hand</v>
      </c>
      <c r="E46" s="1">
        <f>IFERROR(__xludf.DUMMYFUNCTION("""COMPUTED_VALUE"""),200.0)</f>
        <v>200</v>
      </c>
      <c r="F46" s="1" t="str">
        <f>IFERROR(__xludf.DUMMYFUNCTION("""COMPUTED_VALUE"""),"DEF: +100000, Light DEF: +100000, Dark DEF: +100000, Celestial DEF: +100000 ++Royal Protection: Immunity to Celestial. +-Cannot be forged or duplicated.")</f>
        <v>DEF: +100000, Light DEF: +100000, Dark DEF: +100000, Celestial DEF: +100000 ++Royal Protection: Immunity to Celestial. +-Cannot be forged or duplicated.</v>
      </c>
      <c r="G46" s="1">
        <f>IFERROR(__xludf.DUMMYFUNCTION("""COMPUTED_VALUE"""),3.196E9)</f>
        <v>3196000000</v>
      </c>
      <c r="H46" s="1"/>
      <c r="I46" s="1"/>
      <c r="J46" s="1"/>
      <c r="K46" s="1"/>
      <c r="L46" s="1"/>
      <c r="M46" s="1"/>
      <c r="N46" s="1"/>
      <c r="O46" s="1"/>
      <c r="P46" s="1"/>
      <c r="Q46" s="1"/>
      <c r="R46" s="1"/>
      <c r="S46" s="1"/>
      <c r="T46" s="1"/>
      <c r="U46" s="1"/>
      <c r="V46" s="1"/>
      <c r="W46" s="1"/>
      <c r="X46" s="1"/>
      <c r="Y46" s="1"/>
      <c r="Z46" s="1"/>
    </row>
    <row r="47">
      <c r="A47" s="1" t="str">
        <f>IFERROR(__xludf.DUMMYFUNCTION("""COMPUTED_VALUE"""),"Celestian Royal Sword")</f>
        <v>Celestian Royal Sword</v>
      </c>
      <c r="B47" s="1" t="str">
        <f>IFERROR(__xludf.DUMMYFUNCTION("""COMPUTED_VALUE"""),"Quest Item")</f>
        <v>Quest Item</v>
      </c>
      <c r="C47" s="1" t="str">
        <f>IFERROR(__xludf.DUMMYFUNCTION("""COMPUTED_VALUE"""),"Sword")</f>
        <v>Sword</v>
      </c>
      <c r="D47" s="1" t="str">
        <f>IFERROR(__xludf.DUMMYFUNCTION("""COMPUTED_VALUE"""),"Hand")</f>
        <v>Hand</v>
      </c>
      <c r="E47" s="1">
        <f>IFERROR(__xludf.DUMMYFUNCTION("""COMPUTED_VALUE"""),200.0)</f>
        <v>200</v>
      </c>
      <c r="F47" s="1" t="str">
        <f>IFERROR(__xludf.DUMMYFUNCTION("""COMPUTED_VALUE"""),"DMG: +100000, Light DMG: +100000, Dark DMG: +100000, Celestial DMG: +100000 ++X8 Celestial Damage. +-Cannot be forged or duplicated.")</f>
        <v>DMG: +100000, Light DMG: +100000, Dark DMG: +100000, Celestial DMG: +100000 ++X8 Celestial Damage. +-Cannot be forged or duplicated.</v>
      </c>
      <c r="G47" s="1">
        <f>IFERROR(__xludf.DUMMYFUNCTION("""COMPUTED_VALUE"""),3.196E9)</f>
        <v>3196000000</v>
      </c>
      <c r="H47" s="1"/>
      <c r="I47" s="1"/>
      <c r="J47" s="1"/>
      <c r="K47" s="1"/>
      <c r="L47" s="1"/>
      <c r="M47" s="1"/>
      <c r="N47" s="1"/>
      <c r="O47" s="1"/>
      <c r="P47" s="1"/>
      <c r="Q47" s="1"/>
      <c r="R47" s="1"/>
      <c r="S47" s="1"/>
      <c r="T47" s="1"/>
      <c r="U47" s="1"/>
      <c r="V47" s="1"/>
      <c r="W47" s="1"/>
      <c r="X47" s="1"/>
      <c r="Y47" s="1"/>
      <c r="Z47" s="1"/>
    </row>
    <row r="48">
      <c r="A48" s="1" t="str">
        <f>IFERROR(__xludf.DUMMYFUNCTION("""COMPUTED_VALUE"""),"Chain Link Armor")</f>
        <v>Chain Link Armor</v>
      </c>
      <c r="B48" s="1"/>
      <c r="C48" s="1"/>
      <c r="D48" s="1" t="str">
        <f>IFERROR(__xludf.DUMMYFUNCTION("""COMPUTED_VALUE"""),"Torso")</f>
        <v>Torso</v>
      </c>
      <c r="E48" s="1">
        <f>IFERROR(__xludf.DUMMYFUNCTION("""COMPUTED_VALUE"""),40.0)</f>
        <v>40</v>
      </c>
      <c r="F48" s="1" t="str">
        <f>IFERROR(__xludf.DUMMYFUNCTION("""COMPUTED_VALUE"""),"DEF: +2000 ++Wrapped in Chains - When the wearer is attacked with a weapon; 25% chance to make the attacker drop it's weapon.")</f>
        <v>DEF: +2000 ++Wrapped in Chains - When the wearer is attacked with a weapon; 25% chance to make the attacker drop it's weapon.</v>
      </c>
      <c r="G48" s="1">
        <f>IFERROR(__xludf.DUMMYFUNCTION("""COMPUTED_VALUE"""),60000.0)</f>
        <v>60000</v>
      </c>
      <c r="H48" s="1"/>
      <c r="I48" s="1"/>
      <c r="J48" s="1"/>
      <c r="K48" s="1"/>
      <c r="L48" s="1"/>
      <c r="M48" s="1"/>
      <c r="N48" s="1"/>
      <c r="O48" s="1"/>
      <c r="P48" s="1"/>
      <c r="Q48" s="1"/>
      <c r="R48" s="1"/>
      <c r="S48" s="1"/>
      <c r="T48" s="1"/>
      <c r="U48" s="1"/>
      <c r="V48" s="1"/>
      <c r="W48" s="1"/>
      <c r="X48" s="1"/>
      <c r="Y48" s="1"/>
      <c r="Z48" s="1"/>
    </row>
    <row r="49">
      <c r="A49" s="1" t="str">
        <f>IFERROR(__xludf.DUMMYFUNCTION("""COMPUTED_VALUE"""),"Chaos Sword")</f>
        <v>Chaos Sword</v>
      </c>
      <c r="B49" s="1"/>
      <c r="C49" s="1" t="str">
        <f>IFERROR(__xludf.DUMMYFUNCTION("""COMPUTED_VALUE"""),"Sword")</f>
        <v>Sword</v>
      </c>
      <c r="D49" s="1" t="str">
        <f>IFERROR(__xludf.DUMMYFUNCTION("""COMPUTED_VALUE"""),"Hand")</f>
        <v>Hand</v>
      </c>
      <c r="E49" s="1">
        <f>IFERROR(__xludf.DUMMYFUNCTION("""COMPUTED_VALUE"""),90.0)</f>
        <v>90</v>
      </c>
      <c r="F49" s="1" t="str">
        <f>IFERROR(__xludf.DUMMYFUNCTION("""COMPUTED_VALUE"""),"DMG: +2500, Chaos DMG: +2000 ++ +2 Intimidation. +-Cannot be duplicated. +-Can only equip one.")</f>
        <v>DMG: +2500, Chaos DMG: +2000 ++ +2 Intimidation. +-Cannot be duplicated. +-Can only equip one.</v>
      </c>
      <c r="G49" s="1">
        <f>IFERROR(__xludf.DUMMYFUNCTION("""COMPUTED_VALUE"""),360000.0)</f>
        <v>360000</v>
      </c>
      <c r="H49" s="1"/>
      <c r="I49" s="1"/>
      <c r="J49" s="1"/>
      <c r="K49" s="1"/>
      <c r="L49" s="1"/>
      <c r="M49" s="1"/>
      <c r="N49" s="1"/>
      <c r="O49" s="1"/>
      <c r="P49" s="1"/>
      <c r="Q49" s="1"/>
      <c r="R49" s="1"/>
      <c r="S49" s="1"/>
      <c r="T49" s="1"/>
      <c r="U49" s="1"/>
      <c r="V49" s="1"/>
      <c r="W49" s="1"/>
      <c r="X49" s="1"/>
      <c r="Y49" s="1"/>
      <c r="Z49" s="1"/>
    </row>
    <row r="50">
      <c r="A50" s="1" t="str">
        <f>IFERROR(__xludf.DUMMYFUNCTION("""COMPUTED_VALUE"""),"Chaotic Amulet")</f>
        <v>Chaotic Amulet</v>
      </c>
      <c r="B50" s="1"/>
      <c r="C50" s="1"/>
      <c r="D50" s="1" t="str">
        <f>IFERROR(__xludf.DUMMYFUNCTION("""COMPUTED_VALUE"""),"Neck")</f>
        <v>Neck</v>
      </c>
      <c r="E50" s="1">
        <f>IFERROR(__xludf.DUMMYFUNCTION("""COMPUTED_VALUE"""),1.0)</f>
        <v>1</v>
      </c>
      <c r="F50" s="1" t="str">
        <f>IFERROR(__xludf.DUMMYFUNCTION("""COMPUTED_VALUE""")," ++Immunity to all Chaos Dmg, ++Deal 2x more Chaos Dmg.")</f>
        <v> ++Immunity to all Chaos Dmg, ++Deal 2x more Chaos Dmg.</v>
      </c>
      <c r="G50" s="1">
        <f>IFERROR(__xludf.DUMMYFUNCTION("""COMPUTED_VALUE"""),0.0)</f>
        <v>0</v>
      </c>
      <c r="H50" s="1"/>
      <c r="I50" s="1"/>
      <c r="J50" s="1"/>
      <c r="K50" s="1"/>
      <c r="L50" s="1"/>
      <c r="M50" s="1"/>
      <c r="N50" s="1"/>
      <c r="O50" s="1"/>
      <c r="P50" s="1"/>
      <c r="Q50" s="1"/>
      <c r="R50" s="1"/>
      <c r="S50" s="1"/>
      <c r="T50" s="1"/>
      <c r="U50" s="1"/>
      <c r="V50" s="1"/>
      <c r="W50" s="1"/>
      <c r="X50" s="1"/>
      <c r="Y50" s="1"/>
      <c r="Z50" s="1"/>
    </row>
    <row r="51">
      <c r="A51" s="1" t="str">
        <f>IFERROR(__xludf.DUMMYFUNCTION("""COMPUTED_VALUE"""),"Ring")</f>
        <v>Ring</v>
      </c>
      <c r="B51" s="1"/>
      <c r="C51" s="1"/>
      <c r="D51" s="1" t="str">
        <f>IFERROR(__xludf.DUMMYFUNCTION("""COMPUTED_VALUE"""),"Ring")</f>
        <v>Ring</v>
      </c>
      <c r="E51" s="1">
        <f>IFERROR(__xludf.DUMMYFUNCTION("""COMPUTED_VALUE"""),1.0)</f>
        <v>1</v>
      </c>
      <c r="F51" s="1" t="str">
        <f>IFERROR(__xludf.DUMMYFUNCTION("""COMPUTED_VALUE""")," ++X2 additional Chaos and Blood damage")</f>
        <v> ++X2 additional Chaos and Blood damage</v>
      </c>
      <c r="G51" s="1">
        <f>IFERROR(__xludf.DUMMYFUNCTION("""COMPUTED_VALUE"""),0.0)</f>
        <v>0</v>
      </c>
      <c r="H51" s="1"/>
      <c r="I51" s="1"/>
      <c r="J51" s="1"/>
      <c r="K51" s="1"/>
      <c r="L51" s="1"/>
      <c r="M51" s="1"/>
      <c r="N51" s="1"/>
      <c r="O51" s="1"/>
      <c r="P51" s="1"/>
      <c r="Q51" s="1"/>
      <c r="R51" s="1"/>
      <c r="S51" s="1"/>
      <c r="T51" s="1"/>
      <c r="U51" s="1"/>
      <c r="V51" s="1"/>
      <c r="W51" s="1"/>
      <c r="X51" s="1"/>
      <c r="Y51" s="1"/>
      <c r="Z51" s="1"/>
    </row>
    <row r="52">
      <c r="A52" s="1" t="str">
        <f>IFERROR(__xludf.DUMMYFUNCTION("""COMPUTED_VALUE"""),"Chaotic Shadow Life Orb")</f>
        <v>Chaotic Shadow Life Orb</v>
      </c>
      <c r="B52" s="1"/>
      <c r="C52" s="1"/>
      <c r="D52" s="1" t="str">
        <f>IFERROR(__xludf.DUMMYFUNCTION("""COMPUTED_VALUE"""),"Hand")</f>
        <v>Hand</v>
      </c>
      <c r="E52" s="1">
        <f>IFERROR(__xludf.DUMMYFUNCTION("""COMPUTED_VALUE"""),1.0)</f>
        <v>1</v>
      </c>
      <c r="F52" s="1" t="str">
        <f>IFERROR(__xludf.DUMMYFUNCTION("""COMPUTED_VALUE""")," ++Last Chance - Protected from death once per battle, can only use the effect of ""Last Chance"" once per battle.  +-Can only have one equipped. +- Cannot be duplicated.")</f>
        <v> ++Last Chance - Protected from death once per battle, can only use the effect of "Last Chance" once per battle.  +-Can only have one equipped. +- Cannot be duplicated.</v>
      </c>
      <c r="G52" s="1">
        <f>IFERROR(__xludf.DUMMYFUNCTION("""COMPUTED_VALUE"""),0.0)</f>
        <v>0</v>
      </c>
      <c r="H52" s="1"/>
      <c r="I52" s="1"/>
      <c r="J52" s="1"/>
      <c r="K52" s="1"/>
      <c r="L52" s="1"/>
      <c r="M52" s="1"/>
      <c r="N52" s="1"/>
      <c r="O52" s="1"/>
      <c r="P52" s="1"/>
      <c r="Q52" s="1"/>
      <c r="R52" s="1"/>
      <c r="S52" s="1"/>
      <c r="T52" s="1"/>
      <c r="U52" s="1"/>
      <c r="V52" s="1"/>
      <c r="W52" s="1"/>
      <c r="X52" s="1"/>
      <c r="Y52" s="1"/>
      <c r="Z52" s="1"/>
    </row>
    <row r="53">
      <c r="A53" s="1" t="str">
        <f>IFERROR(__xludf.DUMMYFUNCTION("""COMPUTED_VALUE"""),"Charm of Awaken")</f>
        <v>Charm of Awaken</v>
      </c>
      <c r="B53" s="1"/>
      <c r="C53" s="1"/>
      <c r="D53" s="1" t="str">
        <f>IFERROR(__xludf.DUMMYFUNCTION("""COMPUTED_VALUE"""),"Neck")</f>
        <v>Neck</v>
      </c>
      <c r="E53" s="1">
        <f>IFERROR(__xludf.DUMMYFUNCTION("""COMPUTED_VALUE"""),1.0)</f>
        <v>1</v>
      </c>
      <c r="F53" s="1" t="str">
        <f>IFERROR(__xludf.DUMMYFUNCTION("""COMPUTED_VALUE""")," ++Immunity to sleep.")</f>
        <v> ++Immunity to sleep.</v>
      </c>
      <c r="G53" s="1">
        <f>IFERROR(__xludf.DUMMYFUNCTION("""COMPUTED_VALUE"""),0.0)</f>
        <v>0</v>
      </c>
      <c r="H53" s="1"/>
      <c r="I53" s="1"/>
      <c r="J53" s="1"/>
      <c r="K53" s="1"/>
      <c r="L53" s="1"/>
      <c r="M53" s="1"/>
      <c r="N53" s="1"/>
      <c r="O53" s="1"/>
      <c r="P53" s="1"/>
      <c r="Q53" s="1"/>
      <c r="R53" s="1"/>
      <c r="S53" s="1"/>
      <c r="T53" s="1"/>
      <c r="U53" s="1"/>
      <c r="V53" s="1"/>
      <c r="W53" s="1"/>
      <c r="X53" s="1"/>
      <c r="Y53" s="1"/>
      <c r="Z53" s="1"/>
    </row>
    <row r="54">
      <c r="A54" s="1" t="str">
        <f>IFERROR(__xludf.DUMMYFUNCTION("""COMPUTED_VALUE"""),"Chestplate of Foul Night")</f>
        <v>Chestplate of Foul Night</v>
      </c>
      <c r="B54" s="1"/>
      <c r="C54" s="1"/>
      <c r="D54" s="1" t="str">
        <f>IFERROR(__xludf.DUMMYFUNCTION("""COMPUTED_VALUE"""),"Torso")</f>
        <v>Torso</v>
      </c>
      <c r="E54" s="1">
        <f>IFERROR(__xludf.DUMMYFUNCTION("""COMPUTED_VALUE"""),200.0)</f>
        <v>200</v>
      </c>
      <c r="F54" s="1" t="str">
        <f>IFERROR(__xludf.DUMMYFUNCTION("""COMPUTED_VALUE"""),"DEF: +5000, Nature DEF: +5000 (Foul Night Set) ++X2 Nature and Poison damage, ++Poison Immunity.")</f>
        <v>DEF: +5000, Nature DEF: +5000 (Foul Night Set) ++X2 Nature and Poison damage, ++Poison Immunity.</v>
      </c>
      <c r="G54" s="1">
        <f>IFERROR(__xludf.DUMMYFUNCTION("""COMPUTED_VALUE"""),1900000.0)</f>
        <v>1900000</v>
      </c>
      <c r="H54" s="1"/>
      <c r="I54" s="1"/>
      <c r="J54" s="1"/>
      <c r="K54" s="1"/>
      <c r="L54" s="1"/>
      <c r="M54" s="1"/>
      <c r="N54" s="1"/>
      <c r="O54" s="1"/>
      <c r="P54" s="1"/>
      <c r="Q54" s="1"/>
      <c r="R54" s="1"/>
      <c r="S54" s="1"/>
      <c r="T54" s="1"/>
      <c r="U54" s="1"/>
      <c r="V54" s="1"/>
      <c r="W54" s="1"/>
      <c r="X54" s="1"/>
      <c r="Y54" s="1"/>
      <c r="Z54" s="1"/>
    </row>
    <row r="55">
      <c r="A55" s="1" t="str">
        <f>IFERROR(__xludf.DUMMYFUNCTION("""COMPUTED_VALUE"""),"Chestplate of Waking Waters")</f>
        <v>Chestplate of Waking Waters</v>
      </c>
      <c r="B55" s="1"/>
      <c r="C55" s="1"/>
      <c r="D55" s="1" t="str">
        <f>IFERROR(__xludf.DUMMYFUNCTION("""COMPUTED_VALUE"""),"Torso")</f>
        <v>Torso</v>
      </c>
      <c r="E55" s="1">
        <f>IFERROR(__xludf.DUMMYFUNCTION("""COMPUTED_VALUE"""),400.0)</f>
        <v>400</v>
      </c>
      <c r="F55" s="1" t="str">
        <f>IFERROR(__xludf.DUMMYFUNCTION("""COMPUTED_VALUE"""),"DEF: +10000, Water DEF: +10000 ++X4 additional water damage for self.")</f>
        <v>DEF: +10000, Water DEF: +10000 ++X4 additional water damage for self.</v>
      </c>
      <c r="G55" s="1">
        <f>IFERROR(__xludf.DUMMYFUNCTION("""COMPUTED_VALUE"""),7800000.0)</f>
        <v>7800000</v>
      </c>
      <c r="H55" s="1"/>
      <c r="I55" s="1"/>
      <c r="J55" s="1"/>
      <c r="K55" s="1"/>
      <c r="L55" s="1"/>
      <c r="M55" s="1"/>
      <c r="N55" s="1"/>
      <c r="O55" s="1"/>
      <c r="P55" s="1"/>
      <c r="Q55" s="1"/>
      <c r="R55" s="1"/>
      <c r="S55" s="1"/>
      <c r="T55" s="1"/>
      <c r="U55" s="1"/>
      <c r="V55" s="1"/>
      <c r="W55" s="1"/>
      <c r="X55" s="1"/>
      <c r="Y55" s="1"/>
      <c r="Z55" s="1"/>
    </row>
    <row r="56">
      <c r="A56" s="1" t="str">
        <f>IFERROR(__xludf.DUMMYFUNCTION("""COMPUTED_VALUE"""),"Cloth Cap")</f>
        <v>Cloth Cap</v>
      </c>
      <c r="B56" s="1"/>
      <c r="C56" s="1"/>
      <c r="D56" s="1" t="str">
        <f>IFERROR(__xludf.DUMMYFUNCTION("""COMPUTED_VALUE"""),"Head")</f>
        <v>Head</v>
      </c>
      <c r="E56" s="1">
        <f>IFERROR(__xludf.DUMMYFUNCTION("""COMPUTED_VALUE"""),50.0)</f>
        <v>50</v>
      </c>
      <c r="F56" s="1" t="str">
        <f>IFERROR(__xludf.DUMMYFUNCTION("""COMPUTED_VALUE"""),"DEF: +2500")</f>
        <v>DEF: +2500</v>
      </c>
      <c r="G56" s="1">
        <f>IFERROR(__xludf.DUMMYFUNCTION("""COMPUTED_VALUE"""),100000.0)</f>
        <v>100000</v>
      </c>
      <c r="H56" s="1"/>
      <c r="I56" s="1"/>
      <c r="J56" s="1"/>
      <c r="K56" s="1"/>
      <c r="L56" s="1"/>
      <c r="M56" s="1"/>
      <c r="N56" s="1"/>
      <c r="O56" s="1"/>
      <c r="P56" s="1"/>
      <c r="Q56" s="1"/>
      <c r="R56" s="1"/>
      <c r="S56" s="1"/>
      <c r="T56" s="1"/>
      <c r="U56" s="1"/>
      <c r="V56" s="1"/>
      <c r="W56" s="1"/>
      <c r="X56" s="1"/>
      <c r="Y56" s="1"/>
      <c r="Z56" s="1"/>
    </row>
    <row r="57">
      <c r="A57" s="1" t="str">
        <f>IFERROR(__xludf.DUMMYFUNCTION("""COMPUTED_VALUE"""),"Colossus Bone Sword")</f>
        <v>Colossus Bone Sword</v>
      </c>
      <c r="B57" s="1" t="str">
        <f>IFERROR(__xludf.DUMMYFUNCTION("""COMPUTED_VALUE"""),"Mob Exclusive")</f>
        <v>Mob Exclusive</v>
      </c>
      <c r="C57" s="1" t="str">
        <f>IFERROR(__xludf.DUMMYFUNCTION("""COMPUTED_VALUE"""),"Sword")</f>
        <v>Sword</v>
      </c>
      <c r="D57" s="1" t="str">
        <f>IFERROR(__xludf.DUMMYFUNCTION("""COMPUTED_VALUE"""),"Hand")</f>
        <v>Hand</v>
      </c>
      <c r="E57" s="1">
        <f>IFERROR(__xludf.DUMMYFUNCTION("""COMPUTED_VALUE"""),1500.0)</f>
        <v>1500</v>
      </c>
      <c r="F57" s="1" t="str">
        <f>IFERROR(__xludf.DUMMYFUNCTION("""COMPUTED_VALUE"""),"DMG: +25000, Earth DMG: +25000, Dark DMG: +25000 ++X2 additional damage for the user.")</f>
        <v>DMG: +25000, Earth DMG: +25000, Dark DMG: +25000 ++X2 additional damage for the user.</v>
      </c>
      <c r="G57" s="1">
        <f>IFERROR(__xludf.DUMMYFUNCTION("""COMPUTED_VALUE"""),1.1175E8)</f>
        <v>111750000</v>
      </c>
      <c r="H57" s="1"/>
      <c r="I57" s="1"/>
      <c r="J57" s="1"/>
      <c r="K57" s="1"/>
      <c r="L57" s="1"/>
      <c r="M57" s="1"/>
      <c r="N57" s="1"/>
      <c r="O57" s="1"/>
      <c r="P57" s="1"/>
      <c r="Q57" s="1"/>
      <c r="R57" s="1"/>
      <c r="S57" s="1"/>
      <c r="T57" s="1"/>
      <c r="U57" s="1"/>
      <c r="V57" s="1"/>
      <c r="W57" s="1"/>
      <c r="X57" s="1"/>
      <c r="Y57" s="1"/>
      <c r="Z57" s="1"/>
    </row>
    <row r="58">
      <c r="A58" s="1" t="str">
        <f>IFERROR(__xludf.DUMMYFUNCTION("""COMPUTED_VALUE"""),"Coral Hat")</f>
        <v>Coral Hat</v>
      </c>
      <c r="B58" s="1"/>
      <c r="C58" s="1"/>
      <c r="D58" s="1" t="str">
        <f>IFERROR(__xludf.DUMMYFUNCTION("""COMPUTED_VALUE"""),"Head")</f>
        <v>Head</v>
      </c>
      <c r="E58" s="1">
        <f>IFERROR(__xludf.DUMMYFUNCTION("""COMPUTED_VALUE"""),20.0)</f>
        <v>20</v>
      </c>
      <c r="F58" s="1" t="str">
        <f>IFERROR(__xludf.DUMMYFUNCTION("""COMPUTED_VALUE"""),"DEF: +800 ++Immunity to water damage.")</f>
        <v>DEF: +800 ++Immunity to water damage.</v>
      </c>
      <c r="G58" s="1">
        <f>IFERROR(__xludf.DUMMYFUNCTION("""COMPUTED_VALUE"""),1000.0)</f>
        <v>1000</v>
      </c>
      <c r="H58" s="1"/>
      <c r="I58" s="1"/>
      <c r="J58" s="1"/>
      <c r="K58" s="1"/>
      <c r="L58" s="1"/>
      <c r="M58" s="1"/>
      <c r="N58" s="1"/>
      <c r="O58" s="1"/>
      <c r="P58" s="1"/>
      <c r="Q58" s="1"/>
      <c r="R58" s="1"/>
      <c r="S58" s="1"/>
      <c r="T58" s="1"/>
      <c r="U58" s="1"/>
      <c r="V58" s="1"/>
      <c r="W58" s="1"/>
      <c r="X58" s="1"/>
      <c r="Y58" s="1"/>
      <c r="Z58" s="1"/>
    </row>
    <row r="59">
      <c r="A59" s="1" t="str">
        <f>IFERROR(__xludf.DUMMYFUNCTION("""COMPUTED_VALUE"""),"Critical Vanish Armor")</f>
        <v>Critical Vanish Armor</v>
      </c>
      <c r="B59" s="1"/>
      <c r="C59" s="1"/>
      <c r="D59" s="1" t="str">
        <f>IFERROR(__xludf.DUMMYFUNCTION("""COMPUTED_VALUE"""),"Torso")</f>
        <v>Torso</v>
      </c>
      <c r="E59" s="1">
        <f>IFERROR(__xludf.DUMMYFUNCTION("""COMPUTED_VALUE"""),10.0)</f>
        <v>10</v>
      </c>
      <c r="F59" s="1" t="str">
        <f>IFERROR(__xludf.DUMMYFUNCTION("""COMPUTED_VALUE"""),"DEF: +500 ++will negate a critical hit to the wearer")</f>
        <v>DEF: +500 ++will negate a critical hit to the wearer</v>
      </c>
      <c r="G59" s="1">
        <f>IFERROR(__xludf.DUMMYFUNCTION("""COMPUTED_VALUE"""),1000.0)</f>
        <v>1000</v>
      </c>
      <c r="H59" s="1"/>
      <c r="I59" s="1"/>
      <c r="J59" s="1"/>
      <c r="K59" s="1"/>
      <c r="L59" s="1"/>
      <c r="M59" s="1"/>
      <c r="N59" s="1"/>
      <c r="O59" s="1"/>
      <c r="P59" s="1"/>
      <c r="Q59" s="1"/>
      <c r="R59" s="1"/>
      <c r="S59" s="1"/>
      <c r="T59" s="1"/>
      <c r="U59" s="1"/>
      <c r="V59" s="1"/>
      <c r="W59" s="1"/>
      <c r="X59" s="1"/>
      <c r="Y59" s="1"/>
      <c r="Z59" s="1"/>
    </row>
    <row r="60">
      <c r="A60" s="1" t="str">
        <f>IFERROR(__xludf.DUMMYFUNCTION("""COMPUTED_VALUE"""),"Crow Staff")</f>
        <v>Crow Staff</v>
      </c>
      <c r="B60" s="1"/>
      <c r="C60" s="1" t="str">
        <f>IFERROR(__xludf.DUMMYFUNCTION("""COMPUTED_VALUE"""),"Staff")</f>
        <v>Staff</v>
      </c>
      <c r="D60" s="1" t="str">
        <f>IFERROR(__xludf.DUMMYFUNCTION("""COMPUTED_VALUE"""),"Hand")</f>
        <v>Hand</v>
      </c>
      <c r="E60" s="1">
        <f>IFERROR(__xludf.DUMMYFUNCTION("""COMPUTED_VALUE"""),400.0)</f>
        <v>400</v>
      </c>
      <c r="F60" s="1" t="str">
        <f>IFERROR(__xludf.DUMMYFUNCTION("""COMPUTED_VALUE"""),"DMG: +10000, Dark DMG: +10000 ++Swarm: inflicts 10000 bleed to all enemies. +- 300SP")</f>
        <v>DMG: +10000, Dark DMG: +10000 ++Swarm: inflicts 10000 bleed to all enemies. +- 300SP</v>
      </c>
      <c r="G60" s="1">
        <f>IFERROR(__xludf.DUMMYFUNCTION("""COMPUTED_VALUE"""),7800000.0)</f>
        <v>7800000</v>
      </c>
      <c r="H60" s="1"/>
      <c r="I60" s="1"/>
      <c r="J60" s="1"/>
      <c r="K60" s="1"/>
      <c r="L60" s="1"/>
      <c r="M60" s="1"/>
      <c r="N60" s="1"/>
      <c r="O60" s="1"/>
      <c r="P60" s="1"/>
      <c r="Q60" s="1"/>
      <c r="R60" s="1"/>
      <c r="S60" s="1"/>
      <c r="T60" s="1"/>
      <c r="U60" s="1"/>
      <c r="V60" s="1"/>
      <c r="W60" s="1"/>
      <c r="X60" s="1"/>
      <c r="Y60" s="1"/>
      <c r="Z60" s="1"/>
    </row>
    <row r="61">
      <c r="A61" s="1" t="str">
        <f>IFERROR(__xludf.DUMMYFUNCTION("""COMPUTED_VALUE"""),"Crown of Control")</f>
        <v>Crown of Control</v>
      </c>
      <c r="B61" s="1"/>
      <c r="C61" s="1"/>
      <c r="D61" s="1" t="str">
        <f>IFERROR(__xludf.DUMMYFUNCTION("""COMPUTED_VALUE"""),"Head")</f>
        <v>Head</v>
      </c>
      <c r="E61" s="1">
        <f>IFERROR(__xludf.DUMMYFUNCTION("""COMPUTED_VALUE"""),300.0)</f>
        <v>300</v>
      </c>
      <c r="F61" s="1" t="str">
        <f>IFERROR(__xludf.DUMMYFUNCTION("""COMPUTED_VALUE"""),"DEF: +15000 ++Select one target and choose an action for them during your turn (This counts as a form of possession) Fail/Succeed. +-Cannot be duplicated. ")</f>
        <v>DEF: +15000 ++Select one target and choose an action for them during your turn (This counts as a form of possession) Fail/Succeed. +-Cannot be duplicated. </v>
      </c>
      <c r="G61" s="1">
        <f>IFERROR(__xludf.DUMMYFUNCTION("""COMPUTED_VALUE"""),4350000.0)</f>
        <v>4350000</v>
      </c>
      <c r="H61" s="1"/>
      <c r="I61" s="1"/>
      <c r="J61" s="1"/>
      <c r="K61" s="1"/>
      <c r="L61" s="1"/>
      <c r="M61" s="1"/>
      <c r="N61" s="1"/>
      <c r="O61" s="1"/>
      <c r="P61" s="1"/>
      <c r="Q61" s="1"/>
      <c r="R61" s="1"/>
      <c r="S61" s="1"/>
      <c r="T61" s="1"/>
      <c r="U61" s="1"/>
      <c r="V61" s="1"/>
      <c r="W61" s="1"/>
      <c r="X61" s="1"/>
      <c r="Y61" s="1"/>
      <c r="Z61" s="1"/>
    </row>
    <row r="62">
      <c r="A62" s="1" t="str">
        <f>IFERROR(__xludf.DUMMYFUNCTION("""COMPUTED_VALUE"""),"Crown of Ice Spears")</f>
        <v>Crown of Ice Spears</v>
      </c>
      <c r="B62" s="1"/>
      <c r="C62" s="1"/>
      <c r="D62" s="1" t="str">
        <f>IFERROR(__xludf.DUMMYFUNCTION("""COMPUTED_VALUE"""),"Head")</f>
        <v>Head</v>
      </c>
      <c r="E62" s="1">
        <f>IFERROR(__xludf.DUMMYFUNCTION("""COMPUTED_VALUE"""),200.0)</f>
        <v>200</v>
      </c>
      <c r="F62" s="1" t="str">
        <f>IFERROR(__xludf.DUMMYFUNCTION("""COMPUTED_VALUE"""),"DEF: +10000 (The Frozen Spear Master Set) ++Frost Boost- X2 Storm damage. ++All weapon attacks have a 25% chance to freeze whoever you hit")</f>
        <v>DEF: +10000 (The Frozen Spear Master Set) ++Frost Boost- X2 Storm damage. ++All weapon attacks have a 25% chance to freeze whoever you hit</v>
      </c>
      <c r="G62" s="1">
        <f>IFERROR(__xludf.DUMMYFUNCTION("""COMPUTED_VALUE"""),1900000.0)</f>
        <v>1900000</v>
      </c>
      <c r="H62" s="1"/>
      <c r="I62" s="1"/>
      <c r="J62" s="1"/>
      <c r="K62" s="1"/>
      <c r="L62" s="1"/>
      <c r="M62" s="1"/>
      <c r="N62" s="1"/>
      <c r="O62" s="1"/>
      <c r="P62" s="1"/>
      <c r="Q62" s="1"/>
      <c r="R62" s="1"/>
      <c r="S62" s="1"/>
      <c r="T62" s="1"/>
      <c r="U62" s="1"/>
      <c r="V62" s="1"/>
      <c r="W62" s="1"/>
      <c r="X62" s="1"/>
      <c r="Y62" s="1"/>
      <c r="Z62" s="1"/>
    </row>
    <row r="63">
      <c r="A63" s="1" t="str">
        <f>IFERROR(__xludf.DUMMYFUNCTION("""COMPUTED_VALUE"""),"Crown of the Forgotten")</f>
        <v>Crown of the Forgotten</v>
      </c>
      <c r="B63" s="1"/>
      <c r="C63" s="1"/>
      <c r="D63" s="1" t="str">
        <f>IFERROR(__xludf.DUMMYFUNCTION("""COMPUTED_VALUE"""),"Head")</f>
        <v>Head</v>
      </c>
      <c r="E63" s="1">
        <f>IFERROR(__xludf.DUMMYFUNCTION("""COMPUTED_VALUE"""),20.0)</f>
        <v>20</v>
      </c>
      <c r="F63" s="1" t="str">
        <f>IFERROR(__xludf.DUMMYFUNCTION("""COMPUTED_VALUE"""),"DEF: +1000 ++Immunity to Dark, Chaos, Fire, and Nature damage. ++Only Undead can equip. ++This item effect bypasses the Undead race ability. +-Cannot be duplicated.")</f>
        <v>DEF: +1000 ++Immunity to Dark, Chaos, Fire, and Nature damage. ++Only Undead can equip. ++This item effect bypasses the Undead race ability. +-Cannot be duplicated.</v>
      </c>
      <c r="G63" s="1">
        <f>IFERROR(__xludf.DUMMYFUNCTION("""COMPUTED_VALUE"""),10000.0)</f>
        <v>10000</v>
      </c>
      <c r="H63" s="1"/>
      <c r="I63" s="1"/>
      <c r="J63" s="1"/>
      <c r="K63" s="1"/>
      <c r="L63" s="1"/>
      <c r="M63" s="1"/>
      <c r="N63" s="1"/>
      <c r="O63" s="1"/>
      <c r="P63" s="1"/>
      <c r="Q63" s="1"/>
      <c r="R63" s="1"/>
      <c r="S63" s="1"/>
      <c r="T63" s="1"/>
      <c r="U63" s="1"/>
      <c r="V63" s="1"/>
      <c r="W63" s="1"/>
      <c r="X63" s="1"/>
      <c r="Y63" s="1"/>
      <c r="Z63" s="1"/>
    </row>
    <row r="64">
      <c r="A64" s="1" t="str">
        <f>IFERROR(__xludf.DUMMYFUNCTION("""COMPUTED_VALUE"""),"Crown Of The Sea Serpent")</f>
        <v>Crown Of The Sea Serpent</v>
      </c>
      <c r="B64" s="1"/>
      <c r="C64" s="1"/>
      <c r="D64" s="1" t="str">
        <f>IFERROR(__xludf.DUMMYFUNCTION("""COMPUTED_VALUE"""),"Head")</f>
        <v>Head</v>
      </c>
      <c r="E64" s="1">
        <f>IFERROR(__xludf.DUMMYFUNCTION("""COMPUTED_VALUE"""),1.0)</f>
        <v>1</v>
      </c>
      <c r="F64" s="1" t="str">
        <f>IFERROR(__xludf.DUMMYFUNCTION("""COMPUTED_VALUE""")," ++X4 additional water damage for the user, ++Water spells cost half sp, +-Cannot be duplicated.")</f>
        <v> ++X4 additional water damage for the user, ++Water spells cost half sp, +-Cannot be duplicated.</v>
      </c>
      <c r="G64" s="1">
        <f>IFERROR(__xludf.DUMMYFUNCTION("""COMPUTED_VALUE"""),0.0)</f>
        <v>0</v>
      </c>
      <c r="H64" s="1"/>
      <c r="I64" s="1"/>
      <c r="J64" s="1"/>
      <c r="K64" s="1"/>
      <c r="L64" s="1"/>
      <c r="M64" s="1"/>
      <c r="N64" s="1"/>
      <c r="O64" s="1"/>
      <c r="P64" s="1"/>
      <c r="Q64" s="1"/>
      <c r="R64" s="1"/>
      <c r="S64" s="1"/>
      <c r="T64" s="1"/>
      <c r="U64" s="1"/>
      <c r="V64" s="1"/>
      <c r="W64" s="1"/>
      <c r="X64" s="1"/>
      <c r="Y64" s="1"/>
      <c r="Z64" s="1"/>
    </row>
    <row r="65">
      <c r="A65" s="1" t="str">
        <f>IFERROR(__xludf.DUMMYFUNCTION("""COMPUTED_VALUE"""),"Crown Of Tritonoch")</f>
        <v>Crown Of Tritonoch</v>
      </c>
      <c r="B65" s="1"/>
      <c r="C65" s="1"/>
      <c r="D65" s="1" t="str">
        <f>IFERROR(__xludf.DUMMYFUNCTION("""COMPUTED_VALUE"""),"Head")</f>
        <v>Head</v>
      </c>
      <c r="E65" s="1">
        <f>IFERROR(__xludf.DUMMYFUNCTION("""COMPUTED_VALUE"""),400.0)</f>
        <v>400</v>
      </c>
      <c r="F65" s="1" t="str">
        <f>IFERROR(__xludf.DUMMYFUNCTION("""COMPUTED_VALUE"""),"DEF: +20000 ++Waves of Entitlement - x5 additional Water damage")</f>
        <v>DEF: +20000 ++Waves of Entitlement - x5 additional Water damage</v>
      </c>
      <c r="G65" s="1">
        <f>IFERROR(__xludf.DUMMYFUNCTION("""COMPUTED_VALUE"""),7800000.0)</f>
        <v>7800000</v>
      </c>
      <c r="H65" s="1"/>
      <c r="I65" s="1"/>
      <c r="J65" s="1"/>
      <c r="K65" s="1"/>
      <c r="L65" s="1"/>
      <c r="M65" s="1"/>
      <c r="N65" s="1"/>
      <c r="O65" s="1"/>
      <c r="P65" s="1"/>
      <c r="Q65" s="1"/>
      <c r="R65" s="1"/>
      <c r="S65" s="1"/>
      <c r="T65" s="1"/>
      <c r="U65" s="1"/>
      <c r="V65" s="1"/>
      <c r="W65" s="1"/>
      <c r="X65" s="1"/>
      <c r="Y65" s="1"/>
      <c r="Z65" s="1"/>
    </row>
    <row r="66">
      <c r="A66" s="1" t="str">
        <f>IFERROR(__xludf.DUMMYFUNCTION("""COMPUTED_VALUE"""),"Cryogenic Claymore")</f>
        <v>Cryogenic Claymore</v>
      </c>
      <c r="B66" s="1" t="str">
        <f>IFERROR(__xludf.DUMMYFUNCTION("""COMPUTED_VALUE"""),"(The Frozen Blade Master Set)")</f>
        <v>(The Frozen Blade Master Set)</v>
      </c>
      <c r="C66" s="1" t="str">
        <f>IFERROR(__xludf.DUMMYFUNCTION("""COMPUTED_VALUE"""),"Sword")</f>
        <v>Sword</v>
      </c>
      <c r="D66" s="1" t="str">
        <f>IFERROR(__xludf.DUMMYFUNCTION("""COMPUTED_VALUE"""),"Hand")</f>
        <v>Hand</v>
      </c>
      <c r="E66" s="1">
        <f>IFERROR(__xludf.DUMMYFUNCTION("""COMPUTED_VALUE"""),400.0)</f>
        <v>400</v>
      </c>
      <c r="F66" s="1" t="str">
        <f>IFERROR(__xludf.DUMMYFUNCTION("""COMPUTED_VALUE"""),"DMG: +10000, Water DMG: +10000 ++10% chance to freeze all enemies.")</f>
        <v>DMG: +10000, Water DMG: +10000 ++10% chance to freeze all enemies.</v>
      </c>
      <c r="G66" s="1">
        <f>IFERROR(__xludf.DUMMYFUNCTION("""COMPUTED_VALUE"""),7800000.0)</f>
        <v>7800000</v>
      </c>
      <c r="H66" s="1"/>
      <c r="I66" s="1"/>
      <c r="J66" s="1"/>
      <c r="K66" s="1"/>
      <c r="L66" s="1"/>
      <c r="M66" s="1"/>
      <c r="N66" s="1"/>
      <c r="O66" s="1"/>
      <c r="P66" s="1"/>
      <c r="Q66" s="1"/>
      <c r="R66" s="1"/>
      <c r="S66" s="1"/>
      <c r="T66" s="1"/>
      <c r="U66" s="1"/>
      <c r="V66" s="1"/>
      <c r="W66" s="1"/>
      <c r="X66" s="1"/>
      <c r="Y66" s="1"/>
      <c r="Z66" s="1"/>
    </row>
    <row r="67">
      <c r="A67" s="1" t="str">
        <f>IFERROR(__xludf.DUMMYFUNCTION("""COMPUTED_VALUE"""),"Crystal Forged Helmet")</f>
        <v>Crystal Forged Helmet</v>
      </c>
      <c r="B67" s="1"/>
      <c r="C67" s="1"/>
      <c r="D67" s="1" t="str">
        <f>IFERROR(__xludf.DUMMYFUNCTION("""COMPUTED_VALUE"""),"Head")</f>
        <v>Head</v>
      </c>
      <c r="E67" s="1">
        <f>IFERROR(__xludf.DUMMYFUNCTION("""COMPUTED_VALUE"""),200.0)</f>
        <v>200</v>
      </c>
      <c r="F67" s="1" t="str">
        <f>IFERROR(__xludf.DUMMYFUNCTION("""COMPUTED_VALUE"""),"DEF: +10000 ++When equipped, Gem and Crystal related weapons deal an additional X2 damage for the user.")</f>
        <v>DEF: +10000 ++When equipped, Gem and Crystal related weapons deal an additional X2 damage for the user.</v>
      </c>
      <c r="G67" s="1">
        <f>IFERROR(__xludf.DUMMYFUNCTION("""COMPUTED_VALUE"""),1900000.0)</f>
        <v>1900000</v>
      </c>
      <c r="H67" s="1"/>
      <c r="I67" s="1"/>
      <c r="J67" s="1"/>
      <c r="K67" s="1"/>
      <c r="L67" s="1"/>
      <c r="M67" s="1"/>
      <c r="N67" s="1"/>
      <c r="O67" s="1"/>
      <c r="P67" s="1"/>
      <c r="Q67" s="1"/>
      <c r="R67" s="1"/>
      <c r="S67" s="1"/>
      <c r="T67" s="1"/>
      <c r="U67" s="1"/>
      <c r="V67" s="1"/>
      <c r="W67" s="1"/>
      <c r="X67" s="1"/>
      <c r="Y67" s="1"/>
      <c r="Z67" s="1"/>
    </row>
    <row r="68">
      <c r="A68" s="1" t="str">
        <f>IFERROR(__xludf.DUMMYFUNCTION("""COMPUTED_VALUE"""),"Crystal Forged Axe")</f>
        <v>Crystal Forged Axe</v>
      </c>
      <c r="B68" s="1"/>
      <c r="C68" s="1"/>
      <c r="D68" s="1" t="str">
        <f>IFERROR(__xludf.DUMMYFUNCTION("""COMPUTED_VALUE"""),"Hand")</f>
        <v>Hand</v>
      </c>
      <c r="E68" s="1">
        <f>IFERROR(__xludf.DUMMYFUNCTION("""COMPUTED_VALUE"""),400.0)</f>
        <v>400</v>
      </c>
      <c r="F68" s="1" t="str">
        <f>IFERROR(__xludf.DUMMYFUNCTION("""COMPUTED_VALUE"""),"DMG: +10000, Earth DMG: +10000 ++When equipped, Gem and Crystal related weapons deal an additional X6 damage for the user.")</f>
        <v>DMG: +10000, Earth DMG: +10000 ++When equipped, Gem and Crystal related weapons deal an additional X6 damage for the user.</v>
      </c>
      <c r="G68" s="1">
        <f>IFERROR(__xludf.DUMMYFUNCTION("""COMPUTED_VALUE"""),7800000.0)</f>
        <v>7800000</v>
      </c>
      <c r="H68" s="1"/>
      <c r="I68" s="1"/>
      <c r="J68" s="1"/>
      <c r="K68" s="1"/>
      <c r="L68" s="1"/>
      <c r="M68" s="1"/>
      <c r="N68" s="1"/>
      <c r="O68" s="1"/>
      <c r="P68" s="1"/>
      <c r="Q68" s="1"/>
      <c r="R68" s="1"/>
      <c r="S68" s="1"/>
      <c r="T68" s="1"/>
      <c r="U68" s="1"/>
      <c r="V68" s="1"/>
      <c r="W68" s="1"/>
      <c r="X68" s="1"/>
      <c r="Y68" s="1"/>
      <c r="Z68" s="1"/>
    </row>
    <row r="69">
      <c r="A69" s="1" t="str">
        <f>IFERROR(__xludf.DUMMYFUNCTION("""COMPUTED_VALUE"""),"Crystal Forged Chestplate")</f>
        <v>Crystal Forged Chestplate</v>
      </c>
      <c r="B69" s="1"/>
      <c r="C69" s="1"/>
      <c r="D69" s="1" t="str">
        <f>IFERROR(__xludf.DUMMYFUNCTION("""COMPUTED_VALUE"""),"Torso")</f>
        <v>Torso</v>
      </c>
      <c r="E69" s="1">
        <f>IFERROR(__xludf.DUMMYFUNCTION("""COMPUTED_VALUE"""),200.0)</f>
        <v>200</v>
      </c>
      <c r="F69"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69" s="1">
        <f>IFERROR(__xludf.DUMMYFUNCTION("""COMPUTED_VALUE"""),1900000.0)</f>
        <v>1900000</v>
      </c>
      <c r="H69" s="1"/>
      <c r="I69" s="1"/>
      <c r="J69" s="1"/>
      <c r="K69" s="1"/>
      <c r="L69" s="1"/>
      <c r="M69" s="1"/>
      <c r="N69" s="1"/>
      <c r="O69" s="1"/>
      <c r="P69" s="1"/>
      <c r="Q69" s="1"/>
      <c r="R69" s="1"/>
      <c r="S69" s="1"/>
      <c r="T69" s="1"/>
      <c r="U69" s="1"/>
      <c r="V69" s="1"/>
      <c r="W69" s="1"/>
      <c r="X69" s="1"/>
      <c r="Y69" s="1"/>
      <c r="Z69" s="1"/>
    </row>
    <row r="70">
      <c r="A70" s="1" t="str">
        <f>IFERROR(__xludf.DUMMYFUNCTION("""COMPUTED_VALUE"""),"Crystal Healing Amulet")</f>
        <v>Crystal Healing Amulet</v>
      </c>
      <c r="B70" s="1"/>
      <c r="C70" s="1"/>
      <c r="D70" s="1" t="str">
        <f>IFERROR(__xludf.DUMMYFUNCTION("""COMPUTED_VALUE"""),"Neck")</f>
        <v>Neck</v>
      </c>
      <c r="E70" s="1">
        <f>IFERROR(__xludf.DUMMYFUNCTION("""COMPUTED_VALUE"""),1.0)</f>
        <v>1</v>
      </c>
      <c r="F70" s="1" t="str">
        <f>IFERROR(__xludf.DUMMYFUNCTION("""COMPUTED_VALUE""")," ++Crystal Aura - Protected from death once per battle, can only use the effect of ""Crystal Aura"" once per battle. +-Can only have one equipped.    +-Cannot be duplicated.")</f>
        <v> ++Crystal Aura - Protected from death once per battle, can only use the effect of "Crystal Aura" once per battle. +-Can only have one equipped.    +-Cannot be duplicated.</v>
      </c>
      <c r="G70" s="1">
        <f>IFERROR(__xludf.DUMMYFUNCTION("""COMPUTED_VALUE"""),0.0)</f>
        <v>0</v>
      </c>
      <c r="H70" s="1"/>
      <c r="I70" s="1"/>
      <c r="J70" s="1"/>
      <c r="K70" s="1"/>
      <c r="L70" s="1"/>
      <c r="M70" s="1"/>
      <c r="N70" s="1"/>
      <c r="O70" s="1"/>
      <c r="P70" s="1"/>
      <c r="Q70" s="1"/>
      <c r="R70" s="1"/>
      <c r="S70" s="1"/>
      <c r="T70" s="1"/>
      <c r="U70" s="1"/>
      <c r="V70" s="1"/>
      <c r="W70" s="1"/>
      <c r="X70" s="1"/>
      <c r="Y70" s="1"/>
      <c r="Z70" s="1"/>
    </row>
    <row r="71">
      <c r="A71" s="1" t="str">
        <f>IFERROR(__xludf.DUMMYFUNCTION("""COMPUTED_VALUE"""),"Crystal Longsword")</f>
        <v>Crystal Longsword</v>
      </c>
      <c r="B71" s="1"/>
      <c r="C71" s="1" t="str">
        <f>IFERROR(__xludf.DUMMYFUNCTION("""COMPUTED_VALUE"""),"Sword")</f>
        <v>Sword</v>
      </c>
      <c r="D71" s="1" t="str">
        <f>IFERROR(__xludf.DUMMYFUNCTION("""COMPUTED_VALUE"""),"Hand")</f>
        <v>Hand</v>
      </c>
      <c r="E71" s="1">
        <f>IFERROR(__xludf.DUMMYFUNCTION("""COMPUTED_VALUE"""),200.0)</f>
        <v>200</v>
      </c>
      <c r="F71" s="1" t="str">
        <f>IFERROR(__xludf.DUMMYFUNCTION("""COMPUTED_VALUE"""),"DMG: +5000, Earth DMG: +5000 ++When equipped, Gem and Crystal related weapons deal an additional X4 damage for the user.")</f>
        <v>DMG: +5000, Earth DMG: +5000 ++When equipped, Gem and Crystal related weapons deal an additional X4 damage for the user.</v>
      </c>
      <c r="G71" s="1">
        <f>IFERROR(__xludf.DUMMYFUNCTION("""COMPUTED_VALUE"""),1900000.0)</f>
        <v>1900000</v>
      </c>
      <c r="H71" s="1"/>
      <c r="I71" s="1"/>
      <c r="J71" s="1"/>
      <c r="K71" s="1"/>
      <c r="L71" s="1"/>
      <c r="M71" s="1"/>
      <c r="N71" s="1"/>
      <c r="O71" s="1"/>
      <c r="P71" s="1"/>
      <c r="Q71" s="1"/>
      <c r="R71" s="1"/>
      <c r="S71" s="1"/>
      <c r="T71" s="1"/>
      <c r="U71" s="1"/>
      <c r="V71" s="1"/>
      <c r="W71" s="1"/>
      <c r="X71" s="1"/>
      <c r="Y71" s="1"/>
      <c r="Z71" s="1"/>
    </row>
    <row r="72">
      <c r="A72" s="1" t="str">
        <f>IFERROR(__xludf.DUMMYFUNCTION("""COMPUTED_VALUE"""),"Crystal Ring")</f>
        <v>Crystal Ring</v>
      </c>
      <c r="B72" s="1"/>
      <c r="C72" s="1"/>
      <c r="D72" s="1" t="str">
        <f>IFERROR(__xludf.DUMMYFUNCTION("""COMPUTED_VALUE"""),"Ring")</f>
        <v>Ring</v>
      </c>
      <c r="E72" s="1">
        <f>IFERROR(__xludf.DUMMYFUNCTION("""COMPUTED_VALUE"""),1.0)</f>
        <v>1</v>
      </c>
      <c r="F72" s="1" t="str">
        <f>IFERROR(__xludf.DUMMYFUNCTION("""COMPUTED_VALUE""")," ++When equipped, Gem and Crystal related weapons deal an additional X2 damage for the user.")</f>
        <v> ++When equipped, Gem and Crystal related weapons deal an additional X2 damage for the user.</v>
      </c>
      <c r="G72" s="1">
        <f>IFERROR(__xludf.DUMMYFUNCTION("""COMPUTED_VALUE"""),0.0)</f>
        <v>0</v>
      </c>
      <c r="H72" s="1"/>
      <c r="I72" s="1"/>
      <c r="J72" s="1"/>
      <c r="K72" s="1"/>
      <c r="L72" s="1"/>
      <c r="M72" s="1"/>
      <c r="N72" s="1"/>
      <c r="O72" s="1"/>
      <c r="P72" s="1"/>
      <c r="Q72" s="1"/>
      <c r="R72" s="1"/>
      <c r="S72" s="1"/>
      <c r="T72" s="1"/>
      <c r="U72" s="1"/>
      <c r="V72" s="1"/>
      <c r="W72" s="1"/>
      <c r="X72" s="1"/>
      <c r="Y72" s="1"/>
      <c r="Z72" s="1"/>
    </row>
    <row r="73">
      <c r="A73" s="1" t="str">
        <f>IFERROR(__xludf.DUMMYFUNCTION("""COMPUTED_VALUE"""),"Crystal Shield")</f>
        <v>Crystal Shield</v>
      </c>
      <c r="B73" s="1"/>
      <c r="C73" s="1" t="str">
        <f>IFERROR(__xludf.DUMMYFUNCTION("""COMPUTED_VALUE"""),"Buckler")</f>
        <v>Buckler</v>
      </c>
      <c r="D73" s="1" t="str">
        <f>IFERROR(__xludf.DUMMYFUNCTION("""COMPUTED_VALUE"""),"Hand")</f>
        <v>Hand</v>
      </c>
      <c r="E73" s="1">
        <f>IFERROR(__xludf.DUMMYFUNCTION("""COMPUTED_VALUE"""),200.0)</f>
        <v>200</v>
      </c>
      <c r="F73" s="1" t="str">
        <f>IFERROR(__xludf.DUMMYFUNCTION("""COMPUTED_VALUE"""),"DEF: +10000 ++Take half damage from Gem and Crystal related weapons.")</f>
        <v>DEF: +10000 ++Take half damage from Gem and Crystal related weapons.</v>
      </c>
      <c r="G73" s="1">
        <f>IFERROR(__xludf.DUMMYFUNCTION("""COMPUTED_VALUE"""),1900000.0)</f>
        <v>1900000</v>
      </c>
      <c r="H73" s="1"/>
      <c r="I73" s="1"/>
      <c r="J73" s="1"/>
      <c r="K73" s="1"/>
      <c r="L73" s="1"/>
      <c r="M73" s="1"/>
      <c r="N73" s="1"/>
      <c r="O73" s="1"/>
      <c r="P73" s="1"/>
      <c r="Q73" s="1"/>
      <c r="R73" s="1"/>
      <c r="S73" s="1"/>
      <c r="T73" s="1"/>
      <c r="U73" s="1"/>
      <c r="V73" s="1"/>
      <c r="W73" s="1"/>
      <c r="X73" s="1"/>
      <c r="Y73" s="1"/>
      <c r="Z73" s="1"/>
    </row>
    <row r="74">
      <c r="A74" s="1" t="str">
        <f>IFERROR(__xludf.DUMMYFUNCTION("""COMPUTED_VALUE"""),"Crystal Staff")</f>
        <v>Crystal Staff</v>
      </c>
      <c r="B74" s="1"/>
      <c r="C74" s="1" t="str">
        <f>IFERROR(__xludf.DUMMYFUNCTION("""COMPUTED_VALUE"""),"Staff")</f>
        <v>Staff</v>
      </c>
      <c r="D74" s="1" t="str">
        <f>IFERROR(__xludf.DUMMYFUNCTION("""COMPUTED_VALUE"""),"Hand")</f>
        <v>Hand</v>
      </c>
      <c r="E74" s="1">
        <f>IFERROR(__xludf.DUMMYFUNCTION("""COMPUTED_VALUE"""),1.0)</f>
        <v>1</v>
      </c>
      <c r="F74" s="1" t="str">
        <f>IFERROR(__xludf.DUMMYFUNCTION("""COMPUTED_VALUE""")," ++Creates a Crystal like barrier around you making it so weapons deal no damage to you for 3 rounds, 500SP. ++1000 Additional HP and SP while equipped.")</f>
        <v> ++Creates a Crystal like barrier around you making it so weapons deal no damage to you for 3 rounds, 500SP. ++1000 Additional HP and SP while equipped.</v>
      </c>
      <c r="G74" s="1">
        <f>IFERROR(__xludf.DUMMYFUNCTION("""COMPUTED_VALUE"""),0.0)</f>
        <v>0</v>
      </c>
      <c r="H74" s="1"/>
      <c r="I74" s="1"/>
      <c r="J74" s="1"/>
      <c r="K74" s="1"/>
      <c r="L74" s="1"/>
      <c r="M74" s="1"/>
      <c r="N74" s="1"/>
      <c r="O74" s="1"/>
      <c r="P74" s="1"/>
      <c r="Q74" s="1"/>
      <c r="R74" s="1"/>
      <c r="S74" s="1"/>
      <c r="T74" s="1"/>
      <c r="U74" s="1"/>
      <c r="V74" s="1"/>
      <c r="W74" s="1"/>
      <c r="X74" s="1"/>
      <c r="Y74" s="1"/>
      <c r="Z74" s="1"/>
    </row>
    <row r="75">
      <c r="A75" s="1" t="str">
        <f>IFERROR(__xludf.DUMMYFUNCTION("""COMPUTED_VALUE"""),"Crystal Sword")</f>
        <v>Crystal Sword</v>
      </c>
      <c r="B75" s="1"/>
      <c r="C75" s="1" t="str">
        <f>IFERROR(__xludf.DUMMYFUNCTION("""COMPUTED_VALUE"""),"Sword")</f>
        <v>Sword</v>
      </c>
      <c r="D75" s="1" t="str">
        <f>IFERROR(__xludf.DUMMYFUNCTION("""COMPUTED_VALUE"""),"Hand")</f>
        <v>Hand</v>
      </c>
      <c r="E75" s="1">
        <f>IFERROR(__xludf.DUMMYFUNCTION("""COMPUTED_VALUE"""),80.0)</f>
        <v>80</v>
      </c>
      <c r="F75" s="1" t="str">
        <f>IFERROR(__xludf.DUMMYFUNCTION("""COMPUTED_VALUE"""),"DMG: +2000, Earth DMG: +2000 ++When equipped, Gem and Crystal related weapons deal an additional X2 damage for the user.")</f>
        <v>DMG: +2000, Earth DMG: +2000 ++When equipped, Gem and Crystal related weapons deal an additional X2 damage for the user.</v>
      </c>
      <c r="G75" s="1">
        <f>IFERROR(__xludf.DUMMYFUNCTION("""COMPUTED_VALUE"""),280000.0)</f>
        <v>280000</v>
      </c>
      <c r="H75" s="1"/>
      <c r="I75" s="1"/>
      <c r="J75" s="1"/>
      <c r="K75" s="1"/>
      <c r="L75" s="1"/>
      <c r="M75" s="1"/>
      <c r="N75" s="1"/>
      <c r="O75" s="1"/>
      <c r="P75" s="1"/>
      <c r="Q75" s="1"/>
      <c r="R75" s="1"/>
      <c r="S75" s="1"/>
      <c r="T75" s="1"/>
      <c r="U75" s="1"/>
      <c r="V75" s="1"/>
      <c r="W75" s="1"/>
      <c r="X75" s="1"/>
      <c r="Y75" s="1"/>
      <c r="Z75" s="1"/>
    </row>
    <row r="76">
      <c r="A76" s="1" t="str">
        <f>IFERROR(__xludf.DUMMYFUNCTION("""COMPUTED_VALUE"""),"Cursed Blade")</f>
        <v>Cursed Blade</v>
      </c>
      <c r="B76" s="1"/>
      <c r="C76" s="1" t="str">
        <f>IFERROR(__xludf.DUMMYFUNCTION("""COMPUTED_VALUE"""),"Sword")</f>
        <v>Sword</v>
      </c>
      <c r="D76" s="1" t="str">
        <f>IFERROR(__xludf.DUMMYFUNCTION("""COMPUTED_VALUE"""),"Hand")</f>
        <v>Hand</v>
      </c>
      <c r="E76" s="1">
        <f>IFERROR(__xludf.DUMMYFUNCTION("""COMPUTED_VALUE"""),620.0)</f>
        <v>620</v>
      </c>
      <c r="F76" s="1" t="str">
        <f>IFERROR(__xludf.DUMMYFUNCTION("""COMPUTED_VALUE"""),"DMG: +30000, Dark DMG: +1000 +- -5 evasion and mobility while equipped.")</f>
        <v>DMG: +30000, Dark DMG: +1000 +- -5 evasion and mobility while equipped.</v>
      </c>
      <c r="G76" s="1">
        <f>IFERROR(__xludf.DUMMYFUNCTION("""COMPUTED_VALUE"""),1.891E7)</f>
        <v>18910000</v>
      </c>
      <c r="H76" s="1"/>
      <c r="I76" s="1"/>
      <c r="J76" s="1"/>
      <c r="K76" s="1"/>
      <c r="L76" s="1"/>
      <c r="M76" s="1"/>
      <c r="N76" s="1"/>
      <c r="O76" s="1"/>
      <c r="P76" s="1"/>
      <c r="Q76" s="1"/>
      <c r="R76" s="1"/>
      <c r="S76" s="1"/>
      <c r="T76" s="1"/>
      <c r="U76" s="1"/>
      <c r="V76" s="1"/>
      <c r="W76" s="1"/>
      <c r="X76" s="1"/>
      <c r="Y76" s="1"/>
      <c r="Z76" s="1"/>
    </row>
    <row r="77">
      <c r="A77" s="1" t="str">
        <f>IFERROR(__xludf.DUMMYFUNCTION("""COMPUTED_VALUE"""),"Cursed Blade of The Void Realm")</f>
        <v>Cursed Blade of The Void Realm</v>
      </c>
      <c r="B77" s="1"/>
      <c r="C77" s="1" t="str">
        <f>IFERROR(__xludf.DUMMYFUNCTION("""COMPUTED_VALUE"""),"Sword")</f>
        <v>Sword</v>
      </c>
      <c r="D77" s="1" t="str">
        <f>IFERROR(__xludf.DUMMYFUNCTION("""COMPUTED_VALUE"""),"Hand")</f>
        <v>Hand</v>
      </c>
      <c r="E77" s="1">
        <f>IFERROR(__xludf.DUMMYFUNCTION("""COMPUTED_VALUE"""),1.0)</f>
        <v>1</v>
      </c>
      <c r="F77" s="1" t="str">
        <f>IFERROR(__xludf.DUMMYFUNCTION("""COMPUTED_VALUE""")," +-When equipped this item cannot be unequipped for 3 rounds, +-Depletes 1000 SP per round.")</f>
        <v> +-When equipped this item cannot be unequipped for 3 rounds, +-Depletes 1000 SP per round.</v>
      </c>
      <c r="G77" s="1">
        <f>IFERROR(__xludf.DUMMYFUNCTION("""COMPUTED_VALUE"""),0.0)</f>
        <v>0</v>
      </c>
      <c r="H77" s="1"/>
      <c r="I77" s="1"/>
      <c r="J77" s="1"/>
      <c r="K77" s="1"/>
      <c r="L77" s="1"/>
      <c r="M77" s="1"/>
      <c r="N77" s="1"/>
      <c r="O77" s="1"/>
      <c r="P77" s="1"/>
      <c r="Q77" s="1"/>
      <c r="R77" s="1"/>
      <c r="S77" s="1"/>
      <c r="T77" s="1"/>
      <c r="U77" s="1"/>
      <c r="V77" s="1"/>
      <c r="W77" s="1"/>
      <c r="X77" s="1"/>
      <c r="Y77" s="1"/>
      <c r="Z77" s="1"/>
    </row>
    <row r="78">
      <c r="A78" s="1" t="str">
        <f>IFERROR(__xludf.DUMMYFUNCTION("""COMPUTED_VALUE"""),"Dagger")</f>
        <v>Dagger</v>
      </c>
      <c r="B78" s="1" t="str">
        <f>IFERROR(__xludf.DUMMYFUNCTION("""COMPUTED_VALUE"""),"The first weapon ")</f>
        <v>The first weapon </v>
      </c>
      <c r="C78" s="1" t="str">
        <f>IFERROR(__xludf.DUMMYFUNCTION("""COMPUTED_VALUE"""),"Knife")</f>
        <v>Knife</v>
      </c>
      <c r="D78" s="1" t="str">
        <f>IFERROR(__xludf.DUMMYFUNCTION("""COMPUTED_VALUE"""),"Hand")</f>
        <v>Hand</v>
      </c>
      <c r="E78" s="1">
        <f>IFERROR(__xludf.DUMMYFUNCTION("""COMPUTED_VALUE"""),20.0)</f>
        <v>20</v>
      </c>
      <c r="F78" s="1" t="str">
        <f>IFERROR(__xludf.DUMMYFUNCTION("""COMPUTED_VALUE"""),"DMG: +1000")</f>
        <v>DMG: +1000</v>
      </c>
      <c r="G78" s="1">
        <f>IFERROR(__xludf.DUMMYFUNCTION("""COMPUTED_VALUE"""),10000.0)</f>
        <v>10000</v>
      </c>
      <c r="H78" s="1"/>
      <c r="I78" s="1"/>
      <c r="J78" s="1"/>
      <c r="K78" s="1"/>
      <c r="L78" s="1"/>
      <c r="M78" s="1"/>
      <c r="N78" s="1"/>
      <c r="O78" s="1"/>
      <c r="P78" s="1"/>
      <c r="Q78" s="1"/>
      <c r="R78" s="1"/>
      <c r="S78" s="1"/>
      <c r="T78" s="1"/>
      <c r="U78" s="1"/>
      <c r="V78" s="1"/>
      <c r="W78" s="1"/>
      <c r="X78" s="1"/>
      <c r="Y78" s="1"/>
      <c r="Z78" s="1"/>
    </row>
    <row r="79">
      <c r="A79" s="1" t="str">
        <f>IFERROR(__xludf.DUMMYFUNCTION("""COMPUTED_VALUE"""),"Dagger of Flowers")</f>
        <v>Dagger of Flowers</v>
      </c>
      <c r="B79" s="1" t="str">
        <f>IFERROR(__xludf.DUMMYFUNCTION("""COMPUTED_VALUE"""),"(Event Exclusive)")</f>
        <v>(Event Exclusive)</v>
      </c>
      <c r="C79" s="1" t="str">
        <f>IFERROR(__xludf.DUMMYFUNCTION("""COMPUTED_VALUE"""),"Knife")</f>
        <v>Knife</v>
      </c>
      <c r="D79" s="1" t="str">
        <f>IFERROR(__xludf.DUMMYFUNCTION("""COMPUTED_VALUE"""),"Hand")</f>
        <v>Hand</v>
      </c>
      <c r="E79" s="1">
        <f>IFERROR(__xludf.DUMMYFUNCTION("""COMPUTED_VALUE"""),90.0)</f>
        <v>90</v>
      </c>
      <c r="F79" s="1" t="str">
        <f>IFERROR(__xludf.DUMMYFUNCTION("""COMPUTED_VALUE"""),"DMG: +3000, Nature DMG: +1500")</f>
        <v>DMG: +3000, Nature DMG: +1500</v>
      </c>
      <c r="G79" s="1">
        <f>IFERROR(__xludf.DUMMYFUNCTION("""COMPUTED_VALUE"""),360000.0)</f>
        <v>360000</v>
      </c>
      <c r="H79" s="1"/>
      <c r="I79" s="1"/>
      <c r="J79" s="1"/>
      <c r="K79" s="1"/>
      <c r="L79" s="1"/>
      <c r="M79" s="1"/>
      <c r="N79" s="1"/>
      <c r="O79" s="1"/>
      <c r="P79" s="1"/>
      <c r="Q79" s="1"/>
      <c r="R79" s="1"/>
      <c r="S79" s="1"/>
      <c r="T79" s="1"/>
      <c r="U79" s="1"/>
      <c r="V79" s="1"/>
      <c r="W79" s="1"/>
      <c r="X79" s="1"/>
      <c r="Y79" s="1"/>
      <c r="Z79" s="1"/>
    </row>
    <row r="80">
      <c r="A80" s="1" t="str">
        <f>IFERROR(__xludf.DUMMYFUNCTION("""COMPUTED_VALUE"""),"Dagger of The Cultist")</f>
        <v>Dagger of The Cultist</v>
      </c>
      <c r="B80" s="1"/>
      <c r="C80" s="1" t="str">
        <f>IFERROR(__xludf.DUMMYFUNCTION("""COMPUTED_VALUE"""),"Knife")</f>
        <v>Knife</v>
      </c>
      <c r="D80" s="1" t="str">
        <f>IFERROR(__xludf.DUMMYFUNCTION("""COMPUTED_VALUE"""),"Hand")</f>
        <v>Hand</v>
      </c>
      <c r="E80" s="1">
        <f>IFERROR(__xludf.DUMMYFUNCTION("""COMPUTED_VALUE"""),120.0)</f>
        <v>120</v>
      </c>
      <c r="F80" s="1" t="str">
        <f>IFERROR(__xludf.DUMMYFUNCTION("""COMPUTED_VALUE"""),"DMG: +2000, Dark DMG: +2000, Chaos DMG: +2000 (Cultist Set) ++25% chance of instant death to the target.")</f>
        <v>DMG: +2000, Dark DMG: +2000, Chaos DMG: +2000 (Cultist Set) ++25% chance of instant death to the target.</v>
      </c>
      <c r="G80" s="1">
        <f>IFERROR(__xludf.DUMMYFUNCTION("""COMPUTED_VALUE"""),660000.0)</f>
        <v>660000</v>
      </c>
      <c r="H80" s="1"/>
      <c r="I80" s="1"/>
      <c r="J80" s="1"/>
      <c r="K80" s="1"/>
      <c r="L80" s="1"/>
      <c r="M80" s="1"/>
      <c r="N80" s="1"/>
      <c r="O80" s="1"/>
      <c r="P80" s="1"/>
      <c r="Q80" s="1"/>
      <c r="R80" s="1"/>
      <c r="S80" s="1"/>
      <c r="T80" s="1"/>
      <c r="U80" s="1"/>
      <c r="V80" s="1"/>
      <c r="W80" s="1"/>
      <c r="X80" s="1"/>
      <c r="Y80" s="1"/>
      <c r="Z80" s="1"/>
    </row>
    <row r="81">
      <c r="A81" s="1" t="str">
        <f>IFERROR(__xludf.DUMMYFUNCTION("""COMPUTED_VALUE"""),"Dark Ice Sword")</f>
        <v>Dark Ice Sword</v>
      </c>
      <c r="B81" s="1"/>
      <c r="C81" s="1" t="str">
        <f>IFERROR(__xludf.DUMMYFUNCTION("""COMPUTED_VALUE"""),"Sword")</f>
        <v>Sword</v>
      </c>
      <c r="D81" s="1" t="str">
        <f>IFERROR(__xludf.DUMMYFUNCTION("""COMPUTED_VALUE"""),"Hand")</f>
        <v>Hand</v>
      </c>
      <c r="E81" s="1">
        <f>IFERROR(__xludf.DUMMYFUNCTION("""COMPUTED_VALUE"""),20.0)</f>
        <v>20</v>
      </c>
      <c r="F81" s="1" t="str">
        <f>IFERROR(__xludf.DUMMYFUNCTION("""COMPUTED_VALUE"""),"DMG: +600 ++25% Chance to freeze target.")</f>
        <v>DMG: +600 ++25% Chance to freeze target.</v>
      </c>
      <c r="G81" s="1">
        <f>IFERROR(__xludf.DUMMYFUNCTION("""COMPUTED_VALUE"""),1000.0)</f>
        <v>1000</v>
      </c>
      <c r="H81" s="1"/>
      <c r="I81" s="1"/>
      <c r="J81" s="1"/>
      <c r="K81" s="1"/>
      <c r="L81" s="1"/>
      <c r="M81" s="1"/>
      <c r="N81" s="1"/>
      <c r="O81" s="1"/>
      <c r="P81" s="1"/>
      <c r="Q81" s="1"/>
      <c r="R81" s="1"/>
      <c r="S81" s="1"/>
      <c r="T81" s="1"/>
      <c r="U81" s="1"/>
      <c r="V81" s="1"/>
      <c r="W81" s="1"/>
      <c r="X81" s="1"/>
      <c r="Y81" s="1"/>
      <c r="Z81" s="1"/>
    </row>
    <row r="82">
      <c r="A82" s="1" t="str">
        <f>IFERROR(__xludf.DUMMYFUNCTION("""COMPUTED_VALUE"""),"Dark Knight Helm")</f>
        <v>Dark Knight Helm</v>
      </c>
      <c r="B82" s="1"/>
      <c r="C82" s="1"/>
      <c r="D82" s="1" t="str">
        <f>IFERROR(__xludf.DUMMYFUNCTION("""COMPUTED_VALUE"""),"Head")</f>
        <v>Head</v>
      </c>
      <c r="E82" s="1">
        <f>IFERROR(__xludf.DUMMYFUNCTION("""COMPUTED_VALUE"""),10.0)</f>
        <v>10</v>
      </c>
      <c r="F82" s="1" t="str">
        <f>IFERROR(__xludf.DUMMYFUNCTION("""COMPUTED_VALUE"""),"DEF: +500 ++Immune to dark damage")</f>
        <v>DEF: +500 ++Immune to dark damage</v>
      </c>
      <c r="G82" s="1">
        <f>IFERROR(__xludf.DUMMYFUNCTION("""COMPUTED_VALUE"""),1000.0)</f>
        <v>1000</v>
      </c>
      <c r="H82" s="1"/>
      <c r="I82" s="1"/>
      <c r="J82" s="1"/>
      <c r="K82" s="1"/>
      <c r="L82" s="1"/>
      <c r="M82" s="1"/>
      <c r="N82" s="1"/>
      <c r="O82" s="1"/>
      <c r="P82" s="1"/>
      <c r="Q82" s="1"/>
      <c r="R82" s="1"/>
      <c r="S82" s="1"/>
      <c r="T82" s="1"/>
      <c r="U82" s="1"/>
      <c r="V82" s="1"/>
      <c r="W82" s="1"/>
      <c r="X82" s="1"/>
      <c r="Y82" s="1"/>
      <c r="Z82" s="1"/>
    </row>
    <row r="83">
      <c r="A83" s="1" t="str">
        <f>IFERROR(__xludf.DUMMYFUNCTION("""COMPUTED_VALUE"""),"Dark Wand")</f>
        <v>Dark Wand</v>
      </c>
      <c r="B83" s="1"/>
      <c r="C83" s="1" t="str">
        <f>IFERROR(__xludf.DUMMYFUNCTION("""COMPUTED_VALUE"""),"Wand")</f>
        <v>Wand</v>
      </c>
      <c r="D83" s="1" t="str">
        <f>IFERROR(__xludf.DUMMYFUNCTION("""COMPUTED_VALUE"""),"Hand")</f>
        <v>Hand</v>
      </c>
      <c r="E83" s="1">
        <f>IFERROR(__xludf.DUMMYFUNCTION("""COMPUTED_VALUE"""),1.0)</f>
        <v>1</v>
      </c>
      <c r="F83" s="1" t="str">
        <f>IFERROR(__xludf.DUMMYFUNCTION("""COMPUTED_VALUE""")," ++Half the SP cost of dark spells")</f>
        <v> ++Half the SP cost of dark spells</v>
      </c>
      <c r="G83" s="1">
        <f>IFERROR(__xludf.DUMMYFUNCTION("""COMPUTED_VALUE"""),0.0)</f>
        <v>0</v>
      </c>
      <c r="H83" s="1"/>
      <c r="I83" s="1"/>
      <c r="J83" s="1"/>
      <c r="K83" s="1"/>
      <c r="L83" s="1"/>
      <c r="M83" s="1"/>
      <c r="N83" s="1"/>
      <c r="O83" s="1"/>
      <c r="P83" s="1"/>
      <c r="Q83" s="1"/>
      <c r="R83" s="1"/>
      <c r="S83" s="1"/>
      <c r="T83" s="1"/>
      <c r="U83" s="1"/>
      <c r="V83" s="1"/>
      <c r="W83" s="1"/>
      <c r="X83" s="1"/>
      <c r="Y83" s="1"/>
      <c r="Z83" s="1"/>
    </row>
    <row r="84">
      <c r="A84" s="1" t="str">
        <f>IFERROR(__xludf.DUMMYFUNCTION("""COMPUTED_VALUE"""),"Dead Forest Blade")</f>
        <v>Dead Forest Blade</v>
      </c>
      <c r="B84" s="1"/>
      <c r="C84" s="1" t="str">
        <f>IFERROR(__xludf.DUMMYFUNCTION("""COMPUTED_VALUE"""),"Sword")</f>
        <v>Sword</v>
      </c>
      <c r="D84" s="1" t="str">
        <f>IFERROR(__xludf.DUMMYFUNCTION("""COMPUTED_VALUE"""),"Hand")</f>
        <v>Hand</v>
      </c>
      <c r="E84" s="1">
        <f>IFERROR(__xludf.DUMMYFUNCTION("""COMPUTED_VALUE"""),180.0)</f>
        <v>180</v>
      </c>
      <c r="F84" s="1" t="str">
        <f>IFERROR(__xludf.DUMMYFUNCTION("""COMPUTED_VALUE"""),"DMG: +5000, Dark DMG: +4000 ++Darkness Embodiment - When Equipped Any dark and chaos weapons and dark and chaos spells will deal an additional X2 damage.")</f>
        <v>DMG: +5000, Dark DMG: +4000 ++Darkness Embodiment - When Equipped Any dark and chaos weapons and dark and chaos spells will deal an additional X2 damage.</v>
      </c>
      <c r="G84" s="1">
        <f>IFERROR(__xludf.DUMMYFUNCTION("""COMPUTED_VALUE"""),1530000.0)</f>
        <v>1530000</v>
      </c>
      <c r="H84" s="1"/>
      <c r="I84" s="1"/>
      <c r="J84" s="1"/>
      <c r="K84" s="1"/>
      <c r="L84" s="1"/>
      <c r="M84" s="1"/>
      <c r="N84" s="1"/>
      <c r="O84" s="1"/>
      <c r="P84" s="1"/>
      <c r="Q84" s="1"/>
      <c r="R84" s="1"/>
      <c r="S84" s="1"/>
      <c r="T84" s="1"/>
      <c r="U84" s="1"/>
      <c r="V84" s="1"/>
      <c r="W84" s="1"/>
      <c r="X84" s="1"/>
      <c r="Y84" s="1"/>
      <c r="Z84" s="1"/>
    </row>
    <row r="85">
      <c r="A85" s="1" t="str">
        <f>IFERROR(__xludf.DUMMYFUNCTION("""COMPUTED_VALUE"""),"Dead Forest Branch")</f>
        <v>Dead Forest Branch</v>
      </c>
      <c r="B85" s="1"/>
      <c r="C85" s="1" t="str">
        <f>IFERROR(__xludf.DUMMYFUNCTION("""COMPUTED_VALUE"""),"Club")</f>
        <v>Club</v>
      </c>
      <c r="D85" s="1" t="str">
        <f>IFERROR(__xludf.DUMMYFUNCTION("""COMPUTED_VALUE"""),"Hand")</f>
        <v>Hand</v>
      </c>
      <c r="E85" s="1">
        <f>IFERROR(__xludf.DUMMYFUNCTION("""COMPUTED_VALUE"""),200.0)</f>
        <v>200</v>
      </c>
      <c r="F85" s="1" t="str">
        <f>IFERROR(__xludf.DUMMYFUNCTION("""COMPUTED_VALUE"""),", Celestial DMG: +10000000 ++This Branch will deal 10,000,000 celestial damage but it has a 95% chance to break")</f>
        <v>, Celestial DMG: +10000000 ++This Branch will deal 10,000,000 celestial damage but it has a 95% chance to break</v>
      </c>
      <c r="G85" s="1">
        <f>IFERROR(__xludf.DUMMYFUNCTION("""COMPUTED_VALUE"""),2.8788E10)</f>
        <v>28788000000</v>
      </c>
      <c r="H85" s="1"/>
      <c r="I85" s="1"/>
      <c r="J85" s="1"/>
      <c r="K85" s="1"/>
      <c r="L85" s="1"/>
      <c r="M85" s="1"/>
      <c r="N85" s="1"/>
      <c r="O85" s="1"/>
      <c r="P85" s="1"/>
      <c r="Q85" s="1"/>
      <c r="R85" s="1"/>
      <c r="S85" s="1"/>
      <c r="T85" s="1"/>
      <c r="U85" s="1"/>
      <c r="V85" s="1"/>
      <c r="W85" s="1"/>
      <c r="X85" s="1"/>
      <c r="Y85" s="1"/>
      <c r="Z85" s="1"/>
    </row>
    <row r="86">
      <c r="A86" s="1" t="str">
        <f>IFERROR(__xludf.DUMMYFUNCTION("""COMPUTED_VALUE"""),"Death's Scythe")</f>
        <v>Death's Scythe</v>
      </c>
      <c r="B86" s="1"/>
      <c r="C86" s="1" t="str">
        <f>IFERROR(__xludf.DUMMYFUNCTION("""COMPUTED_VALUE"""),"Scythe")</f>
        <v>Scythe</v>
      </c>
      <c r="D86" s="1" t="str">
        <f>IFERROR(__xludf.DUMMYFUNCTION("""COMPUTED_VALUE"""),"Hand")</f>
        <v>Hand</v>
      </c>
      <c r="E86" s="1">
        <f>IFERROR(__xludf.DUMMYFUNCTION("""COMPUTED_VALUE"""),600.0)</f>
        <v>600</v>
      </c>
      <c r="F86" s="1" t="str">
        <f>IFERROR(__xludf.DUMMYFUNCTION("""COMPUTED_VALUE"""),"DMG: +10000, Dark DMG: +10000, Chaos DMG: +10000 ++ +2 Intimidation, ++ +2 Wisdom when rolling a wisdom check for traps. +-Cannot be duplicated, +-Can only equip one.")</f>
        <v>DMG: +10000, Dark DMG: +10000, Chaos DMG: +10000 ++ +2 Intimidation, ++ +2 Wisdom when rolling a wisdom check for traps. +-Cannot be duplicated, +-Can only equip one.</v>
      </c>
      <c r="G86" s="1">
        <f>IFERROR(__xludf.DUMMYFUNCTION("""COMPUTED_VALUE"""),1.77E7)</f>
        <v>17700000</v>
      </c>
      <c r="H86" s="1"/>
      <c r="I86" s="1"/>
      <c r="J86" s="1"/>
      <c r="K86" s="1"/>
      <c r="L86" s="1"/>
      <c r="M86" s="1"/>
      <c r="N86" s="1"/>
      <c r="O86" s="1"/>
      <c r="P86" s="1"/>
      <c r="Q86" s="1"/>
      <c r="R86" s="1"/>
      <c r="S86" s="1"/>
      <c r="T86" s="1"/>
      <c r="U86" s="1"/>
      <c r="V86" s="1"/>
      <c r="W86" s="1"/>
      <c r="X86" s="1"/>
      <c r="Y86" s="1"/>
      <c r="Z86" s="1"/>
    </row>
    <row r="87">
      <c r="A87" s="1" t="str">
        <f>IFERROR(__xludf.DUMMYFUNCTION("""COMPUTED_VALUE"""),"Demonic Scythe of Chaos ")</f>
        <v>Demonic Scythe of Chaos </v>
      </c>
      <c r="B87" s="1"/>
      <c r="C87" s="1" t="str">
        <f>IFERROR(__xludf.DUMMYFUNCTION("""COMPUTED_VALUE"""),"Scythe")</f>
        <v>Scythe</v>
      </c>
      <c r="D87" s="1" t="str">
        <f>IFERROR(__xludf.DUMMYFUNCTION("""COMPUTED_VALUE"""),"Hand")</f>
        <v>Hand</v>
      </c>
      <c r="E87" s="1">
        <f>IFERROR(__xludf.DUMMYFUNCTION("""COMPUTED_VALUE"""),3000.0)</f>
        <v>3000</v>
      </c>
      <c r="F87" s="1" t="str">
        <f>IFERROR(__xludf.DUMMYFUNCTION("""COMPUTED_VALUE"""),"DMG: +50000, Fire DMG: +50000, Chaos DMG: +50000 ++X2  Additional Fire and Chaos damage. +-Cannot be duplicated.")</f>
        <v>DMG: +50000, Fire DMG: +50000, Chaos DMG: +50000 ++X2  Additional Fire and Chaos damage. +-Cannot be duplicated.</v>
      </c>
      <c r="G87" s="1">
        <f>IFERROR(__xludf.DUMMYFUNCTION("""COMPUTED_VALUE"""),4.485E8)</f>
        <v>448500000</v>
      </c>
      <c r="H87" s="1"/>
      <c r="I87" s="1"/>
      <c r="J87" s="1"/>
      <c r="K87" s="1"/>
      <c r="L87" s="1"/>
      <c r="M87" s="1"/>
      <c r="N87" s="1"/>
      <c r="O87" s="1"/>
      <c r="P87" s="1"/>
      <c r="Q87" s="1"/>
      <c r="R87" s="1"/>
      <c r="S87" s="1"/>
      <c r="T87" s="1"/>
      <c r="U87" s="1"/>
      <c r="V87" s="1"/>
      <c r="W87" s="1"/>
      <c r="X87" s="1"/>
      <c r="Y87" s="1"/>
      <c r="Z87" s="1"/>
    </row>
    <row r="88">
      <c r="A88" s="1" t="str">
        <f>IFERROR(__xludf.DUMMYFUNCTION("""COMPUTED_VALUE"""),"Demonic Sword of The King")</f>
        <v>Demonic Sword of The King</v>
      </c>
      <c r="B88" s="1"/>
      <c r="C88" s="1" t="str">
        <f>IFERROR(__xludf.DUMMYFUNCTION("""COMPUTED_VALUE"""),"Sword")</f>
        <v>Sword</v>
      </c>
      <c r="D88" s="1" t="str">
        <f>IFERROR(__xludf.DUMMYFUNCTION("""COMPUTED_VALUE"""),"Hand")</f>
        <v>Hand</v>
      </c>
      <c r="E88" s="1">
        <f>IFERROR(__xludf.DUMMYFUNCTION("""COMPUTED_VALUE"""),200.0)</f>
        <v>200</v>
      </c>
      <c r="F88" s="1" t="str">
        <f>IFERROR(__xludf.DUMMYFUNCTION("""COMPUTED_VALUE"""),"DMG: +100000, Fire DMG: +100000, Dark DMG: +50000, Chaos DMG: +50000, Blood DMG: +50000, Celestial DMG: +50000 ++When targeted for an attack you can choose a party member to take the damage instead. +-Cannot be duplicated.")</f>
        <v>DMG: +100000, Fire DMG: +100000, Dark DMG: +50000, Chaos DMG: +50000, Blood DMG: +50000, Celestial DMG: +50000 ++When targeted for an attack you can choose a party member to take the damage instead. +-Cannot be duplicated.</v>
      </c>
      <c r="G88" s="1">
        <f>IFERROR(__xludf.DUMMYFUNCTION("""COMPUTED_VALUE"""),3.196E9)</f>
        <v>3196000000</v>
      </c>
      <c r="H88" s="1"/>
      <c r="I88" s="1"/>
      <c r="J88" s="1"/>
      <c r="K88" s="1"/>
      <c r="L88" s="1"/>
      <c r="M88" s="1"/>
      <c r="N88" s="1"/>
      <c r="O88" s="1"/>
      <c r="P88" s="1"/>
      <c r="Q88" s="1"/>
      <c r="R88" s="1"/>
      <c r="S88" s="1"/>
      <c r="T88" s="1"/>
      <c r="U88" s="1"/>
      <c r="V88" s="1"/>
      <c r="W88" s="1"/>
      <c r="X88" s="1"/>
      <c r="Y88" s="1"/>
      <c r="Z88" s="1"/>
    </row>
    <row r="89">
      <c r="A89" s="1" t="str">
        <f>IFERROR(__xludf.DUMMYFUNCTION("""COMPUTED_VALUE"""),"Dimensional Dagger")</f>
        <v>Dimensional Dagger</v>
      </c>
      <c r="B89" s="1"/>
      <c r="C89" s="1" t="str">
        <f>IFERROR(__xludf.DUMMYFUNCTION("""COMPUTED_VALUE"""),"Knife")</f>
        <v>Knife</v>
      </c>
      <c r="D89" s="1" t="str">
        <f>IFERROR(__xludf.DUMMYFUNCTION("""COMPUTED_VALUE"""),"Hand")</f>
        <v>Hand</v>
      </c>
      <c r="E89" s="1">
        <f>IFERROR(__xludf.DUMMYFUNCTION("""COMPUTED_VALUE"""),200.0)</f>
        <v>200</v>
      </c>
      <c r="F89" s="1" t="str">
        <f>IFERROR(__xludf.DUMMYFUNCTION("""COMPUTED_VALUE"""),"DMG: +5000, Chaos DMG: +5000 ++25% chance to teleport the target being attacked to a random location.")</f>
        <v>DMG: +5000, Chaos DMG: +5000 ++25% chance to teleport the target being attacked to a random location.</v>
      </c>
      <c r="G89" s="1">
        <f>IFERROR(__xludf.DUMMYFUNCTION("""COMPUTED_VALUE"""),1900000.0)</f>
        <v>1900000</v>
      </c>
      <c r="H89" s="1"/>
      <c r="I89" s="1"/>
      <c r="J89" s="1"/>
      <c r="K89" s="1"/>
      <c r="L89" s="1"/>
      <c r="M89" s="1"/>
      <c r="N89" s="1"/>
      <c r="O89" s="1"/>
      <c r="P89" s="1"/>
      <c r="Q89" s="1"/>
      <c r="R89" s="1"/>
      <c r="S89" s="1"/>
      <c r="T89" s="1"/>
      <c r="U89" s="1"/>
      <c r="V89" s="1"/>
      <c r="W89" s="1"/>
      <c r="X89" s="1"/>
      <c r="Y89" s="1"/>
      <c r="Z89" s="1"/>
    </row>
    <row r="90">
      <c r="A90" s="1" t="str">
        <f>IFERROR(__xludf.DUMMYFUNCTION("""COMPUTED_VALUE"""),"Draconic Shield")</f>
        <v>Draconic Shield</v>
      </c>
      <c r="B90" s="1"/>
      <c r="C90" s="1" t="str">
        <f>IFERROR(__xludf.DUMMYFUNCTION("""COMPUTED_VALUE"""),"Towershield")</f>
        <v>Towershield</v>
      </c>
      <c r="D90" s="1" t="str">
        <f>IFERROR(__xludf.DUMMYFUNCTION("""COMPUTED_VALUE"""),"Hand")</f>
        <v>Hand</v>
      </c>
      <c r="E90" s="1">
        <f>IFERROR(__xludf.DUMMYFUNCTION("""COMPUTED_VALUE"""),5000.0)</f>
        <v>5000</v>
      </c>
      <c r="F90" s="1" t="str">
        <f>IFERROR(__xludf.DUMMYFUNCTION("""COMPUTED_VALUE"""),"DEF: +50000, Fire DEF: +50000, Dark DEF: +50000, Chaos DEF: +50000, Blood DEF: +50000 ++Draconic Block - Any damage you take in battle is now reduced to 1 for for the first round of battle.")</f>
        <v>DEF: +50000, Fire DEF: +50000, Dark DEF: +50000, Chaos DEF: +50000, Blood DEF: +50000 ++Draconic Block - Any damage you take in battle is now reduced to 1 for for the first round of battle.</v>
      </c>
      <c r="G90" s="1">
        <f>IFERROR(__xludf.DUMMYFUNCTION("""COMPUTED_VALUE"""),1.2475E9)</f>
        <v>1247500000</v>
      </c>
      <c r="H90" s="1"/>
      <c r="I90" s="1"/>
      <c r="J90" s="1"/>
      <c r="K90" s="1"/>
      <c r="L90" s="1"/>
      <c r="M90" s="1"/>
      <c r="N90" s="1"/>
      <c r="O90" s="1"/>
      <c r="P90" s="1"/>
      <c r="Q90" s="1"/>
      <c r="R90" s="1"/>
      <c r="S90" s="1"/>
      <c r="T90" s="1"/>
      <c r="U90" s="1"/>
      <c r="V90" s="1"/>
      <c r="W90" s="1"/>
      <c r="X90" s="1"/>
      <c r="Y90" s="1"/>
      <c r="Z90" s="1"/>
    </row>
    <row r="91">
      <c r="A91" s="1" t="str">
        <f>IFERROR(__xludf.DUMMYFUNCTION("""COMPUTED_VALUE"""),"Dragon's Skull")</f>
        <v>Dragon's Skull</v>
      </c>
      <c r="B91" s="1"/>
      <c r="C91" s="1"/>
      <c r="D91" s="1" t="str">
        <f>IFERROR(__xludf.DUMMYFUNCTION("""COMPUTED_VALUE"""),"Head")</f>
        <v>Head</v>
      </c>
      <c r="E91" s="1">
        <f>IFERROR(__xludf.DUMMYFUNCTION("""COMPUTED_VALUE"""),200.0)</f>
        <v>200</v>
      </c>
      <c r="F91" s="1" t="str">
        <f>IFERROR(__xludf.DUMMYFUNCTION("""COMPUTED_VALUE"""),"DEF: +10000 ++Any damage that is dealt to the wearer by a dragon is negated. ++(Dragon Tamers Cannot Wear This)")</f>
        <v>DEF: +10000 ++Any damage that is dealt to the wearer by a dragon is negated. ++(Dragon Tamers Cannot Wear This)</v>
      </c>
      <c r="G91" s="1">
        <f>IFERROR(__xludf.DUMMYFUNCTION("""COMPUTED_VALUE"""),1900000.0)</f>
        <v>1900000</v>
      </c>
      <c r="H91" s="1"/>
      <c r="I91" s="1"/>
      <c r="J91" s="1"/>
      <c r="K91" s="1"/>
      <c r="L91" s="1"/>
      <c r="M91" s="1"/>
      <c r="N91" s="1"/>
      <c r="O91" s="1"/>
      <c r="P91" s="1"/>
      <c r="Q91" s="1"/>
      <c r="R91" s="1"/>
      <c r="S91" s="1"/>
      <c r="T91" s="1"/>
      <c r="U91" s="1"/>
      <c r="V91" s="1"/>
      <c r="W91" s="1"/>
      <c r="X91" s="1"/>
      <c r="Y91" s="1"/>
      <c r="Z91" s="1"/>
    </row>
    <row r="92">
      <c r="A92" s="1" t="str">
        <f>IFERROR(__xludf.DUMMYFUNCTION("""COMPUTED_VALUE"""),"Dragonbone Greatsword")</f>
        <v>Dragonbone Greatsword</v>
      </c>
      <c r="B92" s="1"/>
      <c r="C92" s="1" t="str">
        <f>IFERROR(__xludf.DUMMYFUNCTION("""COMPUTED_VALUE"""),"Sword")</f>
        <v>Sword</v>
      </c>
      <c r="D92" s="1" t="str">
        <f>IFERROR(__xludf.DUMMYFUNCTION("""COMPUTED_VALUE"""),"Hand")</f>
        <v>Hand</v>
      </c>
      <c r="E92" s="1">
        <f>IFERROR(__xludf.DUMMYFUNCTION("""COMPUTED_VALUE"""),200.0)</f>
        <v>200</v>
      </c>
      <c r="F92" s="1" t="str">
        <f>IFERROR(__xludf.DUMMYFUNCTION("""COMPUTED_VALUE"""),"DMG: +100000, Fire DMG: +100000, Earth DMG: +100000, Dark DMG: +100000, Blood DMG: +100000, Celestial DMG: +100000 ++If you have a dragon as a companion in the current battle this sword will deal x4 additional fire, earth, dark, blood, and celestial damag"&amp;"e.")</f>
        <v>DMG: +100000, Fire DMG: +100000, Earth DMG: +100000, Dark DMG: +100000, Blood DMG: +100000, Celestial DMG: +100000 ++If you have a dragon as a companion in the current battle this sword will deal x4 additional fire, earth, dark, blood, and celestial damage.</v>
      </c>
      <c r="G92" s="1">
        <f>IFERROR(__xludf.DUMMYFUNCTION("""COMPUTED_VALUE"""),7.194E9)</f>
        <v>7194000000</v>
      </c>
      <c r="H92" s="1"/>
      <c r="I92" s="1"/>
      <c r="J92" s="1"/>
      <c r="K92" s="1"/>
      <c r="L92" s="1"/>
      <c r="M92" s="1"/>
      <c r="N92" s="1"/>
      <c r="O92" s="1"/>
      <c r="P92" s="1"/>
      <c r="Q92" s="1"/>
      <c r="R92" s="1"/>
      <c r="S92" s="1"/>
      <c r="T92" s="1"/>
      <c r="U92" s="1"/>
      <c r="V92" s="1"/>
      <c r="W92" s="1"/>
      <c r="X92" s="1"/>
      <c r="Y92" s="1"/>
      <c r="Z92" s="1"/>
    </row>
    <row r="93">
      <c r="A93" s="1" t="str">
        <f>IFERROR(__xludf.DUMMYFUNCTION("""COMPUTED_VALUE"""),"Dreading Wand Of Fire")</f>
        <v>Dreading Wand Of Fire</v>
      </c>
      <c r="B93" s="1"/>
      <c r="C93" s="1" t="str">
        <f>IFERROR(__xludf.DUMMYFUNCTION("""COMPUTED_VALUE"""),"Wand")</f>
        <v>Wand</v>
      </c>
      <c r="D93" s="1" t="str">
        <f>IFERROR(__xludf.DUMMYFUNCTION("""COMPUTED_VALUE"""),"Hand")</f>
        <v>Hand</v>
      </c>
      <c r="E93" s="1">
        <f>IFERROR(__xludf.DUMMYFUNCTION("""COMPUTED_VALUE"""),1.0)</f>
        <v>1</v>
      </c>
      <c r="F93" s="1" t="str">
        <f>IFERROR(__xludf.DUMMYFUNCTION("""COMPUTED_VALUE""")," ++Half SP costs for fire spells")</f>
        <v> ++Half SP costs for fire spells</v>
      </c>
      <c r="G93" s="1">
        <f>IFERROR(__xludf.DUMMYFUNCTION("""COMPUTED_VALUE"""),0.0)</f>
        <v>0</v>
      </c>
      <c r="H93" s="1"/>
      <c r="I93" s="1"/>
      <c r="J93" s="1"/>
      <c r="K93" s="1"/>
      <c r="L93" s="1"/>
      <c r="M93" s="1"/>
      <c r="N93" s="1"/>
      <c r="O93" s="1"/>
      <c r="P93" s="1"/>
      <c r="Q93" s="1"/>
      <c r="R93" s="1"/>
      <c r="S93" s="1"/>
      <c r="T93" s="1"/>
      <c r="U93" s="1"/>
      <c r="V93" s="1"/>
      <c r="W93" s="1"/>
      <c r="X93" s="1"/>
      <c r="Y93" s="1"/>
      <c r="Z93" s="1"/>
    </row>
    <row r="94">
      <c r="A94" s="1" t="str">
        <f>IFERROR(__xludf.DUMMYFUNCTION("""COMPUTED_VALUE"""),"Dy Yu’s Plated Armor")</f>
        <v>Dy Yu’s Plated Armor</v>
      </c>
      <c r="B94" s="1"/>
      <c r="C94" s="1"/>
      <c r="D94" s="1" t="str">
        <f>IFERROR(__xludf.DUMMYFUNCTION("""COMPUTED_VALUE"""),"Torso")</f>
        <v>Torso</v>
      </c>
      <c r="E94" s="1">
        <f>IFERROR(__xludf.DUMMYFUNCTION("""COMPUTED_VALUE"""),4000.0)</f>
        <v>4000</v>
      </c>
      <c r="F94" s="1" t="str">
        <f>IFERROR(__xludf.DUMMYFUNCTION("""COMPUTED_VALUE"""),"DEF: +50000, Fire DEF: +50000, Earth DEF: +50000, Spirit DEF: +50000 ++Roll a d20 at the beginning of battle, 11 or higher = half the damage taken from the first attack, 10 or lower = take double the damage from the first attack.")</f>
        <v>DEF: +50000, Fire DEF: +50000, Earth DEF: +50000, Spirit DEF: +50000 ++Roll a d20 at the beginning of battle, 11 or higher = half the damage taken from the first attack, 10 or lower = take double the damage from the first attack.</v>
      </c>
      <c r="G94" s="1">
        <f>IFERROR(__xludf.DUMMYFUNCTION("""COMPUTED_VALUE"""),7.98E8)</f>
        <v>798000000</v>
      </c>
      <c r="H94" s="1"/>
      <c r="I94" s="1"/>
      <c r="J94" s="1"/>
      <c r="K94" s="1"/>
      <c r="L94" s="1"/>
      <c r="M94" s="1"/>
      <c r="N94" s="1"/>
      <c r="O94" s="1"/>
      <c r="P94" s="1"/>
      <c r="Q94" s="1"/>
      <c r="R94" s="1"/>
      <c r="S94" s="1"/>
      <c r="T94" s="1"/>
      <c r="U94" s="1"/>
      <c r="V94" s="1"/>
      <c r="W94" s="1"/>
      <c r="X94" s="1"/>
      <c r="Y94" s="1"/>
      <c r="Z94" s="1"/>
    </row>
    <row r="95">
      <c r="A95" s="1" t="str">
        <f>IFERROR(__xludf.DUMMYFUNCTION("""COMPUTED_VALUE"""),"Easters Ring (Exclusive)")</f>
        <v>Easters Ring (Exclusive)</v>
      </c>
      <c r="B95" s="1"/>
      <c r="C95" s="1"/>
      <c r="D95" s="1" t="str">
        <f>IFERROR(__xludf.DUMMYFUNCTION("""COMPUTED_VALUE"""),"Ring")</f>
        <v>Ring</v>
      </c>
      <c r="E95" s="1">
        <f>IFERROR(__xludf.DUMMYFUNCTION("""COMPUTED_VALUE"""),1.0)</f>
        <v>1</v>
      </c>
      <c r="F95" s="1" t="str">
        <f>IFERROR(__xludf.DUMMYFUNCTION("""COMPUTED_VALUE""")," ++Can turn one bad day of travel into a good day of travel. +-Cannot be forged")</f>
        <v> ++Can turn one bad day of travel into a good day of travel. +-Cannot be forged</v>
      </c>
      <c r="G95" s="1">
        <f>IFERROR(__xludf.DUMMYFUNCTION("""COMPUTED_VALUE"""),0.0)</f>
        <v>0</v>
      </c>
      <c r="H95" s="1"/>
      <c r="I95" s="1"/>
      <c r="J95" s="1"/>
      <c r="K95" s="1"/>
      <c r="L95" s="1"/>
      <c r="M95" s="1"/>
      <c r="N95" s="1"/>
      <c r="O95" s="1"/>
      <c r="P95" s="1"/>
      <c r="Q95" s="1"/>
      <c r="R95" s="1"/>
      <c r="S95" s="1"/>
      <c r="T95" s="1"/>
      <c r="U95" s="1"/>
      <c r="V95" s="1"/>
      <c r="W95" s="1"/>
      <c r="X95" s="1"/>
      <c r="Y95" s="1"/>
      <c r="Z95" s="1"/>
    </row>
    <row r="96">
      <c r="A96" s="1" t="str">
        <f>IFERROR(__xludf.DUMMYFUNCTION("""COMPUTED_VALUE"""),"Enchanted Chestplate of Defense")</f>
        <v>Enchanted Chestplate of Defense</v>
      </c>
      <c r="B96" s="1"/>
      <c r="C96" s="1"/>
      <c r="D96" s="1" t="str">
        <f>IFERROR(__xludf.DUMMYFUNCTION("""COMPUTED_VALUE"""),"Torso")</f>
        <v>Torso</v>
      </c>
      <c r="E96" s="1">
        <f>IFERROR(__xludf.DUMMYFUNCTION("""COMPUTED_VALUE"""),100.0)</f>
        <v>100</v>
      </c>
      <c r="F96" s="1" t="str">
        <f>IFERROR(__xludf.DUMMYFUNCTION("""COMPUTED_VALUE"""),"DEF: +5000 ++Damage received by Spells and Weapons are reduced to half when wearing this.")</f>
        <v>DEF: +5000 ++Damage received by Spells and Weapons are reduced to half when wearing this.</v>
      </c>
      <c r="G96" s="1">
        <f>IFERROR(__xludf.DUMMYFUNCTION("""COMPUTED_VALUE"""),450000.0)</f>
        <v>450000</v>
      </c>
      <c r="H96" s="1"/>
      <c r="I96" s="1"/>
      <c r="J96" s="1"/>
      <c r="K96" s="1"/>
      <c r="L96" s="1"/>
      <c r="M96" s="1"/>
      <c r="N96" s="1"/>
      <c r="O96" s="1"/>
      <c r="P96" s="1"/>
      <c r="Q96" s="1"/>
      <c r="R96" s="1"/>
      <c r="S96" s="1"/>
      <c r="T96" s="1"/>
      <c r="U96" s="1"/>
      <c r="V96" s="1"/>
      <c r="W96" s="1"/>
      <c r="X96" s="1"/>
      <c r="Y96" s="1"/>
      <c r="Z96" s="1"/>
    </row>
    <row r="97">
      <c r="A97" s="1" t="str">
        <f>IFERROR(__xludf.DUMMYFUNCTION("""COMPUTED_VALUE"""),"Enchanted Dagger")</f>
        <v>Enchanted Dagger</v>
      </c>
      <c r="B97" s="1"/>
      <c r="C97" s="1" t="str">
        <f>IFERROR(__xludf.DUMMYFUNCTION("""COMPUTED_VALUE"""),"Knife")</f>
        <v>Knife</v>
      </c>
      <c r="D97" s="1" t="str">
        <f>IFERROR(__xludf.DUMMYFUNCTION("""COMPUTED_VALUE"""),"Hand")</f>
        <v>Hand</v>
      </c>
      <c r="E97" s="1">
        <f>IFERROR(__xludf.DUMMYFUNCTION("""COMPUTED_VALUE"""),1.0)</f>
        <v>1</v>
      </c>
      <c r="F97" s="1" t="str">
        <f>IFERROR(__xludf.DUMMYFUNCTION("""COMPUTED_VALUE"""),": +1 ++100% of instantly killing the target.")</f>
        <v>: +1 ++100% of instantly killing the target.</v>
      </c>
      <c r="G97" s="1">
        <f>IFERROR(__xludf.DUMMYFUNCTION("""COMPUTED_VALUE"""),0.0)</f>
        <v>0</v>
      </c>
      <c r="H97" s="1"/>
      <c r="I97" s="1"/>
      <c r="J97" s="1"/>
      <c r="K97" s="1"/>
      <c r="L97" s="1"/>
      <c r="M97" s="1"/>
      <c r="N97" s="1"/>
      <c r="O97" s="1"/>
      <c r="P97" s="1"/>
      <c r="Q97" s="1"/>
      <c r="R97" s="1"/>
      <c r="S97" s="1"/>
      <c r="T97" s="1"/>
      <c r="U97" s="1"/>
      <c r="V97" s="1"/>
      <c r="W97" s="1"/>
      <c r="X97" s="1"/>
      <c r="Y97" s="1"/>
      <c r="Z97" s="1"/>
    </row>
    <row r="98">
      <c r="A98" s="1" t="str">
        <f>IFERROR(__xludf.DUMMYFUNCTION("""COMPUTED_VALUE"""),"Enchanted Falcon Blade")</f>
        <v>Enchanted Falcon Blade</v>
      </c>
      <c r="B98" s="1"/>
      <c r="C98" s="1" t="str">
        <f>IFERROR(__xludf.DUMMYFUNCTION("""COMPUTED_VALUE"""),"Sword")</f>
        <v>Sword</v>
      </c>
      <c r="D98" s="1" t="str">
        <f>IFERROR(__xludf.DUMMYFUNCTION("""COMPUTED_VALUE"""),"Hand")</f>
        <v>Hand</v>
      </c>
      <c r="E98" s="1">
        <f>IFERROR(__xludf.DUMMYFUNCTION("""COMPUTED_VALUE"""),60.0)</f>
        <v>60</v>
      </c>
      <c r="F98" s="1" t="str">
        <f>IFERROR(__xludf.DUMMYFUNCTION("""COMPUTED_VALUE"""),"DMG: +2000, Order DMG: +600 ++Falcon’s Power - All attacks dealt by your weapons will deal double in damage for 3 of your turns when equipped.")</f>
        <v>DMG: +2000, Order DMG: +600 ++Falcon’s Power - All attacks dealt by your weapons will deal double in damage for 3 of your turns when equipped.</v>
      </c>
      <c r="G98" s="1">
        <f>IFERROR(__xludf.DUMMYFUNCTION("""COMPUTED_VALUE"""),100000.0)</f>
        <v>100000</v>
      </c>
      <c r="H98" s="1"/>
      <c r="I98" s="1"/>
      <c r="J98" s="1"/>
      <c r="K98" s="1"/>
      <c r="L98" s="1"/>
      <c r="M98" s="1"/>
      <c r="N98" s="1"/>
      <c r="O98" s="1"/>
      <c r="P98" s="1"/>
      <c r="Q98" s="1"/>
      <c r="R98" s="1"/>
      <c r="S98" s="1"/>
      <c r="T98" s="1"/>
      <c r="U98" s="1"/>
      <c r="V98" s="1"/>
      <c r="W98" s="1"/>
      <c r="X98" s="1"/>
      <c r="Y98" s="1"/>
      <c r="Z98" s="1"/>
    </row>
    <row r="99">
      <c r="A99" s="1" t="str">
        <f>IFERROR(__xludf.DUMMYFUNCTION("""COMPUTED_VALUE"""),"Energy Prong")</f>
        <v>Energy Prong</v>
      </c>
      <c r="B99" s="1"/>
      <c r="C99" s="1" t="str">
        <f>IFERROR(__xludf.DUMMYFUNCTION("""COMPUTED_VALUE"""),"Spear")</f>
        <v>Spear</v>
      </c>
      <c r="D99" s="1" t="str">
        <f>IFERROR(__xludf.DUMMYFUNCTION("""COMPUTED_VALUE"""),"Hand")</f>
        <v>Hand</v>
      </c>
      <c r="E99" s="1">
        <f>IFERROR(__xludf.DUMMYFUNCTION("""COMPUTED_VALUE"""),10.0)</f>
        <v>10</v>
      </c>
      <c r="F99" s="1" t="str">
        <f>IFERROR(__xludf.DUMMYFUNCTION("""COMPUTED_VALUE"""),"DMG: +500 ++50% chance of stun 3.")</f>
        <v>DMG: +500 ++50% chance of stun 3.</v>
      </c>
      <c r="G99" s="1">
        <f>IFERROR(__xludf.DUMMYFUNCTION("""COMPUTED_VALUE"""),1000.0)</f>
        <v>1000</v>
      </c>
      <c r="H99" s="1"/>
      <c r="I99" s="1"/>
      <c r="J99" s="1"/>
      <c r="K99" s="1"/>
      <c r="L99" s="1"/>
      <c r="M99" s="1"/>
      <c r="N99" s="1"/>
      <c r="O99" s="1"/>
      <c r="P99" s="1"/>
      <c r="Q99" s="1"/>
      <c r="R99" s="1"/>
      <c r="S99" s="1"/>
      <c r="T99" s="1"/>
      <c r="U99" s="1"/>
      <c r="V99" s="1"/>
      <c r="W99" s="1"/>
      <c r="X99" s="1"/>
      <c r="Y99" s="1"/>
      <c r="Z99" s="1"/>
    </row>
    <row r="100">
      <c r="A100" s="1" t="str">
        <f>IFERROR(__xludf.DUMMYFUNCTION("""COMPUTED_VALUE"""),"Faery Kings Sword")</f>
        <v>Faery Kings Sword</v>
      </c>
      <c r="B100" s="1"/>
      <c r="C100" s="1" t="str">
        <f>IFERROR(__xludf.DUMMYFUNCTION("""COMPUTED_VALUE"""),"Sword")</f>
        <v>Sword</v>
      </c>
      <c r="D100" s="1" t="str">
        <f>IFERROR(__xludf.DUMMYFUNCTION("""COMPUTED_VALUE"""),"Hand")</f>
        <v>Hand</v>
      </c>
      <c r="E100" s="1">
        <f>IFERROR(__xludf.DUMMYFUNCTION("""COMPUTED_VALUE"""),200.0)</f>
        <v>200</v>
      </c>
      <c r="F100" s="1" t="str">
        <f>IFERROR(__xludf.DUMMYFUNCTION("""COMPUTED_VALUE"""),"DMG: +500000, Nature DMG: +25000, Celestial DMG: +25000")</f>
        <v>DMG: +500000, Nature DMG: +25000, Celestial DMG: +25000</v>
      </c>
      <c r="G100" s="1">
        <f>IFERROR(__xludf.DUMMYFUNCTION("""COMPUTED_VALUE"""),6.0445E9)</f>
        <v>6044500000</v>
      </c>
      <c r="H100" s="1"/>
      <c r="I100" s="1"/>
      <c r="J100" s="1"/>
      <c r="K100" s="1"/>
      <c r="L100" s="1"/>
      <c r="M100" s="1"/>
      <c r="N100" s="1"/>
      <c r="O100" s="1"/>
      <c r="P100" s="1"/>
      <c r="Q100" s="1"/>
      <c r="R100" s="1"/>
      <c r="S100" s="1"/>
      <c r="T100" s="1"/>
      <c r="U100" s="1"/>
      <c r="V100" s="1"/>
      <c r="W100" s="1"/>
      <c r="X100" s="1"/>
      <c r="Y100" s="1"/>
      <c r="Z100" s="1"/>
    </row>
    <row r="101">
      <c r="A101" s="1" t="str">
        <f>IFERROR(__xludf.DUMMYFUNCTION("""COMPUTED_VALUE"""),"False Helmet")</f>
        <v>False Helmet</v>
      </c>
      <c r="B101" s="1"/>
      <c r="C101" s="1"/>
      <c r="D101" s="1" t="str">
        <f>IFERROR(__xludf.DUMMYFUNCTION("""COMPUTED_VALUE"""),"Head")</f>
        <v>Head</v>
      </c>
      <c r="E101" s="1">
        <f>IFERROR(__xludf.DUMMYFUNCTION("""COMPUTED_VALUE"""),1.0)</f>
        <v>1</v>
      </c>
      <c r="F101" s="1" t="str">
        <f>IFERROR(__xludf.DUMMYFUNCTION("""COMPUTED_VALUE""")," ++ ++5 Intimidation, ++ - 2 Charisma. +-Cannot be forged +-Cannot be duplicated.")</f>
        <v> ++ ++5 Intimidation, ++ - 2 Charisma. +-Cannot be forged +-Cannot be duplicated.</v>
      </c>
      <c r="G101" s="1">
        <f>IFERROR(__xludf.DUMMYFUNCTION("""COMPUTED_VALUE"""),0.0)</f>
        <v>0</v>
      </c>
      <c r="H101" s="1"/>
      <c r="I101" s="1"/>
      <c r="J101" s="1"/>
      <c r="K101" s="1"/>
      <c r="L101" s="1"/>
      <c r="M101" s="1"/>
      <c r="N101" s="1"/>
      <c r="O101" s="1"/>
      <c r="P101" s="1"/>
      <c r="Q101" s="1"/>
      <c r="R101" s="1"/>
      <c r="S101" s="1"/>
      <c r="T101" s="1"/>
      <c r="U101" s="1"/>
      <c r="V101" s="1"/>
      <c r="W101" s="1"/>
      <c r="X101" s="1"/>
      <c r="Y101" s="1"/>
      <c r="Z101" s="1"/>
    </row>
    <row r="102">
      <c r="A102" s="1" t="str">
        <f>IFERROR(__xludf.DUMMYFUNCTION("""COMPUTED_VALUE"""),"Felt Cap")</f>
        <v>Felt Cap</v>
      </c>
      <c r="B102" s="1"/>
      <c r="C102" s="1"/>
      <c r="D102" s="1" t="str">
        <f>IFERROR(__xludf.DUMMYFUNCTION("""COMPUTED_VALUE"""),"Head")</f>
        <v>Head</v>
      </c>
      <c r="E102" s="1">
        <f>IFERROR(__xludf.DUMMYFUNCTION("""COMPUTED_VALUE"""),1.0)</f>
        <v>1</v>
      </c>
      <c r="F102" s="1" t="str">
        <f>IFERROR(__xludf.DUMMYFUNCTION("""COMPUTED_VALUE""")," ++ -1 Evasion ++ +2 Intimidation, +-Can only wear one, +-Cannot be duplicated.")</f>
        <v> ++ -1 Evasion ++ +2 Intimidation, +-Can only wear one, +-Cannot be duplicated.</v>
      </c>
      <c r="G102" s="1">
        <f>IFERROR(__xludf.DUMMYFUNCTION("""COMPUTED_VALUE"""),0.0)</f>
        <v>0</v>
      </c>
      <c r="H102" s="1"/>
      <c r="I102" s="1"/>
      <c r="J102" s="1"/>
      <c r="K102" s="1"/>
      <c r="L102" s="1"/>
      <c r="M102" s="1"/>
      <c r="N102" s="1"/>
      <c r="O102" s="1"/>
      <c r="P102" s="1"/>
      <c r="Q102" s="1"/>
      <c r="R102" s="1"/>
      <c r="S102" s="1"/>
      <c r="T102" s="1"/>
      <c r="U102" s="1"/>
      <c r="V102" s="1"/>
      <c r="W102" s="1"/>
      <c r="X102" s="1"/>
      <c r="Y102" s="1"/>
      <c r="Z102" s="1"/>
    </row>
    <row r="103">
      <c r="A103" s="1" t="str">
        <f>IFERROR(__xludf.DUMMYFUNCTION("""COMPUTED_VALUE"""),"Fire Resistant Boots")</f>
        <v>Fire Resistant Boots</v>
      </c>
      <c r="B103" s="1"/>
      <c r="C103" s="1"/>
      <c r="D103" s="1" t="str">
        <f>IFERROR(__xludf.DUMMYFUNCTION("""COMPUTED_VALUE"""),"Feet")</f>
        <v>Feet</v>
      </c>
      <c r="E103" s="1">
        <f>IFERROR(__xludf.DUMMYFUNCTION("""COMPUTED_VALUE"""),200.0)</f>
        <v>200</v>
      </c>
      <c r="F103" s="1" t="str">
        <f>IFERROR(__xludf.DUMMYFUNCTION("""COMPUTED_VALUE"""),", Fire DEF: +10000 ++Fire Immune, ++X2 Additional fire damage. +-Cannot be duplicated.")</f>
        <v>, Fire DEF: +10000 ++Fire Immune, ++X2 Additional fire damage. +-Cannot be duplicated.</v>
      </c>
      <c r="G103" s="1">
        <f>IFERROR(__xludf.DUMMYFUNCTION("""COMPUTED_VALUE"""),1900000.0)</f>
        <v>1900000</v>
      </c>
      <c r="H103" s="1"/>
      <c r="I103" s="1"/>
      <c r="J103" s="1"/>
      <c r="K103" s="1"/>
      <c r="L103" s="1"/>
      <c r="M103" s="1"/>
      <c r="N103" s="1"/>
      <c r="O103" s="1"/>
      <c r="P103" s="1"/>
      <c r="Q103" s="1"/>
      <c r="R103" s="1"/>
      <c r="S103" s="1"/>
      <c r="T103" s="1"/>
      <c r="U103" s="1"/>
      <c r="V103" s="1"/>
      <c r="W103" s="1"/>
      <c r="X103" s="1"/>
      <c r="Y103" s="1"/>
      <c r="Z103" s="1"/>
    </row>
    <row r="104">
      <c r="A104" s="1" t="str">
        <f>IFERROR(__xludf.DUMMYFUNCTION("""COMPUTED_VALUE"""),"Fire Ring")</f>
        <v>Fire Ring</v>
      </c>
      <c r="B104" s="1"/>
      <c r="C104" s="1"/>
      <c r="D104" s="1" t="str">
        <f>IFERROR(__xludf.DUMMYFUNCTION("""COMPUTED_VALUE"""),"Ring")</f>
        <v>Ring</v>
      </c>
      <c r="E104" s="1">
        <f>IFERROR(__xludf.DUMMYFUNCTION("""COMPUTED_VALUE"""),1.0)</f>
        <v>1</v>
      </c>
      <c r="F104" s="1" t="str">
        <f>IFERROR(__xludf.DUMMYFUNCTION("""COMPUTED_VALUE""")," ++Fire Immune, ++X2 Additional fire damage. +-Cannot be duplicated.")</f>
        <v> ++Fire Immune, ++X2 Additional fire damage. +-Cannot be duplicated.</v>
      </c>
      <c r="G104" s="1">
        <f>IFERROR(__xludf.DUMMYFUNCTION("""COMPUTED_VALUE"""),0.0)</f>
        <v>0</v>
      </c>
      <c r="H104" s="1"/>
      <c r="I104" s="1"/>
      <c r="J104" s="1"/>
      <c r="K104" s="1"/>
      <c r="L104" s="1"/>
      <c r="M104" s="1"/>
      <c r="N104" s="1"/>
      <c r="O104" s="1"/>
      <c r="P104" s="1"/>
      <c r="Q104" s="1"/>
      <c r="R104" s="1"/>
      <c r="S104" s="1"/>
      <c r="T104" s="1"/>
      <c r="U104" s="1"/>
      <c r="V104" s="1"/>
      <c r="W104" s="1"/>
      <c r="X104" s="1"/>
      <c r="Y104" s="1"/>
      <c r="Z104" s="1"/>
    </row>
    <row r="105">
      <c r="A105" s="1" t="str">
        <f>IFERROR(__xludf.DUMMYFUNCTION("""COMPUTED_VALUE"""),"Fire Shield")</f>
        <v>Fire Shield</v>
      </c>
      <c r="B105" s="1"/>
      <c r="C105" s="1" t="str">
        <f>IFERROR(__xludf.DUMMYFUNCTION("""COMPUTED_VALUE"""),"Towershield")</f>
        <v>Towershield</v>
      </c>
      <c r="D105" s="1" t="str">
        <f>IFERROR(__xludf.DUMMYFUNCTION("""COMPUTED_VALUE"""),"Hand")</f>
        <v>Hand</v>
      </c>
      <c r="E105" s="1">
        <f>IFERROR(__xludf.DUMMYFUNCTION("""COMPUTED_VALUE"""),200.0)</f>
        <v>200</v>
      </c>
      <c r="F105" s="1" t="str">
        <f>IFERROR(__xludf.DUMMYFUNCTION("""COMPUTED_VALUE"""),"DEF: +5000, Fire DEF: +5000 ++ Immunity to Fire, ++X2 Additional fire resistance. +-Cannot be duplicated.")</f>
        <v>DEF: +5000, Fire DEF: +5000 ++ Immunity to Fire, ++X2 Additional fire resistance. +-Cannot be duplicated.</v>
      </c>
      <c r="G105" s="1">
        <f>IFERROR(__xludf.DUMMYFUNCTION("""COMPUTED_VALUE"""),1900000.0)</f>
        <v>1900000</v>
      </c>
      <c r="H105" s="1"/>
      <c r="I105" s="1"/>
      <c r="J105" s="1"/>
      <c r="K105" s="1"/>
      <c r="L105" s="1"/>
      <c r="M105" s="1"/>
      <c r="N105" s="1"/>
      <c r="O105" s="1"/>
      <c r="P105" s="1"/>
      <c r="Q105" s="1"/>
      <c r="R105" s="1"/>
      <c r="S105" s="1"/>
      <c r="T105" s="1"/>
      <c r="U105" s="1"/>
      <c r="V105" s="1"/>
      <c r="W105" s="1"/>
      <c r="X105" s="1"/>
      <c r="Y105" s="1"/>
      <c r="Z105" s="1"/>
    </row>
    <row r="106">
      <c r="A106" s="1" t="str">
        <f>IFERROR(__xludf.DUMMYFUNCTION("""COMPUTED_VALUE"""),"Fire Sword")</f>
        <v>Fire Sword</v>
      </c>
      <c r="B106" s="1"/>
      <c r="C106" s="1" t="str">
        <f>IFERROR(__xludf.DUMMYFUNCTION("""COMPUTED_VALUE"""),"Sword")</f>
        <v>Sword</v>
      </c>
      <c r="D106" s="1" t="str">
        <f>IFERROR(__xludf.DUMMYFUNCTION("""COMPUTED_VALUE"""),"Hand")</f>
        <v>Hand</v>
      </c>
      <c r="E106" s="1">
        <f>IFERROR(__xludf.DUMMYFUNCTION("""COMPUTED_VALUE"""),200.0)</f>
        <v>200</v>
      </c>
      <c r="F106" s="1" t="str">
        <f>IFERROR(__xludf.DUMMYFUNCTION("""COMPUTED_VALUE"""),"DMG: +5000, Fire DMG: +5000 ++X2 Additional Fire damage. Burn 2500. Cannot be duplicated.")</f>
        <v>DMG: +5000, Fire DMG: +5000 ++X2 Additional Fire damage. Burn 2500. Cannot be duplicated.</v>
      </c>
      <c r="G106" s="1">
        <f>IFERROR(__xludf.DUMMYFUNCTION("""COMPUTED_VALUE"""),1900000.0)</f>
        <v>1900000</v>
      </c>
      <c r="H106" s="1"/>
      <c r="I106" s="1"/>
      <c r="J106" s="1"/>
      <c r="K106" s="1"/>
      <c r="L106" s="1"/>
      <c r="M106" s="1"/>
      <c r="N106" s="1"/>
      <c r="O106" s="1"/>
      <c r="P106" s="1"/>
      <c r="Q106" s="1"/>
      <c r="R106" s="1"/>
      <c r="S106" s="1"/>
      <c r="T106" s="1"/>
      <c r="U106" s="1"/>
      <c r="V106" s="1"/>
      <c r="W106" s="1"/>
      <c r="X106" s="1"/>
      <c r="Y106" s="1"/>
      <c r="Z106" s="1"/>
    </row>
    <row r="107">
      <c r="A107" s="1" t="str">
        <f>IFERROR(__xludf.DUMMYFUNCTION("""COMPUTED_VALUE"""),"Fireproof Suit")</f>
        <v>Fireproof Suit</v>
      </c>
      <c r="B107" s="1"/>
      <c r="C107" s="1"/>
      <c r="D107" s="1" t="str">
        <f>IFERROR(__xludf.DUMMYFUNCTION("""COMPUTED_VALUE"""),"Torso")</f>
        <v>Torso</v>
      </c>
      <c r="E107" s="1">
        <f>IFERROR(__xludf.DUMMYFUNCTION("""COMPUTED_VALUE"""),400.0)</f>
        <v>400</v>
      </c>
      <c r="F107" s="1" t="str">
        <f>IFERROR(__xludf.DUMMYFUNCTION("""COMPUTED_VALUE"""),"DEF: +5000, Fire DEF: +15000 Fire Immune, X2 Additional fire resistance. Cannot be duplicated.")</f>
        <v>DEF: +5000, Fire DEF: +15000 Fire Immune, X2 Additional fire resistance. Cannot be duplicated.</v>
      </c>
      <c r="G107" s="1">
        <f>IFERROR(__xludf.DUMMYFUNCTION("""COMPUTED_VALUE"""),7800000.0)</f>
        <v>7800000</v>
      </c>
      <c r="H107" s="1"/>
      <c r="I107" s="1"/>
      <c r="J107" s="1"/>
      <c r="K107" s="1"/>
      <c r="L107" s="1"/>
      <c r="M107" s="1"/>
      <c r="N107" s="1"/>
      <c r="O107" s="1"/>
      <c r="P107" s="1"/>
      <c r="Q107" s="1"/>
      <c r="R107" s="1"/>
      <c r="S107" s="1"/>
      <c r="T107" s="1"/>
      <c r="U107" s="1"/>
      <c r="V107" s="1"/>
      <c r="W107" s="1"/>
      <c r="X107" s="1"/>
      <c r="Y107" s="1"/>
      <c r="Z107" s="1"/>
    </row>
    <row r="108">
      <c r="A108" s="1" t="str">
        <f>IFERROR(__xludf.DUMMYFUNCTION("""COMPUTED_VALUE"""),"Fish Pendant")</f>
        <v>Fish Pendant</v>
      </c>
      <c r="B108" s="1"/>
      <c r="C108" s="1"/>
      <c r="D108" s="1" t="str">
        <f>IFERROR(__xludf.DUMMYFUNCTION("""COMPUTED_VALUE"""),"Neck")</f>
        <v>Neck</v>
      </c>
      <c r="E108" s="1">
        <f>IFERROR(__xludf.DUMMYFUNCTION("""COMPUTED_VALUE"""),1.0)</f>
        <v>1</v>
      </c>
      <c r="F108" s="1" t="str">
        <f>IFERROR(__xludf.DUMMYFUNCTION("""COMPUTED_VALUE""")," ++Choose the rarity of the fish when fishing +-Cannot be forged +-Cannot be duplicated +-Can only equip one")</f>
        <v> ++Choose the rarity of the fish when fishing +-Cannot be forged +-Cannot be duplicated +-Can only equip one</v>
      </c>
      <c r="G108" s="1">
        <f>IFERROR(__xludf.DUMMYFUNCTION("""COMPUTED_VALUE"""),0.0)</f>
        <v>0</v>
      </c>
      <c r="H108" s="1"/>
      <c r="I108" s="1"/>
      <c r="J108" s="1"/>
      <c r="K108" s="1"/>
      <c r="L108" s="1"/>
      <c r="M108" s="1"/>
      <c r="N108" s="1"/>
      <c r="O108" s="1"/>
      <c r="P108" s="1"/>
      <c r="Q108" s="1"/>
      <c r="R108" s="1"/>
      <c r="S108" s="1"/>
      <c r="T108" s="1"/>
      <c r="U108" s="1"/>
      <c r="V108" s="1"/>
      <c r="W108" s="1"/>
      <c r="X108" s="1"/>
      <c r="Y108" s="1"/>
      <c r="Z108" s="1"/>
    </row>
    <row r="109">
      <c r="A109" s="1" t="str">
        <f>IFERROR(__xludf.DUMMYFUNCTION("""COMPUTED_VALUE"""),"Flame Band")</f>
        <v>Flame Band</v>
      </c>
      <c r="B109" s="1"/>
      <c r="C109" s="1"/>
      <c r="D109" s="1" t="str">
        <f>IFERROR(__xludf.DUMMYFUNCTION("""COMPUTED_VALUE"""),"Arms")</f>
        <v>Arms</v>
      </c>
      <c r="E109" s="1">
        <f>IFERROR(__xludf.DUMMYFUNCTION("""COMPUTED_VALUE"""),1.0)</f>
        <v>1</v>
      </c>
      <c r="F109" s="1" t="str">
        <f>IFERROR(__xludf.DUMMYFUNCTION("""COMPUTED_VALUE""")," Fire Immune, X2 Additional fire damage. +-Cannot be duplicated")</f>
        <v> Fire Immune, X2 Additional fire damage. +-Cannot be duplicated</v>
      </c>
      <c r="G109" s="1">
        <f>IFERROR(__xludf.DUMMYFUNCTION("""COMPUTED_VALUE"""),0.0)</f>
        <v>0</v>
      </c>
      <c r="H109" s="1"/>
      <c r="I109" s="1"/>
      <c r="J109" s="1"/>
      <c r="K109" s="1"/>
      <c r="L109" s="1"/>
      <c r="M109" s="1"/>
      <c r="N109" s="1"/>
      <c r="O109" s="1"/>
      <c r="P109" s="1"/>
      <c r="Q109" s="1"/>
      <c r="R109" s="1"/>
      <c r="S109" s="1"/>
      <c r="T109" s="1"/>
      <c r="U109" s="1"/>
      <c r="V109" s="1"/>
      <c r="W109" s="1"/>
      <c r="X109" s="1"/>
      <c r="Y109" s="1"/>
      <c r="Z109" s="1"/>
    </row>
    <row r="110">
      <c r="A110" s="1" t="str">
        <f>IFERROR(__xludf.DUMMYFUNCTION("""COMPUTED_VALUE"""),"Flame Mask")</f>
        <v>Flame Mask</v>
      </c>
      <c r="B110" s="1"/>
      <c r="C110" s="1"/>
      <c r="D110" s="1" t="str">
        <f>IFERROR(__xludf.DUMMYFUNCTION("""COMPUTED_VALUE"""),"Head")</f>
        <v>Head</v>
      </c>
      <c r="E110" s="1">
        <f>IFERROR(__xludf.DUMMYFUNCTION("""COMPUTED_VALUE"""),130.0)</f>
        <v>130</v>
      </c>
      <c r="F110" s="1" t="str">
        <f>IFERROR(__xludf.DUMMYFUNCTION("""COMPUTED_VALUE"""),"DEF: +5000, Fire DEF: +1500 ++Fire Immunity, ++X2 Additional fire resistance. +-Cannot be duplicated.")</f>
        <v>DEF: +5000, Fire DEF: +1500 ++Fire Immunity, ++X2 Additional fire resistance. +-Cannot be duplicated.</v>
      </c>
      <c r="G110" s="1">
        <f>IFERROR(__xludf.DUMMYFUNCTION("""COMPUTED_VALUE"""),780000.0)</f>
        <v>780000</v>
      </c>
      <c r="H110" s="1"/>
      <c r="I110" s="1"/>
      <c r="J110" s="1"/>
      <c r="K110" s="1"/>
      <c r="L110" s="1"/>
      <c r="M110" s="1"/>
      <c r="N110" s="1"/>
      <c r="O110" s="1"/>
      <c r="P110" s="1"/>
      <c r="Q110" s="1"/>
      <c r="R110" s="1"/>
      <c r="S110" s="1"/>
      <c r="T110" s="1"/>
      <c r="U110" s="1"/>
      <c r="V110" s="1"/>
      <c r="W110" s="1"/>
      <c r="X110" s="1"/>
      <c r="Y110" s="1"/>
      <c r="Z110" s="1"/>
    </row>
    <row r="111">
      <c r="A111" s="1" t="str">
        <f>IFERROR(__xludf.DUMMYFUNCTION("""COMPUTED_VALUE"""),"Flamethrower")</f>
        <v>Flamethrower</v>
      </c>
      <c r="B111" s="1"/>
      <c r="C111" s="1" t="str">
        <f>IFERROR(__xludf.DUMMYFUNCTION("""COMPUTED_VALUE"""),"Firearm")</f>
        <v>Firearm</v>
      </c>
      <c r="D111" s="1" t="str">
        <f>IFERROR(__xludf.DUMMYFUNCTION("""COMPUTED_VALUE"""),"Hand")</f>
        <v>Hand</v>
      </c>
      <c r="E111" s="1">
        <f>IFERROR(__xludf.DUMMYFUNCTION("""COMPUTED_VALUE"""),700.0)</f>
        <v>700</v>
      </c>
      <c r="F111" s="1" t="str">
        <f>IFERROR(__xludf.DUMMYFUNCTION("""COMPUTED_VALUE"""),", Fire DMG: +35000 ++20% chance of hitting all enemies")</f>
        <v>, Fire DMG: +35000 ++20% chance of hitting all enemies</v>
      </c>
      <c r="G111" s="1">
        <f>IFERROR(__xludf.DUMMYFUNCTION("""COMPUTED_VALUE"""),2.415E7)</f>
        <v>24150000</v>
      </c>
      <c r="H111" s="1"/>
      <c r="I111" s="1"/>
      <c r="J111" s="1"/>
      <c r="K111" s="1"/>
      <c r="L111" s="1"/>
      <c r="M111" s="1"/>
      <c r="N111" s="1"/>
      <c r="O111" s="1"/>
      <c r="P111" s="1"/>
      <c r="Q111" s="1"/>
      <c r="R111" s="1"/>
      <c r="S111" s="1"/>
      <c r="T111" s="1"/>
      <c r="U111" s="1"/>
      <c r="V111" s="1"/>
      <c r="W111" s="1"/>
      <c r="X111" s="1"/>
      <c r="Y111" s="1"/>
      <c r="Z111" s="1"/>
    </row>
    <row r="112">
      <c r="A112" s="1" t="str">
        <f>IFERROR(__xludf.DUMMYFUNCTION("""COMPUTED_VALUE"""),"Flaming Sword")</f>
        <v>Flaming Sword</v>
      </c>
      <c r="B112" s="1"/>
      <c r="C112" s="1" t="str">
        <f>IFERROR(__xludf.DUMMYFUNCTION("""COMPUTED_VALUE"""),"Sword")</f>
        <v>Sword</v>
      </c>
      <c r="D112" s="1" t="str">
        <f>IFERROR(__xludf.DUMMYFUNCTION("""COMPUTED_VALUE"""),"Hand")</f>
        <v>Hand</v>
      </c>
      <c r="E112" s="1">
        <f>IFERROR(__xludf.DUMMYFUNCTION("""COMPUTED_VALUE"""),300.0)</f>
        <v>300</v>
      </c>
      <c r="F112" s="1" t="str">
        <f>IFERROR(__xludf.DUMMYFUNCTION("""COMPUTED_VALUE"""),"DMG: +5000, Fire DMG: +5000, Nature DMG: +5000 ++Burn 1000")</f>
        <v>DMG: +5000, Fire DMG: +5000, Nature DMG: +5000 ++Burn 1000</v>
      </c>
      <c r="G112" s="1">
        <f>IFERROR(__xludf.DUMMYFUNCTION("""COMPUTED_VALUE"""),4350000.0)</f>
        <v>4350000</v>
      </c>
      <c r="H112" s="1"/>
      <c r="I112" s="1"/>
      <c r="J112" s="1"/>
      <c r="K112" s="1"/>
      <c r="L112" s="1"/>
      <c r="M112" s="1"/>
      <c r="N112" s="1"/>
      <c r="O112" s="1"/>
      <c r="P112" s="1"/>
      <c r="Q112" s="1"/>
      <c r="R112" s="1"/>
      <c r="S112" s="1"/>
      <c r="T112" s="1"/>
      <c r="U112" s="1"/>
      <c r="V112" s="1"/>
      <c r="W112" s="1"/>
      <c r="X112" s="1"/>
      <c r="Y112" s="1"/>
      <c r="Z112" s="1"/>
    </row>
    <row r="113">
      <c r="A113" s="1" t="str">
        <f>IFERROR(__xludf.DUMMYFUNCTION("""COMPUTED_VALUE"""),"Foul Night Blade")</f>
        <v>Foul Night Blade</v>
      </c>
      <c r="B113" s="1"/>
      <c r="C113" s="1" t="str">
        <f>IFERROR(__xludf.DUMMYFUNCTION("""COMPUTED_VALUE"""),"Sword")</f>
        <v>Sword</v>
      </c>
      <c r="D113" s="1" t="str">
        <f>IFERROR(__xludf.DUMMYFUNCTION("""COMPUTED_VALUE"""),"Hand")</f>
        <v>Hand</v>
      </c>
      <c r="E113" s="1">
        <f>IFERROR(__xludf.DUMMYFUNCTION("""COMPUTED_VALUE"""),200.0)</f>
        <v>200</v>
      </c>
      <c r="F113" s="1" t="str">
        <f>IFERROR(__xludf.DUMMYFUNCTION("""COMPUTED_VALUE"""),"DMG: +5000, Nature DMG: +5000 (Foul Night Set) ++Poison 5000 for 3 rounds. ++Foul Night Embodiment - When Equipped  Any Dark, Nature or Poison damage is X4.")</f>
        <v>DMG: +5000, Nature DMG: +5000 (Foul Night Set) ++Poison 5000 for 3 rounds. ++Foul Night Embodiment - When Equipped  Any Dark, Nature or Poison damage is X4.</v>
      </c>
      <c r="G113" s="1">
        <f>IFERROR(__xludf.DUMMYFUNCTION("""COMPUTED_VALUE"""),1900000.0)</f>
        <v>1900000</v>
      </c>
      <c r="H113" s="1"/>
      <c r="I113" s="1"/>
      <c r="J113" s="1"/>
      <c r="K113" s="1"/>
      <c r="L113" s="1"/>
      <c r="M113" s="1"/>
      <c r="N113" s="1"/>
      <c r="O113" s="1"/>
      <c r="P113" s="1"/>
      <c r="Q113" s="1"/>
      <c r="R113" s="1"/>
      <c r="S113" s="1"/>
      <c r="T113" s="1"/>
      <c r="U113" s="1"/>
      <c r="V113" s="1"/>
      <c r="W113" s="1"/>
      <c r="X113" s="1"/>
      <c r="Y113" s="1"/>
      <c r="Z113" s="1"/>
    </row>
    <row r="114">
      <c r="A114" s="1" t="str">
        <f>IFERROR(__xludf.DUMMYFUNCTION("""COMPUTED_VALUE"""),"Freezing Chains")</f>
        <v>Freezing Chains</v>
      </c>
      <c r="B114" s="1"/>
      <c r="C114" s="1" t="str">
        <f>IFERROR(__xludf.DUMMYFUNCTION("""COMPUTED_VALUE"""),"Club")</f>
        <v>Club</v>
      </c>
      <c r="D114" s="1" t="str">
        <f>IFERROR(__xludf.DUMMYFUNCTION("""COMPUTED_VALUE"""),"Hand")</f>
        <v>Hand</v>
      </c>
      <c r="E114" s="1">
        <f>IFERROR(__xludf.DUMMYFUNCTION("""COMPUTED_VALUE"""),200.0)</f>
        <v>200</v>
      </c>
      <c r="F114" s="1" t="str">
        <f>IFERROR(__xludf.DUMMYFUNCTION("""COMPUTED_VALUE"""),"DMG: +5000, Water DMG: +5000 ++Frost Bind- binds the target freezing them until the end of their next turn")</f>
        <v>DMG: +5000, Water DMG: +5000 ++Frost Bind- binds the target freezing them until the end of their next turn</v>
      </c>
      <c r="G114" s="1">
        <f>IFERROR(__xludf.DUMMYFUNCTION("""COMPUTED_VALUE"""),1900000.0)</f>
        <v>1900000</v>
      </c>
      <c r="H114" s="1"/>
      <c r="I114" s="1"/>
      <c r="J114" s="1"/>
      <c r="K114" s="1"/>
      <c r="L114" s="1"/>
      <c r="M114" s="1"/>
      <c r="N114" s="1"/>
      <c r="O114" s="1"/>
      <c r="P114" s="1"/>
      <c r="Q114" s="1"/>
      <c r="R114" s="1"/>
      <c r="S114" s="1"/>
      <c r="T114" s="1"/>
      <c r="U114" s="1"/>
      <c r="V114" s="1"/>
      <c r="W114" s="1"/>
      <c r="X114" s="1"/>
      <c r="Y114" s="1"/>
      <c r="Z114" s="1"/>
    </row>
    <row r="115">
      <c r="A115" s="1" t="str">
        <f>IFERROR(__xludf.DUMMYFUNCTION("""COMPUTED_VALUE"""),"Frost Bow")</f>
        <v>Frost Bow</v>
      </c>
      <c r="B115" s="1"/>
      <c r="C115" s="1" t="str">
        <f>IFERROR(__xludf.DUMMYFUNCTION("""COMPUTED_VALUE"""),"Bow")</f>
        <v>Bow</v>
      </c>
      <c r="D115" s="1" t="str">
        <f>IFERROR(__xludf.DUMMYFUNCTION("""COMPUTED_VALUE"""),"Hand")</f>
        <v>Hand</v>
      </c>
      <c r="E115" s="1">
        <f>IFERROR(__xludf.DUMMYFUNCTION("""COMPUTED_VALUE"""),180.0)</f>
        <v>180</v>
      </c>
      <c r="F115" s="1" t="str">
        <f>IFERROR(__xludf.DUMMYFUNCTION("""COMPUTED_VALUE"""),"DMG: +5000, Water DMG: +4000 ++Arrows Used with this bow have a 50% chance to freeze the target(s)")</f>
        <v>DMG: +5000, Water DMG: +4000 ++Arrows Used with this bow have a 50% chance to freeze the target(s)</v>
      </c>
      <c r="G115" s="1">
        <f>IFERROR(__xludf.DUMMYFUNCTION("""COMPUTED_VALUE"""),1530000.0)</f>
        <v>1530000</v>
      </c>
      <c r="H115" s="1"/>
      <c r="I115" s="1"/>
      <c r="J115" s="1"/>
      <c r="K115" s="1"/>
      <c r="L115" s="1"/>
      <c r="M115" s="1"/>
      <c r="N115" s="1"/>
      <c r="O115" s="1"/>
      <c r="P115" s="1"/>
      <c r="Q115" s="1"/>
      <c r="R115" s="1"/>
      <c r="S115" s="1"/>
      <c r="T115" s="1"/>
      <c r="U115" s="1"/>
      <c r="V115" s="1"/>
      <c r="W115" s="1"/>
      <c r="X115" s="1"/>
      <c r="Y115" s="1"/>
      <c r="Z115" s="1"/>
    </row>
    <row r="116">
      <c r="A116" s="1" t="str">
        <f>IFERROR(__xludf.DUMMYFUNCTION("""COMPUTED_VALUE"""),"Frost Cloak")</f>
        <v>Frost Cloak</v>
      </c>
      <c r="B116" s="1"/>
      <c r="C116" s="1"/>
      <c r="D116" s="1" t="str">
        <f>IFERROR(__xludf.DUMMYFUNCTION("""COMPUTED_VALUE"""),"Torso")</f>
        <v>Torso</v>
      </c>
      <c r="E116" s="1">
        <f>IFERROR(__xludf.DUMMYFUNCTION("""COMPUTED_VALUE"""),1.0)</f>
        <v>1</v>
      </c>
      <c r="F116" s="1" t="str">
        <f>IFERROR(__xludf.DUMMYFUNCTION("""COMPUTED_VALUE""")," (Frost Mage Set) ++When caster is hit by an enemy,the enemy is frozen for 5r/s caster,s cloak last for 3 r/s 90 sp")</f>
        <v> (Frost Mage Set) ++When caster is hit by an enemy,the enemy is frozen for 5r/s caster,s cloak last for 3 r/s 90 sp</v>
      </c>
      <c r="G116" s="1">
        <f>IFERROR(__xludf.DUMMYFUNCTION("""COMPUTED_VALUE"""),0.0)</f>
        <v>0</v>
      </c>
      <c r="H116" s="1"/>
      <c r="I116" s="1"/>
      <c r="J116" s="1"/>
      <c r="K116" s="1"/>
      <c r="L116" s="1"/>
      <c r="M116" s="1"/>
      <c r="N116" s="1"/>
      <c r="O116" s="1"/>
      <c r="P116" s="1"/>
      <c r="Q116" s="1"/>
      <c r="R116" s="1"/>
      <c r="S116" s="1"/>
      <c r="T116" s="1"/>
      <c r="U116" s="1"/>
      <c r="V116" s="1"/>
      <c r="W116" s="1"/>
      <c r="X116" s="1"/>
      <c r="Y116" s="1"/>
      <c r="Z116" s="1"/>
    </row>
    <row r="117">
      <c r="A117" s="1" t="str">
        <f>IFERROR(__xludf.DUMMYFUNCTION("""COMPUTED_VALUE"""),"Frost Spear")</f>
        <v>Frost Spear</v>
      </c>
      <c r="B117" s="1" t="str">
        <f>IFERROR(__xludf.DUMMYFUNCTION("""COMPUTED_VALUE"""),"Event Exclusive")</f>
        <v>Event Exclusive</v>
      </c>
      <c r="C117" s="1" t="str">
        <f>IFERROR(__xludf.DUMMYFUNCTION("""COMPUTED_VALUE"""),"Spear")</f>
        <v>Spear</v>
      </c>
      <c r="D117" s="1" t="str">
        <f>IFERROR(__xludf.DUMMYFUNCTION("""COMPUTED_VALUE"""),"Hand")</f>
        <v>Hand</v>
      </c>
      <c r="E117" s="1">
        <f>IFERROR(__xludf.DUMMYFUNCTION("""COMPUTED_VALUE"""),1000.0)</f>
        <v>1000</v>
      </c>
      <c r="F117" s="1" t="str">
        <f>IFERROR(__xludf.DUMMYFUNCTION("""COMPUTED_VALUE"""),"DMG: +25000, Storm DMG: +25000 (The Frozen Spear Master Set) ++50% chance to freeze any enemies hit with this weapon")</f>
        <v>DMG: +25000, Storm DMG: +25000 (The Frozen Spear Master Set) ++50% chance to freeze any enemies hit with this weapon</v>
      </c>
      <c r="G117" s="1">
        <f>IFERROR(__xludf.DUMMYFUNCTION("""COMPUTED_VALUE"""),4.95E7)</f>
        <v>49500000</v>
      </c>
      <c r="H117" s="1"/>
      <c r="I117" s="1"/>
      <c r="J117" s="1"/>
      <c r="K117" s="1"/>
      <c r="L117" s="1"/>
      <c r="M117" s="1"/>
      <c r="N117" s="1"/>
      <c r="O117" s="1"/>
      <c r="P117" s="1"/>
      <c r="Q117" s="1"/>
      <c r="R117" s="1"/>
      <c r="S117" s="1"/>
      <c r="T117" s="1"/>
      <c r="U117" s="1"/>
      <c r="V117" s="1"/>
      <c r="W117" s="1"/>
      <c r="X117" s="1"/>
      <c r="Y117" s="1"/>
      <c r="Z117" s="1"/>
    </row>
    <row r="118">
      <c r="A118" s="1" t="str">
        <f>IFERROR(__xludf.DUMMYFUNCTION("""COMPUTED_VALUE"""),"Frozen Carrot Dagger")</f>
        <v>Frozen Carrot Dagger</v>
      </c>
      <c r="B118" s="1" t="str">
        <f>IFERROR(__xludf.DUMMYFUNCTION("""COMPUTED_VALUE"""),"Event Exclusive")</f>
        <v>Event Exclusive</v>
      </c>
      <c r="C118" s="1" t="str">
        <f>IFERROR(__xludf.DUMMYFUNCTION("""COMPUTED_VALUE"""),"Knife")</f>
        <v>Knife</v>
      </c>
      <c r="D118" s="1" t="str">
        <f>IFERROR(__xludf.DUMMYFUNCTION("""COMPUTED_VALUE"""),"Hand")</f>
        <v>Hand</v>
      </c>
      <c r="E118" s="1">
        <f>IFERROR(__xludf.DUMMYFUNCTION("""COMPUTED_VALUE"""),200.0)</f>
        <v>200</v>
      </c>
      <c r="F118" s="1" t="str">
        <f>IFERROR(__xludf.DUMMYFUNCTION("""COMPUTED_VALUE"""),"DMG: +5000, Water DMG: +5000")</f>
        <v>DMG: +5000, Water DMG: +5000</v>
      </c>
      <c r="G118" s="1">
        <f>IFERROR(__xludf.DUMMYFUNCTION("""COMPUTED_VALUE"""),1900000.0)</f>
        <v>1900000</v>
      </c>
      <c r="H118" s="1"/>
      <c r="I118" s="1"/>
      <c r="J118" s="1"/>
      <c r="K118" s="1"/>
      <c r="L118" s="1"/>
      <c r="M118" s="1"/>
      <c r="N118" s="1"/>
      <c r="O118" s="1"/>
      <c r="P118" s="1"/>
      <c r="Q118" s="1"/>
      <c r="R118" s="1"/>
      <c r="S118" s="1"/>
      <c r="T118" s="1"/>
      <c r="U118" s="1"/>
      <c r="V118" s="1"/>
      <c r="W118" s="1"/>
      <c r="X118" s="1"/>
      <c r="Y118" s="1"/>
      <c r="Z118" s="1"/>
    </row>
    <row r="119">
      <c r="A119" s="1" t="str">
        <f>IFERROR(__xludf.DUMMYFUNCTION("""COMPUTED_VALUE"""),"Frozen Falchion")</f>
        <v>Frozen Falchion</v>
      </c>
      <c r="B119" s="1"/>
      <c r="C119" s="1" t="str">
        <f>IFERROR(__xludf.DUMMYFUNCTION("""COMPUTED_VALUE"""),"Sword")</f>
        <v>Sword</v>
      </c>
      <c r="D119" s="1" t="str">
        <f>IFERROR(__xludf.DUMMYFUNCTION("""COMPUTED_VALUE"""),"Hand")</f>
        <v>Hand</v>
      </c>
      <c r="E119" s="1">
        <f>IFERROR(__xludf.DUMMYFUNCTION("""COMPUTED_VALUE"""),400.0)</f>
        <v>400</v>
      </c>
      <c r="F119" s="1" t="str">
        <f>IFERROR(__xludf.DUMMYFUNCTION("""COMPUTED_VALUE"""),"DMG: +10000, Water DMG: +10000 ++40% chance to freeze the target. ++While enemies are frozen in battle they will take 20,000 Water damage per round. +-Cannot be duplicated.")</f>
        <v>DMG: +10000, Water DMG: +10000 ++40% chance to freeze the target. ++While enemies are frozen in battle they will take 20,000 Water damage per round. +-Cannot be duplicated.</v>
      </c>
      <c r="G119" s="1">
        <f>IFERROR(__xludf.DUMMYFUNCTION("""COMPUTED_VALUE"""),7800000.0)</f>
        <v>7800000</v>
      </c>
      <c r="H119" s="1"/>
      <c r="I119" s="1"/>
      <c r="J119" s="1"/>
      <c r="K119" s="1"/>
      <c r="L119" s="1"/>
      <c r="M119" s="1"/>
      <c r="N119" s="1"/>
      <c r="O119" s="1"/>
      <c r="P119" s="1"/>
      <c r="Q119" s="1"/>
      <c r="R119" s="1"/>
      <c r="S119" s="1"/>
      <c r="T119" s="1"/>
      <c r="U119" s="1"/>
      <c r="V119" s="1"/>
      <c r="W119" s="1"/>
      <c r="X119" s="1"/>
      <c r="Y119" s="1"/>
      <c r="Z119" s="1"/>
    </row>
    <row r="120">
      <c r="A120" s="1" t="str">
        <f>IFERROR(__xludf.DUMMYFUNCTION("""COMPUTED_VALUE"""),"Frozen Soul Lantern")</f>
        <v>Frozen Soul Lantern</v>
      </c>
      <c r="B120" s="1"/>
      <c r="C120" s="1" t="str">
        <f>IFERROR(__xludf.DUMMYFUNCTION("""COMPUTED_VALUE"""),"Wand")</f>
        <v>Wand</v>
      </c>
      <c r="D120" s="1" t="str">
        <f>IFERROR(__xludf.DUMMYFUNCTION("""COMPUTED_VALUE"""),"Hand")</f>
        <v>Hand</v>
      </c>
      <c r="E120" s="1">
        <f>IFERROR(__xludf.DUMMYFUNCTION("""COMPUTED_VALUE"""),1.0)</f>
        <v>1</v>
      </c>
      <c r="F120" s="1" t="str">
        <f>IFERROR(__xludf.DUMMYFUNCTION("""COMPUTED_VALUE""")," ++When a spell that deals damage is casted by an enemy this item will inflict the effect Frostburn. ++Frostburn - The Targets spell damage is halved.")</f>
        <v> ++When a spell that deals damage is casted by an enemy this item will inflict the effect Frostburn. ++Frostburn - The Targets spell damage is halved.</v>
      </c>
      <c r="G120" s="1">
        <f>IFERROR(__xludf.DUMMYFUNCTION("""COMPUTED_VALUE"""),0.0)</f>
        <v>0</v>
      </c>
      <c r="H120" s="1"/>
      <c r="I120" s="1"/>
      <c r="J120" s="1"/>
      <c r="K120" s="1"/>
      <c r="L120" s="1"/>
      <c r="M120" s="1"/>
      <c r="N120" s="1"/>
      <c r="O120" s="1"/>
      <c r="P120" s="1"/>
      <c r="Q120" s="1"/>
      <c r="R120" s="1"/>
      <c r="S120" s="1"/>
      <c r="T120" s="1"/>
      <c r="U120" s="1"/>
      <c r="V120" s="1"/>
      <c r="W120" s="1"/>
      <c r="X120" s="1"/>
      <c r="Y120" s="1"/>
      <c r="Z120" s="1"/>
    </row>
    <row r="121">
      <c r="A121" s="1" t="str">
        <f>IFERROR(__xludf.DUMMYFUNCTION("""COMPUTED_VALUE"""),"Gargoyle War Horn")</f>
        <v>Gargoyle War Horn</v>
      </c>
      <c r="B121" s="1"/>
      <c r="C121" s="1" t="str">
        <f>IFERROR(__xludf.DUMMYFUNCTION("""COMPUTED_VALUE"""),"Wand")</f>
        <v>Wand</v>
      </c>
      <c r="D121" s="1" t="str">
        <f>IFERROR(__xludf.DUMMYFUNCTION("""COMPUTED_VALUE"""),"Hand")</f>
        <v>Hand</v>
      </c>
      <c r="E121" s="1">
        <f>IFERROR(__xludf.DUMMYFUNCTION("""COMPUTED_VALUE"""),1.0)</f>
        <v>1</v>
      </c>
      <c r="F121" s="1" t="str">
        <f>IFERROR(__xludf.DUMMYFUNCTION("""COMPUTED_VALUE""")," ++Summons a d2 of Gargoyles to help you in battle. +-Can only be used once per battle.")</f>
        <v> ++Summons a d2 of Gargoyles to help you in battle. +-Can only be used once per battle.</v>
      </c>
      <c r="G121" s="1">
        <f>IFERROR(__xludf.DUMMYFUNCTION("""COMPUTED_VALUE"""),0.0)</f>
        <v>0</v>
      </c>
      <c r="H121" s="1"/>
      <c r="I121" s="1"/>
      <c r="J121" s="1"/>
      <c r="K121" s="1"/>
      <c r="L121" s="1"/>
      <c r="M121" s="1"/>
      <c r="N121" s="1"/>
      <c r="O121" s="1"/>
      <c r="P121" s="1"/>
      <c r="Q121" s="1"/>
      <c r="R121" s="1"/>
      <c r="S121" s="1"/>
      <c r="T121" s="1"/>
      <c r="U121" s="1"/>
      <c r="V121" s="1"/>
      <c r="W121" s="1"/>
      <c r="X121" s="1"/>
      <c r="Y121" s="1"/>
      <c r="Z121" s="1"/>
    </row>
    <row r="122">
      <c r="A122" s="1" t="str">
        <f>IFERROR(__xludf.DUMMYFUNCTION("""COMPUTED_VALUE"""),"Gargoyle’s Heavy Enchanted Bow")</f>
        <v>Gargoyle’s Heavy Enchanted Bow</v>
      </c>
      <c r="B122" s="1"/>
      <c r="C122" s="1" t="str">
        <f>IFERROR(__xludf.DUMMYFUNCTION("""COMPUTED_VALUE"""),"Bow")</f>
        <v>Bow</v>
      </c>
      <c r="D122" s="1" t="str">
        <f>IFERROR(__xludf.DUMMYFUNCTION("""COMPUTED_VALUE"""),"Hand")</f>
        <v>Hand</v>
      </c>
      <c r="E122" s="1">
        <f>IFERROR(__xludf.DUMMYFUNCTION("""COMPUTED_VALUE"""),3000.0)</f>
        <v>3000</v>
      </c>
      <c r="F122" s="1" t="str">
        <f>IFERROR(__xludf.DUMMYFUNCTION("""COMPUTED_VALUE"""),"DMG: +100000, Earth DMG: +50000 ++Damage dealt with this bow gives you hp back equal to the damage you dealt. ")</f>
        <v>DMG: +100000, Earth DMG: +50000 ++Damage dealt with this bow gives you hp back equal to the damage you dealt. </v>
      </c>
      <c r="G122" s="1">
        <f>IFERROR(__xludf.DUMMYFUNCTION("""COMPUTED_VALUE"""),4.485E8)</f>
        <v>448500000</v>
      </c>
      <c r="H122" s="1"/>
      <c r="I122" s="1"/>
      <c r="J122" s="1"/>
      <c r="K122" s="1"/>
      <c r="L122" s="1"/>
      <c r="M122" s="1"/>
      <c r="N122" s="1"/>
      <c r="O122" s="1"/>
      <c r="P122" s="1"/>
      <c r="Q122" s="1"/>
      <c r="R122" s="1"/>
      <c r="S122" s="1"/>
      <c r="T122" s="1"/>
      <c r="U122" s="1"/>
      <c r="V122" s="1"/>
      <c r="W122" s="1"/>
      <c r="X122" s="1"/>
      <c r="Y122" s="1"/>
      <c r="Z122" s="1"/>
    </row>
    <row r="123">
      <c r="A123" s="1" t="str">
        <f>IFERROR(__xludf.DUMMYFUNCTION("""COMPUTED_VALUE"""),"Gargoyle’s Necklace of Luck ")</f>
        <v>Gargoyle’s Necklace of Luck </v>
      </c>
      <c r="B123" s="1"/>
      <c r="C123" s="1"/>
      <c r="D123" s="1" t="str">
        <f>IFERROR(__xludf.DUMMYFUNCTION("""COMPUTED_VALUE"""),"Neck")</f>
        <v>Neck</v>
      </c>
      <c r="E123" s="1">
        <f>IFERROR(__xludf.DUMMYFUNCTION("""COMPUTED_VALUE"""),1.0)</f>
        <v>1</v>
      </c>
      <c r="F123" s="1" t="str">
        <f>IFERROR(__xludf.DUMMYFUNCTION("""COMPUTED_VALUE""")," ++Allows 1 d20 roll to be a 20 once per battle or 1 rp action per day of travel. +-Cannot be forged +-Cannot be duplicated +-Can only equip one")</f>
        <v> ++Allows 1 d20 roll to be a 20 once per battle or 1 rp action per day of travel. +-Cannot be forged +-Cannot be duplicated +-Can only equip one</v>
      </c>
      <c r="G123" s="1">
        <f>IFERROR(__xludf.DUMMYFUNCTION("""COMPUTED_VALUE"""),0.0)</f>
        <v>0</v>
      </c>
      <c r="H123" s="1"/>
      <c r="I123" s="1"/>
      <c r="J123" s="1"/>
      <c r="K123" s="1"/>
      <c r="L123" s="1"/>
      <c r="M123" s="1"/>
      <c r="N123" s="1"/>
      <c r="O123" s="1"/>
      <c r="P123" s="1"/>
      <c r="Q123" s="1"/>
      <c r="R123" s="1"/>
      <c r="S123" s="1"/>
      <c r="T123" s="1"/>
      <c r="U123" s="1"/>
      <c r="V123" s="1"/>
      <c r="W123" s="1"/>
      <c r="X123" s="1"/>
      <c r="Y123" s="1"/>
      <c r="Z123" s="1"/>
    </row>
    <row r="124">
      <c r="A124" s="1" t="str">
        <f>IFERROR(__xludf.DUMMYFUNCTION("""COMPUTED_VALUE"""),"Gargoyle’s Ring")</f>
        <v>Gargoyle’s Ring</v>
      </c>
      <c r="B124" s="1"/>
      <c r="C124" s="1"/>
      <c r="D124" s="1" t="str">
        <f>IFERROR(__xludf.DUMMYFUNCTION("""COMPUTED_VALUE"""),"Ring")</f>
        <v>Ring</v>
      </c>
      <c r="E124" s="1">
        <f>IFERROR(__xludf.DUMMYFUNCTION("""COMPUTED_VALUE"""),1.0)</f>
        <v>1</v>
      </c>
      <c r="F124" s="1" t="str">
        <f>IFERROR(__xludf.DUMMYFUNCTION("""COMPUTED_VALUE""")," ++If you chose the gargoyle race as your main starting race this ring will make it so you will not become hardened.")</f>
        <v> ++If you chose the gargoyle race as your main starting race this ring will make it so you will not become hardened.</v>
      </c>
      <c r="G124" s="1">
        <f>IFERROR(__xludf.DUMMYFUNCTION("""COMPUTED_VALUE"""),0.0)</f>
        <v>0</v>
      </c>
      <c r="H124" s="1"/>
      <c r="I124" s="1"/>
      <c r="J124" s="1"/>
      <c r="K124" s="1"/>
      <c r="L124" s="1"/>
      <c r="M124" s="1"/>
      <c r="N124" s="1"/>
      <c r="O124" s="1"/>
      <c r="P124" s="1"/>
      <c r="Q124" s="1"/>
      <c r="R124" s="1"/>
      <c r="S124" s="1"/>
      <c r="T124" s="1"/>
      <c r="U124" s="1"/>
      <c r="V124" s="1"/>
      <c r="W124" s="1"/>
      <c r="X124" s="1"/>
      <c r="Y124" s="1"/>
      <c r="Z124" s="1"/>
    </row>
    <row r="125">
      <c r="A125" s="1" t="str">
        <f>IFERROR(__xludf.DUMMYFUNCTION("""COMPUTED_VALUE"""),"Giant Spider Leg")</f>
        <v>Giant Spider Leg</v>
      </c>
      <c r="B125" s="1"/>
      <c r="C125" s="1" t="str">
        <f>IFERROR(__xludf.DUMMYFUNCTION("""COMPUTED_VALUE"""),"Knife")</f>
        <v>Knife</v>
      </c>
      <c r="D125" s="1" t="str">
        <f>IFERROR(__xludf.DUMMYFUNCTION("""COMPUTED_VALUE"""),"Hand")</f>
        <v>Hand</v>
      </c>
      <c r="E125" s="1">
        <f>IFERROR(__xludf.DUMMYFUNCTION("""COMPUTED_VALUE"""),200.0)</f>
        <v>200</v>
      </c>
      <c r="F125" s="1" t="str">
        <f>IFERROR(__xludf.DUMMYFUNCTION("""COMPUTED_VALUE"""),"ATK: +10000 ++When hitting an enemy inflict them with poison 500")</f>
        <v>ATK: +10000 ++When hitting an enemy inflict them with poison 500</v>
      </c>
      <c r="G125" s="1">
        <f>IFERROR(__xludf.DUMMYFUNCTION("""COMPUTED_VALUE"""),1900000.0)</f>
        <v>1900000</v>
      </c>
      <c r="H125" s="1"/>
      <c r="I125" s="1"/>
      <c r="J125" s="1"/>
      <c r="K125" s="1"/>
      <c r="L125" s="1"/>
      <c r="M125" s="1"/>
      <c r="N125" s="1"/>
      <c r="O125" s="1"/>
      <c r="P125" s="1"/>
      <c r="Q125" s="1"/>
      <c r="R125" s="1"/>
      <c r="S125" s="1"/>
      <c r="T125" s="1"/>
      <c r="U125" s="1"/>
      <c r="V125" s="1"/>
      <c r="W125" s="1"/>
      <c r="X125" s="1"/>
      <c r="Y125" s="1"/>
      <c r="Z125" s="1"/>
    </row>
    <row r="126">
      <c r="A126" s="1" t="str">
        <f>IFERROR(__xludf.DUMMYFUNCTION("""COMPUTED_VALUE"""),"Glass Shield")</f>
        <v>Glass Shield</v>
      </c>
      <c r="B126" s="1"/>
      <c r="C126" s="1" t="str">
        <f>IFERROR(__xludf.DUMMYFUNCTION("""COMPUTED_VALUE"""),"Towershield")</f>
        <v>Towershield</v>
      </c>
      <c r="D126" s="1" t="str">
        <f>IFERROR(__xludf.DUMMYFUNCTION("""COMPUTED_VALUE"""),"Hand")</f>
        <v>Hand</v>
      </c>
      <c r="E126" s="1">
        <f>IFERROR(__xludf.DUMMYFUNCTION("""COMPUTED_VALUE"""),1000.0)</f>
        <v>1000</v>
      </c>
      <c r="F126" s="1" t="str">
        <f>IFERROR(__xludf.DUMMYFUNCTION("""COMPUTED_VALUE"""),"DEF: +50000 +-has a 50% chance of breaking upon taking damage")</f>
        <v>DEF: +50000 +-has a 50% chance of breaking upon taking damage</v>
      </c>
      <c r="G126" s="1">
        <f>IFERROR(__xludf.DUMMYFUNCTION("""COMPUTED_VALUE"""),4.95E7)</f>
        <v>49500000</v>
      </c>
      <c r="H126" s="1"/>
      <c r="I126" s="1"/>
      <c r="J126" s="1"/>
      <c r="K126" s="1"/>
      <c r="L126" s="1"/>
      <c r="M126" s="1"/>
      <c r="N126" s="1"/>
      <c r="O126" s="1"/>
      <c r="P126" s="1"/>
      <c r="Q126" s="1"/>
      <c r="R126" s="1"/>
      <c r="S126" s="1"/>
      <c r="T126" s="1"/>
      <c r="U126" s="1"/>
      <c r="V126" s="1"/>
      <c r="W126" s="1"/>
      <c r="X126" s="1"/>
      <c r="Y126" s="1"/>
      <c r="Z126" s="1"/>
    </row>
    <row r="127">
      <c r="A127" s="1" t="str">
        <f>IFERROR(__xludf.DUMMYFUNCTION("""COMPUTED_VALUE"""),"Goose Staff")</f>
        <v>Goose Staff</v>
      </c>
      <c r="B127" s="1"/>
      <c r="C127" s="1" t="str">
        <f>IFERROR(__xludf.DUMMYFUNCTION("""COMPUTED_VALUE"""),"Staff")</f>
        <v>Staff</v>
      </c>
      <c r="D127" s="1" t="str">
        <f>IFERROR(__xludf.DUMMYFUNCTION("""COMPUTED_VALUE"""),"Hand")</f>
        <v>Hand</v>
      </c>
      <c r="E127" s="1">
        <f>IFERROR(__xludf.DUMMYFUNCTION("""COMPUTED_VALUE"""),1.0)</f>
        <v>1</v>
      </c>
      <c r="F127" s="1" t="str">
        <f>IFERROR(__xludf.DUMMYFUNCTION("""COMPUTED_VALUE""")," ++Summons Lord Goose to aid you in battle, 1000 SP.")</f>
        <v> ++Summons Lord Goose to aid you in battle, 1000 SP.</v>
      </c>
      <c r="G127" s="1">
        <f>IFERROR(__xludf.DUMMYFUNCTION("""COMPUTED_VALUE"""),0.0)</f>
        <v>0</v>
      </c>
      <c r="H127" s="1"/>
      <c r="I127" s="1"/>
      <c r="J127" s="1"/>
      <c r="K127" s="1"/>
      <c r="L127" s="1"/>
      <c r="M127" s="1"/>
      <c r="N127" s="1"/>
      <c r="O127" s="1"/>
      <c r="P127" s="1"/>
      <c r="Q127" s="1"/>
      <c r="R127" s="1"/>
      <c r="S127" s="1"/>
      <c r="T127" s="1"/>
      <c r="U127" s="1"/>
      <c r="V127" s="1"/>
      <c r="W127" s="1"/>
      <c r="X127" s="1"/>
      <c r="Y127" s="1"/>
      <c r="Z127" s="1"/>
    </row>
    <row r="128">
      <c r="A128" s="1" t="str">
        <f>IFERROR(__xludf.DUMMYFUNCTION("""COMPUTED_VALUE"""),"Grand Hellfire Sword")</f>
        <v>Grand Hellfire Sword</v>
      </c>
      <c r="B128" s="1"/>
      <c r="C128" s="1" t="str">
        <f>IFERROR(__xludf.DUMMYFUNCTION("""COMPUTED_VALUE"""),"Sword")</f>
        <v>Sword</v>
      </c>
      <c r="D128" s="1" t="str">
        <f>IFERROR(__xludf.DUMMYFUNCTION("""COMPUTED_VALUE"""),"Hand")</f>
        <v>Hand</v>
      </c>
      <c r="E128" s="1">
        <f>IFERROR(__xludf.DUMMYFUNCTION("""COMPUTED_VALUE"""),200.0)</f>
        <v>200</v>
      </c>
      <c r="F128" s="1" t="str">
        <f>IFERROR(__xludf.DUMMYFUNCTION("""COMPUTED_VALUE"""),"DMG: +50000, Fire DMG: +100000, Dark DMG: +50000, Chaos DMG: +50000, Celestial DMG: +50000 ++Upon a successful hit this weapon will have a 20% chance to summon a Grand Dark and Fire Mage, Level is determined by DM/GM. +-Cannot be Duplicated.")</f>
        <v>DMG: +50000, Fire DMG: +100000, Dark DMG: +50000, Chaos DMG: +50000, Celestial DMG: +50000 ++Upon a successful hit this weapon will have a 20% chance to summon a Grand Dark and Fire Mage, Level is determined by DM/GM. +-Cannot be Duplicated.</v>
      </c>
      <c r="G128" s="1">
        <f>IFERROR(__xludf.DUMMYFUNCTION("""COMPUTED_VALUE"""),1.797E9)</f>
        <v>1797000000</v>
      </c>
      <c r="H128" s="1"/>
      <c r="I128" s="1"/>
      <c r="J128" s="1"/>
      <c r="K128" s="1"/>
      <c r="L128" s="1"/>
      <c r="M128" s="1"/>
      <c r="N128" s="1"/>
      <c r="O128" s="1"/>
      <c r="P128" s="1"/>
      <c r="Q128" s="1"/>
      <c r="R128" s="1"/>
      <c r="S128" s="1"/>
      <c r="T128" s="1"/>
      <c r="U128" s="1"/>
      <c r="V128" s="1"/>
      <c r="W128" s="1"/>
      <c r="X128" s="1"/>
      <c r="Y128" s="1"/>
      <c r="Z128" s="1"/>
    </row>
    <row r="129">
      <c r="A129" s="1" t="str">
        <f>IFERROR(__xludf.DUMMYFUNCTION("""COMPUTED_VALUE"""),"Grand Master Bow")</f>
        <v>Grand Master Bow</v>
      </c>
      <c r="B129" s="1"/>
      <c r="C129" s="1" t="str">
        <f>IFERROR(__xludf.DUMMYFUNCTION("""COMPUTED_VALUE"""),"Bow")</f>
        <v>Bow</v>
      </c>
      <c r="D129" s="1" t="str">
        <f>IFERROR(__xludf.DUMMYFUNCTION("""COMPUTED_VALUE"""),"Hand")</f>
        <v>Hand</v>
      </c>
      <c r="E129" s="1">
        <f>IFERROR(__xludf.DUMMYFUNCTION("""COMPUTED_VALUE"""),20.0)</f>
        <v>20</v>
      </c>
      <c r="F129" s="1" t="str">
        <f>IFERROR(__xludf.DUMMYFUNCTION("""COMPUTED_VALUE"""),"DMG: +1000 ++X4 additional damage towards ranged attacks. +-Only Archers can equip. +-Cannot be duplicated. ")</f>
        <v>DMG: +1000 ++X4 additional damage towards ranged attacks. +-Only Archers can equip. +-Cannot be duplicated. </v>
      </c>
      <c r="G129" s="1">
        <f>IFERROR(__xludf.DUMMYFUNCTION("""COMPUTED_VALUE"""),10000.0)</f>
        <v>10000</v>
      </c>
      <c r="H129" s="1"/>
      <c r="I129" s="1"/>
      <c r="J129" s="1"/>
      <c r="K129" s="1"/>
      <c r="L129" s="1"/>
      <c r="M129" s="1"/>
      <c r="N129" s="1"/>
      <c r="O129" s="1"/>
      <c r="P129" s="1"/>
      <c r="Q129" s="1"/>
      <c r="R129" s="1"/>
      <c r="S129" s="1"/>
      <c r="T129" s="1"/>
      <c r="U129" s="1"/>
      <c r="V129" s="1"/>
      <c r="W129" s="1"/>
      <c r="X129" s="1"/>
      <c r="Y129" s="1"/>
      <c r="Z129" s="1"/>
    </row>
    <row r="130">
      <c r="A130" s="1" t="str">
        <f>IFERROR(__xludf.DUMMYFUNCTION("""COMPUTED_VALUE"""),"Grass Sword")</f>
        <v>Grass Sword</v>
      </c>
      <c r="B130" s="1" t="str">
        <f>IFERROR(__xludf.DUMMYFUNCTION("""COMPUTED_VALUE"""),"A strong grass entity in the form of a sword")</f>
        <v>A strong grass entity in the form of a sword</v>
      </c>
      <c r="C130" s="1" t="str">
        <f>IFERROR(__xludf.DUMMYFUNCTION("""COMPUTED_VALUE"""),"Sword")</f>
        <v>Sword</v>
      </c>
      <c r="D130" s="1" t="str">
        <f>IFERROR(__xludf.DUMMYFUNCTION("""COMPUTED_VALUE"""),"Hand")</f>
        <v>Hand</v>
      </c>
      <c r="E130" s="1">
        <f>IFERROR(__xludf.DUMMYFUNCTION("""COMPUTED_VALUE"""),1.0)</f>
        <v>1</v>
      </c>
      <c r="F130" s="1" t="str">
        <f>IFERROR(__xludf.DUMMYFUNCTION("""COMPUTED_VALUE"""),"DMG: +250")</f>
        <v>DMG: +250</v>
      </c>
      <c r="G130" s="1">
        <f>IFERROR(__xludf.DUMMYFUNCTION("""COMPUTED_VALUE"""),0.0)</f>
        <v>0</v>
      </c>
      <c r="H130" s="1"/>
      <c r="I130" s="1"/>
      <c r="J130" s="1"/>
      <c r="K130" s="1"/>
      <c r="L130" s="1"/>
      <c r="M130" s="1"/>
      <c r="N130" s="1"/>
      <c r="O130" s="1"/>
      <c r="P130" s="1"/>
      <c r="Q130" s="1"/>
      <c r="R130" s="1"/>
      <c r="S130" s="1"/>
      <c r="T130" s="1"/>
      <c r="U130" s="1"/>
      <c r="V130" s="1"/>
      <c r="W130" s="1"/>
      <c r="X130" s="1"/>
      <c r="Y130" s="1"/>
      <c r="Z130" s="1"/>
    </row>
    <row r="131">
      <c r="A131" s="1" t="str">
        <f>IFERROR(__xludf.DUMMYFUNCTION("""COMPUTED_VALUE"""),"Great Stone Gargoyle Sword")</f>
        <v>Great Stone Gargoyle Sword</v>
      </c>
      <c r="B131" s="1"/>
      <c r="C131" s="1" t="str">
        <f>IFERROR(__xludf.DUMMYFUNCTION("""COMPUTED_VALUE"""),"Sword")</f>
        <v>Sword</v>
      </c>
      <c r="D131" s="1" t="str">
        <f>IFERROR(__xludf.DUMMYFUNCTION("""COMPUTED_VALUE"""),"Hand")</f>
        <v>Hand</v>
      </c>
      <c r="E131" s="1">
        <f>IFERROR(__xludf.DUMMYFUNCTION("""COMPUTED_VALUE"""),4000.0)</f>
        <v>4000</v>
      </c>
      <c r="F131" s="1" t="str">
        <f>IFERROR(__xludf.DUMMYFUNCTION("""COMPUTED_VALUE"""),"DMG: +100000, Earth DMG: +100000 ++When this weapon is equipped the wielder gets X2 Attack and Defence, +-Cannot be duplicated.")</f>
        <v>DMG: +100000, Earth DMG: +100000 ++When this weapon is equipped the wielder gets X2 Attack and Defence, +-Cannot be duplicated.</v>
      </c>
      <c r="G131" s="1">
        <f>IFERROR(__xludf.DUMMYFUNCTION("""COMPUTED_VALUE"""),7.98E8)</f>
        <v>798000000</v>
      </c>
      <c r="H131" s="1"/>
      <c r="I131" s="1"/>
      <c r="J131" s="1"/>
      <c r="K131" s="1"/>
      <c r="L131" s="1"/>
      <c r="M131" s="1"/>
      <c r="N131" s="1"/>
      <c r="O131" s="1"/>
      <c r="P131" s="1"/>
      <c r="Q131" s="1"/>
      <c r="R131" s="1"/>
      <c r="S131" s="1"/>
      <c r="T131" s="1"/>
      <c r="U131" s="1"/>
      <c r="V131" s="1"/>
      <c r="W131" s="1"/>
      <c r="X131" s="1"/>
      <c r="Y131" s="1"/>
      <c r="Z131" s="1"/>
    </row>
    <row r="132">
      <c r="A132" s="1" t="str">
        <f>IFERROR(__xludf.DUMMYFUNCTION("""COMPUTED_VALUE"""),"Greaves of The Sea Serpent")</f>
        <v>Greaves of The Sea Serpent</v>
      </c>
      <c r="B132" s="1"/>
      <c r="C132" s="1"/>
      <c r="D132" s="1" t="str">
        <f>IFERROR(__xludf.DUMMYFUNCTION("""COMPUTED_VALUE"""),"Legs")</f>
        <v>Legs</v>
      </c>
      <c r="E132" s="1">
        <f>IFERROR(__xludf.DUMMYFUNCTION("""COMPUTED_VALUE"""),100.0)</f>
        <v>100</v>
      </c>
      <c r="F132" s="1" t="str">
        <f>IFERROR(__xludf.DUMMYFUNCTION("""COMPUTED_VALUE"""),"DEF: +2500, Water DEF: +2500 ++X2 additional water damage for self.")</f>
        <v>DEF: +2500, Water DEF: +2500 ++X2 additional water damage for self.</v>
      </c>
      <c r="G132" s="1">
        <f>IFERROR(__xludf.DUMMYFUNCTION("""COMPUTED_VALUE"""),450000.0)</f>
        <v>450000</v>
      </c>
      <c r="H132" s="1"/>
      <c r="I132" s="1"/>
      <c r="J132" s="1"/>
      <c r="K132" s="1"/>
      <c r="L132" s="1"/>
      <c r="M132" s="1"/>
      <c r="N132" s="1"/>
      <c r="O132" s="1"/>
      <c r="P132" s="1"/>
      <c r="Q132" s="1"/>
      <c r="R132" s="1"/>
      <c r="S132" s="1"/>
      <c r="T132" s="1"/>
      <c r="U132" s="1"/>
      <c r="V132" s="1"/>
      <c r="W132" s="1"/>
      <c r="X132" s="1"/>
      <c r="Y132" s="1"/>
      <c r="Z132" s="1"/>
    </row>
    <row r="133">
      <c r="A133" s="1" t="str">
        <f>IFERROR(__xludf.DUMMYFUNCTION("""COMPUTED_VALUE"""),"Greaves of Waking Waters")</f>
        <v>Greaves of Waking Waters</v>
      </c>
      <c r="B133" s="1"/>
      <c r="C133" s="1"/>
      <c r="D133" s="1" t="str">
        <f>IFERROR(__xludf.DUMMYFUNCTION("""COMPUTED_VALUE"""),"Legs")</f>
        <v>Legs</v>
      </c>
      <c r="E133" s="1">
        <f>IFERROR(__xludf.DUMMYFUNCTION("""COMPUTED_VALUE"""),200.0)</f>
        <v>200</v>
      </c>
      <c r="F133" s="1" t="str">
        <f>IFERROR(__xludf.DUMMYFUNCTION("""COMPUTED_VALUE"""),"DEF: +5000, Water DEF: +5000 ++X4 additional water damage for self.")</f>
        <v>DEF: +5000, Water DEF: +5000 ++X4 additional water damage for self.</v>
      </c>
      <c r="G133" s="1">
        <f>IFERROR(__xludf.DUMMYFUNCTION("""COMPUTED_VALUE"""),1900000.0)</f>
        <v>1900000</v>
      </c>
      <c r="H133" s="1"/>
      <c r="I133" s="1"/>
      <c r="J133" s="1"/>
      <c r="K133" s="1"/>
      <c r="L133" s="1"/>
      <c r="M133" s="1"/>
      <c r="N133" s="1"/>
      <c r="O133" s="1"/>
      <c r="P133" s="1"/>
      <c r="Q133" s="1"/>
      <c r="R133" s="1"/>
      <c r="S133" s="1"/>
      <c r="T133" s="1"/>
      <c r="U133" s="1"/>
      <c r="V133" s="1"/>
      <c r="W133" s="1"/>
      <c r="X133" s="1"/>
      <c r="Y133" s="1"/>
      <c r="Z133" s="1"/>
    </row>
    <row r="134">
      <c r="A134" s="1" t="str">
        <f>IFERROR(__xludf.DUMMYFUNCTION("""COMPUTED_VALUE"""),"Halloween Staff")</f>
        <v>Halloween Staff</v>
      </c>
      <c r="B134" s="1" t="str">
        <f>IFERROR(__xludf.DUMMYFUNCTION("""COMPUTED_VALUE"""),"Halloween exclusive")</f>
        <v>Halloween exclusive</v>
      </c>
      <c r="C134" s="1" t="str">
        <f>IFERROR(__xludf.DUMMYFUNCTION("""COMPUTED_VALUE"""),"Staff")</f>
        <v>Staff</v>
      </c>
      <c r="D134" s="1" t="str">
        <f>IFERROR(__xludf.DUMMYFUNCTION("""COMPUTED_VALUE"""),"Hand")</f>
        <v>Hand</v>
      </c>
      <c r="E134" s="1">
        <f>IFERROR(__xludf.DUMMYFUNCTION("""COMPUTED_VALUE"""),1.0)</f>
        <v>1</v>
      </c>
      <c r="F134" s="1" t="str">
        <f>IFERROR(__xludf.DUMMYFUNCTION("""COMPUTED_VALUE""")," ++Transform into the Headless Horseman for 3 rounds.")</f>
        <v> ++Transform into the Headless Horseman for 3 rounds.</v>
      </c>
      <c r="G134" s="1">
        <f>IFERROR(__xludf.DUMMYFUNCTION("""COMPUTED_VALUE"""),0.0)</f>
        <v>0</v>
      </c>
      <c r="H134" s="1"/>
      <c r="I134" s="1"/>
      <c r="J134" s="1"/>
      <c r="K134" s="1"/>
      <c r="L134" s="1"/>
      <c r="M134" s="1"/>
      <c r="N134" s="1"/>
      <c r="O134" s="1"/>
      <c r="P134" s="1"/>
      <c r="Q134" s="1"/>
      <c r="R134" s="1"/>
      <c r="S134" s="1"/>
      <c r="T134" s="1"/>
      <c r="U134" s="1"/>
      <c r="V134" s="1"/>
      <c r="W134" s="1"/>
      <c r="X134" s="1"/>
      <c r="Y134" s="1"/>
      <c r="Z134" s="1"/>
    </row>
    <row r="135">
      <c r="A135" s="1" t="str">
        <f>IFERROR(__xludf.DUMMYFUNCTION("""COMPUTED_VALUE"""),"Hammer of Chaotic Shadows")</f>
        <v>Hammer of Chaotic Shadows</v>
      </c>
      <c r="B135" s="1"/>
      <c r="C135" s="1" t="str">
        <f>IFERROR(__xludf.DUMMYFUNCTION("""COMPUTED_VALUE"""),"Club")</f>
        <v>Club</v>
      </c>
      <c r="D135" s="1" t="str">
        <f>IFERROR(__xludf.DUMMYFUNCTION("""COMPUTED_VALUE"""),"Hand")</f>
        <v>Hand</v>
      </c>
      <c r="E135" s="1">
        <f>IFERROR(__xludf.DUMMYFUNCTION("""COMPUTED_VALUE"""),300.0)</f>
        <v>300</v>
      </c>
      <c r="F135" s="1" t="str">
        <f>IFERROR(__xludf.DUMMYFUNCTION("""COMPUTED_VALUE"""),"DMG: +5000, Dark DMG: +5000, Chaos DMG: +5000 ++X2 Additional Dark and Chaos Damage. ")</f>
        <v>DMG: +5000, Dark DMG: +5000, Chaos DMG: +5000 ++X2 Additional Dark and Chaos Damage. </v>
      </c>
      <c r="G135" s="1">
        <f>IFERROR(__xludf.DUMMYFUNCTION("""COMPUTED_VALUE"""),4350000.0)</f>
        <v>4350000</v>
      </c>
      <c r="H135" s="1"/>
      <c r="I135" s="1"/>
      <c r="J135" s="1"/>
      <c r="K135" s="1"/>
      <c r="L135" s="1"/>
      <c r="M135" s="1"/>
      <c r="N135" s="1"/>
      <c r="O135" s="1"/>
      <c r="P135" s="1"/>
      <c r="Q135" s="1"/>
      <c r="R135" s="1"/>
      <c r="S135" s="1"/>
      <c r="T135" s="1"/>
      <c r="U135" s="1"/>
      <c r="V135" s="1"/>
      <c r="W135" s="1"/>
      <c r="X135" s="1"/>
      <c r="Y135" s="1"/>
      <c r="Z135" s="1"/>
    </row>
    <row r="136">
      <c r="A136" s="1" t="str">
        <f>IFERROR(__xludf.DUMMYFUNCTION("""COMPUTED_VALUE"""),"Hardened Ice Sickle")</f>
        <v>Hardened Ice Sickle</v>
      </c>
      <c r="B136" s="1" t="str">
        <f>IFERROR(__xludf.DUMMYFUNCTION("""COMPUTED_VALUE"""),"Event Exclusive")</f>
        <v>Event Exclusive</v>
      </c>
      <c r="C136" s="1" t="str">
        <f>IFERROR(__xludf.DUMMYFUNCTION("""COMPUTED_VALUE"""),"Knife")</f>
        <v>Knife</v>
      </c>
      <c r="D136" s="1" t="str">
        <f>IFERROR(__xludf.DUMMYFUNCTION("""COMPUTED_VALUE"""),"Hand")</f>
        <v>Hand</v>
      </c>
      <c r="E136" s="1">
        <f>IFERROR(__xludf.DUMMYFUNCTION("""COMPUTED_VALUE"""),200.0)</f>
        <v>200</v>
      </c>
      <c r="F136" s="1" t="str">
        <f>IFERROR(__xludf.DUMMYFUNCTION("""COMPUTED_VALUE"""),"DMG: +5000, Water DMG: +5000 ++75% chance to freeze the target.")</f>
        <v>DMG: +5000, Water DMG: +5000 ++75% chance to freeze the target.</v>
      </c>
      <c r="G136" s="1">
        <f>IFERROR(__xludf.DUMMYFUNCTION("""COMPUTED_VALUE"""),1900000.0)</f>
        <v>1900000</v>
      </c>
      <c r="H136" s="1"/>
      <c r="I136" s="1"/>
      <c r="J136" s="1"/>
      <c r="K136" s="1"/>
      <c r="L136" s="1"/>
      <c r="M136" s="1"/>
      <c r="N136" s="1"/>
      <c r="O136" s="1"/>
      <c r="P136" s="1"/>
      <c r="Q136" s="1"/>
      <c r="R136" s="1"/>
      <c r="S136" s="1"/>
      <c r="T136" s="1"/>
      <c r="U136" s="1"/>
      <c r="V136" s="1"/>
      <c r="W136" s="1"/>
      <c r="X136" s="1"/>
      <c r="Y136" s="1"/>
      <c r="Z136" s="1"/>
    </row>
    <row r="137">
      <c r="A137" s="1" t="str">
        <f>IFERROR(__xludf.DUMMYFUNCTION("""COMPUTED_VALUE"""),"Haunted Katana")</f>
        <v>Haunted Katana</v>
      </c>
      <c r="B137" s="1"/>
      <c r="C137" s="1" t="str">
        <f>IFERROR(__xludf.DUMMYFUNCTION("""COMPUTED_VALUE"""),"Sword")</f>
        <v>Sword</v>
      </c>
      <c r="D137" s="1" t="str">
        <f>IFERROR(__xludf.DUMMYFUNCTION("""COMPUTED_VALUE"""),"Hand")</f>
        <v>Hand</v>
      </c>
      <c r="E137" s="1">
        <f>IFERROR(__xludf.DUMMYFUNCTION("""COMPUTED_VALUE"""),600.0)</f>
        <v>600</v>
      </c>
      <c r="F137" s="1" t="str">
        <f>IFERROR(__xludf.DUMMYFUNCTION("""COMPUTED_VALUE"""),"DMG: +10000, Dark DMG: +10000, Spirit DMG: +10000 +-You go last during the turn order in battle.. ")</f>
        <v>DMG: +10000, Dark DMG: +10000, Spirit DMG: +10000 +-You go last during the turn order in battle.. </v>
      </c>
      <c r="G137" s="1">
        <f>IFERROR(__xludf.DUMMYFUNCTION("""COMPUTED_VALUE"""),1.77E7)</f>
        <v>17700000</v>
      </c>
      <c r="H137" s="1"/>
      <c r="I137" s="1"/>
      <c r="J137" s="1"/>
      <c r="K137" s="1"/>
      <c r="L137" s="1"/>
      <c r="M137" s="1"/>
      <c r="N137" s="1"/>
      <c r="O137" s="1"/>
      <c r="P137" s="1"/>
      <c r="Q137" s="1"/>
      <c r="R137" s="1"/>
      <c r="S137" s="1"/>
      <c r="T137" s="1"/>
      <c r="U137" s="1"/>
      <c r="V137" s="1"/>
      <c r="W137" s="1"/>
      <c r="X137" s="1"/>
      <c r="Y137" s="1"/>
      <c r="Z137" s="1"/>
    </row>
    <row r="138">
      <c r="A138" s="1" t="str">
        <f>IFERROR(__xludf.DUMMYFUNCTION("""COMPUTED_VALUE"""),"Haunted King's Favorite Shield")</f>
        <v>Haunted King's Favorite Shield</v>
      </c>
      <c r="B138" s="1" t="str">
        <f>IFERROR(__xludf.DUMMYFUNCTION("""COMPUTED_VALUE"""),"Halloween exclusive")</f>
        <v>Halloween exclusive</v>
      </c>
      <c r="C138" s="1" t="str">
        <f>IFERROR(__xludf.DUMMYFUNCTION("""COMPUTED_VALUE"""),"Towershield")</f>
        <v>Towershield</v>
      </c>
      <c r="D138" s="1" t="str">
        <f>IFERROR(__xludf.DUMMYFUNCTION("""COMPUTED_VALUE"""),"Hand")</f>
        <v>Hand</v>
      </c>
      <c r="E138" s="1">
        <f>IFERROR(__xludf.DUMMYFUNCTION("""COMPUTED_VALUE"""),20.0)</f>
        <v>20</v>
      </c>
      <c r="F138" s="1" t="str">
        <f>IFERROR(__xludf.DUMMYFUNCTION("""COMPUTED_VALUE"""),"DEF: +1000 ++Great Block - When attacked you will take no damage until your next turn, Costs All SP and sets Users HP to 1.")</f>
        <v>DEF: +1000 ++Great Block - When attacked you will take no damage until your next turn, Costs All SP and sets Users HP to 1.</v>
      </c>
      <c r="G138" s="1">
        <f>IFERROR(__xludf.DUMMYFUNCTION("""COMPUTED_VALUE"""),10000.0)</f>
        <v>10000</v>
      </c>
      <c r="H138" s="1"/>
      <c r="I138" s="1"/>
      <c r="J138" s="1"/>
      <c r="K138" s="1"/>
      <c r="L138" s="1"/>
      <c r="M138" s="1"/>
      <c r="N138" s="1"/>
      <c r="O138" s="1"/>
      <c r="P138" s="1"/>
      <c r="Q138" s="1"/>
      <c r="R138" s="1"/>
      <c r="S138" s="1"/>
      <c r="T138" s="1"/>
      <c r="U138" s="1"/>
      <c r="V138" s="1"/>
      <c r="W138" s="1"/>
      <c r="X138" s="1"/>
      <c r="Y138" s="1"/>
      <c r="Z138" s="1"/>
    </row>
    <row r="139">
      <c r="A139" s="1" t="str">
        <f>IFERROR(__xludf.DUMMYFUNCTION("""COMPUTED_VALUE"""),"Haunted King's Favorite Sword")</f>
        <v>Haunted King's Favorite Sword</v>
      </c>
      <c r="B139" s="1" t="str">
        <f>IFERROR(__xludf.DUMMYFUNCTION("""COMPUTED_VALUE"""),"Halloween exclusive")</f>
        <v>Halloween exclusive</v>
      </c>
      <c r="C139" s="1" t="str">
        <f>IFERROR(__xludf.DUMMYFUNCTION("""COMPUTED_VALUE"""),"Sword")</f>
        <v>Sword</v>
      </c>
      <c r="D139" s="1" t="str">
        <f>IFERROR(__xludf.DUMMYFUNCTION("""COMPUTED_VALUE"""),"Hand")</f>
        <v>Hand</v>
      </c>
      <c r="E139" s="1">
        <f>IFERROR(__xludf.DUMMYFUNCTION("""COMPUTED_VALUE"""),60.0)</f>
        <v>60</v>
      </c>
      <c r="F139" s="1" t="str">
        <f>IFERROR(__xludf.DUMMYFUNCTION("""COMPUTED_VALUE"""),"DMG: +3000 ++Piercing Strike - Ignores all Def when attacking with this weapon ++gain 1000 SP upon a successful hit. +-Cannot be duplicated")</f>
        <v>DMG: +3000 ++Piercing Strike - Ignores all Def when attacking with this weapon ++gain 1000 SP upon a successful hit. +-Cannot be duplicated</v>
      </c>
      <c r="G139" s="1">
        <f>IFERROR(__xludf.DUMMYFUNCTION("""COMPUTED_VALUE"""),150000.0)</f>
        <v>150000</v>
      </c>
      <c r="H139" s="1"/>
      <c r="I139" s="1"/>
      <c r="J139" s="1"/>
      <c r="K139" s="1"/>
      <c r="L139" s="1"/>
      <c r="M139" s="1"/>
      <c r="N139" s="1"/>
      <c r="O139" s="1"/>
      <c r="P139" s="1"/>
      <c r="Q139" s="1"/>
      <c r="R139" s="1"/>
      <c r="S139" s="1"/>
      <c r="T139" s="1"/>
      <c r="U139" s="1"/>
      <c r="V139" s="1"/>
      <c r="W139" s="1"/>
      <c r="X139" s="1"/>
      <c r="Y139" s="1"/>
      <c r="Z139" s="1"/>
    </row>
    <row r="140">
      <c r="A140" s="1" t="str">
        <f>IFERROR(__xludf.DUMMYFUNCTION("""COMPUTED_VALUE"""),"Heatmore Flame Golem Head")</f>
        <v>Heatmore Flame Golem Head</v>
      </c>
      <c r="B140" s="1"/>
      <c r="C140" s="1"/>
      <c r="D140" s="1" t="str">
        <f>IFERROR(__xludf.DUMMYFUNCTION("""COMPUTED_VALUE"""),"Head")</f>
        <v>Head</v>
      </c>
      <c r="E140" s="1">
        <f>IFERROR(__xludf.DUMMYFUNCTION("""COMPUTED_VALUE"""),300.0)</f>
        <v>300</v>
      </c>
      <c r="F140" s="1" t="str">
        <f>IFERROR(__xludf.DUMMYFUNCTION("""COMPUTED_VALUE"""),"DEF: +5000, Fire DEF: +5000, Earth DEF: +5000 ++X2 additional Earth and Fire Resistance.")</f>
        <v>DEF: +5000, Fire DEF: +5000, Earth DEF: +5000 ++X2 additional Earth and Fire Resistance.</v>
      </c>
      <c r="G140" s="1">
        <f>IFERROR(__xludf.DUMMYFUNCTION("""COMPUTED_VALUE"""),4350000.0)</f>
        <v>4350000</v>
      </c>
      <c r="H140" s="1"/>
      <c r="I140" s="1"/>
      <c r="J140" s="1"/>
      <c r="K140" s="1"/>
      <c r="L140" s="1"/>
      <c r="M140" s="1"/>
      <c r="N140" s="1"/>
      <c r="O140" s="1"/>
      <c r="P140" s="1"/>
      <c r="Q140" s="1"/>
      <c r="R140" s="1"/>
      <c r="S140" s="1"/>
      <c r="T140" s="1"/>
      <c r="U140" s="1"/>
      <c r="V140" s="1"/>
      <c r="W140" s="1"/>
      <c r="X140" s="1"/>
      <c r="Y140" s="1"/>
      <c r="Z140" s="1"/>
    </row>
    <row r="141">
      <c r="A141" s="1" t="str">
        <f>IFERROR(__xludf.DUMMYFUNCTION("""COMPUTED_VALUE"""),"Helmet of Darkness")</f>
        <v>Helmet of Darkness</v>
      </c>
      <c r="B141" s="1"/>
      <c r="C141" s="1"/>
      <c r="D141" s="1" t="str">
        <f>IFERROR(__xludf.DUMMYFUNCTION("""COMPUTED_VALUE"""),"Head")</f>
        <v>Head</v>
      </c>
      <c r="E141" s="1">
        <f>IFERROR(__xludf.DUMMYFUNCTION("""COMPUTED_VALUE"""),400.0)</f>
        <v>400</v>
      </c>
      <c r="F141" s="1" t="str">
        <f>IFERROR(__xludf.DUMMYFUNCTION("""COMPUTED_VALUE"""),"DEF: +10000, Dark DEF: +10000 ++Immunity to Dark damage.")</f>
        <v>DEF: +10000, Dark DEF: +10000 ++Immunity to Dark damage.</v>
      </c>
      <c r="G141" s="1">
        <f>IFERROR(__xludf.DUMMYFUNCTION("""COMPUTED_VALUE"""),7800000.0)</f>
        <v>7800000</v>
      </c>
      <c r="H141" s="1"/>
      <c r="I141" s="1"/>
      <c r="J141" s="1"/>
      <c r="K141" s="1"/>
      <c r="L141" s="1"/>
      <c r="M141" s="1"/>
      <c r="N141" s="1"/>
      <c r="O141" s="1"/>
      <c r="P141" s="1"/>
      <c r="Q141" s="1"/>
      <c r="R141" s="1"/>
      <c r="S141" s="1"/>
      <c r="T141" s="1"/>
      <c r="U141" s="1"/>
      <c r="V141" s="1"/>
      <c r="W141" s="1"/>
      <c r="X141" s="1"/>
      <c r="Y141" s="1"/>
      <c r="Z141" s="1"/>
    </row>
    <row r="142">
      <c r="A142" s="1" t="str">
        <f>IFERROR(__xludf.DUMMYFUNCTION("""COMPUTED_VALUE"""),"Helmet of Waking Waters")</f>
        <v>Helmet of Waking Waters</v>
      </c>
      <c r="B142" s="1"/>
      <c r="C142" s="1"/>
      <c r="D142" s="1" t="str">
        <f>IFERROR(__xludf.DUMMYFUNCTION("""COMPUTED_VALUE"""),"Head")</f>
        <v>Head</v>
      </c>
      <c r="E142" s="1">
        <f>IFERROR(__xludf.DUMMYFUNCTION("""COMPUTED_VALUE"""),200.0)</f>
        <v>200</v>
      </c>
      <c r="F142" s="1" t="str">
        <f>IFERROR(__xludf.DUMMYFUNCTION("""COMPUTED_VALUE"""),"DEF: +5000, Water DEF: +5000 ++X4 additional water damage.")</f>
        <v>DEF: +5000, Water DEF: +5000 ++X4 additional water damage.</v>
      </c>
      <c r="G142" s="1">
        <f>IFERROR(__xludf.DUMMYFUNCTION("""COMPUTED_VALUE"""),1900000.0)</f>
        <v>1900000</v>
      </c>
      <c r="H142" s="1"/>
      <c r="I142" s="1"/>
      <c r="J142" s="1"/>
      <c r="K142" s="1"/>
      <c r="L142" s="1"/>
      <c r="M142" s="1"/>
      <c r="N142" s="1"/>
      <c r="O142" s="1"/>
      <c r="P142" s="1"/>
      <c r="Q142" s="1"/>
      <c r="R142" s="1"/>
      <c r="S142" s="1"/>
      <c r="T142" s="1"/>
      <c r="U142" s="1"/>
      <c r="V142" s="1"/>
      <c r="W142" s="1"/>
      <c r="X142" s="1"/>
      <c r="Y142" s="1"/>
      <c r="Z142" s="1"/>
    </row>
    <row r="143">
      <c r="A143" s="1" t="str">
        <f>IFERROR(__xludf.DUMMYFUNCTION("""COMPUTED_VALUE"""),"High Range Bow")</f>
        <v>High Range Bow</v>
      </c>
      <c r="B143" s="1"/>
      <c r="C143" s="1" t="str">
        <f>IFERROR(__xludf.DUMMYFUNCTION("""COMPUTED_VALUE"""),"Bow")</f>
        <v>Bow</v>
      </c>
      <c r="D143" s="1" t="str">
        <f>IFERROR(__xludf.DUMMYFUNCTION("""COMPUTED_VALUE"""),"Hand")</f>
        <v>Hand</v>
      </c>
      <c r="E143" s="1">
        <f>IFERROR(__xludf.DUMMYFUNCTION("""COMPUTED_VALUE"""),10.0)</f>
        <v>10</v>
      </c>
      <c r="F143" s="1" t="str">
        <f>IFERROR(__xludf.DUMMYFUNCTION("""COMPUTED_VALUE"""),"DMG: +500 ++Hawkeye: X2 more arrow damage and ranged attacks deal half damage that are dealt to the wearer. ")</f>
        <v>DMG: +500 ++Hawkeye: X2 more arrow damage and ranged attacks deal half damage that are dealt to the wearer. </v>
      </c>
      <c r="G143" s="1">
        <f>IFERROR(__xludf.DUMMYFUNCTION("""COMPUTED_VALUE"""),1000.0)</f>
        <v>1000</v>
      </c>
      <c r="H143" s="1"/>
      <c r="I143" s="1"/>
      <c r="J143" s="1"/>
      <c r="K143" s="1"/>
      <c r="L143" s="1"/>
      <c r="M143" s="1"/>
      <c r="N143" s="1"/>
      <c r="O143" s="1"/>
      <c r="P143" s="1"/>
      <c r="Q143" s="1"/>
      <c r="R143" s="1"/>
      <c r="S143" s="1"/>
      <c r="T143" s="1"/>
      <c r="U143" s="1"/>
      <c r="V143" s="1"/>
      <c r="W143" s="1"/>
      <c r="X143" s="1"/>
      <c r="Y143" s="1"/>
      <c r="Z143" s="1"/>
    </row>
    <row r="144">
      <c r="A144" s="1" t="str">
        <f>IFERROR(__xludf.DUMMYFUNCTION("""COMPUTED_VALUE"""),"Horn of The Forgotten")</f>
        <v>Horn of The Forgotten</v>
      </c>
      <c r="B144" s="1"/>
      <c r="C144" s="1" t="str">
        <f>IFERROR(__xludf.DUMMYFUNCTION("""COMPUTED_VALUE"""),"Wand")</f>
        <v>Wand</v>
      </c>
      <c r="D144" s="1" t="str">
        <f>IFERROR(__xludf.DUMMYFUNCTION("""COMPUTED_VALUE"""),"Hand")</f>
        <v>Hand</v>
      </c>
      <c r="E144" s="1">
        <f>IFERROR(__xludf.DUMMYFUNCTION("""COMPUTED_VALUE"""),1.0)</f>
        <v>1</v>
      </c>
      <c r="F144" s="1" t="str">
        <f>IFERROR(__xludf.DUMMYFUNCTION("""COMPUTED_VALUE""")," ++Calls upon a lost soul to aid you in battle. The lost soul increases your max health defence and attack by double its original for the rest of battle. +-Can only be used once per battle. +-Cannot be duplicated")</f>
        <v> ++Calls upon a lost soul to aid you in battle. The lost soul increases your max health defence and attack by double its original for the rest of battle. +-Can only be used once per battle. +-Cannot be duplicated</v>
      </c>
      <c r="G144" s="1">
        <f>IFERROR(__xludf.DUMMYFUNCTION("""COMPUTED_VALUE"""),0.0)</f>
        <v>0</v>
      </c>
      <c r="H144" s="1"/>
      <c r="I144" s="1"/>
      <c r="J144" s="1"/>
      <c r="K144" s="1"/>
      <c r="L144" s="1"/>
      <c r="M144" s="1"/>
      <c r="N144" s="1"/>
      <c r="O144" s="1"/>
      <c r="P144" s="1"/>
      <c r="Q144" s="1"/>
      <c r="R144" s="1"/>
      <c r="S144" s="1"/>
      <c r="T144" s="1"/>
      <c r="U144" s="1"/>
      <c r="V144" s="1"/>
      <c r="W144" s="1"/>
      <c r="X144" s="1"/>
      <c r="Y144" s="1"/>
      <c r="Z144" s="1"/>
    </row>
    <row r="145">
      <c r="A145" s="1" t="str">
        <f>IFERROR(__xludf.DUMMYFUNCTION("""COMPUTED_VALUE"""),"Houyi's Bow")</f>
        <v>Houyi's Bow</v>
      </c>
      <c r="B145" s="1"/>
      <c r="C145" s="1" t="str">
        <f>IFERROR(__xludf.DUMMYFUNCTION("""COMPUTED_VALUE"""),"Bow")</f>
        <v>Bow</v>
      </c>
      <c r="D145" s="1" t="str">
        <f>IFERROR(__xludf.DUMMYFUNCTION("""COMPUTED_VALUE"""),"Hand")</f>
        <v>Hand</v>
      </c>
      <c r="E145" s="1">
        <f>IFERROR(__xludf.DUMMYFUNCTION("""COMPUTED_VALUE"""),400.0)</f>
        <v>400</v>
      </c>
      <c r="F145" s="1" t="str">
        <f>IFERROR(__xludf.DUMMYFUNCTION("""COMPUTED_VALUE"""),"DMG: +20000 ++Skill Shot - gives the wielder X2 accuracy and X2 damage for bows.")</f>
        <v>DMG: +20000 ++Skill Shot - gives the wielder X2 accuracy and X2 damage for bows.</v>
      </c>
      <c r="G145" s="1">
        <f>IFERROR(__xludf.DUMMYFUNCTION("""COMPUTED_VALUE"""),7800000.0)</f>
        <v>7800000</v>
      </c>
      <c r="H145" s="1"/>
      <c r="I145" s="1"/>
      <c r="J145" s="1"/>
      <c r="K145" s="1"/>
      <c r="L145" s="1"/>
      <c r="M145" s="1"/>
      <c r="N145" s="1"/>
      <c r="O145" s="1"/>
      <c r="P145" s="1"/>
      <c r="Q145" s="1"/>
      <c r="R145" s="1"/>
      <c r="S145" s="1"/>
      <c r="T145" s="1"/>
      <c r="U145" s="1"/>
      <c r="V145" s="1"/>
      <c r="W145" s="1"/>
      <c r="X145" s="1"/>
      <c r="Y145" s="1"/>
      <c r="Z145" s="1"/>
    </row>
    <row r="146">
      <c r="A146" s="1" t="str">
        <f>IFERROR(__xludf.DUMMYFUNCTION("""COMPUTED_VALUE"""),"Ice Blade")</f>
        <v>Ice Blade</v>
      </c>
      <c r="B146" s="1"/>
      <c r="C146" s="1" t="str">
        <f>IFERROR(__xludf.DUMMYFUNCTION("""COMPUTED_VALUE"""),"Sword")</f>
        <v>Sword</v>
      </c>
      <c r="D146" s="1" t="str">
        <f>IFERROR(__xludf.DUMMYFUNCTION("""COMPUTED_VALUE"""),"Hand")</f>
        <v>Hand</v>
      </c>
      <c r="E146" s="1">
        <f>IFERROR(__xludf.DUMMYFUNCTION("""COMPUTED_VALUE"""),100.0)</f>
        <v>100</v>
      </c>
      <c r="F146" s="1" t="str">
        <f>IFERROR(__xludf.DUMMYFUNCTION("""COMPUTED_VALUE"""),"DMG: +2000, Water DMG: +3000 ++50% chance to freeze the target.")</f>
        <v>DMG: +2000, Water DMG: +3000 ++50% chance to freeze the target.</v>
      </c>
      <c r="G146" s="1">
        <f>IFERROR(__xludf.DUMMYFUNCTION("""COMPUTED_VALUE"""),450000.0)</f>
        <v>450000</v>
      </c>
      <c r="H146" s="1"/>
      <c r="I146" s="1"/>
      <c r="J146" s="1"/>
      <c r="K146" s="1"/>
      <c r="L146" s="1"/>
      <c r="M146" s="1"/>
      <c r="N146" s="1"/>
      <c r="O146" s="1"/>
      <c r="P146" s="1"/>
      <c r="Q146" s="1"/>
      <c r="R146" s="1"/>
      <c r="S146" s="1"/>
      <c r="T146" s="1"/>
      <c r="U146" s="1"/>
      <c r="V146" s="1"/>
      <c r="W146" s="1"/>
      <c r="X146" s="1"/>
      <c r="Y146" s="1"/>
      <c r="Z146" s="1"/>
    </row>
    <row r="147">
      <c r="A147" s="1" t="str">
        <f>IFERROR(__xludf.DUMMYFUNCTION("""COMPUTED_VALUE"""),"Inferno Staff")</f>
        <v>Inferno Staff</v>
      </c>
      <c r="B147" s="1"/>
      <c r="C147" s="1" t="str">
        <f>IFERROR(__xludf.DUMMYFUNCTION("""COMPUTED_VALUE"""),"Staff")</f>
        <v>Staff</v>
      </c>
      <c r="D147" s="1" t="str">
        <f>IFERROR(__xludf.DUMMYFUNCTION("""COMPUTED_VALUE"""),"Hand")</f>
        <v>Hand</v>
      </c>
      <c r="E147" s="1">
        <f>IFERROR(__xludf.DUMMYFUNCTION("""COMPUTED_VALUE"""),200.0)</f>
        <v>200</v>
      </c>
      <c r="F147" s="1" t="str">
        <f>IFERROR(__xludf.DUMMYFUNCTION("""COMPUTED_VALUE"""),", Fire : +10000 ++Burn 10,000 to 1 target for 3 rounds. 100sp.")</f>
        <v>, Fire : +10000 ++Burn 10,000 to 1 target for 3 rounds. 100sp.</v>
      </c>
      <c r="G147" s="1">
        <f>IFERROR(__xludf.DUMMYFUNCTION("""COMPUTED_VALUE"""),1900000.0)</f>
        <v>1900000</v>
      </c>
      <c r="H147" s="1"/>
      <c r="I147" s="1"/>
      <c r="J147" s="1"/>
      <c r="K147" s="1"/>
      <c r="L147" s="1"/>
      <c r="M147" s="1"/>
      <c r="N147" s="1"/>
      <c r="O147" s="1"/>
      <c r="P147" s="1"/>
      <c r="Q147" s="1"/>
      <c r="R147" s="1"/>
      <c r="S147" s="1"/>
      <c r="T147" s="1"/>
      <c r="U147" s="1"/>
      <c r="V147" s="1"/>
      <c r="W147" s="1"/>
      <c r="X147" s="1"/>
      <c r="Y147" s="1"/>
      <c r="Z147" s="1"/>
    </row>
    <row r="148">
      <c r="A148" s="1" t="str">
        <f>IFERROR(__xludf.DUMMYFUNCTION("""COMPUTED_VALUE"""),"Jack's Special Archer Robe")</f>
        <v>Jack's Special Archer Robe</v>
      </c>
      <c r="B148" s="1" t="str">
        <f>IFERROR(__xludf.DUMMYFUNCTION("""COMPUTED_VALUE"""),"Halloween exclusive")</f>
        <v>Halloween exclusive</v>
      </c>
      <c r="C148" s="1"/>
      <c r="D148" s="1" t="str">
        <f>IFERROR(__xludf.DUMMYFUNCTION("""COMPUTED_VALUE"""),"Torso")</f>
        <v>Torso</v>
      </c>
      <c r="E148" s="1">
        <f>IFERROR(__xludf.DUMMYFUNCTION("""COMPUTED_VALUE"""),20.0)</f>
        <v>20</v>
      </c>
      <c r="F148" s="1" t="str">
        <f>IFERROR(__xludf.DUMMYFUNCTION("""COMPUTED_VALUE"""),"DEF: +900 ++Range Spells cost half the SP cost and all damage is doubled for ranged spells +-Archer Class Only")</f>
        <v>DEF: +900 ++Range Spells cost half the SP cost and all damage is doubled for ranged spells +-Archer Class Only</v>
      </c>
      <c r="G148" s="1">
        <f>IFERROR(__xludf.DUMMYFUNCTION("""COMPUTED_VALUE"""),1000.0)</f>
        <v>1000</v>
      </c>
      <c r="H148" s="1"/>
      <c r="I148" s="1"/>
      <c r="J148" s="1"/>
      <c r="K148" s="1"/>
      <c r="L148" s="1"/>
      <c r="M148" s="1"/>
      <c r="N148" s="1"/>
      <c r="O148" s="1"/>
      <c r="P148" s="1"/>
      <c r="Q148" s="1"/>
      <c r="R148" s="1"/>
      <c r="S148" s="1"/>
      <c r="T148" s="1"/>
      <c r="U148" s="1"/>
      <c r="V148" s="1"/>
      <c r="W148" s="1"/>
      <c r="X148" s="1"/>
      <c r="Y148" s="1"/>
      <c r="Z148" s="1"/>
    </row>
    <row r="149">
      <c r="A149" s="1" t="str">
        <f>IFERROR(__xludf.DUMMYFUNCTION("""COMPUTED_VALUE"""),"Jack's Special Ring")</f>
        <v>Jack's Special Ring</v>
      </c>
      <c r="B149" s="1" t="str">
        <f>IFERROR(__xludf.DUMMYFUNCTION("""COMPUTED_VALUE"""),"Halloween exclusive")</f>
        <v>Halloween exclusive</v>
      </c>
      <c r="C149" s="1"/>
      <c r="D149" s="1" t="str">
        <f>IFERROR(__xludf.DUMMYFUNCTION("""COMPUTED_VALUE"""),"Ring")</f>
        <v>Ring</v>
      </c>
      <c r="E149" s="1">
        <f>IFERROR(__xludf.DUMMYFUNCTION("""COMPUTED_VALUE"""),1.0)</f>
        <v>1</v>
      </c>
      <c r="F149" s="1" t="str">
        <f>IFERROR(__xludf.DUMMYFUNCTION("""COMPUTED_VALUE""")," ++Increase all types of damage by X2. +-Cannot be forged +-Cannot be duplicated")</f>
        <v> ++Increase all types of damage by X2. +-Cannot be forged +-Cannot be duplicated</v>
      </c>
      <c r="G149" s="1">
        <f>IFERROR(__xludf.DUMMYFUNCTION("""COMPUTED_VALUE"""),0.0)</f>
        <v>0</v>
      </c>
      <c r="H149" s="1"/>
      <c r="I149" s="1"/>
      <c r="J149" s="1"/>
      <c r="K149" s="1"/>
      <c r="L149" s="1"/>
      <c r="M149" s="1"/>
      <c r="N149" s="1"/>
      <c r="O149" s="1"/>
      <c r="P149" s="1"/>
      <c r="Q149" s="1"/>
      <c r="R149" s="1"/>
      <c r="S149" s="1"/>
      <c r="T149" s="1"/>
      <c r="U149" s="1"/>
      <c r="V149" s="1"/>
      <c r="W149" s="1"/>
      <c r="X149" s="1"/>
      <c r="Y149" s="1"/>
      <c r="Z149" s="1"/>
    </row>
    <row r="150">
      <c r="A150" s="1" t="str">
        <f>IFERROR(__xludf.DUMMYFUNCTION("""COMPUTED_VALUE"""),"Jack's Special Sword")</f>
        <v>Jack's Special Sword</v>
      </c>
      <c r="B150" s="1" t="str">
        <f>IFERROR(__xludf.DUMMYFUNCTION("""COMPUTED_VALUE"""),"Halloween exclusive")</f>
        <v>Halloween exclusive</v>
      </c>
      <c r="C150" s="1" t="str">
        <f>IFERROR(__xludf.DUMMYFUNCTION("""COMPUTED_VALUE"""),"Sword")</f>
        <v>Sword</v>
      </c>
      <c r="D150" s="1" t="str">
        <f>IFERROR(__xludf.DUMMYFUNCTION("""COMPUTED_VALUE"""),"Hand")</f>
        <v>Hand</v>
      </c>
      <c r="E150" s="1">
        <f>IFERROR(__xludf.DUMMYFUNCTION("""COMPUTED_VALUE"""),60.0)</f>
        <v>60</v>
      </c>
      <c r="F150" s="1" t="str">
        <f>IFERROR(__xludf.DUMMYFUNCTION("""COMPUTED_VALUE"""),"DMG: +1500, Dark DMG: +600, Chaos DMG: +900 ++Vampires Lust II - Any damage dealt by this sword will give you HP and SP equal to the damage dealt. +-Cannot be duplicated")</f>
        <v>DMG: +1500, Dark DMG: +600, Chaos DMG: +900 ++Vampires Lust II - Any damage dealt by this sword will give you HP and SP equal to the damage dealt. +-Cannot be duplicated</v>
      </c>
      <c r="G150" s="1">
        <f>IFERROR(__xludf.DUMMYFUNCTION("""COMPUTED_VALUE"""),150000.0)</f>
        <v>150000</v>
      </c>
      <c r="H150" s="1"/>
      <c r="I150" s="1"/>
      <c r="J150" s="1"/>
      <c r="K150" s="1"/>
      <c r="L150" s="1"/>
      <c r="M150" s="1"/>
      <c r="N150" s="1"/>
      <c r="O150" s="1"/>
      <c r="P150" s="1"/>
      <c r="Q150" s="1"/>
      <c r="R150" s="1"/>
      <c r="S150" s="1"/>
      <c r="T150" s="1"/>
      <c r="U150" s="1"/>
      <c r="V150" s="1"/>
      <c r="W150" s="1"/>
      <c r="X150" s="1"/>
      <c r="Y150" s="1"/>
      <c r="Z150" s="1"/>
    </row>
    <row r="151">
      <c r="A151" s="1" t="str">
        <f>IFERROR(__xludf.DUMMYFUNCTION("""COMPUTED_VALUE"""),"Jack’o Lantern Helmet of Swampy Hallow")</f>
        <v>Jack’o Lantern Helmet of Swampy Hallow</v>
      </c>
      <c r="B151" s="1" t="str">
        <f>IFERROR(__xludf.DUMMYFUNCTION("""COMPUTED_VALUE"""),"Halloween exclusive")</f>
        <v>Halloween exclusive</v>
      </c>
      <c r="C151" s="1"/>
      <c r="D151" s="1" t="str">
        <f>IFERROR(__xludf.DUMMYFUNCTION("""COMPUTED_VALUE"""),"Head")</f>
        <v>Head</v>
      </c>
      <c r="E151" s="1">
        <f>IFERROR(__xludf.DUMMYFUNCTION("""COMPUTED_VALUE"""),600.0)</f>
        <v>600</v>
      </c>
      <c r="F151" s="1" t="str">
        <f>IFERROR(__xludf.DUMMYFUNCTION("""COMPUTED_VALUE"""),"DEF: +5000, Fire DEF: +5000, Dark DEF: +5000, Spirit DEF: +5000, Chaos DEF: +5000, Nature DEF: +5000 ++Allows you to use up to Rank 9 Nature, Fire, Dark, Chaos, and Spirit Spells, ++X2 additional Nature, Fire, Dark, Chaos, and Spirit damage.")</f>
        <v>DEF: +5000, Fire DEF: +5000, Dark DEF: +5000, Spirit DEF: +5000, Chaos DEF: +5000, Nature DEF: +5000 ++Allows you to use up to Rank 9 Nature, Fire, Dark, Chaos, and Spirit Spells, ++X2 additional Nature, Fire, Dark, Chaos, and Spirit damage.</v>
      </c>
      <c r="G151" s="1">
        <f>IFERROR(__xludf.DUMMYFUNCTION("""COMPUTED_VALUE"""),1.77E7)</f>
        <v>17700000</v>
      </c>
      <c r="H151" s="1"/>
      <c r="I151" s="1"/>
      <c r="J151" s="1"/>
      <c r="K151" s="1"/>
      <c r="L151" s="1"/>
      <c r="M151" s="1"/>
      <c r="N151" s="1"/>
      <c r="O151" s="1"/>
      <c r="P151" s="1"/>
      <c r="Q151" s="1"/>
      <c r="R151" s="1"/>
      <c r="S151" s="1"/>
      <c r="T151" s="1"/>
      <c r="U151" s="1"/>
      <c r="V151" s="1"/>
      <c r="W151" s="1"/>
      <c r="X151" s="1"/>
      <c r="Y151" s="1"/>
      <c r="Z151" s="1"/>
    </row>
    <row r="152">
      <c r="A152" s="1" t="str">
        <f>IFERROR(__xludf.DUMMYFUNCTION("""COMPUTED_VALUE"""),"Katana")</f>
        <v>Katana</v>
      </c>
      <c r="B152" s="1"/>
      <c r="C152" s="1" t="str">
        <f>IFERROR(__xludf.DUMMYFUNCTION("""COMPUTED_VALUE"""),"Sword")</f>
        <v>Sword</v>
      </c>
      <c r="D152" s="1" t="str">
        <f>IFERROR(__xludf.DUMMYFUNCTION("""COMPUTED_VALUE"""),"Hand")</f>
        <v>Hand</v>
      </c>
      <c r="E152" s="1">
        <f>IFERROR(__xludf.DUMMYFUNCTION("""COMPUTED_VALUE"""),10.0)</f>
        <v>10</v>
      </c>
      <c r="F152" s="1" t="str">
        <f>IFERROR(__xludf.DUMMYFUNCTION("""COMPUTED_VALUE"""),"DMG: +500 ++ +10% chance of the sword ability activating.")</f>
        <v>DMG: +500 ++ +10% chance of the sword ability activating.</v>
      </c>
      <c r="G152" s="1">
        <f>IFERROR(__xludf.DUMMYFUNCTION("""COMPUTED_VALUE"""),1000.0)</f>
        <v>1000</v>
      </c>
      <c r="H152" s="1"/>
      <c r="I152" s="1"/>
      <c r="J152" s="1"/>
      <c r="K152" s="1"/>
      <c r="L152" s="1"/>
      <c r="M152" s="1"/>
      <c r="N152" s="1"/>
      <c r="O152" s="1"/>
      <c r="P152" s="1"/>
      <c r="Q152" s="1"/>
      <c r="R152" s="1"/>
      <c r="S152" s="1"/>
      <c r="T152" s="1"/>
      <c r="U152" s="1"/>
      <c r="V152" s="1"/>
      <c r="W152" s="1"/>
      <c r="X152" s="1"/>
      <c r="Y152" s="1"/>
      <c r="Z152" s="1"/>
    </row>
    <row r="153">
      <c r="A153" s="1" t="str">
        <f>IFERROR(__xludf.DUMMYFUNCTION("""COMPUTED_VALUE"""),"King Of Mekanas Sword")</f>
        <v>King Of Mekanas Sword</v>
      </c>
      <c r="B153" s="1" t="str">
        <f>IFERROR(__xludf.DUMMYFUNCTION("""COMPUTED_VALUE"""),"Mob Exclusive")</f>
        <v>Mob Exclusive</v>
      </c>
      <c r="C153" s="1" t="str">
        <f>IFERROR(__xludf.DUMMYFUNCTION("""COMPUTED_VALUE"""),"Sword")</f>
        <v>Sword</v>
      </c>
      <c r="D153" s="1" t="str">
        <f>IFERROR(__xludf.DUMMYFUNCTION("""COMPUTED_VALUE"""),"Hand")</f>
        <v>Hand</v>
      </c>
      <c r="E153" s="1">
        <f>IFERROR(__xludf.DUMMYFUNCTION("""COMPUTED_VALUE"""),3000.0)</f>
        <v>3000</v>
      </c>
      <c r="F153" s="1" t="str">
        <f>IFERROR(__xludf.DUMMYFUNCTION("""COMPUTED_VALUE"""),"DMG: +50000, Fire DMG: +50000, Storm DMG: +50000 ++X8 additional Fire and Storm damage. ")</f>
        <v>DMG: +50000, Fire DMG: +50000, Storm DMG: +50000 ++X8 additional Fire and Storm damage. </v>
      </c>
      <c r="G153" s="1">
        <f>IFERROR(__xludf.DUMMYFUNCTION("""COMPUTED_VALUE"""),4.485E8)</f>
        <v>448500000</v>
      </c>
      <c r="H153" s="1"/>
      <c r="I153" s="1"/>
      <c r="J153" s="1"/>
      <c r="K153" s="1"/>
      <c r="L153" s="1"/>
      <c r="M153" s="1"/>
      <c r="N153" s="1"/>
      <c r="O153" s="1"/>
      <c r="P153" s="1"/>
      <c r="Q153" s="1"/>
      <c r="R153" s="1"/>
      <c r="S153" s="1"/>
      <c r="T153" s="1"/>
      <c r="U153" s="1"/>
      <c r="V153" s="1"/>
      <c r="W153" s="1"/>
      <c r="X153" s="1"/>
      <c r="Y153" s="1"/>
      <c r="Z153" s="1"/>
    </row>
    <row r="154">
      <c r="A154" s="1" t="str">
        <f>IFERROR(__xludf.DUMMYFUNCTION("""COMPUTED_VALUE"""),"King's Royal Sword")</f>
        <v>King's Royal Sword</v>
      </c>
      <c r="B154" s="1" t="str">
        <f>IFERROR(__xludf.DUMMYFUNCTION("""COMPUTED_VALUE"""),"Quest Item")</f>
        <v>Quest Item</v>
      </c>
      <c r="C154" s="1" t="str">
        <f>IFERROR(__xludf.DUMMYFUNCTION("""COMPUTED_VALUE"""),"Sword")</f>
        <v>Sword</v>
      </c>
      <c r="D154" s="1" t="str">
        <f>IFERROR(__xludf.DUMMYFUNCTION("""COMPUTED_VALUE"""),"Hand")</f>
        <v>Hand</v>
      </c>
      <c r="E154" s="1">
        <f>IFERROR(__xludf.DUMMYFUNCTION("""COMPUTED_VALUE"""),200.0)</f>
        <v>200</v>
      </c>
      <c r="F154" s="1" t="str">
        <f>IFERROR(__xludf.DUMMYFUNCTION("""COMPUTED_VALUE"""),"DMG: +100000, Celestial DMG: +100000 ++ +5 can be added to your d20 rolls. X12 additional Celestial damage. +-Cannot be duplicated")</f>
        <v>DMG: +100000, Celestial DMG: +100000 ++ +5 can be added to your d20 rolls. X12 additional Celestial damage. +-Cannot be duplicated</v>
      </c>
      <c r="G154" s="1">
        <f>IFERROR(__xludf.DUMMYFUNCTION("""COMPUTED_VALUE"""),7.98E8)</f>
        <v>798000000</v>
      </c>
      <c r="H154" s="1"/>
      <c r="I154" s="1"/>
      <c r="J154" s="1"/>
      <c r="K154" s="1"/>
      <c r="L154" s="1"/>
      <c r="M154" s="1"/>
      <c r="N154" s="1"/>
      <c r="O154" s="1"/>
      <c r="P154" s="1"/>
      <c r="Q154" s="1"/>
      <c r="R154" s="1"/>
      <c r="S154" s="1"/>
      <c r="T154" s="1"/>
      <c r="U154" s="1"/>
      <c r="V154" s="1"/>
      <c r="W154" s="1"/>
      <c r="X154" s="1"/>
      <c r="Y154" s="1"/>
      <c r="Z154" s="1"/>
    </row>
    <row r="155">
      <c r="A155" s="1" t="str">
        <f>IFERROR(__xludf.DUMMYFUNCTION("""COMPUTED_VALUE"""),"Knife")</f>
        <v>Knife</v>
      </c>
      <c r="B155" s="1"/>
      <c r="C155" s="1" t="str">
        <f>IFERROR(__xludf.DUMMYFUNCTION("""COMPUTED_VALUE"""),"Knife")</f>
        <v>Knife</v>
      </c>
      <c r="D155" s="1" t="str">
        <f>IFERROR(__xludf.DUMMYFUNCTION("""COMPUTED_VALUE"""),"Hand")</f>
        <v>Hand</v>
      </c>
      <c r="E155" s="1">
        <f>IFERROR(__xludf.DUMMYFUNCTION("""COMPUTED_VALUE"""),20.0)</f>
        <v>20</v>
      </c>
      <c r="F155" s="1" t="str">
        <f>IFERROR(__xludf.DUMMYFUNCTION("""COMPUTED_VALUE"""),"DMG: +1000")</f>
        <v>DMG: +1000</v>
      </c>
      <c r="G155" s="1">
        <f>IFERROR(__xludf.DUMMYFUNCTION("""COMPUTED_VALUE"""),10000.0)</f>
        <v>10000</v>
      </c>
      <c r="H155" s="1"/>
      <c r="I155" s="1"/>
      <c r="J155" s="1"/>
      <c r="K155" s="1"/>
      <c r="L155" s="1"/>
      <c r="M155" s="1"/>
      <c r="N155" s="1"/>
      <c r="O155" s="1"/>
      <c r="P155" s="1"/>
      <c r="Q155" s="1"/>
      <c r="R155" s="1"/>
      <c r="S155" s="1"/>
      <c r="T155" s="1"/>
      <c r="U155" s="1"/>
      <c r="V155" s="1"/>
      <c r="W155" s="1"/>
      <c r="X155" s="1"/>
      <c r="Y155" s="1"/>
      <c r="Z155" s="1"/>
    </row>
    <row r="156">
      <c r="A156" s="1" t="str">
        <f>IFERROR(__xludf.DUMMYFUNCTION("""COMPUTED_VALUE"""),"Knife of Jinx")</f>
        <v>Knife of Jinx</v>
      </c>
      <c r="B156" s="1"/>
      <c r="C156" s="1" t="str">
        <f>IFERROR(__xludf.DUMMYFUNCTION("""COMPUTED_VALUE"""),"Knife")</f>
        <v>Knife</v>
      </c>
      <c r="D156" s="1" t="str">
        <f>IFERROR(__xludf.DUMMYFUNCTION("""COMPUTED_VALUE"""),"Hand")</f>
        <v>Hand</v>
      </c>
      <c r="E156" s="1">
        <f>IFERROR(__xludf.DUMMYFUNCTION("""COMPUTED_VALUE"""),1.0)</f>
        <v>1</v>
      </c>
      <c r="F156" s="1" t="str">
        <f>IFERROR(__xludf.DUMMYFUNCTION("""COMPUTED_VALUE"""),"DMG: +10 ++ If this weapon is used against a character owned by James, This will instantly kill that character even if they are immune to instant death, otherwise this will deal 10 damage")</f>
        <v>DMG: +10 ++ If this weapon is used against a character owned by James, This will instantly kill that character even if they are immune to instant death, otherwise this will deal 10 damage</v>
      </c>
      <c r="G156" s="1">
        <f>IFERROR(__xludf.DUMMYFUNCTION("""COMPUTED_VALUE"""),0.0)</f>
        <v>0</v>
      </c>
      <c r="H156" s="1"/>
      <c r="I156" s="1"/>
      <c r="J156" s="1"/>
      <c r="K156" s="1"/>
      <c r="L156" s="1"/>
      <c r="M156" s="1"/>
      <c r="N156" s="1"/>
      <c r="O156" s="1"/>
      <c r="P156" s="1"/>
      <c r="Q156" s="1"/>
      <c r="R156" s="1"/>
      <c r="S156" s="1"/>
      <c r="T156" s="1"/>
      <c r="U156" s="1"/>
      <c r="V156" s="1"/>
      <c r="W156" s="1"/>
      <c r="X156" s="1"/>
      <c r="Y156" s="1"/>
      <c r="Z156" s="1"/>
    </row>
    <row r="157">
      <c r="A157" s="1" t="str">
        <f>IFERROR(__xludf.DUMMYFUNCTION("""COMPUTED_VALUE"""),"kraken's power ring")</f>
        <v>kraken's power ring</v>
      </c>
      <c r="B157" s="1"/>
      <c r="C157" s="1"/>
      <c r="D157" s="1" t="str">
        <f>IFERROR(__xludf.DUMMYFUNCTION("""COMPUTED_VALUE"""),"Ring")</f>
        <v>Ring</v>
      </c>
      <c r="E157" s="1">
        <f>IFERROR(__xludf.DUMMYFUNCTION("""COMPUTED_VALUE"""),1.0)</f>
        <v>1</v>
      </c>
      <c r="F157" s="1" t="str">
        <f>IFERROR(__xludf.DUMMYFUNCTION("""COMPUTED_VALUE""")," ++water based attacks double in damage. ++sp cost is halved for water spells only")</f>
        <v> ++water based attacks double in damage. ++sp cost is halved for water spells only</v>
      </c>
      <c r="G157" s="1">
        <f>IFERROR(__xludf.DUMMYFUNCTION("""COMPUTED_VALUE"""),0.0)</f>
        <v>0</v>
      </c>
      <c r="H157" s="1"/>
      <c r="I157" s="1"/>
      <c r="J157" s="1"/>
      <c r="K157" s="1"/>
      <c r="L157" s="1"/>
      <c r="M157" s="1"/>
      <c r="N157" s="1"/>
      <c r="O157" s="1"/>
      <c r="P157" s="1"/>
      <c r="Q157" s="1"/>
      <c r="R157" s="1"/>
      <c r="S157" s="1"/>
      <c r="T157" s="1"/>
      <c r="U157" s="1"/>
      <c r="V157" s="1"/>
      <c r="W157" s="1"/>
      <c r="X157" s="1"/>
      <c r="Y157" s="1"/>
      <c r="Z157" s="1"/>
    </row>
    <row r="158">
      <c r="A158" s="1" t="str">
        <f>IFERROR(__xludf.DUMMYFUNCTION("""COMPUTED_VALUE"""),"Krakens Power Ring")</f>
        <v>Krakens Power Ring</v>
      </c>
      <c r="B158" s="1"/>
      <c r="C158" s="1"/>
      <c r="D158" s="1" t="str">
        <f>IFERROR(__xludf.DUMMYFUNCTION("""COMPUTED_VALUE"""),"Ring")</f>
        <v>Ring</v>
      </c>
      <c r="E158" s="1">
        <f>IFERROR(__xludf.DUMMYFUNCTION("""COMPUTED_VALUE"""),1.0)</f>
        <v>1</v>
      </c>
      <c r="F158" s="1" t="str">
        <f>IFERROR(__xludf.DUMMYFUNCTION("""COMPUTED_VALUE""")," ++water based attacks deal x2 damage, ++sp is halved for water spells only. +-(one use per battle)")</f>
        <v> ++water based attacks deal x2 damage, ++sp is halved for water spells only. +-(one use per battle)</v>
      </c>
      <c r="G158" s="1">
        <f>IFERROR(__xludf.DUMMYFUNCTION("""COMPUTED_VALUE"""),0.0)</f>
        <v>0</v>
      </c>
      <c r="H158" s="1"/>
      <c r="I158" s="1"/>
      <c r="J158" s="1"/>
      <c r="K158" s="1"/>
      <c r="L158" s="1"/>
      <c r="M158" s="1"/>
      <c r="N158" s="1"/>
      <c r="O158" s="1"/>
      <c r="P158" s="1"/>
      <c r="Q158" s="1"/>
      <c r="R158" s="1"/>
      <c r="S158" s="1"/>
      <c r="T158" s="1"/>
      <c r="U158" s="1"/>
      <c r="V158" s="1"/>
      <c r="W158" s="1"/>
      <c r="X158" s="1"/>
      <c r="Y158" s="1"/>
      <c r="Z158" s="1"/>
    </row>
    <row r="159">
      <c r="A159" s="1" t="str">
        <f>IFERROR(__xludf.DUMMYFUNCTION("""COMPUTED_VALUE"""),"Lava Longsword")</f>
        <v>Lava Longsword</v>
      </c>
      <c r="B159" s="1"/>
      <c r="C159" s="1" t="str">
        <f>IFERROR(__xludf.DUMMYFUNCTION("""COMPUTED_VALUE"""),"Sword")</f>
        <v>Sword</v>
      </c>
      <c r="D159" s="1" t="str">
        <f>IFERROR(__xludf.DUMMYFUNCTION("""COMPUTED_VALUE"""),"Hand")</f>
        <v>Hand</v>
      </c>
      <c r="E159" s="1">
        <f>IFERROR(__xludf.DUMMYFUNCTION("""COMPUTED_VALUE"""),800.0)</f>
        <v>800</v>
      </c>
      <c r="F159" s="1" t="str">
        <f>IFERROR(__xludf.DUMMYFUNCTION("""COMPUTED_VALUE"""),"DMG: +20000, Fire DMG: +20000 ++Burn 10,000 for 3 rounds.")</f>
        <v>DMG: +20000, Fire DMG: +20000 ++Burn 10,000 for 3 rounds.</v>
      </c>
      <c r="G159" s="1">
        <f>IFERROR(__xludf.DUMMYFUNCTION("""COMPUTED_VALUE"""),3.16E7)</f>
        <v>31600000</v>
      </c>
      <c r="H159" s="1"/>
      <c r="I159" s="1"/>
      <c r="J159" s="1"/>
      <c r="K159" s="1"/>
      <c r="L159" s="1"/>
      <c r="M159" s="1"/>
      <c r="N159" s="1"/>
      <c r="O159" s="1"/>
      <c r="P159" s="1"/>
      <c r="Q159" s="1"/>
      <c r="R159" s="1"/>
      <c r="S159" s="1"/>
      <c r="T159" s="1"/>
      <c r="U159" s="1"/>
      <c r="V159" s="1"/>
      <c r="W159" s="1"/>
      <c r="X159" s="1"/>
      <c r="Y159" s="1"/>
      <c r="Z159" s="1"/>
    </row>
    <row r="160">
      <c r="A160" s="1" t="str">
        <f>IFERROR(__xludf.DUMMYFUNCTION("""COMPUTED_VALUE"""),"Lazer Infused Sword")</f>
        <v>Lazer Infused Sword</v>
      </c>
      <c r="B160" s="1"/>
      <c r="C160" s="1" t="str">
        <f>IFERROR(__xludf.DUMMYFUNCTION("""COMPUTED_VALUE"""),"Sword")</f>
        <v>Sword</v>
      </c>
      <c r="D160" s="1" t="str">
        <f>IFERROR(__xludf.DUMMYFUNCTION("""COMPUTED_VALUE"""),"Hand")</f>
        <v>Hand</v>
      </c>
      <c r="E160" s="1">
        <f>IFERROR(__xludf.DUMMYFUNCTION("""COMPUTED_VALUE"""),600.0)</f>
        <v>600</v>
      </c>
      <c r="F160" s="1" t="str">
        <f>IFERROR(__xludf.DUMMYFUNCTION("""COMPUTED_VALUE"""),"DMG: +10000, Fire DMG: +10000, Blood DMG: +10000 ++Ignores Defense. +-Cannot be duplicated.")</f>
        <v>DMG: +10000, Fire DMG: +10000, Blood DMG: +10000 ++Ignores Defense. +-Cannot be duplicated.</v>
      </c>
      <c r="G160" s="1">
        <f>IFERROR(__xludf.DUMMYFUNCTION("""COMPUTED_VALUE"""),1.77E7)</f>
        <v>17700000</v>
      </c>
      <c r="H160" s="1"/>
      <c r="I160" s="1"/>
      <c r="J160" s="1"/>
      <c r="K160" s="1"/>
      <c r="L160" s="1"/>
      <c r="M160" s="1"/>
      <c r="N160" s="1"/>
      <c r="O160" s="1"/>
      <c r="P160" s="1"/>
      <c r="Q160" s="1"/>
      <c r="R160" s="1"/>
      <c r="S160" s="1"/>
      <c r="T160" s="1"/>
      <c r="U160" s="1"/>
      <c r="V160" s="1"/>
      <c r="W160" s="1"/>
      <c r="X160" s="1"/>
      <c r="Y160" s="1"/>
      <c r="Z160" s="1"/>
    </row>
    <row r="161">
      <c r="A161" s="1" t="str">
        <f>IFERROR(__xludf.DUMMYFUNCTION("""COMPUTED_VALUE"""),"Legendary Sword of Heatmore")</f>
        <v>Legendary Sword of Heatmore</v>
      </c>
      <c r="B161" s="1"/>
      <c r="C161" s="1" t="str">
        <f>IFERROR(__xludf.DUMMYFUNCTION("""COMPUTED_VALUE"""),"Sword")</f>
        <v>Sword</v>
      </c>
      <c r="D161" s="1" t="str">
        <f>IFERROR(__xludf.DUMMYFUNCTION("""COMPUTED_VALUE"""),"Hand")</f>
        <v>Hand</v>
      </c>
      <c r="E161" s="1">
        <f>IFERROR(__xludf.DUMMYFUNCTION("""COMPUTED_VALUE"""),200.0)</f>
        <v>200</v>
      </c>
      <c r="F161" s="1" t="str">
        <f>IFERROR(__xludf.DUMMYFUNCTION("""COMPUTED_VALUE"""),"DMG: +20000, Fire DMG: +20000, Water DMG: +20000, Celestial DMG: +20000 ++75% chance of instant death. ++X6 additional Fire damage. ++Burn 10,000. +-Cannot be duplicated")</f>
        <v>DMG: +20000, Fire DMG: +20000, Water DMG: +20000, Celestial DMG: +20000 ++75% chance of instant death. ++X6 additional Fire damage. ++Burn 10,000. +-Cannot be duplicated</v>
      </c>
      <c r="G161" s="1">
        <f>IFERROR(__xludf.DUMMYFUNCTION("""COMPUTED_VALUE"""),1.272E8)</f>
        <v>127200000</v>
      </c>
      <c r="H161" s="1"/>
      <c r="I161" s="1"/>
      <c r="J161" s="1"/>
      <c r="K161" s="1"/>
      <c r="L161" s="1"/>
      <c r="M161" s="1"/>
      <c r="N161" s="1"/>
      <c r="O161" s="1"/>
      <c r="P161" s="1"/>
      <c r="Q161" s="1"/>
      <c r="R161" s="1"/>
      <c r="S161" s="1"/>
      <c r="T161" s="1"/>
      <c r="U161" s="1"/>
      <c r="V161" s="1"/>
      <c r="W161" s="1"/>
      <c r="X161" s="1"/>
      <c r="Y161" s="1"/>
      <c r="Z161" s="1"/>
    </row>
    <row r="162">
      <c r="A162" s="1" t="str">
        <f>IFERROR(__xludf.DUMMYFUNCTION("""COMPUTED_VALUE"""),"Legendary Tree Sword")</f>
        <v>Legendary Tree Sword</v>
      </c>
      <c r="B162" s="1"/>
      <c r="C162" s="1" t="str">
        <f>IFERROR(__xludf.DUMMYFUNCTION("""COMPUTED_VALUE"""),"Sword")</f>
        <v>Sword</v>
      </c>
      <c r="D162" s="1" t="str">
        <f>IFERROR(__xludf.DUMMYFUNCTION("""COMPUTED_VALUE"""),"Hand")</f>
        <v>Hand</v>
      </c>
      <c r="E162" s="1">
        <f>IFERROR(__xludf.DUMMYFUNCTION("""COMPUTED_VALUE"""),200.0)</f>
        <v>200</v>
      </c>
      <c r="F162" s="1" t="str">
        <f>IFERROR(__xludf.DUMMYFUNCTION("""COMPUTED_VALUE"""),"DMG: +50000, Nature DMG: +50000, Celestial DMG: +50000 ++X6 Additional Nature damage. ++20% chance of Incorporeal 2. +-Cannot be duplicated.")</f>
        <v>DMG: +50000, Nature DMG: +50000, Celestial DMG: +50000 ++X6 Additional Nature damage. ++20% chance of Incorporeal 2. +-Cannot be duplicated.</v>
      </c>
      <c r="G162" s="1">
        <f>IFERROR(__xludf.DUMMYFUNCTION("""COMPUTED_VALUE"""),4.485E8)</f>
        <v>448500000</v>
      </c>
      <c r="H162" s="1"/>
      <c r="I162" s="1"/>
      <c r="J162" s="1"/>
      <c r="K162" s="1"/>
      <c r="L162" s="1"/>
      <c r="M162" s="1"/>
      <c r="N162" s="1"/>
      <c r="O162" s="1"/>
      <c r="P162" s="1"/>
      <c r="Q162" s="1"/>
      <c r="R162" s="1"/>
      <c r="S162" s="1"/>
      <c r="T162" s="1"/>
      <c r="U162" s="1"/>
      <c r="V162" s="1"/>
      <c r="W162" s="1"/>
      <c r="X162" s="1"/>
      <c r="Y162" s="1"/>
      <c r="Z162" s="1"/>
    </row>
    <row r="163">
      <c r="A163" s="1" t="str">
        <f>IFERROR(__xludf.DUMMYFUNCTION("""COMPUTED_VALUE"""),"Leggings Of Tritonoch")</f>
        <v>Leggings Of Tritonoch</v>
      </c>
      <c r="B163" s="1"/>
      <c r="C163" s="1"/>
      <c r="D163" s="1" t="str">
        <f>IFERROR(__xludf.DUMMYFUNCTION("""COMPUTED_VALUE"""),"Legs")</f>
        <v>Legs</v>
      </c>
      <c r="E163" s="1">
        <f>IFERROR(__xludf.DUMMYFUNCTION("""COMPUTED_VALUE"""),400.0)</f>
        <v>400</v>
      </c>
      <c r="F163" s="1" t="str">
        <f>IFERROR(__xludf.DUMMYFUNCTION("""COMPUTED_VALUE"""),"DEF: +20000 ++Waves of Entitlement - x5 additional Water damage")</f>
        <v>DEF: +20000 ++Waves of Entitlement - x5 additional Water damage</v>
      </c>
      <c r="G163" s="1">
        <f>IFERROR(__xludf.DUMMYFUNCTION("""COMPUTED_VALUE"""),7800000.0)</f>
        <v>7800000</v>
      </c>
      <c r="H163" s="1"/>
      <c r="I163" s="1"/>
      <c r="J163" s="1"/>
      <c r="K163" s="1"/>
      <c r="L163" s="1"/>
      <c r="M163" s="1"/>
      <c r="N163" s="1"/>
      <c r="O163" s="1"/>
      <c r="P163" s="1"/>
      <c r="Q163" s="1"/>
      <c r="R163" s="1"/>
      <c r="S163" s="1"/>
      <c r="T163" s="1"/>
      <c r="U163" s="1"/>
      <c r="V163" s="1"/>
      <c r="W163" s="1"/>
      <c r="X163" s="1"/>
      <c r="Y163" s="1"/>
      <c r="Z163" s="1"/>
    </row>
    <row r="164">
      <c r="A164" s="1" t="str">
        <f>IFERROR(__xludf.DUMMYFUNCTION("""COMPUTED_VALUE"""),"Lightning Lance")</f>
        <v>Lightning Lance</v>
      </c>
      <c r="B164" s="1"/>
      <c r="C164" s="1" t="str">
        <f>IFERROR(__xludf.DUMMYFUNCTION("""COMPUTED_VALUE"""),"Spear")</f>
        <v>Spear</v>
      </c>
      <c r="D164" s="1" t="str">
        <f>IFERROR(__xludf.DUMMYFUNCTION("""COMPUTED_VALUE"""),"Hand")</f>
        <v>Hand</v>
      </c>
      <c r="E164" s="1">
        <f>IFERROR(__xludf.DUMMYFUNCTION("""COMPUTED_VALUE"""),500.0)</f>
        <v>500</v>
      </c>
      <c r="F164" s="1" t="str">
        <f>IFERROR(__xludf.DUMMYFUNCTION("""COMPUTED_VALUE"""),"DMG: +10000, Storm DMG: +15000 ++Stun 2")</f>
        <v>DMG: +10000, Storm DMG: +15000 ++Stun 2</v>
      </c>
      <c r="G164" s="1">
        <f>IFERROR(__xludf.DUMMYFUNCTION("""COMPUTED_VALUE"""),1.225E7)</f>
        <v>12250000</v>
      </c>
      <c r="H164" s="1"/>
      <c r="I164" s="1"/>
      <c r="J164" s="1"/>
      <c r="K164" s="1"/>
      <c r="L164" s="1"/>
      <c r="M164" s="1"/>
      <c r="N164" s="1"/>
      <c r="O164" s="1"/>
      <c r="P164" s="1"/>
      <c r="Q164" s="1"/>
      <c r="R164" s="1"/>
      <c r="S164" s="1"/>
      <c r="T164" s="1"/>
      <c r="U164" s="1"/>
      <c r="V164" s="1"/>
      <c r="W164" s="1"/>
      <c r="X164" s="1"/>
      <c r="Y164" s="1"/>
      <c r="Z164" s="1"/>
    </row>
    <row r="165">
      <c r="A165" s="1" t="str">
        <f>IFERROR(__xludf.DUMMYFUNCTION("""COMPUTED_VALUE"""),"Long Spear")</f>
        <v>Long Spear</v>
      </c>
      <c r="B165" s="1"/>
      <c r="C165" s="1" t="str">
        <f>IFERROR(__xludf.DUMMYFUNCTION("""COMPUTED_VALUE"""),"Spear")</f>
        <v>Spear</v>
      </c>
      <c r="D165" s="1" t="str">
        <f>IFERROR(__xludf.DUMMYFUNCTION("""COMPUTED_VALUE"""),"Hand")</f>
        <v>Hand</v>
      </c>
      <c r="E165" s="1">
        <f>IFERROR(__xludf.DUMMYFUNCTION("""COMPUTED_VALUE"""),10.0)</f>
        <v>10</v>
      </c>
      <c r="F165" s="1" t="str">
        <f>IFERROR(__xludf.DUMMYFUNCTION("""COMPUTED_VALUE"""),"DMG: +500 ++25% chance of instant death. ")</f>
        <v>DMG: +500 ++25% chance of instant death. </v>
      </c>
      <c r="G165" s="1">
        <f>IFERROR(__xludf.DUMMYFUNCTION("""COMPUTED_VALUE"""),1000.0)</f>
        <v>1000</v>
      </c>
      <c r="H165" s="1"/>
      <c r="I165" s="1"/>
      <c r="J165" s="1"/>
      <c r="K165" s="1"/>
      <c r="L165" s="1"/>
      <c r="M165" s="1"/>
      <c r="N165" s="1"/>
      <c r="O165" s="1"/>
      <c r="P165" s="1"/>
      <c r="Q165" s="1"/>
      <c r="R165" s="1"/>
      <c r="S165" s="1"/>
      <c r="T165" s="1"/>
      <c r="U165" s="1"/>
      <c r="V165" s="1"/>
      <c r="W165" s="1"/>
      <c r="X165" s="1"/>
      <c r="Y165" s="1"/>
      <c r="Z165" s="1"/>
    </row>
    <row r="166">
      <c r="A166" s="1" t="str">
        <f>IFERROR(__xludf.DUMMYFUNCTION("""COMPUTED_VALUE"""),"Lord Dreadfuls Sword")</f>
        <v>Lord Dreadfuls Sword</v>
      </c>
      <c r="B166" s="1"/>
      <c r="C166" s="1" t="str">
        <f>IFERROR(__xludf.DUMMYFUNCTION("""COMPUTED_VALUE"""),"Sword")</f>
        <v>Sword</v>
      </c>
      <c r="D166" s="1" t="str">
        <f>IFERROR(__xludf.DUMMYFUNCTION("""COMPUTED_VALUE"""),"Hand")</f>
        <v>Hand</v>
      </c>
      <c r="E166" s="1">
        <f>IFERROR(__xludf.DUMMYFUNCTION("""COMPUTED_VALUE"""),800.0)</f>
        <v>800</v>
      </c>
      <c r="F166" s="1" t="str">
        <f>IFERROR(__xludf.DUMMYFUNCTION("""COMPUTED_VALUE"""),"DMG: +20000, Dark DMG: +10000, Chaos DMG: +10000")</f>
        <v>DMG: +20000, Dark DMG: +10000, Chaos DMG: +10000</v>
      </c>
      <c r="G166" s="1">
        <f>IFERROR(__xludf.DUMMYFUNCTION("""COMPUTED_VALUE"""),3.16E7)</f>
        <v>31600000</v>
      </c>
      <c r="H166" s="1"/>
      <c r="I166" s="1"/>
      <c r="J166" s="1"/>
      <c r="K166" s="1"/>
      <c r="L166" s="1"/>
      <c r="M166" s="1"/>
      <c r="N166" s="1"/>
      <c r="O166" s="1"/>
      <c r="P166" s="1"/>
      <c r="Q166" s="1"/>
      <c r="R166" s="1"/>
      <c r="S166" s="1"/>
      <c r="T166" s="1"/>
      <c r="U166" s="1"/>
      <c r="V166" s="1"/>
      <c r="W166" s="1"/>
      <c r="X166" s="1"/>
      <c r="Y166" s="1"/>
      <c r="Z166" s="1"/>
    </row>
    <row r="167">
      <c r="A167" s="1" t="str">
        <f>IFERROR(__xludf.DUMMYFUNCTION("""COMPUTED_VALUE"""),"Magma Morningstar")</f>
        <v>Magma Morningstar</v>
      </c>
      <c r="B167" s="1"/>
      <c r="C167" s="1" t="str">
        <f>IFERROR(__xludf.DUMMYFUNCTION("""COMPUTED_VALUE"""),"Club")</f>
        <v>Club</v>
      </c>
      <c r="D167" s="1" t="str">
        <f>IFERROR(__xludf.DUMMYFUNCTION("""COMPUTED_VALUE"""),"Hand")</f>
        <v>Hand</v>
      </c>
      <c r="E167" s="1">
        <f>IFERROR(__xludf.DUMMYFUNCTION("""COMPUTED_VALUE"""),20.0)</f>
        <v>20</v>
      </c>
      <c r="F167" s="1" t="str">
        <f>IFERROR(__xludf.DUMMYFUNCTION("""COMPUTED_VALUE"""),"DMG: +500, Fire DMG: +400 ++Will return to you each round when thrown")</f>
        <v>DMG: +500, Fire DMG: +400 ++Will return to you each round when thrown</v>
      </c>
      <c r="G167" s="1">
        <f>IFERROR(__xludf.DUMMYFUNCTION("""COMPUTED_VALUE"""),1000.0)</f>
        <v>1000</v>
      </c>
      <c r="H167" s="1"/>
      <c r="I167" s="1"/>
      <c r="J167" s="1"/>
      <c r="K167" s="1"/>
      <c r="L167" s="1"/>
      <c r="M167" s="1"/>
      <c r="N167" s="1"/>
      <c r="O167" s="1"/>
      <c r="P167" s="1"/>
      <c r="Q167" s="1"/>
      <c r="R167" s="1"/>
      <c r="S167" s="1"/>
      <c r="T167" s="1"/>
      <c r="U167" s="1"/>
      <c r="V167" s="1"/>
      <c r="W167" s="1"/>
      <c r="X167" s="1"/>
      <c r="Y167" s="1"/>
      <c r="Z167" s="1"/>
    </row>
    <row r="168">
      <c r="A168" s="1" t="str">
        <f>IFERROR(__xludf.DUMMYFUNCTION("""COMPUTED_VALUE"""),"Magma Sword")</f>
        <v>Magma Sword</v>
      </c>
      <c r="B168" s="1" t="str">
        <f>IFERROR(__xludf.DUMMYFUNCTION("""COMPUTED_VALUE"""),"A sword that turned Forest View into Ash View.")</f>
        <v>A sword that turned Forest View into Ash View.</v>
      </c>
      <c r="C168" s="1" t="str">
        <f>IFERROR(__xludf.DUMMYFUNCTION("""COMPUTED_VALUE"""),"Sword")</f>
        <v>Sword</v>
      </c>
      <c r="D168" s="1" t="str">
        <f>IFERROR(__xludf.DUMMYFUNCTION("""COMPUTED_VALUE"""),"Hand")</f>
        <v>Hand</v>
      </c>
      <c r="E168" s="1">
        <f>IFERROR(__xludf.DUMMYFUNCTION("""COMPUTED_VALUE"""),200.0)</f>
        <v>200</v>
      </c>
      <c r="F168" s="1" t="str">
        <f>IFERROR(__xludf.DUMMYFUNCTION("""COMPUTED_VALUE"""),"DMG: +50000, Fire DMG: +50000, Celestial DMG: +50000 ++X6 additional Fire damage. ++Burn 20,000 for 3 rounds. +-Cannot be duplicated")</f>
        <v>DMG: +50000, Fire DMG: +50000, Celestial DMG: +50000 ++X6 additional Fire damage. ++Burn 20,000 for 3 rounds. +-Cannot be duplicated</v>
      </c>
      <c r="G168" s="1">
        <f>IFERROR(__xludf.DUMMYFUNCTION("""COMPUTED_VALUE"""),4.485E8)</f>
        <v>448500000</v>
      </c>
      <c r="H168" s="1"/>
      <c r="I168" s="1"/>
      <c r="J168" s="1"/>
      <c r="K168" s="1"/>
      <c r="L168" s="1"/>
      <c r="M168" s="1"/>
      <c r="N168" s="1"/>
      <c r="O168" s="1"/>
      <c r="P168" s="1"/>
      <c r="Q168" s="1"/>
      <c r="R168" s="1"/>
      <c r="S168" s="1"/>
      <c r="T168" s="1"/>
      <c r="U168" s="1"/>
      <c r="V168" s="1"/>
      <c r="W168" s="1"/>
      <c r="X168" s="1"/>
      <c r="Y168" s="1"/>
      <c r="Z168" s="1"/>
    </row>
    <row r="169">
      <c r="A169" s="1" t="str">
        <f>IFERROR(__xludf.DUMMYFUNCTION("""COMPUTED_VALUE"""),"Masking Cloak")</f>
        <v>Masking Cloak</v>
      </c>
      <c r="B169" s="1"/>
      <c r="C169" s="1"/>
      <c r="D169" s="1" t="str">
        <f>IFERROR(__xludf.DUMMYFUNCTION("""COMPUTED_VALUE"""),"Torso")</f>
        <v>Torso</v>
      </c>
      <c r="E169" s="1">
        <f>IFERROR(__xludf.DUMMYFUNCTION("""COMPUTED_VALUE"""),1.0)</f>
        <v>1</v>
      </c>
      <c r="F169" s="1" t="str">
        <f>IFERROR(__xludf.DUMMYFUNCTION("""COMPUTED_VALUE""")," ++5 Evasion +-(Cannot be duplicated)")</f>
        <v> ++5 Evasion +-(Cannot be duplicated)</v>
      </c>
      <c r="G169" s="1">
        <f>IFERROR(__xludf.DUMMYFUNCTION("""COMPUTED_VALUE"""),0.0)</f>
        <v>0</v>
      </c>
      <c r="H169" s="1"/>
      <c r="I169" s="1"/>
      <c r="J169" s="1"/>
      <c r="K169" s="1"/>
      <c r="L169" s="1"/>
      <c r="M169" s="1"/>
      <c r="N169" s="1"/>
      <c r="O169" s="1"/>
      <c r="P169" s="1"/>
      <c r="Q169" s="1"/>
      <c r="R169" s="1"/>
      <c r="S169" s="1"/>
      <c r="T169" s="1"/>
      <c r="U169" s="1"/>
      <c r="V169" s="1"/>
      <c r="W169" s="1"/>
      <c r="X169" s="1"/>
      <c r="Y169" s="1"/>
      <c r="Z169" s="1"/>
    </row>
    <row r="170">
      <c r="A170" s="1" t="str">
        <f>IFERROR(__xludf.DUMMYFUNCTION("""COMPUTED_VALUE"""),"Mini Lucky Fish in a Bottle")</f>
        <v>Mini Lucky Fish in a Bottle</v>
      </c>
      <c r="B170" s="1"/>
      <c r="C170" s="1" t="str">
        <f>IFERROR(__xludf.DUMMYFUNCTION("""COMPUTED_VALUE"""),"Wand")</f>
        <v>Wand</v>
      </c>
      <c r="D170" s="1" t="str">
        <f>IFERROR(__xludf.DUMMYFUNCTION("""COMPUTED_VALUE"""),"Hand")</f>
        <v>Hand</v>
      </c>
      <c r="E170" s="1">
        <f>IFERROR(__xludf.DUMMYFUNCTION("""COMPUTED_VALUE"""),1.0)</f>
        <v>1</v>
      </c>
      <c r="F170" s="1" t="str">
        <f>IFERROR(__xludf.DUMMYFUNCTION("""COMPUTED_VALUE""")," ++Percentage rolls are now increased by 10% for caster that holds this item. +-Can only equip one")</f>
        <v> ++Percentage rolls are now increased by 10% for caster that holds this item. +-Can only equip one</v>
      </c>
      <c r="G170" s="1">
        <f>IFERROR(__xludf.DUMMYFUNCTION("""COMPUTED_VALUE"""),0.0)</f>
        <v>0</v>
      </c>
      <c r="H170" s="1"/>
      <c r="I170" s="1"/>
      <c r="J170" s="1"/>
      <c r="K170" s="1"/>
      <c r="L170" s="1"/>
      <c r="M170" s="1"/>
      <c r="N170" s="1"/>
      <c r="O170" s="1"/>
      <c r="P170" s="1"/>
      <c r="Q170" s="1"/>
      <c r="R170" s="1"/>
      <c r="S170" s="1"/>
      <c r="T170" s="1"/>
      <c r="U170" s="1"/>
      <c r="V170" s="1"/>
      <c r="W170" s="1"/>
      <c r="X170" s="1"/>
      <c r="Y170" s="1"/>
      <c r="Z170" s="1"/>
    </row>
    <row r="171">
      <c r="A171" s="1" t="str">
        <f>IFERROR(__xludf.DUMMYFUNCTION("""COMPUTED_VALUE"""),"Nature Faery Wand")</f>
        <v>Nature Faery Wand</v>
      </c>
      <c r="B171" s="1"/>
      <c r="C171" s="1" t="str">
        <f>IFERROR(__xludf.DUMMYFUNCTION("""COMPUTED_VALUE"""),"Wand")</f>
        <v>Wand</v>
      </c>
      <c r="D171" s="1" t="str">
        <f>IFERROR(__xludf.DUMMYFUNCTION("""COMPUTED_VALUE"""),"Hand")</f>
        <v>Hand</v>
      </c>
      <c r="E171" s="1">
        <f>IFERROR(__xludf.DUMMYFUNCTION("""COMPUTED_VALUE"""),1.0)</f>
        <v>1</v>
      </c>
      <c r="F171" s="1" t="str">
        <f>IFERROR(__xludf.DUMMYFUNCTION("""COMPUTED_VALUE""")," ++half the sp cost of nature spells")</f>
        <v> ++half the sp cost of nature spells</v>
      </c>
      <c r="G171" s="1">
        <f>IFERROR(__xludf.DUMMYFUNCTION("""COMPUTED_VALUE"""),0.0)</f>
        <v>0</v>
      </c>
      <c r="H171" s="1"/>
      <c r="I171" s="1"/>
      <c r="J171" s="1"/>
      <c r="K171" s="1"/>
      <c r="L171" s="1"/>
      <c r="M171" s="1"/>
      <c r="N171" s="1"/>
      <c r="O171" s="1"/>
      <c r="P171" s="1"/>
      <c r="Q171" s="1"/>
      <c r="R171" s="1"/>
      <c r="S171" s="1"/>
      <c r="T171" s="1"/>
      <c r="U171" s="1"/>
      <c r="V171" s="1"/>
      <c r="W171" s="1"/>
      <c r="X171" s="1"/>
      <c r="Y171" s="1"/>
      <c r="Z171" s="1"/>
    </row>
    <row r="172">
      <c r="A172" s="1" t="str">
        <f>IFERROR(__xludf.DUMMYFUNCTION("""COMPUTED_VALUE"""),"Nature's Sword")</f>
        <v>Nature's Sword</v>
      </c>
      <c r="B172" s="1"/>
      <c r="C172" s="1" t="str">
        <f>IFERROR(__xludf.DUMMYFUNCTION("""COMPUTED_VALUE"""),"Sword")</f>
        <v>Sword</v>
      </c>
      <c r="D172" s="1" t="str">
        <f>IFERROR(__xludf.DUMMYFUNCTION("""COMPUTED_VALUE"""),"Hand")</f>
        <v>Hand</v>
      </c>
      <c r="E172" s="1">
        <f>IFERROR(__xludf.DUMMYFUNCTION("""COMPUTED_VALUE"""),40.0)</f>
        <v>40</v>
      </c>
      <c r="F172" s="1" t="str">
        <f>IFERROR(__xludf.DUMMYFUNCTION("""COMPUTED_VALUE"""),"DMG: +800, Nature DMG: +800 ++Upon a successful hit, the next turn you will automatically use the spell Tree Stance.")</f>
        <v>DMG: +800, Nature DMG: +800 ++Upon a successful hit, the next turn you will automatically use the spell Tree Stance.</v>
      </c>
      <c r="G172" s="1">
        <f>IFERROR(__xludf.DUMMYFUNCTION("""COMPUTED_VALUE"""),30000.0)</f>
        <v>30000</v>
      </c>
      <c r="H172" s="1"/>
      <c r="I172" s="1"/>
      <c r="J172" s="1"/>
      <c r="K172" s="1"/>
      <c r="L172" s="1"/>
      <c r="M172" s="1"/>
      <c r="N172" s="1"/>
      <c r="O172" s="1"/>
      <c r="P172" s="1"/>
      <c r="Q172" s="1"/>
      <c r="R172" s="1"/>
      <c r="S172" s="1"/>
      <c r="T172" s="1"/>
      <c r="U172" s="1"/>
      <c r="V172" s="1"/>
      <c r="W172" s="1"/>
      <c r="X172" s="1"/>
      <c r="Y172" s="1"/>
      <c r="Z172" s="1"/>
    </row>
    <row r="173">
      <c r="A173" s="1" t="str">
        <f>IFERROR(__xludf.DUMMYFUNCTION("""COMPUTED_VALUE"""),"Necklace o' Lending")</f>
        <v>Necklace o' Lending</v>
      </c>
      <c r="B173" s="1"/>
      <c r="C173" s="1"/>
      <c r="D173" s="1" t="str">
        <f>IFERROR(__xludf.DUMMYFUNCTION("""COMPUTED_VALUE"""),"Neck")</f>
        <v>Neck</v>
      </c>
      <c r="E173" s="1">
        <f>IFERROR(__xludf.DUMMYFUNCTION("""COMPUTED_VALUE"""),1.0)</f>
        <v>1</v>
      </c>
      <c r="F173" s="1" t="str">
        <f>IFERROR(__xludf.DUMMYFUNCTION("""COMPUTED_VALUE""")," ++Decrease XHP and XSP from your character sheet and add that amount to another target.")</f>
        <v> ++Decrease XHP and XSP from your character sheet and add that amount to another target.</v>
      </c>
      <c r="G173" s="1">
        <f>IFERROR(__xludf.DUMMYFUNCTION("""COMPUTED_VALUE"""),0.0)</f>
        <v>0</v>
      </c>
      <c r="H173" s="1"/>
      <c r="I173" s="1"/>
      <c r="J173" s="1"/>
      <c r="K173" s="1"/>
      <c r="L173" s="1"/>
      <c r="M173" s="1"/>
      <c r="N173" s="1"/>
      <c r="O173" s="1"/>
      <c r="P173" s="1"/>
      <c r="Q173" s="1"/>
      <c r="R173" s="1"/>
      <c r="S173" s="1"/>
      <c r="T173" s="1"/>
      <c r="U173" s="1"/>
      <c r="V173" s="1"/>
      <c r="W173" s="1"/>
      <c r="X173" s="1"/>
      <c r="Y173" s="1"/>
      <c r="Z173" s="1"/>
    </row>
    <row r="174">
      <c r="A174" s="1" t="str">
        <f>IFERROR(__xludf.DUMMYFUNCTION("""COMPUTED_VALUE"""),"Necklace Of Ancient Mountains")</f>
        <v>Necklace Of Ancient Mountains</v>
      </c>
      <c r="B174" s="1"/>
      <c r="C174" s="1"/>
      <c r="D174" s="1" t="str">
        <f>IFERROR(__xludf.DUMMYFUNCTION("""COMPUTED_VALUE"""),"Neck")</f>
        <v>Neck</v>
      </c>
      <c r="E174" s="1">
        <f>IFERROR(__xludf.DUMMYFUNCTION("""COMPUTED_VALUE"""),1.0)</f>
        <v>1</v>
      </c>
      <c r="F174" s="1" t="str">
        <f>IFERROR(__xludf.DUMMYFUNCTION("""COMPUTED_VALUE""")," ++Forged items now deal double in damage for the wearer, ++Forging rolls cannot fail, +-Cannot be forged +-Cannot be duplicated")</f>
        <v> ++Forged items now deal double in damage for the wearer, ++Forging rolls cannot fail, +-Cannot be forged +-Cannot be duplicated</v>
      </c>
      <c r="G174" s="1">
        <f>IFERROR(__xludf.DUMMYFUNCTION("""COMPUTED_VALUE"""),0.0)</f>
        <v>0</v>
      </c>
      <c r="H174" s="1"/>
      <c r="I174" s="1"/>
      <c r="J174" s="1"/>
      <c r="K174" s="1"/>
      <c r="L174" s="1"/>
      <c r="M174" s="1"/>
      <c r="N174" s="1"/>
      <c r="O174" s="1"/>
      <c r="P174" s="1"/>
      <c r="Q174" s="1"/>
      <c r="R174" s="1"/>
      <c r="S174" s="1"/>
      <c r="T174" s="1"/>
      <c r="U174" s="1"/>
      <c r="V174" s="1"/>
      <c r="W174" s="1"/>
      <c r="X174" s="1"/>
      <c r="Y174" s="1"/>
      <c r="Z174" s="1"/>
    </row>
    <row r="175">
      <c r="A175" s="1" t="str">
        <f>IFERROR(__xludf.DUMMYFUNCTION("""COMPUTED_VALUE"""),"Necklace Of Heatmore")</f>
        <v>Necklace Of Heatmore</v>
      </c>
      <c r="B175" s="1"/>
      <c r="C175" s="1"/>
      <c r="D175" s="1" t="str">
        <f>IFERROR(__xludf.DUMMYFUNCTION("""COMPUTED_VALUE"""),"Neck")</f>
        <v>Neck</v>
      </c>
      <c r="E175" s="1">
        <f>IFERROR(__xludf.DUMMYFUNCTION("""COMPUTED_VALUE"""),1.0)</f>
        <v>1</v>
      </c>
      <c r="F175" s="1" t="str">
        <f>IFERROR(__xludf.DUMMYFUNCTION("""COMPUTED_VALUE""")," ++ +2 is added to your d20 roll.")</f>
        <v> ++ +2 is added to your d20 roll.</v>
      </c>
      <c r="G175" s="1">
        <f>IFERROR(__xludf.DUMMYFUNCTION("""COMPUTED_VALUE"""),0.0)</f>
        <v>0</v>
      </c>
      <c r="H175" s="1"/>
      <c r="I175" s="1"/>
      <c r="J175" s="1"/>
      <c r="K175" s="1"/>
      <c r="L175" s="1"/>
      <c r="M175" s="1"/>
      <c r="N175" s="1"/>
      <c r="O175" s="1"/>
      <c r="P175" s="1"/>
      <c r="Q175" s="1"/>
      <c r="R175" s="1"/>
      <c r="S175" s="1"/>
      <c r="T175" s="1"/>
      <c r="U175" s="1"/>
      <c r="V175" s="1"/>
      <c r="W175" s="1"/>
      <c r="X175" s="1"/>
      <c r="Y175" s="1"/>
      <c r="Z175" s="1"/>
    </row>
    <row r="176">
      <c r="A176" s="1" t="str">
        <f>IFERROR(__xludf.DUMMYFUNCTION("""COMPUTED_VALUE"""),"Necklace of Shards")</f>
        <v>Necklace of Shards</v>
      </c>
      <c r="B176" s="1"/>
      <c r="C176" s="1"/>
      <c r="D176" s="1" t="str">
        <f>IFERROR(__xludf.DUMMYFUNCTION("""COMPUTED_VALUE"""),"Neck")</f>
        <v>Neck</v>
      </c>
      <c r="E176" s="1">
        <f>IFERROR(__xludf.DUMMYFUNCTION("""COMPUTED_VALUE"""),1.0)</f>
        <v>1</v>
      </c>
      <c r="F176" s="1" t="str">
        <f>IFERROR(__xludf.DUMMYFUNCTION("""COMPUTED_VALUE""")," ++X6 Chaos and Dark Damage. +-Cannot be duplicated.")</f>
        <v> ++X6 Chaos and Dark Damage. +-Cannot be duplicated.</v>
      </c>
      <c r="G176" s="1">
        <f>IFERROR(__xludf.DUMMYFUNCTION("""COMPUTED_VALUE"""),0.0)</f>
        <v>0</v>
      </c>
      <c r="H176" s="1"/>
      <c r="I176" s="1"/>
      <c r="J176" s="1"/>
      <c r="K176" s="1"/>
      <c r="L176" s="1"/>
      <c r="M176" s="1"/>
      <c r="N176" s="1"/>
      <c r="O176" s="1"/>
      <c r="P176" s="1"/>
      <c r="Q176" s="1"/>
      <c r="R176" s="1"/>
      <c r="S176" s="1"/>
      <c r="T176" s="1"/>
      <c r="U176" s="1"/>
      <c r="V176" s="1"/>
      <c r="W176" s="1"/>
      <c r="X176" s="1"/>
      <c r="Y176" s="1"/>
      <c r="Z176" s="1"/>
    </row>
    <row r="177">
      <c r="A177" s="1" t="str">
        <f>IFERROR(__xludf.DUMMYFUNCTION("""COMPUTED_VALUE"""),"Necklace of The Lost Soul")</f>
        <v>Necklace of The Lost Soul</v>
      </c>
      <c r="B177" s="1"/>
      <c r="C177" s="1"/>
      <c r="D177" s="1" t="str">
        <f>IFERROR(__xludf.DUMMYFUNCTION("""COMPUTED_VALUE"""),"Neck")</f>
        <v>Neck</v>
      </c>
      <c r="E177" s="1">
        <f>IFERROR(__xludf.DUMMYFUNCTION("""COMPUTED_VALUE"""),1.0)</f>
        <v>1</v>
      </c>
      <c r="F177" s="1" t="str">
        <f>IFERROR(__xludf.DUMMYFUNCTION("""COMPUTED_VALUE"""),"DEF: +100 ++X2 Spirit Damage, ++Soul Enhanced II - Each soul you put into this item will increase its base defense by 100 up to 200,000.")</f>
        <v>DEF: +100 ++X2 Spirit Damage, ++Soul Enhanced II - Each soul you put into this item will increase its base defense by 100 up to 200,000.</v>
      </c>
      <c r="G177" s="1">
        <f>IFERROR(__xludf.DUMMYFUNCTION("""COMPUTED_VALUE"""),0.0)</f>
        <v>0</v>
      </c>
      <c r="H177" s="1"/>
      <c r="I177" s="1"/>
      <c r="J177" s="1"/>
      <c r="K177" s="1"/>
      <c r="L177" s="1"/>
      <c r="M177" s="1"/>
      <c r="N177" s="1"/>
      <c r="O177" s="1"/>
      <c r="P177" s="1"/>
      <c r="Q177" s="1"/>
      <c r="R177" s="1"/>
      <c r="S177" s="1"/>
      <c r="T177" s="1"/>
      <c r="U177" s="1"/>
      <c r="V177" s="1"/>
      <c r="W177" s="1"/>
      <c r="X177" s="1"/>
      <c r="Y177" s="1"/>
      <c r="Z177" s="1"/>
    </row>
    <row r="178">
      <c r="A178" s="1" t="str">
        <f>IFERROR(__xludf.DUMMYFUNCTION("""COMPUTED_VALUE"""),"Necklace of the Pumpkin")</f>
        <v>Necklace of the Pumpkin</v>
      </c>
      <c r="B178" s="1"/>
      <c r="C178" s="1"/>
      <c r="D178" s="1" t="str">
        <f>IFERROR(__xludf.DUMMYFUNCTION("""COMPUTED_VALUE"""),"Neck")</f>
        <v>Neck</v>
      </c>
      <c r="E178" s="1">
        <f>IFERROR(__xludf.DUMMYFUNCTION("""COMPUTED_VALUE"""),1.0)</f>
        <v>1</v>
      </c>
      <c r="F178" s="1" t="str">
        <f>IFERROR(__xludf.DUMMYFUNCTION("""COMPUTED_VALUE""")," ++Gives Immunity to Fire, Dark, and Nature damage")</f>
        <v> ++Gives Immunity to Fire, Dark, and Nature damage</v>
      </c>
      <c r="G178" s="1">
        <f>IFERROR(__xludf.DUMMYFUNCTION("""COMPUTED_VALUE"""),0.0)</f>
        <v>0</v>
      </c>
      <c r="H178" s="1"/>
      <c r="I178" s="1"/>
      <c r="J178" s="1"/>
      <c r="K178" s="1"/>
      <c r="L178" s="1"/>
      <c r="M178" s="1"/>
      <c r="N178" s="1"/>
      <c r="O178" s="1"/>
      <c r="P178" s="1"/>
      <c r="Q178" s="1"/>
      <c r="R178" s="1"/>
      <c r="S178" s="1"/>
      <c r="T178" s="1"/>
      <c r="U178" s="1"/>
      <c r="V178" s="1"/>
      <c r="W178" s="1"/>
      <c r="X178" s="1"/>
      <c r="Y178" s="1"/>
      <c r="Z178" s="1"/>
    </row>
    <row r="179">
      <c r="A179" s="1" t="str">
        <f>IFERROR(__xludf.DUMMYFUNCTION("""COMPUTED_VALUE"""),"Necklace Of Tritonoch")</f>
        <v>Necklace Of Tritonoch</v>
      </c>
      <c r="B179" s="1"/>
      <c r="C179" s="1"/>
      <c r="D179" s="1" t="str">
        <f>IFERROR(__xludf.DUMMYFUNCTION("""COMPUTED_VALUE"""),"Neck")</f>
        <v>Neck</v>
      </c>
      <c r="E179" s="1">
        <f>IFERROR(__xludf.DUMMYFUNCTION("""COMPUTED_VALUE"""),1.0)</f>
        <v>1</v>
      </c>
      <c r="F179" s="1" t="str">
        <f>IFERROR(__xludf.DUMMYFUNCTION("""COMPUTED_VALUE""")," ++Any water attack dealt by the wearer has a 50% chance to freeze the targets it hits, ++Waves of Entitlement - x5 additional Water damage")</f>
        <v> ++Any water attack dealt by the wearer has a 50% chance to freeze the targets it hits, ++Waves of Entitlement - x5 additional Water damage</v>
      </c>
      <c r="G179" s="1">
        <f>IFERROR(__xludf.DUMMYFUNCTION("""COMPUTED_VALUE"""),0.0)</f>
        <v>0</v>
      </c>
      <c r="H179" s="1"/>
      <c r="I179" s="1"/>
      <c r="J179" s="1"/>
      <c r="K179" s="1"/>
      <c r="L179" s="1"/>
      <c r="M179" s="1"/>
      <c r="N179" s="1"/>
      <c r="O179" s="1"/>
      <c r="P179" s="1"/>
      <c r="Q179" s="1"/>
      <c r="R179" s="1"/>
      <c r="S179" s="1"/>
      <c r="T179" s="1"/>
      <c r="U179" s="1"/>
      <c r="V179" s="1"/>
      <c r="W179" s="1"/>
      <c r="X179" s="1"/>
      <c r="Y179" s="1"/>
      <c r="Z179" s="1"/>
    </row>
    <row r="180">
      <c r="A180" s="1" t="str">
        <f>IFERROR(__xludf.DUMMYFUNCTION("""COMPUTED_VALUE"""),"Necklace of Waking Waters")</f>
        <v>Necklace of Waking Waters</v>
      </c>
      <c r="B180" s="1"/>
      <c r="C180" s="1"/>
      <c r="D180" s="1" t="str">
        <f>IFERROR(__xludf.DUMMYFUNCTION("""COMPUTED_VALUE"""),"Neck")</f>
        <v>Neck</v>
      </c>
      <c r="E180" s="1">
        <f>IFERROR(__xludf.DUMMYFUNCTION("""COMPUTED_VALUE"""),1.0)</f>
        <v>1</v>
      </c>
      <c r="F180" s="1" t="str">
        <f>IFERROR(__xludf.DUMMYFUNCTION("""COMPUTED_VALUE""")," ++Immunity to sleep. ++X4 Water damage.")</f>
        <v> ++Immunity to sleep. ++X4 Water damage.</v>
      </c>
      <c r="G180" s="1">
        <f>IFERROR(__xludf.DUMMYFUNCTION("""COMPUTED_VALUE"""),0.0)</f>
        <v>0</v>
      </c>
      <c r="H180" s="1"/>
      <c r="I180" s="1"/>
      <c r="J180" s="1"/>
      <c r="K180" s="1"/>
      <c r="L180" s="1"/>
      <c r="M180" s="1"/>
      <c r="N180" s="1"/>
      <c r="O180" s="1"/>
      <c r="P180" s="1"/>
      <c r="Q180" s="1"/>
      <c r="R180" s="1"/>
      <c r="S180" s="1"/>
      <c r="T180" s="1"/>
      <c r="U180" s="1"/>
      <c r="V180" s="1"/>
      <c r="W180" s="1"/>
      <c r="X180" s="1"/>
      <c r="Y180" s="1"/>
      <c r="Z180" s="1"/>
    </row>
    <row r="181">
      <c r="A181" s="1" t="str">
        <f>IFERROR(__xludf.DUMMYFUNCTION("""COMPUTED_VALUE"""),"Necklace of Water Breathing")</f>
        <v>Necklace of Water Breathing</v>
      </c>
      <c r="B181" s="1"/>
      <c r="C181" s="1"/>
      <c r="D181" s="1" t="str">
        <f>IFERROR(__xludf.DUMMYFUNCTION("""COMPUTED_VALUE"""),"Neck")</f>
        <v>Neck</v>
      </c>
      <c r="E181" s="1">
        <f>IFERROR(__xludf.DUMMYFUNCTION("""COMPUTED_VALUE"""),1.0)</f>
        <v>1</v>
      </c>
      <c r="F181" s="1" t="str">
        <f>IFERROR(__xludf.DUMMYFUNCTION("""COMPUTED_VALUE""")," ++Allows you to breath underwater.")</f>
        <v> ++Allows you to breath underwater.</v>
      </c>
      <c r="G181" s="1">
        <f>IFERROR(__xludf.DUMMYFUNCTION("""COMPUTED_VALUE"""),0.0)</f>
        <v>0</v>
      </c>
      <c r="H181" s="1"/>
      <c r="I181" s="1"/>
      <c r="J181" s="1"/>
      <c r="K181" s="1"/>
      <c r="L181" s="1"/>
      <c r="M181" s="1"/>
      <c r="N181" s="1"/>
      <c r="O181" s="1"/>
      <c r="P181" s="1"/>
      <c r="Q181" s="1"/>
      <c r="R181" s="1"/>
      <c r="S181" s="1"/>
      <c r="T181" s="1"/>
      <c r="U181" s="1"/>
      <c r="V181" s="1"/>
      <c r="W181" s="1"/>
      <c r="X181" s="1"/>
      <c r="Y181" s="1"/>
      <c r="Z181" s="1"/>
    </row>
    <row r="182">
      <c r="A182" s="1" t="str">
        <f>IFERROR(__xludf.DUMMYFUNCTION("""COMPUTED_VALUE"""),"Obsidian Chestplate")</f>
        <v>Obsidian Chestplate</v>
      </c>
      <c r="B182" s="1" t="str">
        <f>IFERROR(__xludf.DUMMYFUNCTION("""COMPUTED_VALUE"""),"Quest Item")</f>
        <v>Quest Item</v>
      </c>
      <c r="C182" s="1"/>
      <c r="D182" s="1" t="str">
        <f>IFERROR(__xludf.DUMMYFUNCTION("""COMPUTED_VALUE"""),"Torso")</f>
        <v>Torso</v>
      </c>
      <c r="E182" s="1">
        <f>IFERROR(__xludf.DUMMYFUNCTION("""COMPUTED_VALUE"""),4000.0)</f>
        <v>4000</v>
      </c>
      <c r="F182" s="1" t="str">
        <f>IFERROR(__xludf.DUMMYFUNCTION("""COMPUTED_VALUE"""),"DEF: +100000, Fire DEF: +100000 ++Fire Immunity. +-Cannot be duplicated.")</f>
        <v>DEF: +100000, Fire DEF: +100000 ++Fire Immunity. +-Cannot be duplicated.</v>
      </c>
      <c r="G182" s="1">
        <f>IFERROR(__xludf.DUMMYFUNCTION("""COMPUTED_VALUE"""),7.98E8)</f>
        <v>798000000</v>
      </c>
      <c r="H182" s="1"/>
      <c r="I182" s="1"/>
      <c r="J182" s="1"/>
      <c r="K182" s="1"/>
      <c r="L182" s="1"/>
      <c r="M182" s="1"/>
      <c r="N182" s="1"/>
      <c r="O182" s="1"/>
      <c r="P182" s="1"/>
      <c r="Q182" s="1"/>
      <c r="R182" s="1"/>
      <c r="S182" s="1"/>
      <c r="T182" s="1"/>
      <c r="U182" s="1"/>
      <c r="V182" s="1"/>
      <c r="W182" s="1"/>
      <c r="X182" s="1"/>
      <c r="Y182" s="1"/>
      <c r="Z182" s="1"/>
    </row>
    <row r="183">
      <c r="A183" s="1" t="str">
        <f>IFERROR(__xludf.DUMMYFUNCTION("""COMPUTED_VALUE"""),"Ancient Oni Mask")</f>
        <v>Ancient Oni Mask</v>
      </c>
      <c r="B183" s="1" t="str">
        <f>IFERROR(__xludf.DUMMYFUNCTION("""COMPUTED_VALUE"""),"An ancient relic to Zhenmay")</f>
        <v>An ancient relic to Zhenmay</v>
      </c>
      <c r="C183" s="1"/>
      <c r="D183" s="1" t="str">
        <f>IFERROR(__xludf.DUMMYFUNCTION("""COMPUTED_VALUE"""),"Head")</f>
        <v>Head</v>
      </c>
      <c r="E183" s="1">
        <f>IFERROR(__xludf.DUMMYFUNCTION("""COMPUTED_VALUE"""),200.0)</f>
        <v>200</v>
      </c>
      <c r="F183"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183" s="1">
        <f>IFERROR(__xludf.DUMMYFUNCTION("""COMPUTED_VALUE"""),5.104E8)</f>
        <v>510400000</v>
      </c>
      <c r="H183" s="1"/>
      <c r="I183" s="1"/>
      <c r="J183" s="1"/>
      <c r="K183" s="1"/>
      <c r="L183" s="1"/>
      <c r="M183" s="1"/>
      <c r="N183" s="1"/>
      <c r="O183" s="1"/>
      <c r="P183" s="1"/>
      <c r="Q183" s="1"/>
      <c r="R183" s="1"/>
      <c r="S183" s="1"/>
      <c r="T183" s="1"/>
      <c r="U183" s="1"/>
      <c r="V183" s="1"/>
      <c r="W183" s="1"/>
      <c r="X183" s="1"/>
      <c r="Y183" s="1"/>
      <c r="Z183" s="1"/>
    </row>
    <row r="184">
      <c r="A184" s="1" t="str">
        <f>IFERROR(__xludf.DUMMYFUNCTION("""COMPUTED_VALUE"""),"Pauldrons of Waking Waters")</f>
        <v>Pauldrons of Waking Waters</v>
      </c>
      <c r="B184" s="1"/>
      <c r="C184" s="1"/>
      <c r="D184" s="1" t="str">
        <f>IFERROR(__xludf.DUMMYFUNCTION("""COMPUTED_VALUE"""),"Shoulders")</f>
        <v>Shoulders</v>
      </c>
      <c r="E184" s="1">
        <f>IFERROR(__xludf.DUMMYFUNCTION("""COMPUTED_VALUE"""),200.0)</f>
        <v>200</v>
      </c>
      <c r="F184" s="1" t="str">
        <f>IFERROR(__xludf.DUMMYFUNCTION("""COMPUTED_VALUE"""),"DEF: +5000, Water DEF: +5000 ++X4 additional water damage for self.")</f>
        <v>DEF: +5000, Water DEF: +5000 ++X4 additional water damage for self.</v>
      </c>
      <c r="G184" s="1">
        <f>IFERROR(__xludf.DUMMYFUNCTION("""COMPUTED_VALUE"""),1900000.0)</f>
        <v>1900000</v>
      </c>
      <c r="H184" s="1"/>
      <c r="I184" s="1"/>
      <c r="J184" s="1"/>
      <c r="K184" s="1"/>
      <c r="L184" s="1"/>
      <c r="M184" s="1"/>
      <c r="N184" s="1"/>
      <c r="O184" s="1"/>
      <c r="P184" s="1"/>
      <c r="Q184" s="1"/>
      <c r="R184" s="1"/>
      <c r="S184" s="1"/>
      <c r="T184" s="1"/>
      <c r="U184" s="1"/>
      <c r="V184" s="1"/>
      <c r="W184" s="1"/>
      <c r="X184" s="1"/>
      <c r="Y184" s="1"/>
      <c r="Z184" s="1"/>
    </row>
    <row r="185">
      <c r="A185" s="1" t="str">
        <f>IFERROR(__xludf.DUMMYFUNCTION("""COMPUTED_VALUE"""),"Pendent of the Sea Serpent")</f>
        <v>Pendent of the Sea Serpent</v>
      </c>
      <c r="B185" s="1"/>
      <c r="C185" s="1"/>
      <c r="D185" s="1" t="str">
        <f>IFERROR(__xludf.DUMMYFUNCTION("""COMPUTED_VALUE"""),"Neck")</f>
        <v>Neck</v>
      </c>
      <c r="E185" s="1">
        <f>IFERROR(__xludf.DUMMYFUNCTION("""COMPUTED_VALUE"""),1.0)</f>
        <v>1</v>
      </c>
      <c r="F185" s="1" t="str">
        <f>IFERROR(__xludf.DUMMYFUNCTION("""COMPUTED_VALUE""")," ++X2 Water Resistance.")</f>
        <v> ++X2 Water Resistance.</v>
      </c>
      <c r="G185" s="1">
        <f>IFERROR(__xludf.DUMMYFUNCTION("""COMPUTED_VALUE"""),0.0)</f>
        <v>0</v>
      </c>
      <c r="H185" s="1"/>
      <c r="I185" s="1"/>
      <c r="J185" s="1"/>
      <c r="K185" s="1"/>
      <c r="L185" s="1"/>
      <c r="M185" s="1"/>
      <c r="N185" s="1"/>
      <c r="O185" s="1"/>
      <c r="P185" s="1"/>
      <c r="Q185" s="1"/>
      <c r="R185" s="1"/>
      <c r="S185" s="1"/>
      <c r="T185" s="1"/>
      <c r="U185" s="1"/>
      <c r="V185" s="1"/>
      <c r="W185" s="1"/>
      <c r="X185" s="1"/>
      <c r="Y185" s="1"/>
      <c r="Z185" s="1"/>
    </row>
    <row r="186">
      <c r="A186" s="1" t="str">
        <f>IFERROR(__xludf.DUMMYFUNCTION("""COMPUTED_VALUE"""),"Pendent of Confusion")</f>
        <v>Pendent of Confusion</v>
      </c>
      <c r="B186" s="1"/>
      <c r="C186" s="1"/>
      <c r="D186" s="1" t="str">
        <f>IFERROR(__xludf.DUMMYFUNCTION("""COMPUTED_VALUE"""),"Neck")</f>
        <v>Neck</v>
      </c>
      <c r="E186" s="1">
        <f>IFERROR(__xludf.DUMMYFUNCTION("""COMPUTED_VALUE"""),1.0)</f>
        <v>1</v>
      </c>
      <c r="F186" s="1" t="str">
        <f>IFERROR(__xludf.DUMMYFUNCTION("""COMPUTED_VALUE""")," ++At the beginning of battle choose a target and choose two numbers between 1-40 whenever the target rolls the numbers you chose while they are attacking they attack themself (1 use per battle)")</f>
        <v> ++At the beginning of battle choose a target and choose two numbers between 1-40 whenever the target rolls the numbers you chose while they are attacking they attack themself (1 use per battle)</v>
      </c>
      <c r="G186" s="1">
        <f>IFERROR(__xludf.DUMMYFUNCTION("""COMPUTED_VALUE"""),0.0)</f>
        <v>0</v>
      </c>
      <c r="H186" s="1"/>
      <c r="I186" s="1"/>
      <c r="J186" s="1"/>
      <c r="K186" s="1"/>
      <c r="L186" s="1"/>
      <c r="M186" s="1"/>
      <c r="N186" s="1"/>
      <c r="O186" s="1"/>
      <c r="P186" s="1"/>
      <c r="Q186" s="1"/>
      <c r="R186" s="1"/>
      <c r="S186" s="1"/>
      <c r="T186" s="1"/>
      <c r="U186" s="1"/>
      <c r="V186" s="1"/>
      <c r="W186" s="1"/>
      <c r="X186" s="1"/>
      <c r="Y186" s="1"/>
      <c r="Z186" s="1"/>
    </row>
    <row r="187">
      <c r="A187" s="1" t="str">
        <f>IFERROR(__xludf.DUMMYFUNCTION("""COMPUTED_VALUE"""),"Pendent of Luck")</f>
        <v>Pendent of Luck</v>
      </c>
      <c r="B187" s="1"/>
      <c r="C187" s="1"/>
      <c r="D187" s="1" t="str">
        <f>IFERROR(__xludf.DUMMYFUNCTION("""COMPUTED_VALUE"""),"Neck")</f>
        <v>Neck</v>
      </c>
      <c r="E187" s="1">
        <f>IFERROR(__xludf.DUMMYFUNCTION("""COMPUTED_VALUE"""),1.0)</f>
        <v>1</v>
      </c>
      <c r="F187" s="1" t="str">
        <f>IFERROR(__xludf.DUMMYFUNCTION("""COMPUTED_VALUE""")," ++Plus 100 to each base Stat.")</f>
        <v> ++Plus 100 to each base Stat.</v>
      </c>
      <c r="G187" s="1">
        <f>IFERROR(__xludf.DUMMYFUNCTION("""COMPUTED_VALUE"""),0.0)</f>
        <v>0</v>
      </c>
      <c r="H187" s="1"/>
      <c r="I187" s="1"/>
      <c r="J187" s="1"/>
      <c r="K187" s="1"/>
      <c r="L187" s="1"/>
      <c r="M187" s="1"/>
      <c r="N187" s="1"/>
      <c r="O187" s="1"/>
      <c r="P187" s="1"/>
      <c r="Q187" s="1"/>
      <c r="R187" s="1"/>
      <c r="S187" s="1"/>
      <c r="T187" s="1"/>
      <c r="U187" s="1"/>
      <c r="V187" s="1"/>
      <c r="W187" s="1"/>
      <c r="X187" s="1"/>
      <c r="Y187" s="1"/>
      <c r="Z187" s="1"/>
    </row>
    <row r="188">
      <c r="A188" s="1" t="str">
        <f>IFERROR(__xludf.DUMMYFUNCTION("""COMPUTED_VALUE"""),"Pillow of Dreams")</f>
        <v>Pillow of Dreams</v>
      </c>
      <c r="B188" s="1"/>
      <c r="C188" s="1" t="str">
        <f>IFERROR(__xludf.DUMMYFUNCTION("""COMPUTED_VALUE"""),"Towershield")</f>
        <v>Towershield</v>
      </c>
      <c r="D188" s="1" t="str">
        <f>IFERROR(__xludf.DUMMYFUNCTION("""COMPUTED_VALUE"""),"Hand")</f>
        <v>Hand</v>
      </c>
      <c r="E188" s="1">
        <f>IFERROR(__xludf.DUMMYFUNCTION("""COMPUTED_VALUE"""),200.0)</f>
        <v>200</v>
      </c>
      <c r="F188" s="1" t="str">
        <f>IFERROR(__xludf.DUMMYFUNCTION("""COMPUTED_VALUE"""),"DEF: +100000, Astral DEF: +100000, Celestial DEF: +50000 ++When you sleep in a INN your dreams become reality. Roll a d20 to see what your dreams awaken. This item must be equipped for the effect to be applied. Can only be used once before each journey. M"&amp;"ust have lower then half your max hp, sp, hunger, thirst, or energy to use.")</f>
        <v>DEF: +100000, Astral DEF: +100000, Celestial DEF: +50000 ++When you sleep in a INN your dreams become reality. Roll a d20 to see what your dreams awaken. This item must be equipped for the effect to be applied. Can only be used once before each journey. Must have lower then half your max hp, sp, hunger, thirst, or energy to use.</v>
      </c>
      <c r="G188" s="1">
        <f>IFERROR(__xludf.DUMMYFUNCTION("""COMPUTED_VALUE"""),1.2475E9)</f>
        <v>1247500000</v>
      </c>
      <c r="H188" s="1"/>
      <c r="I188" s="1"/>
      <c r="J188" s="1"/>
      <c r="K188" s="1"/>
      <c r="L188" s="1"/>
      <c r="M188" s="1"/>
      <c r="N188" s="1"/>
      <c r="O188" s="1"/>
      <c r="P188" s="1"/>
      <c r="Q188" s="1"/>
      <c r="R188" s="1"/>
      <c r="S188" s="1"/>
      <c r="T188" s="1"/>
      <c r="U188" s="1"/>
      <c r="V188" s="1"/>
      <c r="W188" s="1"/>
      <c r="X188" s="1"/>
      <c r="Y188" s="1"/>
      <c r="Z188" s="1"/>
    </row>
    <row r="189">
      <c r="A189" s="1" t="str">
        <f>IFERROR(__xludf.DUMMYFUNCTION("""COMPUTED_VALUE"""),"Poison Vine Sword")</f>
        <v>Poison Vine Sword</v>
      </c>
      <c r="B189" s="1"/>
      <c r="C189" s="1" t="str">
        <f>IFERROR(__xludf.DUMMYFUNCTION("""COMPUTED_VALUE"""),"Sword")</f>
        <v>Sword</v>
      </c>
      <c r="D189" s="1" t="str">
        <f>IFERROR(__xludf.DUMMYFUNCTION("""COMPUTED_VALUE"""),"Hand")</f>
        <v>Hand</v>
      </c>
      <c r="E189" s="1">
        <f>IFERROR(__xludf.DUMMYFUNCTION("""COMPUTED_VALUE"""),2000.0)</f>
        <v>2000</v>
      </c>
      <c r="F189" s="1" t="str">
        <f>IFERROR(__xludf.DUMMYFUNCTION("""COMPUTED_VALUE"""),"DMG: +50000, Nature DMG: +50000 ++Poison 25,000")</f>
        <v>DMG: +50000, Nature DMG: +50000 ++Poison 25,000</v>
      </c>
      <c r="G189" s="1">
        <f>IFERROR(__xludf.DUMMYFUNCTION("""COMPUTED_VALUE"""),1.99E8)</f>
        <v>199000000</v>
      </c>
      <c r="H189" s="1"/>
      <c r="I189" s="1"/>
      <c r="J189" s="1"/>
      <c r="K189" s="1"/>
      <c r="L189" s="1"/>
      <c r="M189" s="1"/>
      <c r="N189" s="1"/>
      <c r="O189" s="1"/>
      <c r="P189" s="1"/>
      <c r="Q189" s="1"/>
      <c r="R189" s="1"/>
      <c r="S189" s="1"/>
      <c r="T189" s="1"/>
      <c r="U189" s="1"/>
      <c r="V189" s="1"/>
      <c r="W189" s="1"/>
      <c r="X189" s="1"/>
      <c r="Y189" s="1"/>
      <c r="Z189" s="1"/>
    </row>
    <row r="190">
      <c r="A190" s="1" t="str">
        <f>IFERROR(__xludf.DUMMYFUNCTION("""COMPUTED_VALUE"""),"Poseidon's Boots")</f>
        <v>Poseidon's Boots</v>
      </c>
      <c r="B190" s="1"/>
      <c r="C190" s="1"/>
      <c r="D190" s="1" t="str">
        <f>IFERROR(__xludf.DUMMYFUNCTION("""COMPUTED_VALUE"""),"Feet")</f>
        <v>Feet</v>
      </c>
      <c r="E190" s="1">
        <f>IFERROR(__xludf.DUMMYFUNCTION("""COMPUTED_VALUE"""),400.0)</f>
        <v>400</v>
      </c>
      <c r="F190" s="1" t="str">
        <f>IFERROR(__xludf.DUMMYFUNCTION("""COMPUTED_VALUE"""),"DEF: +10000, Water DEF: +10000 ++X8 additional water damage for self.")</f>
        <v>DEF: +10000, Water DEF: +10000 ++X8 additional water damage for self.</v>
      </c>
      <c r="G190" s="1">
        <f>IFERROR(__xludf.DUMMYFUNCTION("""COMPUTED_VALUE"""),7800000.0)</f>
        <v>7800000</v>
      </c>
      <c r="H190" s="1"/>
      <c r="I190" s="1"/>
      <c r="J190" s="1"/>
      <c r="K190" s="1"/>
      <c r="L190" s="1"/>
      <c r="M190" s="1"/>
      <c r="N190" s="1"/>
      <c r="O190" s="1"/>
      <c r="P190" s="1"/>
      <c r="Q190" s="1"/>
      <c r="R190" s="1"/>
      <c r="S190" s="1"/>
      <c r="T190" s="1"/>
      <c r="U190" s="1"/>
      <c r="V190" s="1"/>
      <c r="W190" s="1"/>
      <c r="X190" s="1"/>
      <c r="Y190" s="1"/>
      <c r="Z190" s="1"/>
    </row>
    <row r="191">
      <c r="A191" s="1" t="str">
        <f>IFERROR(__xludf.DUMMYFUNCTION("""COMPUTED_VALUE"""),"Poseidon's Chestplate")</f>
        <v>Poseidon's Chestplate</v>
      </c>
      <c r="B191" s="1"/>
      <c r="C191" s="1"/>
      <c r="D191" s="1" t="str">
        <f>IFERROR(__xludf.DUMMYFUNCTION("""COMPUTED_VALUE"""),"Torso")</f>
        <v>Torso</v>
      </c>
      <c r="E191" s="1">
        <f>IFERROR(__xludf.DUMMYFUNCTION("""COMPUTED_VALUE"""),800.0)</f>
        <v>800</v>
      </c>
      <c r="F191" s="1" t="str">
        <f>IFERROR(__xludf.DUMMYFUNCTION("""COMPUTED_VALUE"""),"DEF: +20000, Water DEF: +20000 ++X8 additional water damage for self. ++X10 additional water resistance and Natural Defense for self and allies if you have all Poseidon Equipment Equipped.")</f>
        <v>DEF: +20000, Water DEF: +20000 ++X8 additional water damage for self. ++X10 additional water resistance and Natural Defense for self and allies if you have all Poseidon Equipment Equipped.</v>
      </c>
      <c r="G191" s="1">
        <f>IFERROR(__xludf.DUMMYFUNCTION("""COMPUTED_VALUE"""),3.16E7)</f>
        <v>31600000</v>
      </c>
      <c r="H191" s="1"/>
      <c r="I191" s="1"/>
      <c r="J191" s="1"/>
      <c r="K191" s="1"/>
      <c r="L191" s="1"/>
      <c r="M191" s="1"/>
      <c r="N191" s="1"/>
      <c r="O191" s="1"/>
      <c r="P191" s="1"/>
      <c r="Q191" s="1"/>
      <c r="R191" s="1"/>
      <c r="S191" s="1"/>
      <c r="T191" s="1"/>
      <c r="U191" s="1"/>
      <c r="V191" s="1"/>
      <c r="W191" s="1"/>
      <c r="X191" s="1"/>
      <c r="Y191" s="1"/>
      <c r="Z191" s="1"/>
    </row>
    <row r="192">
      <c r="A192" s="1" t="str">
        <f>IFERROR(__xludf.DUMMYFUNCTION("""COMPUTED_VALUE"""),"Poseidon's Greaves")</f>
        <v>Poseidon's Greaves</v>
      </c>
      <c r="B192" s="1"/>
      <c r="C192" s="1"/>
      <c r="D192" s="1" t="str">
        <f>IFERROR(__xludf.DUMMYFUNCTION("""COMPUTED_VALUE"""),"Legs")</f>
        <v>Legs</v>
      </c>
      <c r="E192" s="1">
        <f>IFERROR(__xludf.DUMMYFUNCTION("""COMPUTED_VALUE"""),400.0)</f>
        <v>400</v>
      </c>
      <c r="F192" s="1" t="str">
        <f>IFERROR(__xludf.DUMMYFUNCTION("""COMPUTED_VALUE"""),"DEF: +10000, Water DEF: +10000 ++X8 additional water damage for self.")</f>
        <v>DEF: +10000, Water DEF: +10000 ++X8 additional water damage for self.</v>
      </c>
      <c r="G192" s="1">
        <f>IFERROR(__xludf.DUMMYFUNCTION("""COMPUTED_VALUE"""),7800000.0)</f>
        <v>7800000</v>
      </c>
      <c r="H192" s="1"/>
      <c r="I192" s="1"/>
      <c r="J192" s="1"/>
      <c r="K192" s="1"/>
      <c r="L192" s="1"/>
      <c r="M192" s="1"/>
      <c r="N192" s="1"/>
      <c r="O192" s="1"/>
      <c r="P192" s="1"/>
      <c r="Q192" s="1"/>
      <c r="R192" s="1"/>
      <c r="S192" s="1"/>
      <c r="T192" s="1"/>
      <c r="U192" s="1"/>
      <c r="V192" s="1"/>
      <c r="W192" s="1"/>
      <c r="X192" s="1"/>
      <c r="Y192" s="1"/>
      <c r="Z192" s="1"/>
    </row>
    <row r="193">
      <c r="A193" s="1" t="str">
        <f>IFERROR(__xludf.DUMMYFUNCTION("""COMPUTED_VALUE"""),"Poseidon's Helmet")</f>
        <v>Poseidon's Helmet</v>
      </c>
      <c r="B193" s="1"/>
      <c r="C193" s="1"/>
      <c r="D193" s="1" t="str">
        <f>IFERROR(__xludf.DUMMYFUNCTION("""COMPUTED_VALUE"""),"Head")</f>
        <v>Head</v>
      </c>
      <c r="E193" s="1">
        <f>IFERROR(__xludf.DUMMYFUNCTION("""COMPUTED_VALUE"""),400.0)</f>
        <v>400</v>
      </c>
      <c r="F193" s="1" t="str">
        <f>IFERROR(__xludf.DUMMYFUNCTION("""COMPUTED_VALUE"""),"DEF: +10000, Water DEF: +10000 ++X8 additional water damage for self.")</f>
        <v>DEF: +10000, Water DEF: +10000 ++X8 additional water damage for self.</v>
      </c>
      <c r="G193" s="1">
        <f>IFERROR(__xludf.DUMMYFUNCTION("""COMPUTED_VALUE"""),7800000.0)</f>
        <v>7800000</v>
      </c>
      <c r="H193" s="1"/>
      <c r="I193" s="1"/>
      <c r="J193" s="1"/>
      <c r="K193" s="1"/>
      <c r="L193" s="1"/>
      <c r="M193" s="1"/>
      <c r="N193" s="1"/>
      <c r="O193" s="1"/>
      <c r="P193" s="1"/>
      <c r="Q193" s="1"/>
      <c r="R193" s="1"/>
      <c r="S193" s="1"/>
      <c r="T193" s="1"/>
      <c r="U193" s="1"/>
      <c r="V193" s="1"/>
      <c r="W193" s="1"/>
      <c r="X193" s="1"/>
      <c r="Y193" s="1"/>
      <c r="Z193" s="1"/>
    </row>
    <row r="194">
      <c r="A194" s="1" t="str">
        <f>IFERROR(__xludf.DUMMYFUNCTION("""COMPUTED_VALUE"""),"Poseidon's Pauldrons")</f>
        <v>Poseidon's Pauldrons</v>
      </c>
      <c r="B194" s="1"/>
      <c r="C194" s="1"/>
      <c r="D194" s="1" t="str">
        <f>IFERROR(__xludf.DUMMYFUNCTION("""COMPUTED_VALUE"""),"Shoulders")</f>
        <v>Shoulders</v>
      </c>
      <c r="E194" s="1">
        <f>IFERROR(__xludf.DUMMYFUNCTION("""COMPUTED_VALUE"""),400.0)</f>
        <v>400</v>
      </c>
      <c r="F194" s="1" t="str">
        <f>IFERROR(__xludf.DUMMYFUNCTION("""COMPUTED_VALUE"""),"DEF: +10000, Water DEF: +10000 ++X8 additional water damage for self.")</f>
        <v>DEF: +10000, Water DEF: +10000 ++X8 additional water damage for self.</v>
      </c>
      <c r="G194" s="1">
        <f>IFERROR(__xludf.DUMMYFUNCTION("""COMPUTED_VALUE"""),7800000.0)</f>
        <v>7800000</v>
      </c>
      <c r="H194" s="1"/>
      <c r="I194" s="1"/>
      <c r="J194" s="1"/>
      <c r="K194" s="1"/>
      <c r="L194" s="1"/>
      <c r="M194" s="1"/>
      <c r="N194" s="1"/>
      <c r="O194" s="1"/>
      <c r="P194" s="1"/>
      <c r="Q194" s="1"/>
      <c r="R194" s="1"/>
      <c r="S194" s="1"/>
      <c r="T194" s="1"/>
      <c r="U194" s="1"/>
      <c r="V194" s="1"/>
      <c r="W194" s="1"/>
      <c r="X194" s="1"/>
      <c r="Y194" s="1"/>
      <c r="Z194" s="1"/>
    </row>
    <row r="195">
      <c r="A195" s="1" t="str">
        <f>IFERROR(__xludf.DUMMYFUNCTION("""COMPUTED_VALUE"""),"Poseidon's Ring")</f>
        <v>Poseidon's Ring</v>
      </c>
      <c r="B195" s="1"/>
      <c r="C195" s="1"/>
      <c r="D195" s="1" t="str">
        <f>IFERROR(__xludf.DUMMYFUNCTION("""COMPUTED_VALUE"""),"Ring")</f>
        <v>Ring</v>
      </c>
      <c r="E195" s="1">
        <f>IFERROR(__xludf.DUMMYFUNCTION("""COMPUTED_VALUE"""),20.0)</f>
        <v>20</v>
      </c>
      <c r="F195" s="1" t="str">
        <f>IFERROR(__xludf.DUMMYFUNCTION("""COMPUTED_VALUE"""),"DEF: +1000 ++X8 additional water damage for self. ")</f>
        <v>DEF: +1000 ++X8 additional water damage for self. </v>
      </c>
      <c r="G195" s="1">
        <f>IFERROR(__xludf.DUMMYFUNCTION("""COMPUTED_VALUE"""),10000.0)</f>
        <v>10000</v>
      </c>
      <c r="H195" s="1"/>
      <c r="I195" s="1"/>
      <c r="J195" s="1"/>
      <c r="K195" s="1"/>
      <c r="L195" s="1"/>
      <c r="M195" s="1"/>
      <c r="N195" s="1"/>
      <c r="O195" s="1"/>
      <c r="P195" s="1"/>
      <c r="Q195" s="1"/>
      <c r="R195" s="1"/>
      <c r="S195" s="1"/>
      <c r="T195" s="1"/>
      <c r="U195" s="1"/>
      <c r="V195" s="1"/>
      <c r="W195" s="1"/>
      <c r="X195" s="1"/>
      <c r="Y195" s="1"/>
      <c r="Z195" s="1"/>
    </row>
    <row r="196">
      <c r="A196" s="1" t="str">
        <f>IFERROR(__xludf.DUMMYFUNCTION("""COMPUTED_VALUE"""),"Poseidon's Sword")</f>
        <v>Poseidon's Sword</v>
      </c>
      <c r="B196" s="1"/>
      <c r="C196" s="1" t="str">
        <f>IFERROR(__xludf.DUMMYFUNCTION("""COMPUTED_VALUE"""),"Sword")</f>
        <v>Sword</v>
      </c>
      <c r="D196" s="1" t="str">
        <f>IFERROR(__xludf.DUMMYFUNCTION("""COMPUTED_VALUE"""),"Hand")</f>
        <v>Hand</v>
      </c>
      <c r="E196" s="1">
        <f>IFERROR(__xludf.DUMMYFUNCTION("""COMPUTED_VALUE"""),200.0)</f>
        <v>200</v>
      </c>
      <c r="F196" s="1" t="str">
        <f>IFERROR(__xludf.DUMMYFUNCTION("""COMPUTED_VALUE"""),"DMG: +40000, Water DMG: +40000, Celestial DMG: +20000 ++X10 additional water damage for self. ++X12 additional water damage and Natural Defense for self and allies if you have all Poseidon Equipment Equipped. +-Cannot be forged +-Cannot be duplicated")</f>
        <v>DMG: +40000, Water DMG: +40000, Celestial DMG: +20000 ++X10 additional water damage for self. ++X12 additional water damage and Natural Defense for self and allies if you have all Poseidon Equipment Equipped. +-Cannot be forged +-Cannot be duplicated</v>
      </c>
      <c r="G196" s="1">
        <f>IFERROR(__xludf.DUMMYFUNCTION("""COMPUTED_VALUE"""),1.99E8)</f>
        <v>199000000</v>
      </c>
      <c r="H196" s="1"/>
      <c r="I196" s="1"/>
      <c r="J196" s="1"/>
      <c r="K196" s="1"/>
      <c r="L196" s="1"/>
      <c r="M196" s="1"/>
      <c r="N196" s="1"/>
      <c r="O196" s="1"/>
      <c r="P196" s="1"/>
      <c r="Q196" s="1"/>
      <c r="R196" s="1"/>
      <c r="S196" s="1"/>
      <c r="T196" s="1"/>
      <c r="U196" s="1"/>
      <c r="V196" s="1"/>
      <c r="W196" s="1"/>
      <c r="X196" s="1"/>
      <c r="Y196" s="1"/>
      <c r="Z196" s="1"/>
    </row>
    <row r="197">
      <c r="A197" s="1" t="str">
        <f>IFERROR(__xludf.DUMMYFUNCTION("""COMPUTED_VALUE"""),"Poseidon's Trident")</f>
        <v>Poseidon's Trident</v>
      </c>
      <c r="B197" s="1"/>
      <c r="C197" s="1" t="str">
        <f>IFERROR(__xludf.DUMMYFUNCTION("""COMPUTED_VALUE"""),"Spear")</f>
        <v>Spear</v>
      </c>
      <c r="D197" s="1" t="str">
        <f>IFERROR(__xludf.DUMMYFUNCTION("""COMPUTED_VALUE"""),"Hand")</f>
        <v>Hand</v>
      </c>
      <c r="E197" s="1">
        <f>IFERROR(__xludf.DUMMYFUNCTION("""COMPUTED_VALUE"""),200.0)</f>
        <v>200</v>
      </c>
      <c r="F197" s="1" t="str">
        <f>IFERROR(__xludf.DUMMYFUNCTION("""COMPUTED_VALUE"""),"DMG: +50000, Water DMG: +50000, Celestial DMG: +25000 ++The user is Immune to the first attack of each battle, Ignores Defense and Water Immunity when attacking a target. +-Cannot be forged +-Cannot be duplicated")</f>
        <v>DMG: +50000, Water DMG: +50000, Celestial DMG: +25000 ++The user is Immune to the first attack of each battle, Ignores Defense and Water Immunity when attacking a target. +-Cannot be forged +-Cannot be duplicated</v>
      </c>
      <c r="G197" s="1">
        <f>IFERROR(__xludf.DUMMYFUNCTION("""COMPUTED_VALUE"""),3.1125E8)</f>
        <v>311250000</v>
      </c>
      <c r="H197" s="1"/>
      <c r="I197" s="1"/>
      <c r="J197" s="1"/>
      <c r="K197" s="1"/>
      <c r="L197" s="1"/>
      <c r="M197" s="1"/>
      <c r="N197" s="1"/>
      <c r="O197" s="1"/>
      <c r="P197" s="1"/>
      <c r="Q197" s="1"/>
      <c r="R197" s="1"/>
      <c r="S197" s="1"/>
      <c r="T197" s="1"/>
      <c r="U197" s="1"/>
      <c r="V197" s="1"/>
      <c r="W197" s="1"/>
      <c r="X197" s="1"/>
      <c r="Y197" s="1"/>
      <c r="Z197" s="1"/>
    </row>
    <row r="198">
      <c r="A198" s="1" t="str">
        <f>IFERROR(__xludf.DUMMYFUNCTION("""COMPUTED_VALUE"""),"Poseidon's Vambraces")</f>
        <v>Poseidon's Vambraces</v>
      </c>
      <c r="B198" s="1"/>
      <c r="C198" s="1"/>
      <c r="D198" s="1" t="str">
        <f>IFERROR(__xludf.DUMMYFUNCTION("""COMPUTED_VALUE"""),"Arms")</f>
        <v>Arms</v>
      </c>
      <c r="E198" s="1">
        <f>IFERROR(__xludf.DUMMYFUNCTION("""COMPUTED_VALUE"""),400.0)</f>
        <v>400</v>
      </c>
      <c r="F198" s="1" t="str">
        <f>IFERROR(__xludf.DUMMYFUNCTION("""COMPUTED_VALUE"""),"DEF: +10000, Water DEF: +10000 ++X8 additional water damage for self.")</f>
        <v>DEF: +10000, Water DEF: +10000 ++X8 additional water damage for self.</v>
      </c>
      <c r="G198" s="1">
        <f>IFERROR(__xludf.DUMMYFUNCTION("""COMPUTED_VALUE"""),7800000.0)</f>
        <v>7800000</v>
      </c>
      <c r="H198" s="1"/>
      <c r="I198" s="1"/>
      <c r="J198" s="1"/>
      <c r="K198" s="1"/>
      <c r="L198" s="1"/>
      <c r="M198" s="1"/>
      <c r="N198" s="1"/>
      <c r="O198" s="1"/>
      <c r="P198" s="1"/>
      <c r="Q198" s="1"/>
      <c r="R198" s="1"/>
      <c r="S198" s="1"/>
      <c r="T198" s="1"/>
      <c r="U198" s="1"/>
      <c r="V198" s="1"/>
      <c r="W198" s="1"/>
      <c r="X198" s="1"/>
      <c r="Y198" s="1"/>
      <c r="Z198" s="1"/>
    </row>
    <row r="199">
      <c r="A199" s="1" t="str">
        <f>IFERROR(__xludf.DUMMYFUNCTION("""COMPUTED_VALUE"""),"Riftblade")</f>
        <v>Riftblade</v>
      </c>
      <c r="B199" s="1" t="str">
        <f>IFERROR(__xludf.DUMMYFUNCTION("""COMPUTED_VALUE"""),"An ancient blade from a forgotten time")</f>
        <v>An ancient blade from a forgotten time</v>
      </c>
      <c r="C199" s="1" t="str">
        <f>IFERROR(__xludf.DUMMYFUNCTION("""COMPUTED_VALUE"""),"Sword")</f>
        <v>Sword</v>
      </c>
      <c r="D199" s="1" t="str">
        <f>IFERROR(__xludf.DUMMYFUNCTION("""COMPUTED_VALUE"""),"Hand")</f>
        <v>Hand</v>
      </c>
      <c r="E199" s="1">
        <f>IFERROR(__xludf.DUMMYFUNCTION("""COMPUTED_VALUE"""),600.0)</f>
        <v>600</v>
      </c>
      <c r="F199" s="1" t="str">
        <f>IFERROR(__xludf.DUMMYFUNCTION("""COMPUTED_VALUE"""),"DMG: +10000, Chaos DMG: +10000, Nature DMG: +10000")</f>
        <v>DMG: +10000, Chaos DMG: +10000, Nature DMG: +10000</v>
      </c>
      <c r="G199" s="1">
        <f>IFERROR(__xludf.DUMMYFUNCTION("""COMPUTED_VALUE"""),1.77E7)</f>
        <v>17700000</v>
      </c>
      <c r="H199" s="1"/>
      <c r="I199" s="1"/>
      <c r="J199" s="1"/>
      <c r="K199" s="1"/>
      <c r="L199" s="1"/>
      <c r="M199" s="1"/>
      <c r="N199" s="1"/>
      <c r="O199" s="1"/>
      <c r="P199" s="1"/>
      <c r="Q199" s="1"/>
      <c r="R199" s="1"/>
      <c r="S199" s="1"/>
      <c r="T199" s="1"/>
      <c r="U199" s="1"/>
      <c r="V199" s="1"/>
      <c r="W199" s="1"/>
      <c r="X199" s="1"/>
      <c r="Y199" s="1"/>
      <c r="Z199" s="1"/>
    </row>
    <row r="200">
      <c r="A200" s="1" t="str">
        <f>IFERROR(__xludf.DUMMYFUNCTION("""COMPUTED_VALUE"""),"Ring o’ Luck and Nature")</f>
        <v>Ring o’ Luck and Nature</v>
      </c>
      <c r="B200" s="1"/>
      <c r="C200" s="1"/>
      <c r="D200" s="1" t="str">
        <f>IFERROR(__xludf.DUMMYFUNCTION("""COMPUTED_VALUE"""),"Ring")</f>
        <v>Ring</v>
      </c>
      <c r="E200" s="1">
        <f>IFERROR(__xludf.DUMMYFUNCTION("""COMPUTED_VALUE"""),1.0)</f>
        <v>1</v>
      </c>
      <c r="F200" s="1" t="str">
        <f>IFERROR(__xludf.DUMMYFUNCTION("""COMPUTED_VALUE""")," ++Immunity to nature damage, ++increases the roll of a d20 by 2. +-Can only equip one")</f>
        <v> ++Immunity to nature damage, ++increases the roll of a d20 by 2. +-Can only equip one</v>
      </c>
      <c r="G200" s="1">
        <f>IFERROR(__xludf.DUMMYFUNCTION("""COMPUTED_VALUE"""),0.0)</f>
        <v>0</v>
      </c>
      <c r="H200" s="1"/>
      <c r="I200" s="1"/>
      <c r="J200" s="1"/>
      <c r="K200" s="1"/>
      <c r="L200" s="1"/>
      <c r="M200" s="1"/>
      <c r="N200" s="1"/>
      <c r="O200" s="1"/>
      <c r="P200" s="1"/>
      <c r="Q200" s="1"/>
      <c r="R200" s="1"/>
      <c r="S200" s="1"/>
      <c r="T200" s="1"/>
      <c r="U200" s="1"/>
      <c r="V200" s="1"/>
      <c r="W200" s="1"/>
      <c r="X200" s="1"/>
      <c r="Y200" s="1"/>
      <c r="Z200" s="1"/>
    </row>
    <row r="201">
      <c r="A201" s="1" t="str">
        <f>IFERROR(__xludf.DUMMYFUNCTION("""COMPUTED_VALUE"""),"Ring of Darkness")</f>
        <v>Ring of Darkness</v>
      </c>
      <c r="B201" s="1"/>
      <c r="C201" s="1"/>
      <c r="D201" s="1" t="str">
        <f>IFERROR(__xludf.DUMMYFUNCTION("""COMPUTED_VALUE"""),"Ring")</f>
        <v>Ring</v>
      </c>
      <c r="E201" s="1">
        <f>IFERROR(__xludf.DUMMYFUNCTION("""COMPUTED_VALUE"""),1.0)</f>
        <v>1</v>
      </c>
      <c r="F201" s="1" t="str">
        <f>IFERROR(__xludf.DUMMYFUNCTION("""COMPUTED_VALUE""")," ++Shadow Cloud - Cloaks you in a cloud darkness - causes all enemies to miss you with any attack, including cannot avoid attacks for the rest of the round, Fail/Succeed, -200 sp.")</f>
        <v> ++Shadow Cloud - Cloaks you in a cloud darkness - causes all enemies to miss you with any attack, including cannot avoid attacks for the rest of the round, Fail/Succeed, -200 sp.</v>
      </c>
      <c r="G201" s="1">
        <f>IFERROR(__xludf.DUMMYFUNCTION("""COMPUTED_VALUE"""),0.0)</f>
        <v>0</v>
      </c>
      <c r="H201" s="1"/>
      <c r="I201" s="1"/>
      <c r="J201" s="1"/>
      <c r="K201" s="1"/>
      <c r="L201" s="1"/>
      <c r="M201" s="1"/>
      <c r="N201" s="1"/>
      <c r="O201" s="1"/>
      <c r="P201" s="1"/>
      <c r="Q201" s="1"/>
      <c r="R201" s="1"/>
      <c r="S201" s="1"/>
      <c r="T201" s="1"/>
      <c r="U201" s="1"/>
      <c r="V201" s="1"/>
      <c r="W201" s="1"/>
      <c r="X201" s="1"/>
      <c r="Y201" s="1"/>
      <c r="Z201" s="1"/>
    </row>
    <row r="202">
      <c r="A202" s="1" t="str">
        <f>IFERROR(__xludf.DUMMYFUNCTION("""COMPUTED_VALUE"""),"Ring of Death")</f>
        <v>Ring of Death</v>
      </c>
      <c r="B202" s="1"/>
      <c r="C202" s="1"/>
      <c r="D202" s="1" t="str">
        <f>IFERROR(__xludf.DUMMYFUNCTION("""COMPUTED_VALUE"""),"Ring")</f>
        <v>Ring</v>
      </c>
      <c r="E202" s="1">
        <f>IFERROR(__xludf.DUMMYFUNCTION("""COMPUTED_VALUE"""),1.0)</f>
        <v>1</v>
      </c>
      <c r="F202" s="1" t="str">
        <f>IFERROR(__xludf.DUMMYFUNCTION("""COMPUTED_VALUE""")," ++Causes instant death with a fail/succeed roll.")</f>
        <v> ++Causes instant death with a fail/succeed roll.</v>
      </c>
      <c r="G202" s="1">
        <f>IFERROR(__xludf.DUMMYFUNCTION("""COMPUTED_VALUE"""),0.0)</f>
        <v>0</v>
      </c>
      <c r="H202" s="1"/>
      <c r="I202" s="1"/>
      <c r="J202" s="1"/>
      <c r="K202" s="1"/>
      <c r="L202" s="1"/>
      <c r="M202" s="1"/>
      <c r="N202" s="1"/>
      <c r="O202" s="1"/>
      <c r="P202" s="1"/>
      <c r="Q202" s="1"/>
      <c r="R202" s="1"/>
      <c r="S202" s="1"/>
      <c r="T202" s="1"/>
      <c r="U202" s="1"/>
      <c r="V202" s="1"/>
      <c r="W202" s="1"/>
      <c r="X202" s="1"/>
      <c r="Y202" s="1"/>
      <c r="Z202" s="1"/>
    </row>
    <row r="203">
      <c r="A203" s="1" t="str">
        <f>IFERROR(__xludf.DUMMYFUNCTION("""COMPUTED_VALUE"""),"Ring Of Dwelling Waters")</f>
        <v>Ring Of Dwelling Waters</v>
      </c>
      <c r="B203" s="1"/>
      <c r="C203" s="1"/>
      <c r="D203" s="1" t="str">
        <f>IFERROR(__xludf.DUMMYFUNCTION("""COMPUTED_VALUE"""),"Ring")</f>
        <v>Ring</v>
      </c>
      <c r="E203" s="1">
        <f>IFERROR(__xludf.DUMMYFUNCTION("""COMPUTED_VALUE"""),1.0)</f>
        <v>1</v>
      </c>
      <c r="F203" s="1" t="str">
        <f>IFERROR(__xludf.DUMMYFUNCTION("""COMPUTED_VALUE"""),", Fire : +  ++X2 Water and Dark damage.")</f>
        <v>, Fire : +  ++X2 Water and Dark damage.</v>
      </c>
      <c r="G203" s="1">
        <f>IFERROR(__xludf.DUMMYFUNCTION("""COMPUTED_VALUE"""),0.0)</f>
        <v>0</v>
      </c>
      <c r="H203" s="1"/>
      <c r="I203" s="1"/>
      <c r="J203" s="1"/>
      <c r="K203" s="1"/>
      <c r="L203" s="1"/>
      <c r="M203" s="1"/>
      <c r="N203" s="1"/>
      <c r="O203" s="1"/>
      <c r="P203" s="1"/>
      <c r="Q203" s="1"/>
      <c r="R203" s="1"/>
      <c r="S203" s="1"/>
      <c r="T203" s="1"/>
      <c r="U203" s="1"/>
      <c r="V203" s="1"/>
      <c r="W203" s="1"/>
      <c r="X203" s="1"/>
      <c r="Y203" s="1"/>
      <c r="Z203" s="1"/>
    </row>
    <row r="204">
      <c r="A204" s="1" t="str">
        <f>IFERROR(__xludf.DUMMYFUNCTION("""COMPUTED_VALUE"""),"Ring of Endless Souls")</f>
        <v>Ring of Endless Souls</v>
      </c>
      <c r="B204" s="1"/>
      <c r="C204" s="1"/>
      <c r="D204" s="1" t="str">
        <f>IFERROR(__xludf.DUMMYFUNCTION("""COMPUTED_VALUE"""),"Ring")</f>
        <v>Ring</v>
      </c>
      <c r="E204" s="1">
        <f>IFERROR(__xludf.DUMMYFUNCTION("""COMPUTED_VALUE"""),1.0)</f>
        <v>1</v>
      </c>
      <c r="F204" s="1" t="str">
        <f>IFERROR(__xludf.DUMMYFUNCTION("""COMPUTED_VALUE""")," ++0 Def ++Soul Enchanted - Every time you enchant a soul into this item increase the Def of this item by 10. ")</f>
        <v> ++0 Def ++Soul Enchanted - Every time you enchant a soul into this item increase the Def of this item by 10. </v>
      </c>
      <c r="G204" s="1">
        <f>IFERROR(__xludf.DUMMYFUNCTION("""COMPUTED_VALUE"""),0.0)</f>
        <v>0</v>
      </c>
      <c r="H204" s="1"/>
      <c r="I204" s="1"/>
      <c r="J204" s="1"/>
      <c r="K204" s="1"/>
      <c r="L204" s="1"/>
      <c r="M204" s="1"/>
      <c r="N204" s="1"/>
      <c r="O204" s="1"/>
      <c r="P204" s="1"/>
      <c r="Q204" s="1"/>
      <c r="R204" s="1"/>
      <c r="S204" s="1"/>
      <c r="T204" s="1"/>
      <c r="U204" s="1"/>
      <c r="V204" s="1"/>
      <c r="W204" s="1"/>
      <c r="X204" s="1"/>
      <c r="Y204" s="1"/>
      <c r="Z204" s="1"/>
    </row>
    <row r="205">
      <c r="A205" s="1" t="str">
        <f>IFERROR(__xludf.DUMMYFUNCTION("""COMPUTED_VALUE"""),"Ring of Healing")</f>
        <v>Ring of Healing</v>
      </c>
      <c r="B205" s="1"/>
      <c r="C205" s="1"/>
      <c r="D205" s="1" t="str">
        <f>IFERROR(__xludf.DUMMYFUNCTION("""COMPUTED_VALUE"""),"Ring")</f>
        <v>Ring</v>
      </c>
      <c r="E205" s="1">
        <f>IFERROR(__xludf.DUMMYFUNCTION("""COMPUTED_VALUE"""),1.0)</f>
        <v>1</v>
      </c>
      <c r="F205" s="1" t="str">
        <f>IFERROR(__xludf.DUMMYFUNCTION("""COMPUTED_VALUE""")," ++500 hp per round.")</f>
        <v> ++500 hp per round.</v>
      </c>
      <c r="G205" s="1">
        <f>IFERROR(__xludf.DUMMYFUNCTION("""COMPUTED_VALUE"""),0.0)</f>
        <v>0</v>
      </c>
      <c r="H205" s="1"/>
      <c r="I205" s="1"/>
      <c r="J205" s="1"/>
      <c r="K205" s="1"/>
      <c r="L205" s="1"/>
      <c r="M205" s="1"/>
      <c r="N205" s="1"/>
      <c r="O205" s="1"/>
      <c r="P205" s="1"/>
      <c r="Q205" s="1"/>
      <c r="R205" s="1"/>
      <c r="S205" s="1"/>
      <c r="T205" s="1"/>
      <c r="U205" s="1"/>
      <c r="V205" s="1"/>
      <c r="W205" s="1"/>
      <c r="X205" s="1"/>
      <c r="Y205" s="1"/>
      <c r="Z205" s="1"/>
    </row>
    <row r="206">
      <c r="A206" s="1" t="str">
        <f>IFERROR(__xludf.DUMMYFUNCTION("""COMPUTED_VALUE"""),"Ring of Invulnerability ")</f>
        <v>Ring of Invulnerability </v>
      </c>
      <c r="B206" s="1"/>
      <c r="C206" s="1"/>
      <c r="D206" s="1" t="str">
        <f>IFERROR(__xludf.DUMMYFUNCTION("""COMPUTED_VALUE"""),"Ring")</f>
        <v>Ring</v>
      </c>
      <c r="E206" s="1">
        <f>IFERROR(__xludf.DUMMYFUNCTION("""COMPUTED_VALUE"""),1.0)</f>
        <v>1</v>
      </c>
      <c r="F206" s="1" t="str">
        <f>IFERROR(__xludf.DUMMYFUNCTION("""COMPUTED_VALUE""")," ++Gain invulnerability to damage for the first round of battle, you are unable to inflict any non-magic damage for the first round of battle. +-Cannot be duplicated. +-Cannot be forged. ")</f>
        <v> ++Gain invulnerability to damage for the first round of battle, you are unable to inflict any non-magic damage for the first round of battle. +-Cannot be duplicated. +-Cannot be forged. </v>
      </c>
      <c r="G206" s="1">
        <f>IFERROR(__xludf.DUMMYFUNCTION("""COMPUTED_VALUE"""),0.0)</f>
        <v>0</v>
      </c>
      <c r="H206" s="1"/>
      <c r="I206" s="1"/>
      <c r="J206" s="1"/>
      <c r="K206" s="1"/>
      <c r="L206" s="1"/>
      <c r="M206" s="1"/>
      <c r="N206" s="1"/>
      <c r="O206" s="1"/>
      <c r="P206" s="1"/>
      <c r="Q206" s="1"/>
      <c r="R206" s="1"/>
      <c r="S206" s="1"/>
      <c r="T206" s="1"/>
      <c r="U206" s="1"/>
      <c r="V206" s="1"/>
      <c r="W206" s="1"/>
      <c r="X206" s="1"/>
      <c r="Y206" s="1"/>
      <c r="Z206" s="1"/>
    </row>
    <row r="207">
      <c r="A207" s="1" t="str">
        <f>IFERROR(__xludf.DUMMYFUNCTION("""COMPUTED_VALUE"""),"Ring of Pure Chaos")</f>
        <v>Ring of Pure Chaos</v>
      </c>
      <c r="B207" s="1"/>
      <c r="C207" s="1"/>
      <c r="D207" s="1" t="str">
        <f>IFERROR(__xludf.DUMMYFUNCTION("""COMPUTED_VALUE"""),"Ring")</f>
        <v>Ring</v>
      </c>
      <c r="E207" s="1">
        <f>IFERROR(__xludf.DUMMYFUNCTION("""COMPUTED_VALUE"""),1.0)</f>
        <v>1</v>
      </c>
      <c r="F207" s="1" t="str">
        <f>IFERROR(__xludf.DUMMYFUNCTION("""COMPUTED_VALUE""")," ++X2 Chaos damage, ++ +5 Charisma and Intimidation. +-Cannot be forged +-Cannot be duplicated +-Can only equip one")</f>
        <v> ++X2 Chaos damage, ++ +5 Charisma and Intimidation. +-Cannot be forged +-Cannot be duplicated +-Can only equip one</v>
      </c>
      <c r="G207" s="1">
        <f>IFERROR(__xludf.DUMMYFUNCTION("""COMPUTED_VALUE"""),0.0)</f>
        <v>0</v>
      </c>
      <c r="H207" s="1"/>
      <c r="I207" s="1"/>
      <c r="J207" s="1"/>
      <c r="K207" s="1"/>
      <c r="L207" s="1"/>
      <c r="M207" s="1"/>
      <c r="N207" s="1"/>
      <c r="O207" s="1"/>
      <c r="P207" s="1"/>
      <c r="Q207" s="1"/>
      <c r="R207" s="1"/>
      <c r="S207" s="1"/>
      <c r="T207" s="1"/>
      <c r="U207" s="1"/>
      <c r="V207" s="1"/>
      <c r="W207" s="1"/>
      <c r="X207" s="1"/>
      <c r="Y207" s="1"/>
      <c r="Z207" s="1"/>
    </row>
    <row r="208">
      <c r="A208" s="1" t="str">
        <f>IFERROR(__xludf.DUMMYFUNCTION("""COMPUTED_VALUE"""),"Ring of Pure Defense")</f>
        <v>Ring of Pure Defense</v>
      </c>
      <c r="B208" s="1"/>
      <c r="C208" s="1"/>
      <c r="D208" s="1" t="str">
        <f>IFERROR(__xludf.DUMMYFUNCTION("""COMPUTED_VALUE"""),"Ring")</f>
        <v>Ring</v>
      </c>
      <c r="E208" s="1">
        <f>IFERROR(__xludf.DUMMYFUNCTION("""COMPUTED_VALUE"""),1.0)</f>
        <v>1</v>
      </c>
      <c r="F208" s="1" t="str">
        <f>IFERROR(__xludf.DUMMYFUNCTION("""COMPUTED_VALUE""")," ++Half the damage taken from the next attack 100SP Will Succeed.")</f>
        <v> ++Half the damage taken from the next attack 100SP Will Succeed.</v>
      </c>
      <c r="G208" s="1">
        <f>IFERROR(__xludf.DUMMYFUNCTION("""COMPUTED_VALUE"""),0.0)</f>
        <v>0</v>
      </c>
      <c r="H208" s="1"/>
      <c r="I208" s="1"/>
      <c r="J208" s="1"/>
      <c r="K208" s="1"/>
      <c r="L208" s="1"/>
      <c r="M208" s="1"/>
      <c r="N208" s="1"/>
      <c r="O208" s="1"/>
      <c r="P208" s="1"/>
      <c r="Q208" s="1"/>
      <c r="R208" s="1"/>
      <c r="S208" s="1"/>
      <c r="T208" s="1"/>
      <c r="U208" s="1"/>
      <c r="V208" s="1"/>
      <c r="W208" s="1"/>
      <c r="X208" s="1"/>
      <c r="Y208" s="1"/>
      <c r="Z208" s="1"/>
    </row>
    <row r="209">
      <c r="A209" s="1" t="str">
        <f>IFERROR(__xludf.DUMMYFUNCTION("""COMPUTED_VALUE"""),"Ring of Reflect")</f>
        <v>Ring of Reflect</v>
      </c>
      <c r="B209" s="1"/>
      <c r="C209" s="1"/>
      <c r="D209" s="1" t="str">
        <f>IFERROR(__xludf.DUMMYFUNCTION("""COMPUTED_VALUE"""),"Ring")</f>
        <v>Ring</v>
      </c>
      <c r="E209" s="1">
        <f>IFERROR(__xludf.DUMMYFUNCTION("""COMPUTED_VALUE"""),1.0)</f>
        <v>1</v>
      </c>
      <c r="F209" s="1" t="str">
        <f>IFERROR(__xludf.DUMMYFUNCTION("""COMPUTED_VALUE""")," ++Inflict half the damage you take back to the enemy that dealt it. +-Can only have one equipped. +-Cannot be duplicated.")</f>
        <v> ++Inflict half the damage you take back to the enemy that dealt it. +-Can only have one equipped. +-Cannot be duplicated.</v>
      </c>
      <c r="G209" s="1">
        <f>IFERROR(__xludf.DUMMYFUNCTION("""COMPUTED_VALUE"""),0.0)</f>
        <v>0</v>
      </c>
      <c r="H209" s="1"/>
      <c r="I209" s="1"/>
      <c r="J209" s="1"/>
      <c r="K209" s="1"/>
      <c r="L209" s="1"/>
      <c r="M209" s="1"/>
      <c r="N209" s="1"/>
      <c r="O209" s="1"/>
      <c r="P209" s="1"/>
      <c r="Q209" s="1"/>
      <c r="R209" s="1"/>
      <c r="S209" s="1"/>
      <c r="T209" s="1"/>
      <c r="U209" s="1"/>
      <c r="V209" s="1"/>
      <c r="W209" s="1"/>
      <c r="X209" s="1"/>
      <c r="Y209" s="1"/>
      <c r="Z209" s="1"/>
    </row>
    <row r="210">
      <c r="A210" s="1" t="str">
        <f>IFERROR(__xludf.DUMMYFUNCTION("""COMPUTED_VALUE"""),"Ring of the Bonded Undead")</f>
        <v>Ring of the Bonded Undead</v>
      </c>
      <c r="B210" s="1"/>
      <c r="C210" s="1"/>
      <c r="D210" s="1" t="str">
        <f>IFERROR(__xludf.DUMMYFUNCTION("""COMPUTED_VALUE"""),"Ring")</f>
        <v>Ring</v>
      </c>
      <c r="E210" s="1">
        <f>IFERROR(__xludf.DUMMYFUNCTION("""COMPUTED_VALUE"""),1.0)</f>
        <v>1</v>
      </c>
      <c r="F210" s="1" t="str">
        <f>IFERROR(__xludf.DUMMYFUNCTION("""COMPUTED_VALUE""")," ++When you battle with any Undead target you can deal X2 more damage.")</f>
        <v> ++When you battle with any Undead target you can deal X2 more damage.</v>
      </c>
      <c r="G210" s="1">
        <f>IFERROR(__xludf.DUMMYFUNCTION("""COMPUTED_VALUE"""),0.0)</f>
        <v>0</v>
      </c>
      <c r="H210" s="1"/>
      <c r="I210" s="1"/>
      <c r="J210" s="1"/>
      <c r="K210" s="1"/>
      <c r="L210" s="1"/>
      <c r="M210" s="1"/>
      <c r="N210" s="1"/>
      <c r="O210" s="1"/>
      <c r="P210" s="1"/>
      <c r="Q210" s="1"/>
      <c r="R210" s="1"/>
      <c r="S210" s="1"/>
      <c r="T210" s="1"/>
      <c r="U210" s="1"/>
      <c r="V210" s="1"/>
      <c r="W210" s="1"/>
      <c r="X210" s="1"/>
      <c r="Y210" s="1"/>
      <c r="Z210" s="1"/>
    </row>
    <row r="211">
      <c r="A211" s="1" t="str">
        <f>IFERROR(__xludf.DUMMYFUNCTION("""COMPUTED_VALUE"""),"Ring of the Forgotten")</f>
        <v>Ring of the Forgotten</v>
      </c>
      <c r="B211" s="1"/>
      <c r="C211" s="1"/>
      <c r="D211" s="1" t="str">
        <f>IFERROR(__xludf.DUMMYFUNCTION("""COMPUTED_VALUE"""),"Ring")</f>
        <v>Ring</v>
      </c>
      <c r="E211" s="1">
        <f>IFERROR(__xludf.DUMMYFUNCTION("""COMPUTED_VALUE"""),1.0)</f>
        <v>1</v>
      </c>
      <c r="F211" s="1" t="str">
        <f>IFERROR(__xludf.DUMMYFUNCTION("""COMPUTED_VALUE""")," ++Make a fail/succeed roll to make a target forget they were fighting you. +-Cannot be duplicated")</f>
        <v> ++Make a fail/succeed roll to make a target forget they were fighting you. +-Cannot be duplicated</v>
      </c>
      <c r="G211" s="1">
        <f>IFERROR(__xludf.DUMMYFUNCTION("""COMPUTED_VALUE"""),0.0)</f>
        <v>0</v>
      </c>
      <c r="H211" s="1"/>
      <c r="I211" s="1"/>
      <c r="J211" s="1"/>
      <c r="K211" s="1"/>
      <c r="L211" s="1"/>
      <c r="M211" s="1"/>
      <c r="N211" s="1"/>
      <c r="O211" s="1"/>
      <c r="P211" s="1"/>
      <c r="Q211" s="1"/>
      <c r="R211" s="1"/>
      <c r="S211" s="1"/>
      <c r="T211" s="1"/>
      <c r="U211" s="1"/>
      <c r="V211" s="1"/>
      <c r="W211" s="1"/>
      <c r="X211" s="1"/>
      <c r="Y211" s="1"/>
      <c r="Z211" s="1"/>
    </row>
    <row r="212">
      <c r="A212" s="1" t="str">
        <f>IFERROR(__xludf.DUMMYFUNCTION("""COMPUTED_VALUE"""),"Ring Of Tritonoch")</f>
        <v>Ring Of Tritonoch</v>
      </c>
      <c r="B212" s="1"/>
      <c r="C212" s="1"/>
      <c r="D212" s="1" t="str">
        <f>IFERROR(__xludf.DUMMYFUNCTION("""COMPUTED_VALUE"""),"Ring")</f>
        <v>Ring</v>
      </c>
      <c r="E212" s="1">
        <f>IFERROR(__xludf.DUMMYFUNCTION("""COMPUTED_VALUE"""),1.0)</f>
        <v>1</v>
      </c>
      <c r="F212" s="1" t="str">
        <f>IFERROR(__xludf.DUMMYFUNCTION("""COMPUTED_VALUE""")," ++Waves of Entitlement - x5 additional Water damage")</f>
        <v> ++Waves of Entitlement - x5 additional Water damage</v>
      </c>
      <c r="G212" s="1">
        <f>IFERROR(__xludf.DUMMYFUNCTION("""COMPUTED_VALUE"""),0.0)</f>
        <v>0</v>
      </c>
      <c r="H212" s="1"/>
      <c r="I212" s="1"/>
      <c r="J212" s="1"/>
      <c r="K212" s="1"/>
      <c r="L212" s="1"/>
      <c r="M212" s="1"/>
      <c r="N212" s="1"/>
      <c r="O212" s="1"/>
      <c r="P212" s="1"/>
      <c r="Q212" s="1"/>
      <c r="R212" s="1"/>
      <c r="S212" s="1"/>
      <c r="T212" s="1"/>
      <c r="U212" s="1"/>
      <c r="V212" s="1"/>
      <c r="W212" s="1"/>
      <c r="X212" s="1"/>
      <c r="Y212" s="1"/>
      <c r="Z212" s="1"/>
    </row>
    <row r="213">
      <c r="A213" s="1" t="str">
        <f>IFERROR(__xludf.DUMMYFUNCTION("""COMPUTED_VALUE"""),"Ring of Waking Waters")</f>
        <v>Ring of Waking Waters</v>
      </c>
      <c r="B213" s="1"/>
      <c r="C213" s="1"/>
      <c r="D213" s="1" t="str">
        <f>IFERROR(__xludf.DUMMYFUNCTION("""COMPUTED_VALUE"""),"Ring")</f>
        <v>Ring</v>
      </c>
      <c r="E213" s="1">
        <f>IFERROR(__xludf.DUMMYFUNCTION("""COMPUTED_VALUE"""),100.0)</f>
        <v>100</v>
      </c>
      <c r="F213" s="1" t="str">
        <f>IFERROR(__xludf.DUMMYFUNCTION("""COMPUTED_VALUE"""),", Water DEF: +5000 ++X4 additional water damage for self.")</f>
        <v>, Water DEF: +5000 ++X4 additional water damage for self.</v>
      </c>
      <c r="G213" s="1">
        <f>IFERROR(__xludf.DUMMYFUNCTION("""COMPUTED_VALUE"""),450000.0)</f>
        <v>450000</v>
      </c>
      <c r="H213" s="1"/>
      <c r="I213" s="1"/>
      <c r="J213" s="1"/>
      <c r="K213" s="1"/>
      <c r="L213" s="1"/>
      <c r="M213" s="1"/>
      <c r="N213" s="1"/>
      <c r="O213" s="1"/>
      <c r="P213" s="1"/>
      <c r="Q213" s="1"/>
      <c r="R213" s="1"/>
      <c r="S213" s="1"/>
      <c r="T213" s="1"/>
      <c r="U213" s="1"/>
      <c r="V213" s="1"/>
      <c r="W213" s="1"/>
      <c r="X213" s="1"/>
      <c r="Y213" s="1"/>
      <c r="Z213" s="1"/>
    </row>
    <row r="214">
      <c r="A214" s="1" t="str">
        <f>IFERROR(__xludf.DUMMYFUNCTION("""COMPUTED_VALUE"""),"Robe of The Cultist")</f>
        <v>Robe of The Cultist</v>
      </c>
      <c r="B214" s="1"/>
      <c r="C214" s="1"/>
      <c r="D214" s="1" t="str">
        <f>IFERROR(__xludf.DUMMYFUNCTION("""COMPUTED_VALUE"""),"Torso")</f>
        <v>Torso</v>
      </c>
      <c r="E214" s="1">
        <f>IFERROR(__xludf.DUMMYFUNCTION("""COMPUTED_VALUE"""),80.0)</f>
        <v>80</v>
      </c>
      <c r="F214" s="1" t="str">
        <f>IFERROR(__xludf.DUMMYFUNCTION("""COMPUTED_VALUE"""),"DEF: +2000, Dark DEF: +2000 ++Instant Death Immunity. ++500HP +-Cannot be forged +-Cannot be duplicated")</f>
        <v>DEF: +2000, Dark DEF: +2000 ++Instant Death Immunity. ++500HP +-Cannot be forged +-Cannot be duplicated</v>
      </c>
      <c r="G214" s="1">
        <f>IFERROR(__xludf.DUMMYFUNCTION("""COMPUTED_VALUE"""),280000.0)</f>
        <v>280000</v>
      </c>
      <c r="H214" s="1"/>
      <c r="I214" s="1"/>
      <c r="J214" s="1"/>
      <c r="K214" s="1"/>
      <c r="L214" s="1"/>
      <c r="M214" s="1"/>
      <c r="N214" s="1"/>
      <c r="O214" s="1"/>
      <c r="P214" s="1"/>
      <c r="Q214" s="1"/>
      <c r="R214" s="1"/>
      <c r="S214" s="1"/>
      <c r="T214" s="1"/>
      <c r="U214" s="1"/>
      <c r="V214" s="1"/>
      <c r="W214" s="1"/>
      <c r="X214" s="1"/>
      <c r="Y214" s="1"/>
      <c r="Z214" s="1"/>
    </row>
    <row r="215">
      <c r="A215" s="1" t="str">
        <f>IFERROR(__xludf.DUMMYFUNCTION("""COMPUTED_VALUE"""),"Robe of Vanish")</f>
        <v>Robe of Vanish</v>
      </c>
      <c r="B215" s="1"/>
      <c r="C215" s="1"/>
      <c r="D215" s="1" t="str">
        <f>IFERROR(__xludf.DUMMYFUNCTION("""COMPUTED_VALUE"""),"Torso")</f>
        <v>Torso</v>
      </c>
      <c r="E215" s="1">
        <f>IFERROR(__xludf.DUMMYFUNCTION("""COMPUTED_VALUE"""),20.0)</f>
        <v>20</v>
      </c>
      <c r="F215" s="1" t="str">
        <f>IFERROR(__xludf.DUMMYFUNCTION("""COMPUTED_VALUE"""),"DEF: +900 ++Shadow Disappear - When Equipped you are invulnerable to all damage for the first round of battle. ")</f>
        <v>DEF: +900 ++Shadow Disappear - When Equipped you are invulnerable to all damage for the first round of battle. </v>
      </c>
      <c r="G215" s="1">
        <f>IFERROR(__xludf.DUMMYFUNCTION("""COMPUTED_VALUE"""),1000.0)</f>
        <v>1000</v>
      </c>
      <c r="H215" s="1"/>
      <c r="I215" s="1"/>
      <c r="J215" s="1"/>
      <c r="K215" s="1"/>
      <c r="L215" s="1"/>
      <c r="M215" s="1"/>
      <c r="N215" s="1"/>
      <c r="O215" s="1"/>
      <c r="P215" s="1"/>
      <c r="Q215" s="1"/>
      <c r="R215" s="1"/>
      <c r="S215" s="1"/>
      <c r="T215" s="1"/>
      <c r="U215" s="1"/>
      <c r="V215" s="1"/>
      <c r="W215" s="1"/>
      <c r="X215" s="1"/>
      <c r="Y215" s="1"/>
      <c r="Z215" s="1"/>
    </row>
    <row r="216">
      <c r="A216" s="1" t="str">
        <f>IFERROR(__xludf.DUMMYFUNCTION("""COMPUTED_VALUE"""),"Robes of a Peaceful Immortal")</f>
        <v>Robes of a Peaceful Immortal</v>
      </c>
      <c r="B216" s="1"/>
      <c r="C216" s="1"/>
      <c r="D216" s="1" t="str">
        <f>IFERROR(__xludf.DUMMYFUNCTION("""COMPUTED_VALUE"""),"Torso")</f>
        <v>Torso</v>
      </c>
      <c r="E216" s="1">
        <f>IFERROR(__xludf.DUMMYFUNCTION("""COMPUTED_VALUE"""),1.0)</f>
        <v>1</v>
      </c>
      <c r="F216" s="1" t="str">
        <f>IFERROR(__xludf.DUMMYFUNCTION("""COMPUTED_VALUE""")," ++Peaceful Blessing - Incapable of receiving or dealing damage. +-Cannot be duplicated.")</f>
        <v> ++Peaceful Blessing - Incapable of receiving or dealing damage. +-Cannot be duplicated.</v>
      </c>
      <c r="G216" s="1">
        <f>IFERROR(__xludf.DUMMYFUNCTION("""COMPUTED_VALUE"""),0.0)</f>
        <v>0</v>
      </c>
      <c r="H216" s="1"/>
      <c r="I216" s="1"/>
      <c r="J216" s="1"/>
      <c r="K216" s="1"/>
      <c r="L216" s="1"/>
      <c r="M216" s="1"/>
      <c r="N216" s="1"/>
      <c r="O216" s="1"/>
      <c r="P216" s="1"/>
      <c r="Q216" s="1"/>
      <c r="R216" s="1"/>
      <c r="S216" s="1"/>
      <c r="T216" s="1"/>
      <c r="U216" s="1"/>
      <c r="V216" s="1"/>
      <c r="W216" s="1"/>
      <c r="X216" s="1"/>
      <c r="Y216" s="1"/>
      <c r="Z216" s="1"/>
    </row>
    <row r="217">
      <c r="A217" s="1" t="str">
        <f>IFERROR(__xludf.DUMMYFUNCTION("""COMPUTED_VALUE"""),"Royal Amulet Of Heatmore")</f>
        <v>Royal Amulet Of Heatmore</v>
      </c>
      <c r="B217" s="1"/>
      <c r="C217" s="1"/>
      <c r="D217" s="1" t="str">
        <f>IFERROR(__xludf.DUMMYFUNCTION("""COMPUTED_VALUE"""),"Neck")</f>
        <v>Neck</v>
      </c>
      <c r="E217" s="1">
        <f>IFERROR(__xludf.DUMMYFUNCTION("""COMPUTED_VALUE"""),1.0)</f>
        <v>1</v>
      </c>
      <c r="F217" s="1" t="str">
        <f>IFERROR(__xludf.DUMMYFUNCTION("""COMPUTED_VALUE""")," ++ immune to fire dmg")</f>
        <v> ++ immune to fire dmg</v>
      </c>
      <c r="G217" s="1">
        <f>IFERROR(__xludf.DUMMYFUNCTION("""COMPUTED_VALUE"""),0.0)</f>
        <v>0</v>
      </c>
      <c r="H217" s="1"/>
      <c r="I217" s="1"/>
      <c r="J217" s="1"/>
      <c r="K217" s="1"/>
      <c r="L217" s="1"/>
      <c r="M217" s="1"/>
      <c r="N217" s="1"/>
      <c r="O217" s="1"/>
      <c r="P217" s="1"/>
      <c r="Q217" s="1"/>
      <c r="R217" s="1"/>
      <c r="S217" s="1"/>
      <c r="T217" s="1"/>
      <c r="U217" s="1"/>
      <c r="V217" s="1"/>
      <c r="W217" s="1"/>
      <c r="X217" s="1"/>
      <c r="Y217" s="1"/>
      <c r="Z217" s="1"/>
    </row>
    <row r="218">
      <c r="A218" s="1" t="str">
        <f>IFERROR(__xludf.DUMMYFUNCTION("""COMPUTED_VALUE"""),"Royal Guard Axe")</f>
        <v>Royal Guard Axe</v>
      </c>
      <c r="B218" s="1" t="str">
        <f>IFERROR(__xludf.DUMMYFUNCTION("""COMPUTED_VALUE"""),"Quest Item")</f>
        <v>Quest Item</v>
      </c>
      <c r="C218" s="1"/>
      <c r="D218" s="1" t="str">
        <f>IFERROR(__xludf.DUMMYFUNCTION("""COMPUTED_VALUE"""),"Hand")</f>
        <v>Hand</v>
      </c>
      <c r="E218" s="1">
        <f>IFERROR(__xludf.DUMMYFUNCTION("""COMPUTED_VALUE"""),200.0)</f>
        <v>200</v>
      </c>
      <c r="F218" s="1" t="str">
        <f>IFERROR(__xludf.DUMMYFUNCTION("""COMPUTED_VALUE"""),"DMG: +50000, Light DMG: +50000, Celestial DMG: +50000 ++X4 additional Weapon Damage. +-Cannot be duplicated.")</f>
        <v>DMG: +50000, Light DMG: +50000, Celestial DMG: +50000 ++X4 additional Weapon Damage. +-Cannot be duplicated.</v>
      </c>
      <c r="G218" s="1">
        <f>IFERROR(__xludf.DUMMYFUNCTION("""COMPUTED_VALUE"""),4.485E8)</f>
        <v>448500000</v>
      </c>
      <c r="H218" s="1"/>
      <c r="I218" s="1"/>
      <c r="J218" s="1"/>
      <c r="K218" s="1"/>
      <c r="L218" s="1"/>
      <c r="M218" s="1"/>
      <c r="N218" s="1"/>
      <c r="O218" s="1"/>
      <c r="P218" s="1"/>
      <c r="Q218" s="1"/>
      <c r="R218" s="1"/>
      <c r="S218" s="1"/>
      <c r="T218" s="1"/>
      <c r="U218" s="1"/>
      <c r="V218" s="1"/>
      <c r="W218" s="1"/>
      <c r="X218" s="1"/>
      <c r="Y218" s="1"/>
      <c r="Z218" s="1"/>
    </row>
    <row r="219">
      <c r="A219" s="1" t="str">
        <f>IFERROR(__xludf.DUMMYFUNCTION("""COMPUTED_VALUE"""),"Royal Guard Helmet")</f>
        <v>Royal Guard Helmet</v>
      </c>
      <c r="B219" s="1" t="str">
        <f>IFERROR(__xludf.DUMMYFUNCTION("""COMPUTED_VALUE"""),"Quest Item")</f>
        <v>Quest Item</v>
      </c>
      <c r="C219" s="1"/>
      <c r="D219" s="1" t="str">
        <f>IFERROR(__xludf.DUMMYFUNCTION("""COMPUTED_VALUE"""),"Head")</f>
        <v>Head</v>
      </c>
      <c r="E219" s="1">
        <f>IFERROR(__xludf.DUMMYFUNCTION("""COMPUTED_VALUE"""),200.0)</f>
        <v>200</v>
      </c>
      <c r="F219" s="1"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19" s="1">
        <f>IFERROR(__xludf.DUMMYFUNCTION("""COMPUTED_VALUE"""),4.485E8)</f>
        <v>448500000</v>
      </c>
      <c r="H219" s="1"/>
      <c r="I219" s="1"/>
      <c r="J219" s="1"/>
      <c r="K219" s="1"/>
      <c r="L219" s="1"/>
      <c r="M219" s="1"/>
      <c r="N219" s="1"/>
      <c r="O219" s="1"/>
      <c r="P219" s="1"/>
      <c r="Q219" s="1"/>
      <c r="R219" s="1"/>
      <c r="S219" s="1"/>
      <c r="T219" s="1"/>
      <c r="U219" s="1"/>
      <c r="V219" s="1"/>
      <c r="W219" s="1"/>
      <c r="X219" s="1"/>
      <c r="Y219" s="1"/>
      <c r="Z219" s="1"/>
    </row>
    <row r="220">
      <c r="A220" s="1" t="str">
        <f>IFERROR(__xludf.DUMMYFUNCTION("""COMPUTED_VALUE"""),"Royal Guard Chestplate")</f>
        <v>Royal Guard Chestplate</v>
      </c>
      <c r="B220" s="1" t="str">
        <f>IFERROR(__xludf.DUMMYFUNCTION("""COMPUTED_VALUE"""),"Quest Item")</f>
        <v>Quest Item</v>
      </c>
      <c r="C220" s="1"/>
      <c r="D220" s="1" t="str">
        <f>IFERROR(__xludf.DUMMYFUNCTION("""COMPUTED_VALUE"""),"Torso")</f>
        <v>Torso</v>
      </c>
      <c r="E220" s="1">
        <f>IFERROR(__xludf.DUMMYFUNCTION("""COMPUTED_VALUE"""),200.0)</f>
        <v>200</v>
      </c>
      <c r="F220" s="1"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0" s="1">
        <f>IFERROR(__xludf.DUMMYFUNCTION("""COMPUTED_VALUE"""),4.485E8)</f>
        <v>448500000</v>
      </c>
      <c r="H220" s="1"/>
      <c r="I220" s="1"/>
      <c r="J220" s="1"/>
      <c r="K220" s="1"/>
      <c r="L220" s="1"/>
      <c r="M220" s="1"/>
      <c r="N220" s="1"/>
      <c r="O220" s="1"/>
      <c r="P220" s="1"/>
      <c r="Q220" s="1"/>
      <c r="R220" s="1"/>
      <c r="S220" s="1"/>
      <c r="T220" s="1"/>
      <c r="U220" s="1"/>
      <c r="V220" s="1"/>
      <c r="W220" s="1"/>
      <c r="X220" s="1"/>
      <c r="Y220" s="1"/>
      <c r="Z220" s="1"/>
    </row>
    <row r="221">
      <c r="A221" s="1" t="str">
        <f>IFERROR(__xludf.DUMMYFUNCTION("""COMPUTED_VALUE"""),"Royal Guard Boots")</f>
        <v>Royal Guard Boots</v>
      </c>
      <c r="B221" s="1" t="str">
        <f>IFERROR(__xludf.DUMMYFUNCTION("""COMPUTED_VALUE"""),"Quest Item")</f>
        <v>Quest Item</v>
      </c>
      <c r="C221" s="1"/>
      <c r="D221" s="1" t="str">
        <f>IFERROR(__xludf.DUMMYFUNCTION("""COMPUTED_VALUE"""),"Feet")</f>
        <v>Feet</v>
      </c>
      <c r="E221" s="1">
        <f>IFERROR(__xludf.DUMMYFUNCTION("""COMPUTED_VALUE"""),200.0)</f>
        <v>200</v>
      </c>
      <c r="F221" s="1"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1" s="1">
        <f>IFERROR(__xludf.DUMMYFUNCTION("""COMPUTED_VALUE"""),4.485E8)</f>
        <v>448500000</v>
      </c>
      <c r="H221" s="1"/>
      <c r="I221" s="1"/>
      <c r="J221" s="1"/>
      <c r="K221" s="1"/>
      <c r="L221" s="1"/>
      <c r="M221" s="1"/>
      <c r="N221" s="1"/>
      <c r="O221" s="1"/>
      <c r="P221" s="1"/>
      <c r="Q221" s="1"/>
      <c r="R221" s="1"/>
      <c r="S221" s="1"/>
      <c r="T221" s="1"/>
      <c r="U221" s="1"/>
      <c r="V221" s="1"/>
      <c r="W221" s="1"/>
      <c r="X221" s="1"/>
      <c r="Y221" s="1"/>
      <c r="Z221" s="1"/>
    </row>
    <row r="222">
      <c r="A222" s="1" t="str">
        <f>IFERROR(__xludf.DUMMYFUNCTION("""COMPUTED_VALUE"""),"Royal Guard Greaves")</f>
        <v>Royal Guard Greaves</v>
      </c>
      <c r="B222" s="1" t="str">
        <f>IFERROR(__xludf.DUMMYFUNCTION("""COMPUTED_VALUE"""),"Quest Item")</f>
        <v>Quest Item</v>
      </c>
      <c r="C222" s="1"/>
      <c r="D222" s="1" t="str">
        <f>IFERROR(__xludf.DUMMYFUNCTION("""COMPUTED_VALUE"""),"Legs")</f>
        <v>Legs</v>
      </c>
      <c r="E222" s="1">
        <f>IFERROR(__xludf.DUMMYFUNCTION("""COMPUTED_VALUE"""),200.0)</f>
        <v>200</v>
      </c>
      <c r="F222" s="1"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2" s="1">
        <f>IFERROR(__xludf.DUMMYFUNCTION("""COMPUTED_VALUE"""),4.485E8)</f>
        <v>448500000</v>
      </c>
      <c r="H222" s="1"/>
      <c r="I222" s="1"/>
      <c r="J222" s="1"/>
      <c r="K222" s="1"/>
      <c r="L222" s="1"/>
      <c r="M222" s="1"/>
      <c r="N222" s="1"/>
      <c r="O222" s="1"/>
      <c r="P222" s="1"/>
      <c r="Q222" s="1"/>
      <c r="R222" s="1"/>
      <c r="S222" s="1"/>
      <c r="T222" s="1"/>
      <c r="U222" s="1"/>
      <c r="V222" s="1"/>
      <c r="W222" s="1"/>
      <c r="X222" s="1"/>
      <c r="Y222" s="1"/>
      <c r="Z222" s="1"/>
    </row>
    <row r="223">
      <c r="A223" s="1" t="str">
        <f>IFERROR(__xludf.DUMMYFUNCTION("""COMPUTED_VALUE"""),"Royal Keeper Shield")</f>
        <v>Royal Keeper Shield</v>
      </c>
      <c r="B223" s="1"/>
      <c r="C223" s="1" t="str">
        <f>IFERROR(__xludf.DUMMYFUNCTION("""COMPUTED_VALUE"""),"Towershield")</f>
        <v>Towershield</v>
      </c>
      <c r="D223" s="1" t="str">
        <f>IFERROR(__xludf.DUMMYFUNCTION("""COMPUTED_VALUE"""),"Hand")</f>
        <v>Hand</v>
      </c>
      <c r="E223" s="1">
        <f>IFERROR(__xludf.DUMMYFUNCTION("""COMPUTED_VALUE"""),20.0)</f>
        <v>20</v>
      </c>
      <c r="F223" s="1" t="str">
        <f>IFERROR(__xludf.DUMMYFUNCTION("""COMPUTED_VALUE"""),"DEF: +1000 ++Royal Block - Gan invulnerability to all damage for 3 rounds of battle. 5000SP Will Succeed.")</f>
        <v>DEF: +1000 ++Royal Block - Gan invulnerability to all damage for 3 rounds of battle. 5000SP Will Succeed.</v>
      </c>
      <c r="G223" s="1">
        <f>IFERROR(__xludf.DUMMYFUNCTION("""COMPUTED_VALUE"""),10000.0)</f>
        <v>10000</v>
      </c>
      <c r="H223" s="1"/>
      <c r="I223" s="1"/>
      <c r="J223" s="1"/>
      <c r="K223" s="1"/>
      <c r="L223" s="1"/>
      <c r="M223" s="1"/>
      <c r="N223" s="1"/>
      <c r="O223" s="1"/>
      <c r="P223" s="1"/>
      <c r="Q223" s="1"/>
      <c r="R223" s="1"/>
      <c r="S223" s="1"/>
      <c r="T223" s="1"/>
      <c r="U223" s="1"/>
      <c r="V223" s="1"/>
      <c r="W223" s="1"/>
      <c r="X223" s="1"/>
      <c r="Y223" s="1"/>
      <c r="Z223" s="1"/>
    </row>
    <row r="224">
      <c r="A224" s="1" t="str">
        <f>IFERROR(__xludf.DUMMYFUNCTION("""COMPUTED_VALUE"""),"Royal Keeper Spear")</f>
        <v>Royal Keeper Spear</v>
      </c>
      <c r="B224" s="1"/>
      <c r="C224" s="1" t="str">
        <f>IFERROR(__xludf.DUMMYFUNCTION("""COMPUTED_VALUE"""),"Spear")</f>
        <v>Spear</v>
      </c>
      <c r="D224" s="1" t="str">
        <f>IFERROR(__xludf.DUMMYFUNCTION("""COMPUTED_VALUE"""),"Hand")</f>
        <v>Hand</v>
      </c>
      <c r="E224" s="1">
        <f>IFERROR(__xludf.DUMMYFUNCTION("""COMPUTED_VALUE"""),400.0)</f>
        <v>400</v>
      </c>
      <c r="F224" s="1" t="str">
        <f>IFERROR(__xludf.DUMMYFUNCTION("""COMPUTED_VALUE"""),"DMG: +10000, Fire DMG: +10000 ++Royal Stance -  Shuttering 1 for the first round of battle.")</f>
        <v>DMG: +10000, Fire DMG: +10000 ++Royal Stance -  Shuttering 1 for the first round of battle.</v>
      </c>
      <c r="G224" s="1">
        <f>IFERROR(__xludf.DUMMYFUNCTION("""COMPUTED_VALUE"""),7800000.0)</f>
        <v>7800000</v>
      </c>
      <c r="H224" s="1"/>
      <c r="I224" s="1"/>
      <c r="J224" s="1"/>
      <c r="K224" s="1"/>
      <c r="L224" s="1"/>
      <c r="M224" s="1"/>
      <c r="N224" s="1"/>
      <c r="O224" s="1"/>
      <c r="P224" s="1"/>
      <c r="Q224" s="1"/>
      <c r="R224" s="1"/>
      <c r="S224" s="1"/>
      <c r="T224" s="1"/>
      <c r="U224" s="1"/>
      <c r="V224" s="1"/>
      <c r="W224" s="1"/>
      <c r="X224" s="1"/>
      <c r="Y224" s="1"/>
      <c r="Z224" s="1"/>
    </row>
    <row r="225">
      <c r="A225" s="1" t="str">
        <f>IFERROR(__xludf.DUMMYFUNCTION("""COMPUTED_VALUE"""),"Royal Sword of Chaotic Shadows")</f>
        <v>Royal Sword of Chaotic Shadows</v>
      </c>
      <c r="B225" s="1"/>
      <c r="C225" s="1" t="str">
        <f>IFERROR(__xludf.DUMMYFUNCTION("""COMPUTED_VALUE"""),"Sword")</f>
        <v>Sword</v>
      </c>
      <c r="D225" s="1" t="str">
        <f>IFERROR(__xludf.DUMMYFUNCTION("""COMPUTED_VALUE"""),"Hand")</f>
        <v>Hand</v>
      </c>
      <c r="E225" s="1">
        <f>IFERROR(__xludf.DUMMYFUNCTION("""COMPUTED_VALUE"""),900.0)</f>
        <v>900</v>
      </c>
      <c r="F225" s="1" t="str">
        <f>IFERROR(__xludf.DUMMYFUNCTION("""COMPUTED_VALUE"""),"DMG: +15000, Dark DMG: +15000, Chaos DMG: +15000 ++Dark and Chaos Weapons and Spells deal an additional X2 damage while this item is equipped.. +-Cannot be duplicated.")</f>
        <v>DMG: +15000, Dark DMG: +15000, Chaos DMG: +15000 ++Dark and Chaos Weapons and Spells deal an additional X2 damage while this item is equipped.. +-Cannot be duplicated.</v>
      </c>
      <c r="G225" s="1">
        <f>IFERROR(__xludf.DUMMYFUNCTION("""COMPUTED_VALUE"""),4.005E7)</f>
        <v>40050000</v>
      </c>
      <c r="H225" s="1"/>
      <c r="I225" s="1"/>
      <c r="J225" s="1"/>
      <c r="K225" s="1"/>
      <c r="L225" s="1"/>
      <c r="M225" s="1"/>
      <c r="N225" s="1"/>
      <c r="O225" s="1"/>
      <c r="P225" s="1"/>
      <c r="Q225" s="1"/>
      <c r="R225" s="1"/>
      <c r="S225" s="1"/>
      <c r="T225" s="1"/>
      <c r="U225" s="1"/>
      <c r="V225" s="1"/>
      <c r="W225" s="1"/>
      <c r="X225" s="1"/>
      <c r="Y225" s="1"/>
      <c r="Z225" s="1"/>
    </row>
    <row r="226">
      <c r="A226" s="1" t="str">
        <f>IFERROR(__xludf.DUMMYFUNCTION("""COMPUTED_VALUE"""),"Rusty sword")</f>
        <v>Rusty sword</v>
      </c>
      <c r="B226" s="1"/>
      <c r="C226" s="1" t="str">
        <f>IFERROR(__xludf.DUMMYFUNCTION("""COMPUTED_VALUE"""),"Sword")</f>
        <v>Sword</v>
      </c>
      <c r="D226" s="1" t="str">
        <f>IFERROR(__xludf.DUMMYFUNCTION("""COMPUTED_VALUE"""),"Hand")</f>
        <v>Hand</v>
      </c>
      <c r="E226" s="1">
        <f>IFERROR(__xludf.DUMMYFUNCTION("""COMPUTED_VALUE"""),1.0)</f>
        <v>1</v>
      </c>
      <c r="F226" s="1" t="str">
        <f>IFERROR(__xludf.DUMMYFUNCTION("""COMPUTED_VALUE"""),"DMG: +60 ++25% chance to break with each use")</f>
        <v>DMG: +60 ++25% chance to break with each use</v>
      </c>
      <c r="G226" s="1">
        <f>IFERROR(__xludf.DUMMYFUNCTION("""COMPUTED_VALUE"""),0.0)</f>
        <v>0</v>
      </c>
      <c r="H226" s="1"/>
      <c r="I226" s="1"/>
      <c r="J226" s="1"/>
      <c r="K226" s="1"/>
      <c r="L226" s="1"/>
      <c r="M226" s="1"/>
      <c r="N226" s="1"/>
      <c r="O226" s="1"/>
      <c r="P226" s="1"/>
      <c r="Q226" s="1"/>
      <c r="R226" s="1"/>
      <c r="S226" s="1"/>
      <c r="T226" s="1"/>
      <c r="U226" s="1"/>
      <c r="V226" s="1"/>
      <c r="W226" s="1"/>
      <c r="X226" s="1"/>
      <c r="Y226" s="1"/>
      <c r="Z226" s="1"/>
    </row>
    <row r="227">
      <c r="A227" s="1" t="str">
        <f>IFERROR(__xludf.DUMMYFUNCTION("""COMPUTED_VALUE"""),"Saber Toothed Sword")</f>
        <v>Saber Toothed Sword</v>
      </c>
      <c r="B227" s="1" t="str">
        <f>IFERROR(__xludf.DUMMYFUNCTION("""COMPUTED_VALUE"""),"A sword crafted from the teeth of a saber toothed cat.")</f>
        <v>A sword crafted from the teeth of a saber toothed cat.</v>
      </c>
      <c r="C227" s="1" t="str">
        <f>IFERROR(__xludf.DUMMYFUNCTION("""COMPUTED_VALUE"""),"Sword")</f>
        <v>Sword</v>
      </c>
      <c r="D227" s="1" t="str">
        <f>IFERROR(__xludf.DUMMYFUNCTION("""COMPUTED_VALUE"""),"Hand")</f>
        <v>Hand</v>
      </c>
      <c r="E227" s="1">
        <f>IFERROR(__xludf.DUMMYFUNCTION("""COMPUTED_VALUE"""),2200.0)</f>
        <v>2200</v>
      </c>
      <c r="F227" s="1" t="str">
        <f>IFERROR(__xludf.DUMMYFUNCTION("""COMPUTED_VALUE"""),"DMG: +60000, Blood DMG: +50000 ++X2 additional blood damage.")</f>
        <v>DMG: +60000, Blood DMG: +50000 ++X2 additional blood damage.</v>
      </c>
      <c r="G227" s="1">
        <f>IFERROR(__xludf.DUMMYFUNCTION("""COMPUTED_VALUE"""),2.409E8)</f>
        <v>240900000</v>
      </c>
      <c r="H227" s="1"/>
      <c r="I227" s="1"/>
      <c r="J227" s="1"/>
      <c r="K227" s="1"/>
      <c r="L227" s="1"/>
      <c r="M227" s="1"/>
      <c r="N227" s="1"/>
      <c r="O227" s="1"/>
      <c r="P227" s="1"/>
      <c r="Q227" s="1"/>
      <c r="R227" s="1"/>
      <c r="S227" s="1"/>
      <c r="T227" s="1"/>
      <c r="U227" s="1"/>
      <c r="V227" s="1"/>
      <c r="W227" s="1"/>
      <c r="X227" s="1"/>
      <c r="Y227" s="1"/>
      <c r="Z227" s="1"/>
    </row>
    <row r="228">
      <c r="A228" s="1" t="str">
        <f>IFERROR(__xludf.DUMMYFUNCTION("""COMPUTED_VALUE"""),"Ancient Oni Chestplate")</f>
        <v>Ancient Oni Chestplate</v>
      </c>
      <c r="B228" s="1" t="str">
        <f>IFERROR(__xludf.DUMMYFUNCTION("""COMPUTED_VALUE"""),"An ancient relic to Zhenmay")</f>
        <v>An ancient relic to Zhenmay</v>
      </c>
      <c r="C228" s="1"/>
      <c r="D228" s="1" t="str">
        <f>IFERROR(__xludf.DUMMYFUNCTION("""COMPUTED_VALUE"""),"Torso")</f>
        <v>Torso</v>
      </c>
      <c r="E228" s="1">
        <f>IFERROR(__xludf.DUMMYFUNCTION("""COMPUTED_VALUE"""),200.0)</f>
        <v>200</v>
      </c>
      <c r="F228"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duplicated or forged.")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duplicated or forged.</v>
      </c>
      <c r="G228" s="1">
        <f>IFERROR(__xludf.DUMMYFUNCTION("""COMPUTED_VALUE"""),5.104E8)</f>
        <v>510400000</v>
      </c>
      <c r="H228" s="1"/>
      <c r="I228" s="1"/>
      <c r="J228" s="1"/>
      <c r="K228" s="1"/>
      <c r="L228" s="1"/>
      <c r="M228" s="1"/>
      <c r="N228" s="1"/>
      <c r="O228" s="1"/>
      <c r="P228" s="1"/>
      <c r="Q228" s="1"/>
      <c r="R228" s="1"/>
      <c r="S228" s="1"/>
      <c r="T228" s="1"/>
      <c r="U228" s="1"/>
      <c r="V228" s="1"/>
      <c r="W228" s="1"/>
      <c r="X228" s="1"/>
      <c r="Y228" s="1"/>
      <c r="Z228" s="1"/>
    </row>
    <row r="229">
      <c r="A229" s="1" t="str">
        <f>IFERROR(__xludf.DUMMYFUNCTION("""COMPUTED_VALUE"""),"Scythe of Mischief ")</f>
        <v>Scythe of Mischief </v>
      </c>
      <c r="B229" s="1"/>
      <c r="C229" s="1" t="str">
        <f>IFERROR(__xludf.DUMMYFUNCTION("""COMPUTED_VALUE"""),"Scythe")</f>
        <v>Scythe</v>
      </c>
      <c r="D229" s="1" t="str">
        <f>IFERROR(__xludf.DUMMYFUNCTION("""COMPUTED_VALUE"""),"Hand")</f>
        <v>Hand</v>
      </c>
      <c r="E229" s="1">
        <f>IFERROR(__xludf.DUMMYFUNCTION("""COMPUTED_VALUE"""),200.0)</f>
        <v>200</v>
      </c>
      <c r="F229" s="1" t="str">
        <f>IFERROR(__xludf.DUMMYFUNCTION("""COMPUTED_VALUE"""),"DMG: +5000, Fire DMG: +5000, Dark DMG: +5000, Spirit DMG: +5000, Chaos DMG: +5000, Stasis DMG: +5000, Twilight DMG: +5000, Voodoo DMG: +5000, Blood DMG: +5000, Celestial DMG: +10000 ++Enemies deduct 2 from their rolls when targeting you. +-Cannot be dupli"&amp;"cated")</f>
        <v>DMG: +5000, Fire DMG: +5000, Dark DMG: +5000, Spirit DMG: +5000, Chaos DMG: +5000, Stasis DMG: +5000, Twilight DMG: +5000, Voodoo DMG: +5000, Blood DMG: +5000, Celestial DMG: +10000 ++Enemies deduct 2 from their rolls when targeting you. +-Cannot be duplicated</v>
      </c>
      <c r="G229" s="1">
        <f>IFERROR(__xludf.DUMMYFUNCTION("""COMPUTED_VALUE"""),5.995E7)</f>
        <v>59950000</v>
      </c>
      <c r="H229" s="1"/>
      <c r="I229" s="1"/>
      <c r="J229" s="1"/>
      <c r="K229" s="1"/>
      <c r="L229" s="1"/>
      <c r="M229" s="1"/>
      <c r="N229" s="1"/>
      <c r="O229" s="1"/>
      <c r="P229" s="1"/>
      <c r="Q229" s="1"/>
      <c r="R229" s="1"/>
      <c r="S229" s="1"/>
      <c r="T229" s="1"/>
      <c r="U229" s="1"/>
      <c r="V229" s="1"/>
      <c r="W229" s="1"/>
      <c r="X229" s="1"/>
      <c r="Y229" s="1"/>
      <c r="Z229" s="1"/>
    </row>
    <row r="230">
      <c r="A230" s="1" t="str">
        <f>IFERROR(__xludf.DUMMYFUNCTION("""COMPUTED_VALUE"""),"Sea Serpent Boots")</f>
        <v>Sea Serpent Boots</v>
      </c>
      <c r="B230" s="1"/>
      <c r="C230" s="1"/>
      <c r="D230" s="1" t="str">
        <f>IFERROR(__xludf.DUMMYFUNCTION("""COMPUTED_VALUE"""),"Feet")</f>
        <v>Feet</v>
      </c>
      <c r="E230" s="1">
        <f>IFERROR(__xludf.DUMMYFUNCTION("""COMPUTED_VALUE"""),100.0)</f>
        <v>100</v>
      </c>
      <c r="F230" s="1" t="str">
        <f>IFERROR(__xludf.DUMMYFUNCTION("""COMPUTED_VALUE"""),"DEF: +2500, Water DEF: +2500 ++X2 additional water damage for self.")</f>
        <v>DEF: +2500, Water DEF: +2500 ++X2 additional water damage for self.</v>
      </c>
      <c r="G230" s="1">
        <f>IFERROR(__xludf.DUMMYFUNCTION("""COMPUTED_VALUE"""),450000.0)</f>
        <v>450000</v>
      </c>
      <c r="H230" s="1"/>
      <c r="I230" s="1"/>
      <c r="J230" s="1"/>
      <c r="K230" s="1"/>
      <c r="L230" s="1"/>
      <c r="M230" s="1"/>
      <c r="N230" s="1"/>
      <c r="O230" s="1"/>
      <c r="P230" s="1"/>
      <c r="Q230" s="1"/>
      <c r="R230" s="1"/>
      <c r="S230" s="1"/>
      <c r="T230" s="1"/>
      <c r="U230" s="1"/>
      <c r="V230" s="1"/>
      <c r="W230" s="1"/>
      <c r="X230" s="1"/>
      <c r="Y230" s="1"/>
      <c r="Z230" s="1"/>
    </row>
    <row r="231">
      <c r="A231" s="1" t="str">
        <f>IFERROR(__xludf.DUMMYFUNCTION("""COMPUTED_VALUE"""),"Sea Serpent Pauldrons")</f>
        <v>Sea Serpent Pauldrons</v>
      </c>
      <c r="B231" s="1"/>
      <c r="C231" s="1"/>
      <c r="D231" s="1" t="str">
        <f>IFERROR(__xludf.DUMMYFUNCTION("""COMPUTED_VALUE"""),"Shoulders")</f>
        <v>Shoulders</v>
      </c>
      <c r="E231" s="1">
        <f>IFERROR(__xludf.DUMMYFUNCTION("""COMPUTED_VALUE"""),100.0)</f>
        <v>100</v>
      </c>
      <c r="F231" s="1" t="str">
        <f>IFERROR(__xludf.DUMMYFUNCTION("""COMPUTED_VALUE"""),"DEF: +2500, Water DEF: +2500 ++X2 additional water damage for self.")</f>
        <v>DEF: +2500, Water DEF: +2500 ++X2 additional water damage for self.</v>
      </c>
      <c r="G231" s="1">
        <f>IFERROR(__xludf.DUMMYFUNCTION("""COMPUTED_VALUE"""),450000.0)</f>
        <v>450000</v>
      </c>
      <c r="H231" s="1"/>
      <c r="I231" s="1"/>
      <c r="J231" s="1"/>
      <c r="K231" s="1"/>
      <c r="L231" s="1"/>
      <c r="M231" s="1"/>
      <c r="N231" s="1"/>
      <c r="O231" s="1"/>
      <c r="P231" s="1"/>
      <c r="Q231" s="1"/>
      <c r="R231" s="1"/>
      <c r="S231" s="1"/>
      <c r="T231" s="1"/>
      <c r="U231" s="1"/>
      <c r="V231" s="1"/>
      <c r="W231" s="1"/>
      <c r="X231" s="1"/>
      <c r="Y231" s="1"/>
      <c r="Z231" s="1"/>
    </row>
    <row r="232">
      <c r="A232" s="1" t="str">
        <f>IFERROR(__xludf.DUMMYFUNCTION("""COMPUTED_VALUE"""),"Sea Serpent Vambrace")</f>
        <v>Sea Serpent Vambrace</v>
      </c>
      <c r="B232" s="1"/>
      <c r="C232" s="1"/>
      <c r="D232" s="1" t="str">
        <f>IFERROR(__xludf.DUMMYFUNCTION("""COMPUTED_VALUE"""),"Arms")</f>
        <v>Arms</v>
      </c>
      <c r="E232" s="1">
        <f>IFERROR(__xludf.DUMMYFUNCTION("""COMPUTED_VALUE"""),100.0)</f>
        <v>100</v>
      </c>
      <c r="F232" s="1" t="str">
        <f>IFERROR(__xludf.DUMMYFUNCTION("""COMPUTED_VALUE"""),"DEF: +2500, Water DEF: +2500 ++X2 additional water damage for self.")</f>
        <v>DEF: +2500, Water DEF: +2500 ++X2 additional water damage for self.</v>
      </c>
      <c r="G232" s="1">
        <f>IFERROR(__xludf.DUMMYFUNCTION("""COMPUTED_VALUE"""),450000.0)</f>
        <v>450000</v>
      </c>
      <c r="H232" s="1"/>
      <c r="I232" s="1"/>
      <c r="J232" s="1"/>
      <c r="K232" s="1"/>
      <c r="L232" s="1"/>
      <c r="M232" s="1"/>
      <c r="N232" s="1"/>
      <c r="O232" s="1"/>
      <c r="P232" s="1"/>
      <c r="Q232" s="1"/>
      <c r="R232" s="1"/>
      <c r="S232" s="1"/>
      <c r="T232" s="1"/>
      <c r="U232" s="1"/>
      <c r="V232" s="1"/>
      <c r="W232" s="1"/>
      <c r="X232" s="1"/>
      <c r="Y232" s="1"/>
      <c r="Z232" s="1"/>
    </row>
    <row r="233">
      <c r="A233" s="1" t="str">
        <f>IFERROR(__xludf.DUMMYFUNCTION("""COMPUTED_VALUE"""),"Sea Serpents Mythical Chestplate")</f>
        <v>Sea Serpents Mythical Chestplate</v>
      </c>
      <c r="B233" s="1"/>
      <c r="C233" s="1"/>
      <c r="D233" s="1" t="str">
        <f>IFERROR(__xludf.DUMMYFUNCTION("""COMPUTED_VALUE"""),"Torso")</f>
        <v>Torso</v>
      </c>
      <c r="E233" s="1">
        <f>IFERROR(__xludf.DUMMYFUNCTION("""COMPUTED_VALUE"""),200.0)</f>
        <v>200</v>
      </c>
      <c r="F233" s="1" t="str">
        <f>IFERROR(__xludf.DUMMYFUNCTION("""COMPUTED_VALUE"""),"DEF: +5000, Water DEF: +5000 ++X2 additional water damage for self. ++X4 Water damage for self and allies if you have all Sea Serpent Equipment Equipped.")</f>
        <v>DEF: +5000, Water DEF: +5000 ++X2 additional water damage for self. ++X4 Water damage for self and allies if you have all Sea Serpent Equipment Equipped.</v>
      </c>
      <c r="G233" s="1">
        <f>IFERROR(__xludf.DUMMYFUNCTION("""COMPUTED_VALUE"""),1900000.0)</f>
        <v>1900000</v>
      </c>
      <c r="H233" s="1"/>
      <c r="I233" s="1"/>
      <c r="J233" s="1"/>
      <c r="K233" s="1"/>
      <c r="L233" s="1"/>
      <c r="M233" s="1"/>
      <c r="N233" s="1"/>
      <c r="O233" s="1"/>
      <c r="P233" s="1"/>
      <c r="Q233" s="1"/>
      <c r="R233" s="1"/>
      <c r="S233" s="1"/>
      <c r="T233" s="1"/>
      <c r="U233" s="1"/>
      <c r="V233" s="1"/>
      <c r="W233" s="1"/>
      <c r="X233" s="1"/>
      <c r="Y233" s="1"/>
      <c r="Z233" s="1"/>
    </row>
    <row r="234">
      <c r="A234" s="1" t="str">
        <f>IFERROR(__xludf.DUMMYFUNCTION("""COMPUTED_VALUE"""),"Shadow Flute")</f>
        <v>Shadow Flute</v>
      </c>
      <c r="B234" s="1"/>
      <c r="C234" s="1"/>
      <c r="D234" s="1" t="str">
        <f>IFERROR(__xludf.DUMMYFUNCTION("""COMPUTED_VALUE"""),"Hand")</f>
        <v>Hand</v>
      </c>
      <c r="E234" s="1">
        <f>IFERROR(__xludf.DUMMYFUNCTION("""COMPUTED_VALUE"""),1.0)</f>
        <v>1</v>
      </c>
      <c r="F234" s="1" t="str">
        <f>IFERROR(__xludf.DUMMYFUNCTION("""COMPUTED_VALUE""")," ++Can summon a chaotic shadow gnome to battle.")</f>
        <v> ++Can summon a chaotic shadow gnome to battle.</v>
      </c>
      <c r="G234" s="1">
        <f>IFERROR(__xludf.DUMMYFUNCTION("""COMPUTED_VALUE"""),0.0)</f>
        <v>0</v>
      </c>
      <c r="H234" s="1"/>
      <c r="I234" s="1"/>
      <c r="J234" s="1"/>
      <c r="K234" s="1"/>
      <c r="L234" s="1"/>
      <c r="M234" s="1"/>
      <c r="N234" s="1"/>
      <c r="O234" s="1"/>
      <c r="P234" s="1"/>
      <c r="Q234" s="1"/>
      <c r="R234" s="1"/>
      <c r="S234" s="1"/>
      <c r="T234" s="1"/>
      <c r="U234" s="1"/>
      <c r="V234" s="1"/>
      <c r="W234" s="1"/>
      <c r="X234" s="1"/>
      <c r="Y234" s="1"/>
      <c r="Z234" s="1"/>
    </row>
    <row r="235">
      <c r="A235" s="1" t="str">
        <f>IFERROR(__xludf.DUMMYFUNCTION("""COMPUTED_VALUE"""),"Shadow Kings Sword")</f>
        <v>Shadow Kings Sword</v>
      </c>
      <c r="B235" s="1"/>
      <c r="C235" s="1" t="str">
        <f>IFERROR(__xludf.DUMMYFUNCTION("""COMPUTED_VALUE"""),"Sword")</f>
        <v>Sword</v>
      </c>
      <c r="D235" s="1" t="str">
        <f>IFERROR(__xludf.DUMMYFUNCTION("""COMPUTED_VALUE"""),"Hand")</f>
        <v>Hand</v>
      </c>
      <c r="E235" s="1">
        <f>IFERROR(__xludf.DUMMYFUNCTION("""COMPUTED_VALUE"""),400.0)</f>
        <v>400</v>
      </c>
      <c r="F235" s="1" t="str">
        <f>IFERROR(__xludf.DUMMYFUNCTION("""COMPUTED_VALUE"""),"DMG: +10000, Dark DMG: +5000, Chaos DMG: +5000")</f>
        <v>DMG: +10000, Dark DMG: +5000, Chaos DMG: +5000</v>
      </c>
      <c r="G235" s="1">
        <f>IFERROR(__xludf.DUMMYFUNCTION("""COMPUTED_VALUE"""),7800000.0)</f>
        <v>7800000</v>
      </c>
      <c r="H235" s="1"/>
      <c r="I235" s="1"/>
      <c r="J235" s="1"/>
      <c r="K235" s="1"/>
      <c r="L235" s="1"/>
      <c r="M235" s="1"/>
      <c r="N235" s="1"/>
      <c r="O235" s="1"/>
      <c r="P235" s="1"/>
      <c r="Q235" s="1"/>
      <c r="R235" s="1"/>
      <c r="S235" s="1"/>
      <c r="T235" s="1"/>
      <c r="U235" s="1"/>
      <c r="V235" s="1"/>
      <c r="W235" s="1"/>
      <c r="X235" s="1"/>
      <c r="Y235" s="1"/>
      <c r="Z235" s="1"/>
    </row>
    <row r="236">
      <c r="A236" s="1" t="str">
        <f>IFERROR(__xludf.DUMMYFUNCTION("""COMPUTED_VALUE"""),"Shield of Guarding Smite")</f>
        <v>Shield of Guarding Smite</v>
      </c>
      <c r="B236" s="1"/>
      <c r="C236" s="1" t="str">
        <f>IFERROR(__xludf.DUMMYFUNCTION("""COMPUTED_VALUE"""),"Towershield")</f>
        <v>Towershield</v>
      </c>
      <c r="D236" s="1" t="str">
        <f>IFERROR(__xludf.DUMMYFUNCTION("""COMPUTED_VALUE"""),"Hand")</f>
        <v>Hand</v>
      </c>
      <c r="E236" s="1">
        <f>IFERROR(__xludf.DUMMYFUNCTION("""COMPUTED_VALUE"""),2000.0)</f>
        <v>2000</v>
      </c>
      <c r="F236" s="1" t="str">
        <f>IFERROR(__xludf.DUMMYFUNCTION("""COMPUTED_VALUE"""),"DEF: +100000 ++75% chance to melt an enemies weapon that dealt damage to you. +-Cannot be duplicated")</f>
        <v>DEF: +100000 ++75% chance to melt an enemies weapon that dealt damage to you. +-Cannot be duplicated</v>
      </c>
      <c r="G236" s="1">
        <f>IFERROR(__xludf.DUMMYFUNCTION("""COMPUTED_VALUE"""),1.99E8)</f>
        <v>199000000</v>
      </c>
      <c r="H236" s="1"/>
      <c r="I236" s="1"/>
      <c r="J236" s="1"/>
      <c r="K236" s="1"/>
      <c r="L236" s="1"/>
      <c r="M236" s="1"/>
      <c r="N236" s="1"/>
      <c r="O236" s="1"/>
      <c r="P236" s="1"/>
      <c r="Q236" s="1"/>
      <c r="R236" s="1"/>
      <c r="S236" s="1"/>
      <c r="T236" s="1"/>
      <c r="U236" s="1"/>
      <c r="V236" s="1"/>
      <c r="W236" s="1"/>
      <c r="X236" s="1"/>
      <c r="Y236" s="1"/>
      <c r="Z236" s="1"/>
    </row>
    <row r="237">
      <c r="A237" s="1" t="str">
        <f>IFERROR(__xludf.DUMMYFUNCTION("""COMPUTED_VALUE"""),"Shield of Targeting")</f>
        <v>Shield of Targeting</v>
      </c>
      <c r="B237" s="1"/>
      <c r="C237" s="1" t="str">
        <f>IFERROR(__xludf.DUMMYFUNCTION("""COMPUTED_VALUE"""),"Buckler")</f>
        <v>Buckler</v>
      </c>
      <c r="D237" s="1" t="str">
        <f>IFERROR(__xludf.DUMMYFUNCTION("""COMPUTED_VALUE"""),"Hand")</f>
        <v>Hand</v>
      </c>
      <c r="E237" s="1">
        <f>IFERROR(__xludf.DUMMYFUNCTION("""COMPUTED_VALUE"""),20.0)</f>
        <v>20</v>
      </c>
      <c r="F237" s="1" t="str">
        <f>IFERROR(__xludf.DUMMYFUNCTION("""COMPUTED_VALUE"""),"DEF: +1000 ++Target me you B**** - enemies will automatically target you no matter, Use intimidation for this item effect.")</f>
        <v>DEF: +1000 ++Target me you B**** - enemies will automatically target you no matter, Use intimidation for this item effect.</v>
      </c>
      <c r="G237" s="1">
        <f>IFERROR(__xludf.DUMMYFUNCTION("""COMPUTED_VALUE"""),10000.0)</f>
        <v>10000</v>
      </c>
      <c r="H237" s="1"/>
      <c r="I237" s="1"/>
      <c r="J237" s="1"/>
      <c r="K237" s="1"/>
      <c r="L237" s="1"/>
      <c r="M237" s="1"/>
      <c r="N237" s="1"/>
      <c r="O237" s="1"/>
      <c r="P237" s="1"/>
      <c r="Q237" s="1"/>
      <c r="R237" s="1"/>
      <c r="S237" s="1"/>
      <c r="T237" s="1"/>
      <c r="U237" s="1"/>
      <c r="V237" s="1"/>
      <c r="W237" s="1"/>
      <c r="X237" s="1"/>
      <c r="Y237" s="1"/>
      <c r="Z237" s="1"/>
    </row>
    <row r="238">
      <c r="A238" s="1" t="str">
        <f>IFERROR(__xludf.DUMMYFUNCTION("""COMPUTED_VALUE"""),"Shining Katana")</f>
        <v>Shining Katana</v>
      </c>
      <c r="B238" s="1"/>
      <c r="C238" s="1"/>
      <c r="D238" s="1" t="str">
        <f>IFERROR(__xludf.DUMMYFUNCTION("""COMPUTED_VALUE"""),"Hand")</f>
        <v>Hand</v>
      </c>
      <c r="E238" s="1">
        <f>IFERROR(__xludf.DUMMYFUNCTION("""COMPUTED_VALUE"""),200.0)</f>
        <v>200</v>
      </c>
      <c r="F238" s="1" t="str">
        <f>IFERROR(__xludf.DUMMYFUNCTION("""COMPUTED_VALUE"""),"DMG: +10000 ++++500 bleeding damage p/r.")</f>
        <v>DMG: +10000 ++++500 bleeding damage p/r.</v>
      </c>
      <c r="G238" s="1">
        <f>IFERROR(__xludf.DUMMYFUNCTION("""COMPUTED_VALUE"""),1900000.0)</f>
        <v>1900000</v>
      </c>
      <c r="H238" s="1"/>
      <c r="I238" s="1"/>
      <c r="J238" s="1"/>
      <c r="K238" s="1"/>
      <c r="L238" s="1"/>
      <c r="M238" s="1"/>
      <c r="N238" s="1"/>
      <c r="O238" s="1"/>
      <c r="P238" s="1"/>
      <c r="Q238" s="1"/>
      <c r="R238" s="1"/>
      <c r="S238" s="1"/>
      <c r="T238" s="1"/>
      <c r="U238" s="1"/>
      <c r="V238" s="1"/>
      <c r="W238" s="1"/>
      <c r="X238" s="1"/>
      <c r="Y238" s="1"/>
      <c r="Z238" s="1"/>
    </row>
    <row r="239">
      <c r="A239" s="1" t="str">
        <f>IFERROR(__xludf.DUMMYFUNCTION("""COMPUTED_VALUE"""),"Shoes of Metal Harmony's")</f>
        <v>Shoes of Metal Harmony's</v>
      </c>
      <c r="B239" s="1"/>
      <c r="C239" s="1"/>
      <c r="D239" s="1" t="str">
        <f>IFERROR(__xludf.DUMMYFUNCTION("""COMPUTED_VALUE"""),"Feet")</f>
        <v>Feet</v>
      </c>
      <c r="E239" s="1">
        <f>IFERROR(__xludf.DUMMYFUNCTION("""COMPUTED_VALUE"""),200.0)</f>
        <v>200</v>
      </c>
      <c r="F239" s="1" t="str">
        <f>IFERROR(__xludf.DUMMYFUNCTION("""COMPUTED_VALUE"""),"DEF: +10000 ++When dealing damage with an instrument you will regain hp equal to the damage you caused.")</f>
        <v>DEF: +10000 ++When dealing damage with an instrument you will regain hp equal to the damage you caused.</v>
      </c>
      <c r="G239" s="1">
        <f>IFERROR(__xludf.DUMMYFUNCTION("""COMPUTED_VALUE"""),1900000.0)</f>
        <v>1900000</v>
      </c>
      <c r="H239" s="1"/>
      <c r="I239" s="1"/>
      <c r="J239" s="1"/>
      <c r="K239" s="1"/>
      <c r="L239" s="1"/>
      <c r="M239" s="1"/>
      <c r="N239" s="1"/>
      <c r="O239" s="1"/>
      <c r="P239" s="1"/>
      <c r="Q239" s="1"/>
      <c r="R239" s="1"/>
      <c r="S239" s="1"/>
      <c r="T239" s="1"/>
      <c r="U239" s="1"/>
      <c r="V239" s="1"/>
      <c r="W239" s="1"/>
      <c r="X239" s="1"/>
      <c r="Y239" s="1"/>
      <c r="Z239" s="1"/>
    </row>
    <row r="240">
      <c r="A240" s="1" t="str">
        <f>IFERROR(__xludf.DUMMYFUNCTION("""COMPUTED_VALUE"""),"Shoes of Water Walking")</f>
        <v>Shoes of Water Walking</v>
      </c>
      <c r="B240" s="1"/>
      <c r="C240" s="1"/>
      <c r="D240" s="1" t="str">
        <f>IFERROR(__xludf.DUMMYFUNCTION("""COMPUTED_VALUE"""),"Feet")</f>
        <v>Feet</v>
      </c>
      <c r="E240" s="1">
        <f>IFERROR(__xludf.DUMMYFUNCTION("""COMPUTED_VALUE"""),200.0)</f>
        <v>200</v>
      </c>
      <c r="F240" s="1" t="str">
        <f>IFERROR(__xludf.DUMMYFUNCTION("""COMPUTED_VALUE"""),"DEF: +5000, Water DEF: +5000 ++All water damage can now be any Element of choosing (this will still be counted as water damage for additional buffs).")</f>
        <v>DEF: +5000, Water DEF: +5000 ++All water damage can now be any Element of choosing (this will still be counted as water damage for additional buffs).</v>
      </c>
      <c r="G240" s="1">
        <f>IFERROR(__xludf.DUMMYFUNCTION("""COMPUTED_VALUE"""),1900000.0)</f>
        <v>1900000</v>
      </c>
      <c r="H240" s="1"/>
      <c r="I240" s="1"/>
      <c r="J240" s="1"/>
      <c r="K240" s="1"/>
      <c r="L240" s="1"/>
      <c r="M240" s="1"/>
      <c r="N240" s="1"/>
      <c r="O240" s="1"/>
      <c r="P240" s="1"/>
      <c r="Q240" s="1"/>
      <c r="R240" s="1"/>
      <c r="S240" s="1"/>
      <c r="T240" s="1"/>
      <c r="U240" s="1"/>
      <c r="V240" s="1"/>
      <c r="W240" s="1"/>
      <c r="X240" s="1"/>
      <c r="Y240" s="1"/>
      <c r="Z240" s="1"/>
    </row>
    <row r="241">
      <c r="A241" s="1" t="str">
        <f>IFERROR(__xludf.DUMMYFUNCTION("""COMPUTED_VALUE"""),"Short Spear")</f>
        <v>Short Spear</v>
      </c>
      <c r="B241" s="1"/>
      <c r="C241" s="1" t="str">
        <f>IFERROR(__xludf.DUMMYFUNCTION("""COMPUTED_VALUE"""),"Spear")</f>
        <v>Spear</v>
      </c>
      <c r="D241" s="1" t="str">
        <f>IFERROR(__xludf.DUMMYFUNCTION("""COMPUTED_VALUE"""),"Hand")</f>
        <v>Hand</v>
      </c>
      <c r="E241" s="1">
        <f>IFERROR(__xludf.DUMMYFUNCTION("""COMPUTED_VALUE"""),1.0)</f>
        <v>1</v>
      </c>
      <c r="F241" s="1" t="str">
        <f>IFERROR(__xludf.DUMMYFUNCTION("""COMPUTED_VALUE"""),"DMG: +250")</f>
        <v>DMG: +250</v>
      </c>
      <c r="G241" s="1">
        <f>IFERROR(__xludf.DUMMYFUNCTION("""COMPUTED_VALUE"""),0.0)</f>
        <v>0</v>
      </c>
      <c r="H241" s="1"/>
      <c r="I241" s="1"/>
      <c r="J241" s="1"/>
      <c r="K241" s="1"/>
      <c r="L241" s="1"/>
      <c r="M241" s="1"/>
      <c r="N241" s="1"/>
      <c r="O241" s="1"/>
      <c r="P241" s="1"/>
      <c r="Q241" s="1"/>
      <c r="R241" s="1"/>
      <c r="S241" s="1"/>
      <c r="T241" s="1"/>
      <c r="U241" s="1"/>
      <c r="V241" s="1"/>
      <c r="W241" s="1"/>
      <c r="X241" s="1"/>
      <c r="Y241" s="1"/>
      <c r="Z241" s="1"/>
    </row>
    <row r="242">
      <c r="A242" s="1" t="str">
        <f>IFERROR(__xludf.DUMMYFUNCTION("""COMPUTED_VALUE"""),"Shuriken")</f>
        <v>Shuriken</v>
      </c>
      <c r="B242" s="1"/>
      <c r="C242" s="1" t="str">
        <f>IFERROR(__xludf.DUMMYFUNCTION("""COMPUTED_VALUE"""),"Boomerang")</f>
        <v>Boomerang</v>
      </c>
      <c r="D242" s="1" t="str">
        <f>IFERROR(__xludf.DUMMYFUNCTION("""COMPUTED_VALUE"""),"Hand")</f>
        <v>Hand</v>
      </c>
      <c r="E242" s="1">
        <f>IFERROR(__xludf.DUMMYFUNCTION("""COMPUTED_VALUE"""),200.0)</f>
        <v>200</v>
      </c>
      <c r="F242" s="1" t="str">
        <f>IFERROR(__xludf.DUMMYFUNCTION("""COMPUTED_VALUE"""),"DMG: +5000, Blood DMG: +5000 ++Will return to you when thrown.")</f>
        <v>DMG: +5000, Blood DMG: +5000 ++Will return to you when thrown.</v>
      </c>
      <c r="G242" s="1">
        <f>IFERROR(__xludf.DUMMYFUNCTION("""COMPUTED_VALUE"""),1900000.0)</f>
        <v>1900000</v>
      </c>
      <c r="H242" s="1"/>
      <c r="I242" s="1"/>
      <c r="J242" s="1"/>
      <c r="K242" s="1"/>
      <c r="L242" s="1"/>
      <c r="M242" s="1"/>
      <c r="N242" s="1"/>
      <c r="O242" s="1"/>
      <c r="P242" s="1"/>
      <c r="Q242" s="1"/>
      <c r="R242" s="1"/>
      <c r="S242" s="1"/>
      <c r="T242" s="1"/>
      <c r="U242" s="1"/>
      <c r="V242" s="1"/>
      <c r="W242" s="1"/>
      <c r="X242" s="1"/>
      <c r="Y242" s="1"/>
      <c r="Z242" s="1"/>
    </row>
    <row r="243">
      <c r="A243" s="1" t="str">
        <f>IFERROR(__xludf.DUMMYFUNCTION("""COMPUTED_VALUE"""),"Shuttering Cloak")</f>
        <v>Shuttering Cloak</v>
      </c>
      <c r="B243" s="1"/>
      <c r="C243" s="1"/>
      <c r="D243" s="1" t="str">
        <f>IFERROR(__xludf.DUMMYFUNCTION("""COMPUTED_VALUE"""),"Torso")</f>
        <v>Torso</v>
      </c>
      <c r="E243" s="1">
        <f>IFERROR(__xludf.DUMMYFUNCTION("""COMPUTED_VALUE"""),1.0)</f>
        <v>1</v>
      </c>
      <c r="F243" s="1" t="str">
        <f>IFERROR(__xludf.DUMMYFUNCTION("""COMPUTED_VALUE""")," ++Plus 10 Evasion and Mobility, +-You Cannot be unaffected by spells or attacks. +-Can only equip one")</f>
        <v> ++Plus 10 Evasion and Mobility, +-You Cannot be unaffected by spells or attacks. +-Can only equip one</v>
      </c>
      <c r="G243" s="1">
        <f>IFERROR(__xludf.DUMMYFUNCTION("""COMPUTED_VALUE"""),0.0)</f>
        <v>0</v>
      </c>
      <c r="H243" s="1"/>
      <c r="I243" s="1"/>
      <c r="J243" s="1"/>
      <c r="K243" s="1"/>
      <c r="L243" s="1"/>
      <c r="M243" s="1"/>
      <c r="N243" s="1"/>
      <c r="O243" s="1"/>
      <c r="P243" s="1"/>
      <c r="Q243" s="1"/>
      <c r="R243" s="1"/>
      <c r="S243" s="1"/>
      <c r="T243" s="1"/>
      <c r="U243" s="1"/>
      <c r="V243" s="1"/>
      <c r="W243" s="1"/>
      <c r="X243" s="1"/>
      <c r="Y243" s="1"/>
      <c r="Z243" s="1"/>
    </row>
    <row r="244">
      <c r="A244" s="1" t="str">
        <f>IFERROR(__xludf.DUMMYFUNCTION("""COMPUTED_VALUE"""),"Silver Armor")</f>
        <v>Silver Armor</v>
      </c>
      <c r="B244" s="1"/>
      <c r="C244" s="1"/>
      <c r="D244" s="1" t="str">
        <f>IFERROR(__xludf.DUMMYFUNCTION("""COMPUTED_VALUE"""),"Torso")</f>
        <v>Torso</v>
      </c>
      <c r="E244" s="1">
        <f>IFERROR(__xludf.DUMMYFUNCTION("""COMPUTED_VALUE"""),1.0)</f>
        <v>1</v>
      </c>
      <c r="F244" s="1" t="str">
        <f>IFERROR(__xludf.DUMMYFUNCTION("""COMPUTED_VALUE"""),"DEF: +30")</f>
        <v>DEF: +30</v>
      </c>
      <c r="G244" s="1">
        <f>IFERROR(__xludf.DUMMYFUNCTION("""COMPUTED_VALUE"""),0.0)</f>
        <v>0</v>
      </c>
      <c r="H244" s="1"/>
      <c r="I244" s="1"/>
      <c r="J244" s="1"/>
      <c r="K244" s="1"/>
      <c r="L244" s="1"/>
      <c r="M244" s="1"/>
      <c r="N244" s="1"/>
      <c r="O244" s="1"/>
      <c r="P244" s="1"/>
      <c r="Q244" s="1"/>
      <c r="R244" s="1"/>
      <c r="S244" s="1"/>
      <c r="T244" s="1"/>
      <c r="U244" s="1"/>
      <c r="V244" s="1"/>
      <c r="W244" s="1"/>
      <c r="X244" s="1"/>
      <c r="Y244" s="1"/>
      <c r="Z244" s="1"/>
    </row>
    <row r="245">
      <c r="A245" s="1" t="str">
        <f>IFERROR(__xludf.DUMMYFUNCTION("""COMPUTED_VALUE"""),"Silver Katana")</f>
        <v>Silver Katana</v>
      </c>
      <c r="B245" s="1"/>
      <c r="C245" s="1" t="str">
        <f>IFERROR(__xludf.DUMMYFUNCTION("""COMPUTED_VALUE"""),"Sword")</f>
        <v>Sword</v>
      </c>
      <c r="D245" s="1" t="str">
        <f>IFERROR(__xludf.DUMMYFUNCTION("""COMPUTED_VALUE"""),"Hand")</f>
        <v>Hand</v>
      </c>
      <c r="E245" s="1">
        <f>IFERROR(__xludf.DUMMYFUNCTION("""COMPUTED_VALUE"""),200.0)</f>
        <v>200</v>
      </c>
      <c r="F245" s="1" t="str">
        <f>IFERROR(__xludf.DUMMYFUNCTION("""COMPUTED_VALUE"""),"DMG: +10000 ++Causes Blindness 3")</f>
        <v>DMG: +10000 ++Causes Blindness 3</v>
      </c>
      <c r="G245" s="1">
        <f>IFERROR(__xludf.DUMMYFUNCTION("""COMPUTED_VALUE"""),1900000.0)</f>
        <v>1900000</v>
      </c>
      <c r="H245" s="1"/>
      <c r="I245" s="1"/>
      <c r="J245" s="1"/>
      <c r="K245" s="1"/>
      <c r="L245" s="1"/>
      <c r="M245" s="1"/>
      <c r="N245" s="1"/>
      <c r="O245" s="1"/>
      <c r="P245" s="1"/>
      <c r="Q245" s="1"/>
      <c r="R245" s="1"/>
      <c r="S245" s="1"/>
      <c r="T245" s="1"/>
      <c r="U245" s="1"/>
      <c r="V245" s="1"/>
      <c r="W245" s="1"/>
      <c r="X245" s="1"/>
      <c r="Y245" s="1"/>
      <c r="Z245" s="1"/>
    </row>
    <row r="246">
      <c r="A246" s="1" t="str">
        <f>IFERROR(__xludf.DUMMYFUNCTION("""COMPUTED_VALUE"""),"Silver Knife")</f>
        <v>Silver Knife</v>
      </c>
      <c r="B246" s="1"/>
      <c r="C246" s="1" t="str">
        <f>IFERROR(__xludf.DUMMYFUNCTION("""COMPUTED_VALUE"""),"Knife")</f>
        <v>Knife</v>
      </c>
      <c r="D246" s="1" t="str">
        <f>IFERROR(__xludf.DUMMYFUNCTION("""COMPUTED_VALUE"""),"Hand")</f>
        <v>Hand</v>
      </c>
      <c r="E246" s="1">
        <f>IFERROR(__xludf.DUMMYFUNCTION("""COMPUTED_VALUE"""),200.0)</f>
        <v>200</v>
      </c>
      <c r="F246" s="1" t="str">
        <f>IFERROR(__xludf.DUMMYFUNCTION("""COMPUTED_VALUE"""),"DMG: +10000")</f>
        <v>DMG: +10000</v>
      </c>
      <c r="G246" s="1">
        <f>IFERROR(__xludf.DUMMYFUNCTION("""COMPUTED_VALUE"""),1900000.0)</f>
        <v>1900000</v>
      </c>
      <c r="H246" s="1"/>
      <c r="I246" s="1"/>
      <c r="J246" s="1"/>
      <c r="K246" s="1"/>
      <c r="L246" s="1"/>
      <c r="M246" s="1"/>
      <c r="N246" s="1"/>
      <c r="O246" s="1"/>
      <c r="P246" s="1"/>
      <c r="Q246" s="1"/>
      <c r="R246" s="1"/>
      <c r="S246" s="1"/>
      <c r="T246" s="1"/>
      <c r="U246" s="1"/>
      <c r="V246" s="1"/>
      <c r="W246" s="1"/>
      <c r="X246" s="1"/>
      <c r="Y246" s="1"/>
      <c r="Z246" s="1"/>
    </row>
    <row r="247">
      <c r="A247" s="1" t="str">
        <f>IFERROR(__xludf.DUMMYFUNCTION("""COMPUTED_VALUE"""),"Skull Cleaver")</f>
        <v>Skull Cleaver</v>
      </c>
      <c r="B247" s="1"/>
      <c r="C247" s="1" t="str">
        <f>IFERROR(__xludf.DUMMYFUNCTION("""COMPUTED_VALUE"""),"Sword")</f>
        <v>Sword</v>
      </c>
      <c r="D247" s="1" t="str">
        <f>IFERROR(__xludf.DUMMYFUNCTION("""COMPUTED_VALUE"""),"Hand")</f>
        <v>Hand</v>
      </c>
      <c r="E247" s="1">
        <f>IFERROR(__xludf.DUMMYFUNCTION("""COMPUTED_VALUE"""),1000.0)</f>
        <v>1000</v>
      </c>
      <c r="F247" s="1" t="str">
        <f>IFERROR(__xludf.DUMMYFUNCTION("""COMPUTED_VALUE"""),"DMG: +30000, Dark DMG: +20000 ++75% Chance of instant death.")</f>
        <v>DMG: +30000, Dark DMG: +20000 ++75% Chance of instant death.</v>
      </c>
      <c r="G247" s="1">
        <f>IFERROR(__xludf.DUMMYFUNCTION("""COMPUTED_VALUE"""),4.95E7)</f>
        <v>49500000</v>
      </c>
      <c r="H247" s="1"/>
      <c r="I247" s="1"/>
      <c r="J247" s="1"/>
      <c r="K247" s="1"/>
      <c r="L247" s="1"/>
      <c r="M247" s="1"/>
      <c r="N247" s="1"/>
      <c r="O247" s="1"/>
      <c r="P247" s="1"/>
      <c r="Q247" s="1"/>
      <c r="R247" s="1"/>
      <c r="S247" s="1"/>
      <c r="T247" s="1"/>
      <c r="U247" s="1"/>
      <c r="V247" s="1"/>
      <c r="W247" s="1"/>
      <c r="X247" s="1"/>
      <c r="Y247" s="1"/>
      <c r="Z247" s="1"/>
    </row>
    <row r="248">
      <c r="A248" s="1" t="str">
        <f>IFERROR(__xludf.DUMMYFUNCTION("""COMPUTED_VALUE"""),"Skull of the many Kings")</f>
        <v>Skull of the many Kings</v>
      </c>
      <c r="B248" s="1"/>
      <c r="C248" s="1"/>
      <c r="D248" s="1" t="str">
        <f>IFERROR(__xludf.DUMMYFUNCTION("""COMPUTED_VALUE"""),"Head")</f>
        <v>Head</v>
      </c>
      <c r="E248" s="1">
        <f>IFERROR(__xludf.DUMMYFUNCTION("""COMPUTED_VALUE"""),1.0)</f>
        <v>1</v>
      </c>
      <c r="F248" s="1" t="str">
        <f>IFERROR(__xludf.DUMMYFUNCTION("""COMPUTED_VALUE"""),"DEF: +300 ++Immunity to all dark damage")</f>
        <v>DEF: +300 ++Immunity to all dark damage</v>
      </c>
      <c r="G248" s="1">
        <f>IFERROR(__xludf.DUMMYFUNCTION("""COMPUTED_VALUE"""),0.0)</f>
        <v>0</v>
      </c>
      <c r="H248" s="1"/>
      <c r="I248" s="1"/>
      <c r="J248" s="1"/>
      <c r="K248" s="1"/>
      <c r="L248" s="1"/>
      <c r="M248" s="1"/>
      <c r="N248" s="1"/>
      <c r="O248" s="1"/>
      <c r="P248" s="1"/>
      <c r="Q248" s="1"/>
      <c r="R248" s="1"/>
      <c r="S248" s="1"/>
      <c r="T248" s="1"/>
      <c r="U248" s="1"/>
      <c r="V248" s="1"/>
      <c r="W248" s="1"/>
      <c r="X248" s="1"/>
      <c r="Y248" s="1"/>
      <c r="Z248" s="1"/>
    </row>
    <row r="249">
      <c r="A249" s="1" t="str">
        <f>IFERROR(__xludf.DUMMYFUNCTION("""COMPUTED_VALUE"""),"Skull Ring")</f>
        <v>Skull Ring</v>
      </c>
      <c r="B249" s="1"/>
      <c r="C249" s="1"/>
      <c r="D249" s="1" t="str">
        <f>IFERROR(__xludf.DUMMYFUNCTION("""COMPUTED_VALUE"""),"Ring")</f>
        <v>Ring</v>
      </c>
      <c r="E249" s="1">
        <f>IFERROR(__xludf.DUMMYFUNCTION("""COMPUTED_VALUE"""),1.0)</f>
        <v>1</v>
      </c>
      <c r="F249" s="1" t="str">
        <f>IFERROR(__xludf.DUMMYFUNCTION("""COMPUTED_VALUE""")," ++Increase damage of all dark spells and weapons by X2")</f>
        <v> ++Increase damage of all dark spells and weapons by X2</v>
      </c>
      <c r="G249" s="1">
        <f>IFERROR(__xludf.DUMMYFUNCTION("""COMPUTED_VALUE"""),0.0)</f>
        <v>0</v>
      </c>
      <c r="H249" s="1"/>
      <c r="I249" s="1"/>
      <c r="J249" s="1"/>
      <c r="K249" s="1"/>
      <c r="L249" s="1"/>
      <c r="M249" s="1"/>
      <c r="N249" s="1"/>
      <c r="O249" s="1"/>
      <c r="P249" s="1"/>
      <c r="Q249" s="1"/>
      <c r="R249" s="1"/>
      <c r="S249" s="1"/>
      <c r="T249" s="1"/>
      <c r="U249" s="1"/>
      <c r="V249" s="1"/>
      <c r="W249" s="1"/>
      <c r="X249" s="1"/>
      <c r="Y249" s="1"/>
      <c r="Z249" s="1"/>
    </row>
    <row r="250">
      <c r="A250" s="1" t="str">
        <f>IFERROR(__xludf.DUMMYFUNCTION("""COMPUTED_VALUE"""),"Spear")</f>
        <v>Spear</v>
      </c>
      <c r="B250" s="1"/>
      <c r="C250" s="1" t="str">
        <f>IFERROR(__xludf.DUMMYFUNCTION("""COMPUTED_VALUE"""),"Spear")</f>
        <v>Spear</v>
      </c>
      <c r="D250" s="1" t="str">
        <f>IFERROR(__xludf.DUMMYFUNCTION("""COMPUTED_VALUE"""),"Hand")</f>
        <v>Hand</v>
      </c>
      <c r="E250" s="1">
        <f>IFERROR(__xludf.DUMMYFUNCTION("""COMPUTED_VALUE"""),1.0)</f>
        <v>1</v>
      </c>
      <c r="F250" s="1" t="str">
        <f>IFERROR(__xludf.DUMMYFUNCTION("""COMPUTED_VALUE"""),"DMG: +100")</f>
        <v>DMG: +100</v>
      </c>
      <c r="G250" s="1">
        <f>IFERROR(__xludf.DUMMYFUNCTION("""COMPUTED_VALUE"""),0.0)</f>
        <v>0</v>
      </c>
      <c r="H250" s="1"/>
      <c r="I250" s="1"/>
      <c r="J250" s="1"/>
      <c r="K250" s="1"/>
      <c r="L250" s="1"/>
      <c r="M250" s="1"/>
      <c r="N250" s="1"/>
      <c r="O250" s="1"/>
      <c r="P250" s="1"/>
      <c r="Q250" s="1"/>
      <c r="R250" s="1"/>
      <c r="S250" s="1"/>
      <c r="T250" s="1"/>
      <c r="U250" s="1"/>
      <c r="V250" s="1"/>
      <c r="W250" s="1"/>
      <c r="X250" s="1"/>
      <c r="Y250" s="1"/>
      <c r="Z250" s="1"/>
    </row>
    <row r="251">
      <c r="A251" s="1" t="str">
        <f>IFERROR(__xludf.DUMMYFUNCTION("""COMPUTED_VALUE"""),"Spear Of Assal ")</f>
        <v>Spear Of Assal </v>
      </c>
      <c r="B251" s="1" t="str">
        <f>IFERROR(__xludf.DUMMYFUNCTION("""COMPUTED_VALUE"""),"(Event Exclusive) Lugh's Spear he weilded in battle. The spear will always find its mark when the incantation Ibar is spoken by the user. ")</f>
        <v>(Event Exclusive) Lugh's Spear he weilded in battle. The spear will always find its mark when the incantation Ibar is spoken by the user. </v>
      </c>
      <c r="C251" s="1" t="str">
        <f>IFERROR(__xludf.DUMMYFUNCTION("""COMPUTED_VALUE"""),"Spear")</f>
        <v>Spear</v>
      </c>
      <c r="D251" s="1" t="str">
        <f>IFERROR(__xludf.DUMMYFUNCTION("""COMPUTED_VALUE"""),"Hand")</f>
        <v>Hand</v>
      </c>
      <c r="E251" s="1">
        <f>IFERROR(__xludf.DUMMYFUNCTION("""COMPUTED_VALUE"""),200.0)</f>
        <v>200</v>
      </c>
      <c r="F251" s="1" t="str">
        <f>IFERROR(__xludf.DUMMYFUNCTION("""COMPUTED_VALUE"""),"DMG: +50000, Fire DMG: +50000, Celestial DMG: +50000 ++12,000 celestial and fire damage for 3 rounds. +-Cannot be forged +-Cannot be duplicated +-Cannot be confiscated. ++Ignores evasion, ++Will always return when thrown.")</f>
        <v>DMG: +50000, Fire DMG: +50000, Celestial DMG: +50000 ++12,000 celestial and fire damage for 3 rounds. +-Cannot be forged +-Cannot be duplicated +-Cannot be confiscated. ++Ignores evasion, ++Will always return when thrown.</v>
      </c>
      <c r="G251" s="1">
        <f>IFERROR(__xludf.DUMMYFUNCTION("""COMPUTED_VALUE"""),4.485E8)</f>
        <v>448500000</v>
      </c>
      <c r="H251" s="1"/>
      <c r="I251" s="1"/>
      <c r="J251" s="1"/>
      <c r="K251" s="1"/>
      <c r="L251" s="1"/>
      <c r="M251" s="1"/>
      <c r="N251" s="1"/>
      <c r="O251" s="1"/>
      <c r="P251" s="1"/>
      <c r="Q251" s="1"/>
      <c r="R251" s="1"/>
      <c r="S251" s="1"/>
      <c r="T251" s="1"/>
      <c r="U251" s="1"/>
      <c r="V251" s="1"/>
      <c r="W251" s="1"/>
      <c r="X251" s="1"/>
      <c r="Y251" s="1"/>
      <c r="Z251" s="1"/>
    </row>
    <row r="252">
      <c r="A252" s="1" t="str">
        <f>IFERROR(__xludf.DUMMYFUNCTION("""COMPUTED_VALUE"""),"Spiked Armor")</f>
        <v>Spiked Armor</v>
      </c>
      <c r="B252" s="1"/>
      <c r="C252" s="1"/>
      <c r="D252" s="1" t="str">
        <f>IFERROR(__xludf.DUMMYFUNCTION("""COMPUTED_VALUE"""),"Torso")</f>
        <v>Torso</v>
      </c>
      <c r="E252" s="1">
        <f>IFERROR(__xludf.DUMMYFUNCTION("""COMPUTED_VALUE"""),1.0)</f>
        <v>1</v>
      </c>
      <c r="F252" s="1" t="str">
        <f>IFERROR(__xludf.DUMMYFUNCTION("""COMPUTED_VALUE"""),"DEF: +100 ++Used for both offense and defense. ++Enemies take half the damage they caused, when they attack you.")</f>
        <v>DEF: +100 ++Used for both offense and defense. ++Enemies take half the damage they caused, when they attack you.</v>
      </c>
      <c r="G252" s="1">
        <f>IFERROR(__xludf.DUMMYFUNCTION("""COMPUTED_VALUE"""),0.0)</f>
        <v>0</v>
      </c>
      <c r="H252" s="1"/>
      <c r="I252" s="1"/>
      <c r="J252" s="1"/>
      <c r="K252" s="1"/>
      <c r="L252" s="1"/>
      <c r="M252" s="1"/>
      <c r="N252" s="1"/>
      <c r="O252" s="1"/>
      <c r="P252" s="1"/>
      <c r="Q252" s="1"/>
      <c r="R252" s="1"/>
      <c r="S252" s="1"/>
      <c r="T252" s="1"/>
      <c r="U252" s="1"/>
      <c r="V252" s="1"/>
      <c r="W252" s="1"/>
      <c r="X252" s="1"/>
      <c r="Y252" s="1"/>
      <c r="Z252" s="1"/>
    </row>
    <row r="253">
      <c r="A253" s="1" t="str">
        <f>IFERROR(__xludf.DUMMYFUNCTION("""COMPUTED_VALUE"""),"Spiny Shield")</f>
        <v>Spiny Shield</v>
      </c>
      <c r="B253" s="1"/>
      <c r="C253" s="1" t="str">
        <f>IFERROR(__xludf.DUMMYFUNCTION("""COMPUTED_VALUE"""),"Buckler")</f>
        <v>Buckler</v>
      </c>
      <c r="D253" s="1" t="str">
        <f>IFERROR(__xludf.DUMMYFUNCTION("""COMPUTED_VALUE"""),"Hand")</f>
        <v>Hand</v>
      </c>
      <c r="E253" s="1">
        <f>IFERROR(__xludf.DUMMYFUNCTION("""COMPUTED_VALUE"""),1.0)</f>
        <v>1</v>
      </c>
      <c r="F253" s="1" t="str">
        <f>IFERROR(__xludf.DUMMYFUNCTION("""COMPUTED_VALUE"""),"DEF: +170")</f>
        <v>DEF: +170</v>
      </c>
      <c r="G253" s="1">
        <f>IFERROR(__xludf.DUMMYFUNCTION("""COMPUTED_VALUE"""),0.0)</f>
        <v>0</v>
      </c>
      <c r="H253" s="1"/>
      <c r="I253" s="1"/>
      <c r="J253" s="1"/>
      <c r="K253" s="1"/>
      <c r="L253" s="1"/>
      <c r="M253" s="1"/>
      <c r="N253" s="1"/>
      <c r="O253" s="1"/>
      <c r="P253" s="1"/>
      <c r="Q253" s="1"/>
      <c r="R253" s="1"/>
      <c r="S253" s="1"/>
      <c r="T253" s="1"/>
      <c r="U253" s="1"/>
      <c r="V253" s="1"/>
      <c r="W253" s="1"/>
      <c r="X253" s="1"/>
      <c r="Y253" s="1"/>
      <c r="Z253" s="1"/>
    </row>
    <row r="254">
      <c r="A254" s="1" t="str">
        <f>IFERROR(__xludf.DUMMYFUNCTION("""COMPUTED_VALUE"""),"Spooky Branch Ring")</f>
        <v>Spooky Branch Ring</v>
      </c>
      <c r="B254" s="1" t="str">
        <f>IFERROR(__xludf.DUMMYFUNCTION("""COMPUTED_VALUE"""),"Halloween Exclusive")</f>
        <v>Halloween Exclusive</v>
      </c>
      <c r="C254" s="1"/>
      <c r="D254" s="1" t="str">
        <f>IFERROR(__xludf.DUMMYFUNCTION("""COMPUTED_VALUE"""),"Ring")</f>
        <v>Ring</v>
      </c>
      <c r="E254" s="1">
        <f>IFERROR(__xludf.DUMMYFUNCTION("""COMPUTED_VALUE"""),1.0)</f>
        <v>1</v>
      </c>
      <c r="F254" s="1" t="str">
        <f>IFERROR(__xludf.DUMMYFUNCTION("""COMPUTED_VALUE""")," ++Increase fire and dark damage by X2.")</f>
        <v> ++Increase fire and dark damage by X2.</v>
      </c>
      <c r="G254" s="1">
        <f>IFERROR(__xludf.DUMMYFUNCTION("""COMPUTED_VALUE"""),0.0)</f>
        <v>0</v>
      </c>
      <c r="H254" s="1"/>
      <c r="I254" s="1"/>
      <c r="J254" s="1"/>
      <c r="K254" s="1"/>
      <c r="L254" s="1"/>
      <c r="M254" s="1"/>
      <c r="N254" s="1"/>
      <c r="O254" s="1"/>
      <c r="P254" s="1"/>
      <c r="Q254" s="1"/>
      <c r="R254" s="1"/>
      <c r="S254" s="1"/>
      <c r="T254" s="1"/>
      <c r="U254" s="1"/>
      <c r="V254" s="1"/>
      <c r="W254" s="1"/>
      <c r="X254" s="1"/>
      <c r="Y254" s="1"/>
      <c r="Z254" s="1"/>
    </row>
    <row r="255">
      <c r="A255" s="1" t="str">
        <f>IFERROR(__xludf.DUMMYFUNCTION("""COMPUTED_VALUE"""),"Staff of Chaotic Shadows")</f>
        <v>Staff of Chaotic Shadows</v>
      </c>
      <c r="B255" s="1"/>
      <c r="C255" s="1" t="str">
        <f>IFERROR(__xludf.DUMMYFUNCTION("""COMPUTED_VALUE"""),"Staff")</f>
        <v>Staff</v>
      </c>
      <c r="D255" s="1" t="str">
        <f>IFERROR(__xludf.DUMMYFUNCTION("""COMPUTED_VALUE"""),"Hand")</f>
        <v>Hand</v>
      </c>
      <c r="E255" s="1">
        <f>IFERROR(__xludf.DUMMYFUNCTION("""COMPUTED_VALUE"""),1200.0)</f>
        <v>1200</v>
      </c>
      <c r="F255" s="1" t="str">
        <f>IFERROR(__xludf.DUMMYFUNCTION("""COMPUTED_VALUE"""),", Fire DMG: +20000, Dark DMG: +20000, Chaos DMG: +20000 ++damages all enemies. +-Cannot be forged.")</f>
        <v>, Fire DMG: +20000, Dark DMG: +20000, Chaos DMG: +20000 ++damages all enemies. +-Cannot be forged.</v>
      </c>
      <c r="G255" s="1">
        <f>IFERROR(__xludf.DUMMYFUNCTION("""COMPUTED_VALUE"""),7.14E7)</f>
        <v>71400000</v>
      </c>
      <c r="H255" s="1"/>
      <c r="I255" s="1"/>
      <c r="J255" s="1"/>
      <c r="K255" s="1"/>
      <c r="L255" s="1"/>
      <c r="M255" s="1"/>
      <c r="N255" s="1"/>
      <c r="O255" s="1"/>
      <c r="P255" s="1"/>
      <c r="Q255" s="1"/>
      <c r="R255" s="1"/>
      <c r="S255" s="1"/>
      <c r="T255" s="1"/>
      <c r="U255" s="1"/>
      <c r="V255" s="1"/>
      <c r="W255" s="1"/>
      <c r="X255" s="1"/>
      <c r="Y255" s="1"/>
      <c r="Z255" s="1"/>
    </row>
    <row r="256">
      <c r="A256" s="1" t="str">
        <f>IFERROR(__xludf.DUMMYFUNCTION("""COMPUTED_VALUE"""),"Staff of Crystals")</f>
        <v>Staff of Crystals</v>
      </c>
      <c r="B256" s="1"/>
      <c r="C256" s="1" t="str">
        <f>IFERROR(__xludf.DUMMYFUNCTION("""COMPUTED_VALUE"""),"Staff")</f>
        <v>Staff</v>
      </c>
      <c r="D256" s="1" t="str">
        <f>IFERROR(__xludf.DUMMYFUNCTION("""COMPUTED_VALUE"""),"Hand")</f>
        <v>Hand</v>
      </c>
      <c r="E256" s="1">
        <f>IFERROR(__xludf.DUMMYFUNCTION("""COMPUTED_VALUE"""),400.0)</f>
        <v>400</v>
      </c>
      <c r="F256" s="1" t="str">
        <f>IFERROR(__xludf.DUMMYFUNCTION("""COMPUTED_VALUE"""),", Earth DMG: +20000 ++When Equipped any damage dealt by a Crystal or Gem related weapon is X4. +-Cannot be duplicated.")</f>
        <v>, Earth DMG: +20000 ++When Equipped any damage dealt by a Crystal or Gem related weapon is X4. +-Cannot be duplicated.</v>
      </c>
      <c r="G256" s="1">
        <f>IFERROR(__xludf.DUMMYFUNCTION("""COMPUTED_VALUE"""),7800000.0)</f>
        <v>7800000</v>
      </c>
      <c r="H256" s="1"/>
      <c r="I256" s="1"/>
      <c r="J256" s="1"/>
      <c r="K256" s="1"/>
      <c r="L256" s="1"/>
      <c r="M256" s="1"/>
      <c r="N256" s="1"/>
      <c r="O256" s="1"/>
      <c r="P256" s="1"/>
      <c r="Q256" s="1"/>
      <c r="R256" s="1"/>
      <c r="S256" s="1"/>
      <c r="T256" s="1"/>
      <c r="U256" s="1"/>
      <c r="V256" s="1"/>
      <c r="W256" s="1"/>
      <c r="X256" s="1"/>
      <c r="Y256" s="1"/>
      <c r="Z256" s="1"/>
    </row>
    <row r="257">
      <c r="A257" s="1" t="str">
        <f>IFERROR(__xludf.DUMMYFUNCTION("""COMPUTED_VALUE"""),"Staff Of Heatmore")</f>
        <v>Staff Of Heatmore</v>
      </c>
      <c r="B257" s="1"/>
      <c r="C257" s="1" t="str">
        <f>IFERROR(__xludf.DUMMYFUNCTION("""COMPUTED_VALUE"""),"Staff")</f>
        <v>Staff</v>
      </c>
      <c r="D257" s="1" t="str">
        <f>IFERROR(__xludf.DUMMYFUNCTION("""COMPUTED_VALUE"""),"Hand")</f>
        <v>Hand</v>
      </c>
      <c r="E257" s="1">
        <f>IFERROR(__xludf.DUMMYFUNCTION("""COMPUTED_VALUE"""),1.0)</f>
        <v>1</v>
      </c>
      <c r="F257" s="1" t="str">
        <f>IFERROR(__xludf.DUMMYFUNCTION("""COMPUTED_VALUE""")," ++20,000 fire damage to all enemies, cannot avoid. 10,000sp")</f>
        <v> ++20,000 fire damage to all enemies, cannot avoid. 10,000sp</v>
      </c>
      <c r="G257" s="1">
        <f>IFERROR(__xludf.DUMMYFUNCTION("""COMPUTED_VALUE"""),0.0)</f>
        <v>0</v>
      </c>
      <c r="H257" s="1"/>
      <c r="I257" s="1"/>
      <c r="J257" s="1"/>
      <c r="K257" s="1"/>
      <c r="L257" s="1"/>
      <c r="M257" s="1"/>
      <c r="N257" s="1"/>
      <c r="O257" s="1"/>
      <c r="P257" s="1"/>
      <c r="Q257" s="1"/>
      <c r="R257" s="1"/>
      <c r="S257" s="1"/>
      <c r="T257" s="1"/>
      <c r="U257" s="1"/>
      <c r="V257" s="1"/>
      <c r="W257" s="1"/>
      <c r="X257" s="1"/>
      <c r="Y257" s="1"/>
      <c r="Z257" s="1"/>
    </row>
    <row r="258">
      <c r="A258" s="1" t="str">
        <f>IFERROR(__xludf.DUMMYFUNCTION("""COMPUTED_VALUE"""),"Staff of Shadows")</f>
        <v>Staff of Shadows</v>
      </c>
      <c r="B258" s="1"/>
      <c r="C258" s="1" t="str">
        <f>IFERROR(__xludf.DUMMYFUNCTION("""COMPUTED_VALUE"""),"Staff")</f>
        <v>Staff</v>
      </c>
      <c r="D258" s="1" t="str">
        <f>IFERROR(__xludf.DUMMYFUNCTION("""COMPUTED_VALUE"""),"Hand")</f>
        <v>Hand</v>
      </c>
      <c r="E258" s="1">
        <f>IFERROR(__xludf.DUMMYFUNCTION("""COMPUTED_VALUE"""),1.0)</f>
        <v>1</v>
      </c>
      <c r="F258" s="1" t="str">
        <f>IFERROR(__xludf.DUMMYFUNCTION("""COMPUTED_VALUE""")," ++You are invisible and silent so long as you don't attack. You cannot be attacked while invisible. 200SP")</f>
        <v> ++You are invisible and silent so long as you don't attack. You cannot be attacked while invisible. 200SP</v>
      </c>
      <c r="G258" s="1">
        <f>IFERROR(__xludf.DUMMYFUNCTION("""COMPUTED_VALUE"""),0.0)</f>
        <v>0</v>
      </c>
      <c r="H258" s="1"/>
      <c r="I258" s="1"/>
      <c r="J258" s="1"/>
      <c r="K258" s="1"/>
      <c r="L258" s="1"/>
      <c r="M258" s="1"/>
      <c r="N258" s="1"/>
      <c r="O258" s="1"/>
      <c r="P258" s="1"/>
      <c r="Q258" s="1"/>
      <c r="R258" s="1"/>
      <c r="S258" s="1"/>
      <c r="T258" s="1"/>
      <c r="U258" s="1"/>
      <c r="V258" s="1"/>
      <c r="W258" s="1"/>
      <c r="X258" s="1"/>
      <c r="Y258" s="1"/>
      <c r="Z258" s="1"/>
    </row>
    <row r="259">
      <c r="A259" s="1" t="str">
        <f>IFERROR(__xludf.DUMMYFUNCTION("""COMPUTED_VALUE"""),"Staff Of Suffering")</f>
        <v>Staff Of Suffering</v>
      </c>
      <c r="B259" s="1"/>
      <c r="C259" s="1" t="str">
        <f>IFERROR(__xludf.DUMMYFUNCTION("""COMPUTED_VALUE"""),"Staff")</f>
        <v>Staff</v>
      </c>
      <c r="D259" s="1" t="str">
        <f>IFERROR(__xludf.DUMMYFUNCTION("""COMPUTED_VALUE"""),"Hand")</f>
        <v>Hand</v>
      </c>
      <c r="E259" s="1">
        <f>IFERROR(__xludf.DUMMYFUNCTION("""COMPUTED_VALUE"""),1.0)</f>
        <v>1</v>
      </c>
      <c r="F259" s="1" t="str">
        <f>IFERROR(__xludf.DUMMYFUNCTION("""COMPUTED_VALUE""")," ++Casts a chaotic aura around 1 target dealing 1000 unblockable damage to them each time they cast a spell.")</f>
        <v> ++Casts a chaotic aura around 1 target dealing 1000 unblockable damage to them each time they cast a spell.</v>
      </c>
      <c r="G259" s="1">
        <f>IFERROR(__xludf.DUMMYFUNCTION("""COMPUTED_VALUE"""),0.0)</f>
        <v>0</v>
      </c>
      <c r="H259" s="1"/>
      <c r="I259" s="1"/>
      <c r="J259" s="1"/>
      <c r="K259" s="1"/>
      <c r="L259" s="1"/>
      <c r="M259" s="1"/>
      <c r="N259" s="1"/>
      <c r="O259" s="1"/>
      <c r="P259" s="1"/>
      <c r="Q259" s="1"/>
      <c r="R259" s="1"/>
      <c r="S259" s="1"/>
      <c r="T259" s="1"/>
      <c r="U259" s="1"/>
      <c r="V259" s="1"/>
      <c r="W259" s="1"/>
      <c r="X259" s="1"/>
      <c r="Y259" s="1"/>
      <c r="Z259" s="1"/>
    </row>
    <row r="260">
      <c r="A260" s="1" t="str">
        <f>IFERROR(__xludf.DUMMYFUNCTION("""COMPUTED_VALUE"""),"Staff of Targeting")</f>
        <v>Staff of Targeting</v>
      </c>
      <c r="B260" s="1"/>
      <c r="C260" s="1" t="str">
        <f>IFERROR(__xludf.DUMMYFUNCTION("""COMPUTED_VALUE"""),"Staff")</f>
        <v>Staff</v>
      </c>
      <c r="D260" s="1" t="str">
        <f>IFERROR(__xludf.DUMMYFUNCTION("""COMPUTED_VALUE"""),"Hand")</f>
        <v>Hand</v>
      </c>
      <c r="E260" s="1">
        <f>IFERROR(__xludf.DUMMYFUNCTION("""COMPUTED_VALUE"""),1.0)</f>
        <v>1</v>
      </c>
      <c r="F260" s="1" t="str">
        <f>IFERROR(__xludf.DUMMYFUNCTION("""COMPUTED_VALUE""")," ++When you complain about getting targeted this staff will deal Unblockable 1,000,000 dmg to every player in the battle. +-Cannot resist or be immune to.")</f>
        <v> ++When you complain about getting targeted this staff will deal Unblockable 1,000,000 dmg to every player in the battle. +-Cannot resist or be immune to.</v>
      </c>
      <c r="G260" s="1">
        <f>IFERROR(__xludf.DUMMYFUNCTION("""COMPUTED_VALUE"""),0.0)</f>
        <v>0</v>
      </c>
      <c r="H260" s="1"/>
      <c r="I260" s="1"/>
      <c r="J260" s="1"/>
      <c r="K260" s="1"/>
      <c r="L260" s="1"/>
      <c r="M260" s="1"/>
      <c r="N260" s="1"/>
      <c r="O260" s="1"/>
      <c r="P260" s="1"/>
      <c r="Q260" s="1"/>
      <c r="R260" s="1"/>
      <c r="S260" s="1"/>
      <c r="T260" s="1"/>
      <c r="U260" s="1"/>
      <c r="V260" s="1"/>
      <c r="W260" s="1"/>
      <c r="X260" s="1"/>
      <c r="Y260" s="1"/>
      <c r="Z260" s="1"/>
    </row>
    <row r="261">
      <c r="A261" s="1" t="str">
        <f>IFERROR(__xludf.DUMMYFUNCTION("""COMPUTED_VALUE"""),"Staff of Waves")</f>
        <v>Staff of Waves</v>
      </c>
      <c r="B261" s="1"/>
      <c r="C261" s="1" t="str">
        <f>IFERROR(__xludf.DUMMYFUNCTION("""COMPUTED_VALUE"""),"Staff")</f>
        <v>Staff</v>
      </c>
      <c r="D261" s="1" t="str">
        <f>IFERROR(__xludf.DUMMYFUNCTION("""COMPUTED_VALUE"""),"Hand")</f>
        <v>Hand</v>
      </c>
      <c r="E261" s="1">
        <f>IFERROR(__xludf.DUMMYFUNCTION("""COMPUTED_VALUE"""),1.0)</f>
        <v>1</v>
      </c>
      <c r="F261" s="1" t="str">
        <f>IFERROR(__xludf.DUMMYFUNCTION("""COMPUTED_VALUE""")," ++Casts the Spell Tsunami as if you would know it.")</f>
        <v> ++Casts the Spell Tsunami as if you would know it.</v>
      </c>
      <c r="G261" s="1">
        <f>IFERROR(__xludf.DUMMYFUNCTION("""COMPUTED_VALUE"""),0.0)</f>
        <v>0</v>
      </c>
      <c r="H261" s="1"/>
      <c r="I261" s="1"/>
      <c r="J261" s="1"/>
      <c r="K261" s="1"/>
      <c r="L261" s="1"/>
      <c r="M261" s="1"/>
      <c r="N261" s="1"/>
      <c r="O261" s="1"/>
      <c r="P261" s="1"/>
      <c r="Q261" s="1"/>
      <c r="R261" s="1"/>
      <c r="S261" s="1"/>
      <c r="T261" s="1"/>
      <c r="U261" s="1"/>
      <c r="V261" s="1"/>
      <c r="W261" s="1"/>
      <c r="X261" s="1"/>
      <c r="Y261" s="1"/>
      <c r="Z261" s="1"/>
    </row>
    <row r="262">
      <c r="A262" s="1" t="str">
        <f>IFERROR(__xludf.DUMMYFUNCTION("""COMPUTED_VALUE"""),"Guard Helmet")</f>
        <v>Guard Helmet</v>
      </c>
      <c r="B262" s="1" t="str">
        <f>IFERROR(__xludf.DUMMYFUNCTION("""COMPUTED_VALUE"""),"Quest Item")</f>
        <v>Quest Item</v>
      </c>
      <c r="C262" s="1"/>
      <c r="D262" s="1" t="str">
        <f>IFERROR(__xludf.DUMMYFUNCTION("""COMPUTED_VALUE"""),"Head")</f>
        <v>Head</v>
      </c>
      <c r="E262" s="1">
        <f>IFERROR(__xludf.DUMMYFUNCTION("""COMPUTED_VALUE"""),200.0)</f>
        <v>200</v>
      </c>
      <c r="F262" s="1" t="str">
        <f>IFERROR(__xludf.DUMMYFUNCTION("""COMPUTED_VALUE"""),"DEF: +25000, Light DEF: +25000, Celestial DEF: +25000")</f>
        <v>DEF: +25000, Light DEF: +25000, Celestial DEF: +25000</v>
      </c>
      <c r="G262" s="1">
        <f>IFERROR(__xludf.DUMMYFUNCTION("""COMPUTED_VALUE"""),1.1175E8)</f>
        <v>111750000</v>
      </c>
      <c r="H262" s="1"/>
      <c r="I262" s="1"/>
      <c r="J262" s="1"/>
      <c r="K262" s="1"/>
      <c r="L262" s="1"/>
      <c r="M262" s="1"/>
      <c r="N262" s="1"/>
      <c r="O262" s="1"/>
      <c r="P262" s="1"/>
      <c r="Q262" s="1"/>
      <c r="R262" s="1"/>
      <c r="S262" s="1"/>
      <c r="T262" s="1"/>
      <c r="U262" s="1"/>
      <c r="V262" s="1"/>
      <c r="W262" s="1"/>
      <c r="X262" s="1"/>
      <c r="Y262" s="1"/>
      <c r="Z262" s="1"/>
    </row>
    <row r="263">
      <c r="A263" s="1" t="str">
        <f>IFERROR(__xludf.DUMMYFUNCTION("""COMPUTED_VALUE"""),"Guard Shield")</f>
        <v>Guard Shield</v>
      </c>
      <c r="B263" s="1" t="str">
        <f>IFERROR(__xludf.DUMMYFUNCTION("""COMPUTED_VALUE"""),"Quest Item")</f>
        <v>Quest Item</v>
      </c>
      <c r="C263" s="1" t="str">
        <f>IFERROR(__xludf.DUMMYFUNCTION("""COMPUTED_VALUE"""),"Towershield")</f>
        <v>Towershield</v>
      </c>
      <c r="D263" s="1" t="str">
        <f>IFERROR(__xludf.DUMMYFUNCTION("""COMPUTED_VALUE"""),"Hand")</f>
        <v>Hand</v>
      </c>
      <c r="E263" s="1">
        <f>IFERROR(__xludf.DUMMYFUNCTION("""COMPUTED_VALUE"""),200.0)</f>
        <v>200</v>
      </c>
      <c r="F263" s="1" t="str">
        <f>IFERROR(__xludf.DUMMYFUNCTION("""COMPUTED_VALUE"""),"DEF: +25000, Light DEF: +25000, Celestial DEF: +25000")</f>
        <v>DEF: +25000, Light DEF: +25000, Celestial DEF: +25000</v>
      </c>
      <c r="G263" s="1">
        <f>IFERROR(__xludf.DUMMYFUNCTION("""COMPUTED_VALUE"""),1.1175E8)</f>
        <v>111750000</v>
      </c>
      <c r="H263" s="1"/>
      <c r="I263" s="1"/>
      <c r="J263" s="1"/>
      <c r="K263" s="1"/>
      <c r="L263" s="1"/>
      <c r="M263" s="1"/>
      <c r="N263" s="1"/>
      <c r="O263" s="1"/>
      <c r="P263" s="1"/>
      <c r="Q263" s="1"/>
      <c r="R263" s="1"/>
      <c r="S263" s="1"/>
      <c r="T263" s="1"/>
      <c r="U263" s="1"/>
      <c r="V263" s="1"/>
      <c r="W263" s="1"/>
      <c r="X263" s="1"/>
      <c r="Y263" s="1"/>
      <c r="Z263" s="1"/>
    </row>
    <row r="264">
      <c r="A264" s="1" t="str">
        <f>IFERROR(__xludf.DUMMYFUNCTION("""COMPUTED_VALUE"""),"Guard Sword")</f>
        <v>Guard Sword</v>
      </c>
      <c r="B264" s="1" t="str">
        <f>IFERROR(__xludf.DUMMYFUNCTION("""COMPUTED_VALUE"""),"Quest Item")</f>
        <v>Quest Item</v>
      </c>
      <c r="C264" s="1" t="str">
        <f>IFERROR(__xludf.DUMMYFUNCTION("""COMPUTED_VALUE"""),"Sword")</f>
        <v>Sword</v>
      </c>
      <c r="D264" s="1" t="str">
        <f>IFERROR(__xludf.DUMMYFUNCTION("""COMPUTED_VALUE"""),"Hand")</f>
        <v>Hand</v>
      </c>
      <c r="E264" s="1">
        <f>IFERROR(__xludf.DUMMYFUNCTION("""COMPUTED_VALUE"""),200.0)</f>
        <v>200</v>
      </c>
      <c r="F264" s="1" t="str">
        <f>IFERROR(__xludf.DUMMYFUNCTION("""COMPUTED_VALUE"""),"DMG: +25000, Light DMG: +25000, Celestial DMG: +25000")</f>
        <v>DMG: +25000, Light DMG: +25000, Celestial DMG: +25000</v>
      </c>
      <c r="G264" s="1">
        <f>IFERROR(__xludf.DUMMYFUNCTION("""COMPUTED_VALUE"""),1.1175E8)</f>
        <v>111750000</v>
      </c>
      <c r="H264" s="1"/>
      <c r="I264" s="1"/>
      <c r="J264" s="1"/>
      <c r="K264" s="1"/>
      <c r="L264" s="1"/>
      <c r="M264" s="1"/>
      <c r="N264" s="1"/>
      <c r="O264" s="1"/>
      <c r="P264" s="1"/>
      <c r="Q264" s="1"/>
      <c r="R264" s="1"/>
      <c r="S264" s="1"/>
      <c r="T264" s="1"/>
      <c r="U264" s="1"/>
      <c r="V264" s="1"/>
      <c r="W264" s="1"/>
      <c r="X264" s="1"/>
      <c r="Y264" s="1"/>
      <c r="Z264" s="1"/>
    </row>
    <row r="265">
      <c r="A265" s="1" t="str">
        <f>IFERROR(__xludf.DUMMYFUNCTION("""COMPUTED_VALUE"""),"Steel Armor")</f>
        <v>Steel Armor</v>
      </c>
      <c r="B265" s="1"/>
      <c r="C265" s="1"/>
      <c r="D265" s="1" t="str">
        <f>IFERROR(__xludf.DUMMYFUNCTION("""COMPUTED_VALUE"""),"Torso")</f>
        <v>Torso</v>
      </c>
      <c r="E265" s="1">
        <f>IFERROR(__xludf.DUMMYFUNCTION("""COMPUTED_VALUE"""),1.0)</f>
        <v>1</v>
      </c>
      <c r="F265" s="1" t="str">
        <f>IFERROR(__xludf.DUMMYFUNCTION("""COMPUTED_VALUE"""),"DEF: +20")</f>
        <v>DEF: +20</v>
      </c>
      <c r="G265" s="1">
        <f>IFERROR(__xludf.DUMMYFUNCTION("""COMPUTED_VALUE"""),0.0)</f>
        <v>0</v>
      </c>
      <c r="H265" s="1"/>
      <c r="I265" s="1"/>
      <c r="J265" s="1"/>
      <c r="K265" s="1"/>
      <c r="L265" s="1"/>
      <c r="M265" s="1"/>
      <c r="N265" s="1"/>
      <c r="O265" s="1"/>
      <c r="P265" s="1"/>
      <c r="Q265" s="1"/>
      <c r="R265" s="1"/>
      <c r="S265" s="1"/>
      <c r="T265" s="1"/>
      <c r="U265" s="1"/>
      <c r="V265" s="1"/>
      <c r="W265" s="1"/>
      <c r="X265" s="1"/>
      <c r="Y265" s="1"/>
      <c r="Z265" s="1"/>
    </row>
    <row r="266">
      <c r="A266" s="1" t="str">
        <f>IFERROR(__xludf.DUMMYFUNCTION("""COMPUTED_VALUE"""),"Steel Broadsword")</f>
        <v>Steel Broadsword</v>
      </c>
      <c r="B266" s="1"/>
      <c r="C266" s="1" t="str">
        <f>IFERROR(__xludf.DUMMYFUNCTION("""COMPUTED_VALUE"""),"Sword")</f>
        <v>Sword</v>
      </c>
      <c r="D266" s="1" t="str">
        <f>IFERROR(__xludf.DUMMYFUNCTION("""COMPUTED_VALUE"""),"Hand")</f>
        <v>Hand</v>
      </c>
      <c r="E266" s="1">
        <f>IFERROR(__xludf.DUMMYFUNCTION("""COMPUTED_VALUE"""),40.0)</f>
        <v>40</v>
      </c>
      <c r="F266" s="1" t="str">
        <f>IFERROR(__xludf.DUMMYFUNCTION("""COMPUTED_VALUE"""),"DMG: +2000")</f>
        <v>DMG: +2000</v>
      </c>
      <c r="G266" s="1">
        <f>IFERROR(__xludf.DUMMYFUNCTION("""COMPUTED_VALUE"""),60000.0)</f>
        <v>60000</v>
      </c>
      <c r="H266" s="1"/>
      <c r="I266" s="1"/>
      <c r="J266" s="1"/>
      <c r="K266" s="1"/>
      <c r="L266" s="1"/>
      <c r="M266" s="1"/>
      <c r="N266" s="1"/>
      <c r="O266" s="1"/>
      <c r="P266" s="1"/>
      <c r="Q266" s="1"/>
      <c r="R266" s="1"/>
      <c r="S266" s="1"/>
      <c r="T266" s="1"/>
      <c r="U266" s="1"/>
      <c r="V266" s="1"/>
      <c r="W266" s="1"/>
      <c r="X266" s="1"/>
      <c r="Y266" s="1"/>
      <c r="Z266" s="1"/>
    </row>
    <row r="267">
      <c r="A267" s="1" t="str">
        <f>IFERROR(__xludf.DUMMYFUNCTION("""COMPUTED_VALUE"""),"Steel Sword")</f>
        <v>Steel Sword</v>
      </c>
      <c r="B267" s="1"/>
      <c r="C267" s="1" t="str">
        <f>IFERROR(__xludf.DUMMYFUNCTION("""COMPUTED_VALUE"""),"Sword")</f>
        <v>Sword</v>
      </c>
      <c r="D267" s="1" t="str">
        <f>IFERROR(__xludf.DUMMYFUNCTION("""COMPUTED_VALUE"""),"Hand")</f>
        <v>Hand</v>
      </c>
      <c r="E267" s="1">
        <f>IFERROR(__xludf.DUMMYFUNCTION("""COMPUTED_VALUE"""),10.0)</f>
        <v>10</v>
      </c>
      <c r="F267" s="1" t="str">
        <f>IFERROR(__xludf.DUMMYFUNCTION("""COMPUTED_VALUE"""),"DMG: +500")</f>
        <v>DMG: +500</v>
      </c>
      <c r="G267" s="1">
        <f>IFERROR(__xludf.DUMMYFUNCTION("""COMPUTED_VALUE"""),1000.0)</f>
        <v>1000</v>
      </c>
      <c r="H267" s="1"/>
      <c r="I267" s="1"/>
      <c r="J267" s="1"/>
      <c r="K267" s="1"/>
      <c r="L267" s="1"/>
      <c r="M267" s="1"/>
      <c r="N267" s="1"/>
      <c r="O267" s="1"/>
      <c r="P267" s="1"/>
      <c r="Q267" s="1"/>
      <c r="R267" s="1"/>
      <c r="S267" s="1"/>
      <c r="T267" s="1"/>
      <c r="U267" s="1"/>
      <c r="V267" s="1"/>
      <c r="W267" s="1"/>
      <c r="X267" s="1"/>
      <c r="Y267" s="1"/>
      <c r="Z267" s="1"/>
    </row>
    <row r="268">
      <c r="A268" s="1" t="str">
        <f>IFERROR(__xludf.DUMMYFUNCTION("""COMPUTED_VALUE"""),"Stick of Mystery ")</f>
        <v>Stick of Mystery </v>
      </c>
      <c r="B268" s="1" t="str">
        <f>IFERROR(__xludf.DUMMYFUNCTION("""COMPUTED_VALUE"""),"Those who doubt the stick's power will suffer the stick's wrath")</f>
        <v>Those who doubt the stick's power will suffer the stick's wrath</v>
      </c>
      <c r="C268" s="1" t="str">
        <f>IFERROR(__xludf.DUMMYFUNCTION("""COMPUTED_VALUE"""),"Wand")</f>
        <v>Wand</v>
      </c>
      <c r="D268" s="1" t="str">
        <f>IFERROR(__xludf.DUMMYFUNCTION("""COMPUTED_VALUE"""),"Hand")</f>
        <v>Hand</v>
      </c>
      <c r="E268" s="1">
        <f>IFERROR(__xludf.DUMMYFUNCTION("""COMPUTED_VALUE"""),1.0)</f>
        <v>1</v>
      </c>
      <c r="F268" s="1" t="str">
        <f>IFERROR(__xludf.DUMMYFUNCTION("""COMPUTED_VALUE""")," ++roll a d20 to see what it does :)")</f>
        <v> ++roll a d20 to see what it does :)</v>
      </c>
      <c r="G268" s="1">
        <f>IFERROR(__xludf.DUMMYFUNCTION("""COMPUTED_VALUE"""),0.0)</f>
        <v>0</v>
      </c>
      <c r="H268" s="1"/>
      <c r="I268" s="1"/>
      <c r="J268" s="1"/>
      <c r="K268" s="1"/>
      <c r="L268" s="1"/>
      <c r="M268" s="1"/>
      <c r="N268" s="1"/>
      <c r="O268" s="1"/>
      <c r="P268" s="1"/>
      <c r="Q268" s="1"/>
      <c r="R268" s="1"/>
      <c r="S268" s="1"/>
      <c r="T268" s="1"/>
      <c r="U268" s="1"/>
      <c r="V268" s="1"/>
      <c r="W268" s="1"/>
      <c r="X268" s="1"/>
      <c r="Y268" s="1"/>
      <c r="Z268" s="1"/>
    </row>
    <row r="269">
      <c r="A269" s="1" t="str">
        <f>IFERROR(__xludf.DUMMYFUNCTION("""COMPUTED_VALUE"""),"Stone Arming Sword")</f>
        <v>Stone Arming Sword</v>
      </c>
      <c r="B269" s="1"/>
      <c r="C269" s="1" t="str">
        <f>IFERROR(__xludf.DUMMYFUNCTION("""COMPUTED_VALUE"""),"Sword")</f>
        <v>Sword</v>
      </c>
      <c r="D269" s="1" t="str">
        <f>IFERROR(__xludf.DUMMYFUNCTION("""COMPUTED_VALUE"""),"Hand")</f>
        <v>Hand</v>
      </c>
      <c r="E269" s="1">
        <f>IFERROR(__xludf.DUMMYFUNCTION("""COMPUTED_VALUE"""),20.0)</f>
        <v>20</v>
      </c>
      <c r="F269" s="1" t="str">
        <f>IFERROR(__xludf.DUMMYFUNCTION("""COMPUTED_VALUE"""),"DMG: +500, Dark DMG: +200")</f>
        <v>DMG: +500, Dark DMG: +200</v>
      </c>
      <c r="G269" s="1">
        <f>IFERROR(__xludf.DUMMYFUNCTION("""COMPUTED_VALUE"""),1000.0)</f>
        <v>1000</v>
      </c>
      <c r="H269" s="1"/>
      <c r="I269" s="1"/>
      <c r="J269" s="1"/>
      <c r="K269" s="1"/>
      <c r="L269" s="1"/>
      <c r="M269" s="1"/>
      <c r="N269" s="1"/>
      <c r="O269" s="1"/>
      <c r="P269" s="1"/>
      <c r="Q269" s="1"/>
      <c r="R269" s="1"/>
      <c r="S269" s="1"/>
      <c r="T269" s="1"/>
      <c r="U269" s="1"/>
      <c r="V269" s="1"/>
      <c r="W269" s="1"/>
      <c r="X269" s="1"/>
      <c r="Y269" s="1"/>
      <c r="Z269" s="1"/>
    </row>
    <row r="270">
      <c r="A270" s="1" t="str">
        <f>IFERROR(__xludf.DUMMYFUNCTION("""COMPUTED_VALUE"""),"Stone Sledgehammer")</f>
        <v>Stone Sledgehammer</v>
      </c>
      <c r="B270" s="1"/>
      <c r="C270" s="1" t="str">
        <f>IFERROR(__xludf.DUMMYFUNCTION("""COMPUTED_VALUE"""),"Club")</f>
        <v>Club</v>
      </c>
      <c r="D270" s="1" t="str">
        <f>IFERROR(__xludf.DUMMYFUNCTION("""COMPUTED_VALUE"""),"Hand")</f>
        <v>Hand</v>
      </c>
      <c r="E270" s="1">
        <f>IFERROR(__xludf.DUMMYFUNCTION("""COMPUTED_VALUE"""),20.0)</f>
        <v>20</v>
      </c>
      <c r="F270" s="1" t="str">
        <f>IFERROR(__xludf.DUMMYFUNCTION("""COMPUTED_VALUE"""),"DMG: +400, Earth DMG: +200")</f>
        <v>DMG: +400, Earth DMG: +200</v>
      </c>
      <c r="G270" s="1">
        <f>IFERROR(__xludf.DUMMYFUNCTION("""COMPUTED_VALUE"""),1000.0)</f>
        <v>1000</v>
      </c>
      <c r="H270" s="1"/>
      <c r="I270" s="1"/>
      <c r="J270" s="1"/>
      <c r="K270" s="1"/>
      <c r="L270" s="1"/>
      <c r="M270" s="1"/>
      <c r="N270" s="1"/>
      <c r="O270" s="1"/>
      <c r="P270" s="1"/>
      <c r="Q270" s="1"/>
      <c r="R270" s="1"/>
      <c r="S270" s="1"/>
      <c r="T270" s="1"/>
      <c r="U270" s="1"/>
      <c r="V270" s="1"/>
      <c r="W270" s="1"/>
      <c r="X270" s="1"/>
      <c r="Y270" s="1"/>
      <c r="Z270" s="1"/>
    </row>
    <row r="271">
      <c r="A271" s="1" t="str">
        <f>IFERROR(__xludf.DUMMYFUNCTION("""COMPUTED_VALUE"""),"Stone Small Shield")</f>
        <v>Stone Small Shield</v>
      </c>
      <c r="B271" s="1"/>
      <c r="C271" s="1" t="str">
        <f>IFERROR(__xludf.DUMMYFUNCTION("""COMPUTED_VALUE"""),"Buckler")</f>
        <v>Buckler</v>
      </c>
      <c r="D271" s="1" t="str">
        <f>IFERROR(__xludf.DUMMYFUNCTION("""COMPUTED_VALUE"""),"Hand")</f>
        <v>Hand</v>
      </c>
      <c r="E271" s="1">
        <f>IFERROR(__xludf.DUMMYFUNCTION("""COMPUTED_VALUE"""),1.0)</f>
        <v>1</v>
      </c>
      <c r="F271" s="1" t="str">
        <f>IFERROR(__xludf.DUMMYFUNCTION("""COMPUTED_VALUE"""),"DEF: +100")</f>
        <v>DEF: +100</v>
      </c>
      <c r="G271" s="1">
        <f>IFERROR(__xludf.DUMMYFUNCTION("""COMPUTED_VALUE"""),0.0)</f>
        <v>0</v>
      </c>
      <c r="H271" s="1"/>
      <c r="I271" s="1"/>
      <c r="J271" s="1"/>
      <c r="K271" s="1"/>
      <c r="L271" s="1"/>
      <c r="M271" s="1"/>
      <c r="N271" s="1"/>
      <c r="O271" s="1"/>
      <c r="P271" s="1"/>
      <c r="Q271" s="1"/>
      <c r="R271" s="1"/>
      <c r="S271" s="1"/>
      <c r="T271" s="1"/>
      <c r="U271" s="1"/>
      <c r="V271" s="1"/>
      <c r="W271" s="1"/>
      <c r="X271" s="1"/>
      <c r="Y271" s="1"/>
      <c r="Z271" s="1"/>
    </row>
    <row r="272">
      <c r="A272" s="1" t="str">
        <f>IFERROR(__xludf.DUMMYFUNCTION("""COMPUTED_VALUE"""),"Stonewall Shield")</f>
        <v>Stonewall Shield</v>
      </c>
      <c r="B272" s="1"/>
      <c r="C272" s="1" t="str">
        <f>IFERROR(__xludf.DUMMYFUNCTION("""COMPUTED_VALUE"""),"Towershield")</f>
        <v>Towershield</v>
      </c>
      <c r="D272" s="1" t="str">
        <f>IFERROR(__xludf.DUMMYFUNCTION("""COMPUTED_VALUE"""),"Hand")</f>
        <v>Hand</v>
      </c>
      <c r="E272" s="1">
        <f>IFERROR(__xludf.DUMMYFUNCTION("""COMPUTED_VALUE"""),10.0)</f>
        <v>10</v>
      </c>
      <c r="F272" s="1" t="str">
        <f>IFERROR(__xludf.DUMMYFUNCTION("""COMPUTED_VALUE"""),"DEF: +500 ++Immunity to earth")</f>
        <v>DEF: +500 ++Immunity to earth</v>
      </c>
      <c r="G272" s="1">
        <f>IFERROR(__xludf.DUMMYFUNCTION("""COMPUTED_VALUE"""),1000.0)</f>
        <v>1000</v>
      </c>
      <c r="H272" s="1"/>
      <c r="I272" s="1"/>
      <c r="J272" s="1"/>
      <c r="K272" s="1"/>
      <c r="L272" s="1"/>
      <c r="M272" s="1"/>
      <c r="N272" s="1"/>
      <c r="O272" s="1"/>
      <c r="P272" s="1"/>
      <c r="Q272" s="1"/>
      <c r="R272" s="1"/>
      <c r="S272" s="1"/>
      <c r="T272" s="1"/>
      <c r="U272" s="1"/>
      <c r="V272" s="1"/>
      <c r="W272" s="1"/>
      <c r="X272" s="1"/>
      <c r="Y272" s="1"/>
      <c r="Z272" s="1"/>
    </row>
    <row r="273">
      <c r="A273" s="1" t="str">
        <f>IFERROR(__xludf.DUMMYFUNCTION("""COMPUTED_VALUE"""),"Sturdy Wooden Shield")</f>
        <v>Sturdy Wooden Shield</v>
      </c>
      <c r="B273" s="1" t="str">
        <f>IFERROR(__xludf.DUMMYFUNCTION("""COMPUTED_VALUE"""),"A wooden shield")</f>
        <v>A wooden shield</v>
      </c>
      <c r="C273" s="1" t="str">
        <f>IFERROR(__xludf.DUMMYFUNCTION("""COMPUTED_VALUE"""),"Towershield")</f>
        <v>Towershield</v>
      </c>
      <c r="D273" s="1" t="str">
        <f>IFERROR(__xludf.DUMMYFUNCTION("""COMPUTED_VALUE"""),"Hand")</f>
        <v>Hand</v>
      </c>
      <c r="E273" s="1">
        <f>IFERROR(__xludf.DUMMYFUNCTION("""COMPUTED_VALUE"""),1.0)</f>
        <v>1</v>
      </c>
      <c r="F273" s="1" t="str">
        <f>IFERROR(__xludf.DUMMYFUNCTION("""COMPUTED_VALUE"""),"DEF: +50")</f>
        <v>DEF: +50</v>
      </c>
      <c r="G273" s="1">
        <f>IFERROR(__xludf.DUMMYFUNCTION("""COMPUTED_VALUE"""),0.0)</f>
        <v>0</v>
      </c>
      <c r="H273" s="1"/>
      <c r="I273" s="1"/>
      <c r="J273" s="1"/>
      <c r="K273" s="1"/>
      <c r="L273" s="1"/>
      <c r="M273" s="1"/>
      <c r="N273" s="1"/>
      <c r="O273" s="1"/>
      <c r="P273" s="1"/>
      <c r="Q273" s="1"/>
      <c r="R273" s="1"/>
      <c r="S273" s="1"/>
      <c r="T273" s="1"/>
      <c r="U273" s="1"/>
      <c r="V273" s="1"/>
      <c r="W273" s="1"/>
      <c r="X273" s="1"/>
      <c r="Y273" s="1"/>
      <c r="Z273" s="1"/>
    </row>
    <row r="274">
      <c r="A274" s="1" t="str">
        <f>IFERROR(__xludf.DUMMYFUNCTION("""COMPUTED_VALUE"""),"Swampville Dagger")</f>
        <v>Swampville Dagger</v>
      </c>
      <c r="B274" s="1"/>
      <c r="C274" s="1" t="str">
        <f>IFERROR(__xludf.DUMMYFUNCTION("""COMPUTED_VALUE"""),"Knife")</f>
        <v>Knife</v>
      </c>
      <c r="D274" s="1" t="str">
        <f>IFERROR(__xludf.DUMMYFUNCTION("""COMPUTED_VALUE"""),"Hand")</f>
        <v>Hand</v>
      </c>
      <c r="E274" s="1">
        <f>IFERROR(__xludf.DUMMYFUNCTION("""COMPUTED_VALUE"""),400.0)</f>
        <v>400</v>
      </c>
      <c r="F274" s="1" t="str">
        <f>IFERROR(__xludf.DUMMYFUNCTION("""COMPUTED_VALUE"""),"DMG: +10000, Nature DMG: +10000 ++Poison 5000 for 3 rounds.")</f>
        <v>DMG: +10000, Nature DMG: +10000 ++Poison 5000 for 3 rounds.</v>
      </c>
      <c r="G274" s="1">
        <f>IFERROR(__xludf.DUMMYFUNCTION("""COMPUTED_VALUE"""),7800000.0)</f>
        <v>7800000</v>
      </c>
      <c r="H274" s="1"/>
      <c r="I274" s="1"/>
      <c r="J274" s="1"/>
      <c r="K274" s="1"/>
      <c r="L274" s="1"/>
      <c r="M274" s="1"/>
      <c r="N274" s="1"/>
      <c r="O274" s="1"/>
      <c r="P274" s="1"/>
      <c r="Q274" s="1"/>
      <c r="R274" s="1"/>
      <c r="S274" s="1"/>
      <c r="T274" s="1"/>
      <c r="U274" s="1"/>
      <c r="V274" s="1"/>
      <c r="W274" s="1"/>
      <c r="X274" s="1"/>
      <c r="Y274" s="1"/>
      <c r="Z274" s="1"/>
    </row>
    <row r="275">
      <c r="A275" s="1" t="str">
        <f>IFERROR(__xludf.DUMMYFUNCTION("""COMPUTED_VALUE"""),"Sword of Bad Luck")</f>
        <v>Sword of Bad Luck</v>
      </c>
      <c r="B275" s="1"/>
      <c r="C275" s="1" t="str">
        <f>IFERROR(__xludf.DUMMYFUNCTION("""COMPUTED_VALUE"""),"Sword")</f>
        <v>Sword</v>
      </c>
      <c r="D275" s="1" t="str">
        <f>IFERROR(__xludf.DUMMYFUNCTION("""COMPUTED_VALUE"""),"Hand")</f>
        <v>Hand</v>
      </c>
      <c r="E275" s="1">
        <f>IFERROR(__xludf.DUMMYFUNCTION("""COMPUTED_VALUE"""),600.0)</f>
        <v>600</v>
      </c>
      <c r="F275" s="1" t="str">
        <f>IFERROR(__xludf.DUMMYFUNCTION("""COMPUTED_VALUE"""),"DMG: +30000 ++GSteal - Steal X amount of gilders equal to the amount of damage caused with this weapon.")</f>
        <v>DMG: +30000 ++GSteal - Steal X amount of gilders equal to the amount of damage caused with this weapon.</v>
      </c>
      <c r="G275" s="1">
        <f>IFERROR(__xludf.DUMMYFUNCTION("""COMPUTED_VALUE"""),1.77E7)</f>
        <v>17700000</v>
      </c>
      <c r="H275" s="1"/>
      <c r="I275" s="1"/>
      <c r="J275" s="1"/>
      <c r="K275" s="1"/>
      <c r="L275" s="1"/>
      <c r="M275" s="1"/>
      <c r="N275" s="1"/>
      <c r="O275" s="1"/>
      <c r="P275" s="1"/>
      <c r="Q275" s="1"/>
      <c r="R275" s="1"/>
      <c r="S275" s="1"/>
      <c r="T275" s="1"/>
      <c r="U275" s="1"/>
      <c r="V275" s="1"/>
      <c r="W275" s="1"/>
      <c r="X275" s="1"/>
      <c r="Y275" s="1"/>
      <c r="Z275" s="1"/>
    </row>
    <row r="276">
      <c r="A276" s="1" t="str">
        <f>IFERROR(__xludf.DUMMYFUNCTION("""COMPUTED_VALUE"""),"Sword of Chaotic Shadows")</f>
        <v>Sword of Chaotic Shadows</v>
      </c>
      <c r="B276" s="1"/>
      <c r="C276" s="1" t="str">
        <f>IFERROR(__xludf.DUMMYFUNCTION("""COMPUTED_VALUE"""),"Sword")</f>
        <v>Sword</v>
      </c>
      <c r="D276" s="1" t="str">
        <f>IFERROR(__xludf.DUMMYFUNCTION("""COMPUTED_VALUE"""),"Hand")</f>
        <v>Hand</v>
      </c>
      <c r="E276" s="1">
        <f>IFERROR(__xludf.DUMMYFUNCTION("""COMPUTED_VALUE"""),600.0)</f>
        <v>600</v>
      </c>
      <c r="F276" s="1" t="str">
        <f>IFERROR(__xludf.DUMMYFUNCTION("""COMPUTED_VALUE"""),"DMG: +10000, Dark DMG: +10000, Chaos DMG: +10000")</f>
        <v>DMG: +10000, Dark DMG: +10000, Chaos DMG: +10000</v>
      </c>
      <c r="G276" s="1">
        <f>IFERROR(__xludf.DUMMYFUNCTION("""COMPUTED_VALUE"""),1.77E7)</f>
        <v>17700000</v>
      </c>
      <c r="H276" s="1"/>
      <c r="I276" s="1"/>
      <c r="J276" s="1"/>
      <c r="K276" s="1"/>
      <c r="L276" s="1"/>
      <c r="M276" s="1"/>
      <c r="N276" s="1"/>
      <c r="O276" s="1"/>
      <c r="P276" s="1"/>
      <c r="Q276" s="1"/>
      <c r="R276" s="1"/>
      <c r="S276" s="1"/>
      <c r="T276" s="1"/>
      <c r="U276" s="1"/>
      <c r="V276" s="1"/>
      <c r="W276" s="1"/>
      <c r="X276" s="1"/>
      <c r="Y276" s="1"/>
      <c r="Z276" s="1"/>
    </row>
    <row r="277">
      <c r="A277" s="1" t="str">
        <f>IFERROR(__xludf.DUMMYFUNCTION("""COMPUTED_VALUE"""),"Sword Of Darkness")</f>
        <v>Sword Of Darkness</v>
      </c>
      <c r="B277" s="1"/>
      <c r="C277" s="1" t="str">
        <f>IFERROR(__xludf.DUMMYFUNCTION("""COMPUTED_VALUE"""),"Sword")</f>
        <v>Sword</v>
      </c>
      <c r="D277" s="1" t="str">
        <f>IFERROR(__xludf.DUMMYFUNCTION("""COMPUTED_VALUE"""),"Hand")</f>
        <v>Hand</v>
      </c>
      <c r="E277" s="1">
        <f>IFERROR(__xludf.DUMMYFUNCTION("""COMPUTED_VALUE"""),20.0)</f>
        <v>20</v>
      </c>
      <c r="F277" s="1" t="str">
        <f>IFERROR(__xludf.DUMMYFUNCTION("""COMPUTED_VALUE"""),"DMG: +500, Dark DMG: +200")</f>
        <v>DMG: +500, Dark DMG: +200</v>
      </c>
      <c r="G277" s="1">
        <f>IFERROR(__xludf.DUMMYFUNCTION("""COMPUTED_VALUE"""),1000.0)</f>
        <v>1000</v>
      </c>
      <c r="H277" s="1"/>
      <c r="I277" s="1"/>
      <c r="J277" s="1"/>
      <c r="K277" s="1"/>
      <c r="L277" s="1"/>
      <c r="M277" s="1"/>
      <c r="N277" s="1"/>
      <c r="O277" s="1"/>
      <c r="P277" s="1"/>
      <c r="Q277" s="1"/>
      <c r="R277" s="1"/>
      <c r="S277" s="1"/>
      <c r="T277" s="1"/>
      <c r="U277" s="1"/>
      <c r="V277" s="1"/>
      <c r="W277" s="1"/>
      <c r="X277" s="1"/>
      <c r="Y277" s="1"/>
      <c r="Z277" s="1"/>
    </row>
    <row r="278">
      <c r="A278" s="1" t="str">
        <f>IFERROR(__xludf.DUMMYFUNCTION("""COMPUTED_VALUE"""),"Sword of Disorder")</f>
        <v>Sword of Disorder</v>
      </c>
      <c r="B278" s="1"/>
      <c r="C278" s="1" t="str">
        <f>IFERROR(__xludf.DUMMYFUNCTION("""COMPUTED_VALUE"""),"Sword")</f>
        <v>Sword</v>
      </c>
      <c r="D278" s="1" t="str">
        <f>IFERROR(__xludf.DUMMYFUNCTION("""COMPUTED_VALUE"""),"Hand")</f>
        <v>Hand</v>
      </c>
      <c r="E278" s="1">
        <f>IFERROR(__xludf.DUMMYFUNCTION("""COMPUTED_VALUE"""),1.0)</f>
        <v>1</v>
      </c>
      <c r="F278" s="1" t="str">
        <f>IFERROR(__xludf.DUMMYFUNCTION("""COMPUTED_VALUE""")," ++Make a fail or succeed roll while attacking to determine the effect. Fail = 1 damage. Succeed = 50,000 Chaos damage.
")</f>
        <v> ++Make a fail or succeed roll while attacking to determine the effect. Fail = 1 damage. Succeed = 50,000 Chaos damage.
</v>
      </c>
      <c r="G278" s="1">
        <f>IFERROR(__xludf.DUMMYFUNCTION("""COMPUTED_VALUE"""),0.0)</f>
        <v>0</v>
      </c>
      <c r="H278" s="1"/>
      <c r="I278" s="1"/>
      <c r="J278" s="1"/>
      <c r="K278" s="1"/>
      <c r="L278" s="1"/>
      <c r="M278" s="1"/>
      <c r="N278" s="1"/>
      <c r="O278" s="1"/>
      <c r="P278" s="1"/>
      <c r="Q278" s="1"/>
      <c r="R278" s="1"/>
      <c r="S278" s="1"/>
      <c r="T278" s="1"/>
      <c r="U278" s="1"/>
      <c r="V278" s="1"/>
      <c r="W278" s="1"/>
      <c r="X278" s="1"/>
      <c r="Y278" s="1"/>
      <c r="Z278" s="1"/>
    </row>
    <row r="279">
      <c r="A279" s="1" t="str">
        <f>IFERROR(__xludf.DUMMYFUNCTION("""COMPUTED_VALUE"""),"Sword Of Divine Flames")</f>
        <v>Sword Of Divine Flames</v>
      </c>
      <c r="B279" s="1"/>
      <c r="C279" s="1" t="str">
        <f>IFERROR(__xludf.DUMMYFUNCTION("""COMPUTED_VALUE"""),"Sword")</f>
        <v>Sword</v>
      </c>
      <c r="D279" s="1" t="str">
        <f>IFERROR(__xludf.DUMMYFUNCTION("""COMPUTED_VALUE"""),"Hand")</f>
        <v>Hand</v>
      </c>
      <c r="E279" s="1">
        <f>IFERROR(__xludf.DUMMYFUNCTION("""COMPUTED_VALUE"""),300.0)</f>
        <v>300</v>
      </c>
      <c r="F279" s="1" t="str">
        <f>IFERROR(__xludf.DUMMYFUNCTION("""COMPUTED_VALUE"""),"DMG: +10000, Fire DMG: +5000 ++Divine Flame - Fire spells and weapons will deal an additional X2 damage while this weapon is equipped")</f>
        <v>DMG: +10000, Fire DMG: +5000 ++Divine Flame - Fire spells and weapons will deal an additional X2 damage while this weapon is equipped</v>
      </c>
      <c r="G279" s="1">
        <f>IFERROR(__xludf.DUMMYFUNCTION("""COMPUTED_VALUE"""),4350000.0)</f>
        <v>4350000</v>
      </c>
      <c r="H279" s="1"/>
      <c r="I279" s="1"/>
      <c r="J279" s="1"/>
      <c r="K279" s="1"/>
      <c r="L279" s="1"/>
      <c r="M279" s="1"/>
      <c r="N279" s="1"/>
      <c r="O279" s="1"/>
      <c r="P279" s="1"/>
      <c r="Q279" s="1"/>
      <c r="R279" s="1"/>
      <c r="S279" s="1"/>
      <c r="T279" s="1"/>
      <c r="U279" s="1"/>
      <c r="V279" s="1"/>
      <c r="W279" s="1"/>
      <c r="X279" s="1"/>
      <c r="Y279" s="1"/>
      <c r="Z279" s="1"/>
    </row>
    <row r="280">
      <c r="A280" s="1" t="str">
        <f>IFERROR(__xludf.DUMMYFUNCTION("""COMPUTED_VALUE"""),"Sword of Eternal darkness")</f>
        <v>Sword of Eternal darkness</v>
      </c>
      <c r="B280" s="1"/>
      <c r="C280" s="1" t="str">
        <f>IFERROR(__xludf.DUMMYFUNCTION("""COMPUTED_VALUE"""),"Sword")</f>
        <v>Sword</v>
      </c>
      <c r="D280" s="1" t="str">
        <f>IFERROR(__xludf.DUMMYFUNCTION("""COMPUTED_VALUE"""),"Hand")</f>
        <v>Hand</v>
      </c>
      <c r="E280" s="1">
        <f>IFERROR(__xludf.DUMMYFUNCTION("""COMPUTED_VALUE"""),30.0)</f>
        <v>30</v>
      </c>
      <c r="F280" s="1" t="str">
        <f>IFERROR(__xludf.DUMMYFUNCTION("""COMPUTED_VALUE"""),"DMG: +500, Dark DMG: +600")</f>
        <v>DMG: +500, Dark DMG: +600</v>
      </c>
      <c r="G280" s="1">
        <f>IFERROR(__xludf.DUMMYFUNCTION("""COMPUTED_VALUE"""),10000.0)</f>
        <v>10000</v>
      </c>
      <c r="H280" s="1"/>
      <c r="I280" s="1"/>
      <c r="J280" s="1"/>
      <c r="K280" s="1"/>
      <c r="L280" s="1"/>
      <c r="M280" s="1"/>
      <c r="N280" s="1"/>
      <c r="O280" s="1"/>
      <c r="P280" s="1"/>
      <c r="Q280" s="1"/>
      <c r="R280" s="1"/>
      <c r="S280" s="1"/>
      <c r="T280" s="1"/>
      <c r="U280" s="1"/>
      <c r="V280" s="1"/>
      <c r="W280" s="1"/>
      <c r="X280" s="1"/>
      <c r="Y280" s="1"/>
      <c r="Z280" s="1"/>
    </row>
    <row r="281">
      <c r="A281" s="1" t="str">
        <f>IFERROR(__xludf.DUMMYFUNCTION("""COMPUTED_VALUE"""),"Hela's Death Scythe")</f>
        <v>Hela's Death Scythe</v>
      </c>
      <c r="B281" s="1"/>
      <c r="C281" s="1" t="str">
        <f>IFERROR(__xludf.DUMMYFUNCTION("""COMPUTED_VALUE"""),"Scythe")</f>
        <v>Scythe</v>
      </c>
      <c r="D281" s="1" t="str">
        <f>IFERROR(__xludf.DUMMYFUNCTION("""COMPUTED_VALUE"""),"Hand")</f>
        <v>Hand</v>
      </c>
      <c r="E281" s="1">
        <f>IFERROR(__xludf.DUMMYFUNCTION("""COMPUTED_VALUE"""),1.0)</f>
        <v>1</v>
      </c>
      <c r="F281" s="1" t="str">
        <f>IFERROR(__xludf.DUMMYFUNCTION("""COMPUTED_VALUE"""),"DMG: +0, Spirit DMG: +0 ++Soul Enhanced - This sword can be enchanted with any soul to increase its Natural and Spirit damage, Each soul enchanted into this sword gives it an additional 200 natural and spirit damage. +-Cannot be forged +-Cannot be duplica"&amp;"ted
Souls 0/3000")</f>
        <v>DMG: +0, Spirit DMG: +0 ++Soul Enhanced - This sword can be enchanted with any soul to increase its Natural and Spirit damage, Each soul enchanted into this sword gives it an additional 200 natural and spirit damage. +-Cannot be forged +-Cannot be duplicated
Souls 0/3000</v>
      </c>
      <c r="G281" s="1">
        <f>IFERROR(__xludf.DUMMYFUNCTION("""COMPUTED_VALUE"""),0.0)</f>
        <v>0</v>
      </c>
      <c r="H281" s="1"/>
      <c r="I281" s="1"/>
      <c r="J281" s="1"/>
      <c r="K281" s="1"/>
      <c r="L281" s="1"/>
      <c r="M281" s="1"/>
      <c r="N281" s="1"/>
      <c r="O281" s="1"/>
      <c r="P281" s="1"/>
      <c r="Q281" s="1"/>
      <c r="R281" s="1"/>
      <c r="S281" s="1"/>
      <c r="T281" s="1"/>
      <c r="U281" s="1"/>
      <c r="V281" s="1"/>
      <c r="W281" s="1"/>
      <c r="X281" s="1"/>
      <c r="Y281" s="1"/>
      <c r="Z281" s="1"/>
    </row>
    <row r="282">
      <c r="A282" s="1" t="str">
        <f>IFERROR(__xludf.DUMMYFUNCTION("""COMPUTED_VALUE"""),"Sword of Nature’s Love")</f>
        <v>Sword of Nature’s Love</v>
      </c>
      <c r="B282" s="1"/>
      <c r="C282" s="1" t="str">
        <f>IFERROR(__xludf.DUMMYFUNCTION("""COMPUTED_VALUE"""),"Sword")</f>
        <v>Sword</v>
      </c>
      <c r="D282" s="1" t="str">
        <f>IFERROR(__xludf.DUMMYFUNCTION("""COMPUTED_VALUE"""),"Hand")</f>
        <v>Hand</v>
      </c>
      <c r="E282" s="1">
        <f>IFERROR(__xludf.DUMMYFUNCTION("""COMPUTED_VALUE"""),160.0)</f>
        <v>160</v>
      </c>
      <c r="F282" s="1" t="str">
        <f>IFERROR(__xludf.DUMMYFUNCTION("""COMPUTED_VALUE"""),"DMG: +4000, Nature DMG: +4000 ++Nature's Power - any damage dealt by this weapon gives HP back to the user equal to the damage dealt.")</f>
        <v>DMG: +4000, Nature DMG: +4000 ++Nature's Power - any damage dealt by this weapon gives HP back to the user equal to the damage dealt.</v>
      </c>
      <c r="G282" s="1">
        <f>IFERROR(__xludf.DUMMYFUNCTION("""COMPUTED_VALUE"""),1200000.0)</f>
        <v>1200000</v>
      </c>
      <c r="H282" s="1"/>
      <c r="I282" s="1"/>
      <c r="J282" s="1"/>
      <c r="K282" s="1"/>
      <c r="L282" s="1"/>
      <c r="M282" s="1"/>
      <c r="N282" s="1"/>
      <c r="O282" s="1"/>
      <c r="P282" s="1"/>
      <c r="Q282" s="1"/>
      <c r="R282" s="1"/>
      <c r="S282" s="1"/>
      <c r="T282" s="1"/>
      <c r="U282" s="1"/>
      <c r="V282" s="1"/>
      <c r="W282" s="1"/>
      <c r="X282" s="1"/>
      <c r="Y282" s="1"/>
      <c r="Z282" s="1"/>
    </row>
    <row r="283">
      <c r="A283" s="1" t="str">
        <f>IFERROR(__xludf.DUMMYFUNCTION("""COMPUTED_VALUE"""),"Sword of Shadows")</f>
        <v>Sword of Shadows</v>
      </c>
      <c r="B283" s="1"/>
      <c r="C283" s="1" t="str">
        <f>IFERROR(__xludf.DUMMYFUNCTION("""COMPUTED_VALUE"""),"Sword")</f>
        <v>Sword</v>
      </c>
      <c r="D283" s="1" t="str">
        <f>IFERROR(__xludf.DUMMYFUNCTION("""COMPUTED_VALUE"""),"Hand")</f>
        <v>Hand</v>
      </c>
      <c r="E283" s="1">
        <f>IFERROR(__xludf.DUMMYFUNCTION("""COMPUTED_VALUE"""),30.0)</f>
        <v>30</v>
      </c>
      <c r="F283" s="1" t="str">
        <f>IFERROR(__xludf.DUMMYFUNCTION("""COMPUTED_VALUE"""),"DMG: +1000, Dark DMG: +500")</f>
        <v>DMG: +1000, Dark DMG: +500</v>
      </c>
      <c r="G283" s="1">
        <f>IFERROR(__xludf.DUMMYFUNCTION("""COMPUTED_VALUE"""),30000.0)</f>
        <v>30000</v>
      </c>
      <c r="H283" s="1"/>
      <c r="I283" s="1"/>
      <c r="J283" s="1"/>
      <c r="K283" s="1"/>
      <c r="L283" s="1"/>
      <c r="M283" s="1"/>
      <c r="N283" s="1"/>
      <c r="O283" s="1"/>
      <c r="P283" s="1"/>
      <c r="Q283" s="1"/>
      <c r="R283" s="1"/>
      <c r="S283" s="1"/>
      <c r="T283" s="1"/>
      <c r="U283" s="1"/>
      <c r="V283" s="1"/>
      <c r="W283" s="1"/>
      <c r="X283" s="1"/>
      <c r="Y283" s="1"/>
      <c r="Z283" s="1"/>
    </row>
    <row r="284">
      <c r="A284" s="1" t="str">
        <f>IFERROR(__xludf.DUMMYFUNCTION("""COMPUTED_VALUE"""),"Sword of Steel")</f>
        <v>Sword of Steel</v>
      </c>
      <c r="B284" s="1"/>
      <c r="C284" s="1" t="str">
        <f>IFERROR(__xludf.DUMMYFUNCTION("""COMPUTED_VALUE"""),"Sword")</f>
        <v>Sword</v>
      </c>
      <c r="D284" s="1" t="str">
        <f>IFERROR(__xludf.DUMMYFUNCTION("""COMPUTED_VALUE"""),"Hand")</f>
        <v>Hand</v>
      </c>
      <c r="E284" s="1">
        <f>IFERROR(__xludf.DUMMYFUNCTION("""COMPUTED_VALUE"""),1.0)</f>
        <v>1</v>
      </c>
      <c r="F284" s="1" t="str">
        <f>IFERROR(__xludf.DUMMYFUNCTION("""COMPUTED_VALUE"""),"DMG: +300")</f>
        <v>DMG: +300</v>
      </c>
      <c r="G284" s="1">
        <f>IFERROR(__xludf.DUMMYFUNCTION("""COMPUTED_VALUE"""),0.0)</f>
        <v>0</v>
      </c>
      <c r="H284" s="1"/>
      <c r="I284" s="1"/>
      <c r="J284" s="1"/>
      <c r="K284" s="1"/>
      <c r="L284" s="1"/>
      <c r="M284" s="1"/>
      <c r="N284" s="1"/>
      <c r="O284" s="1"/>
      <c r="P284" s="1"/>
      <c r="Q284" s="1"/>
      <c r="R284" s="1"/>
      <c r="S284" s="1"/>
      <c r="T284" s="1"/>
      <c r="U284" s="1"/>
      <c r="V284" s="1"/>
      <c r="W284" s="1"/>
      <c r="X284" s="1"/>
      <c r="Y284" s="1"/>
      <c r="Z284" s="1"/>
    </row>
    <row r="285">
      <c r="A285" s="1" t="str">
        <f>IFERROR(__xludf.DUMMYFUNCTION("""COMPUTED_VALUE"""),"Sword of The Abyss")</f>
        <v>Sword of The Abyss</v>
      </c>
      <c r="B285" s="1"/>
      <c r="C285" s="1" t="str">
        <f>IFERROR(__xludf.DUMMYFUNCTION("""COMPUTED_VALUE"""),"Sword")</f>
        <v>Sword</v>
      </c>
      <c r="D285" s="1" t="str">
        <f>IFERROR(__xludf.DUMMYFUNCTION("""COMPUTED_VALUE"""),"Hand")</f>
        <v>Hand</v>
      </c>
      <c r="E285" s="1">
        <f>IFERROR(__xludf.DUMMYFUNCTION("""COMPUTED_VALUE"""),260.0)</f>
        <v>260</v>
      </c>
      <c r="F285" s="1" t="str">
        <f>IFERROR(__xludf.DUMMYFUNCTION("""COMPUTED_VALUE"""),"DMG: +8000, Dark DMG: +5000 ++Abyss Embodiment - dark damage is increased by X2 for the user.")</f>
        <v>DMG: +8000, Dark DMG: +5000 ++Abyss Embodiment - dark damage is increased by X2 for the user.</v>
      </c>
      <c r="G285" s="1">
        <f>IFERROR(__xludf.DUMMYFUNCTION("""COMPUTED_VALUE"""),3250000.0)</f>
        <v>3250000</v>
      </c>
      <c r="H285" s="1"/>
      <c r="I285" s="1"/>
      <c r="J285" s="1"/>
      <c r="K285" s="1"/>
      <c r="L285" s="1"/>
      <c r="M285" s="1"/>
      <c r="N285" s="1"/>
      <c r="O285" s="1"/>
      <c r="P285" s="1"/>
      <c r="Q285" s="1"/>
      <c r="R285" s="1"/>
      <c r="S285" s="1"/>
      <c r="T285" s="1"/>
      <c r="U285" s="1"/>
      <c r="V285" s="1"/>
      <c r="W285" s="1"/>
      <c r="X285" s="1"/>
      <c r="Y285" s="1"/>
      <c r="Z285" s="1"/>
    </row>
    <row r="286">
      <c r="A286" s="1" t="str">
        <f>IFERROR(__xludf.DUMMYFUNCTION("""COMPUTED_VALUE"""),"Sword of The Ancient Fire Serpent")</f>
        <v>Sword of The Ancient Fire Serpent</v>
      </c>
      <c r="B286" s="1"/>
      <c r="C286" s="1" t="str">
        <f>IFERROR(__xludf.DUMMYFUNCTION("""COMPUTED_VALUE"""),"Sword")</f>
        <v>Sword</v>
      </c>
      <c r="D286" s="1" t="str">
        <f>IFERROR(__xludf.DUMMYFUNCTION("""COMPUTED_VALUE"""),"Hand")</f>
        <v>Hand</v>
      </c>
      <c r="E286" s="1">
        <f>IFERROR(__xludf.DUMMYFUNCTION("""COMPUTED_VALUE"""),2000.0)</f>
        <v>2000</v>
      </c>
      <c r="F286" s="1" t="str">
        <f>IFERROR(__xludf.DUMMYFUNCTION("""COMPUTED_VALUE"""),"DMG: +50000, Fire DMG: +50000 ++ Burn 50,000. ++Serpents Luck - +5 can be added to the users d20 rolls. +-Cannot be duplicated.")</f>
        <v>DMG: +50000, Fire DMG: +50000 ++ Burn 50,000. ++Serpents Luck - +5 can be added to the users d20 rolls. +-Cannot be duplicated.</v>
      </c>
      <c r="G286" s="1">
        <f>IFERROR(__xludf.DUMMYFUNCTION("""COMPUTED_VALUE"""),1.99E8)</f>
        <v>199000000</v>
      </c>
      <c r="H286" s="1"/>
      <c r="I286" s="1"/>
      <c r="J286" s="1"/>
      <c r="K286" s="1"/>
      <c r="L286" s="1"/>
      <c r="M286" s="1"/>
      <c r="N286" s="1"/>
      <c r="O286" s="1"/>
      <c r="P286" s="1"/>
      <c r="Q286" s="1"/>
      <c r="R286" s="1"/>
      <c r="S286" s="1"/>
      <c r="T286" s="1"/>
      <c r="U286" s="1"/>
      <c r="V286" s="1"/>
      <c r="W286" s="1"/>
      <c r="X286" s="1"/>
      <c r="Y286" s="1"/>
      <c r="Z286" s="1"/>
    </row>
    <row r="287">
      <c r="A287" s="1" t="str">
        <f>IFERROR(__xludf.DUMMYFUNCTION("""COMPUTED_VALUE"""),"Sword of The Burning Forest")</f>
        <v>Sword of The Burning Forest</v>
      </c>
      <c r="B287" s="1" t="str">
        <f>IFERROR(__xludf.DUMMYFUNCTION("""COMPUTED_VALUE"""),"A sword forged by mekana to obliterate natural environments.")</f>
        <v>A sword forged by mekana to obliterate natural environments.</v>
      </c>
      <c r="C287" s="1" t="str">
        <f>IFERROR(__xludf.DUMMYFUNCTION("""COMPUTED_VALUE"""),"Sword")</f>
        <v>Sword</v>
      </c>
      <c r="D287" s="1" t="str">
        <f>IFERROR(__xludf.DUMMYFUNCTION("""COMPUTED_VALUE"""),"Hand")</f>
        <v>Hand</v>
      </c>
      <c r="E287" s="1">
        <f>IFERROR(__xludf.DUMMYFUNCTION("""COMPUTED_VALUE"""),600.0)</f>
        <v>600</v>
      </c>
      <c r="F287" s="1" t="str">
        <f>IFERROR(__xludf.DUMMYFUNCTION("""COMPUTED_VALUE"""),"DMG: +20000, Fire DMG: +10000 ++Forest Fire- Burn 10,000, x4 fire damage while in a natural environment.")</f>
        <v>DMG: +20000, Fire DMG: +10000 ++Forest Fire- Burn 10,000, x4 fire damage while in a natural environment.</v>
      </c>
      <c r="G287" s="1">
        <f>IFERROR(__xludf.DUMMYFUNCTION("""COMPUTED_VALUE"""),1.77E7)</f>
        <v>17700000</v>
      </c>
      <c r="H287" s="1"/>
      <c r="I287" s="1"/>
      <c r="J287" s="1"/>
      <c r="K287" s="1"/>
      <c r="L287" s="1"/>
      <c r="M287" s="1"/>
      <c r="N287" s="1"/>
      <c r="O287" s="1"/>
      <c r="P287" s="1"/>
      <c r="Q287" s="1"/>
      <c r="R287" s="1"/>
      <c r="S287" s="1"/>
      <c r="T287" s="1"/>
      <c r="U287" s="1"/>
      <c r="V287" s="1"/>
      <c r="W287" s="1"/>
      <c r="X287" s="1"/>
      <c r="Y287" s="1"/>
      <c r="Z287" s="1"/>
    </row>
    <row r="288">
      <c r="A288" s="1" t="str">
        <f>IFERROR(__xludf.DUMMYFUNCTION("""COMPUTED_VALUE"""),"Sword of The Crystal Chosen")</f>
        <v>Sword of The Crystal Chosen</v>
      </c>
      <c r="B288" s="1"/>
      <c r="C288" s="1" t="str">
        <f>IFERROR(__xludf.DUMMYFUNCTION("""COMPUTED_VALUE"""),"Sword")</f>
        <v>Sword</v>
      </c>
      <c r="D288" s="1" t="str">
        <f>IFERROR(__xludf.DUMMYFUNCTION("""COMPUTED_VALUE"""),"Hand")</f>
        <v>Hand</v>
      </c>
      <c r="E288" s="1">
        <f>IFERROR(__xludf.DUMMYFUNCTION("""COMPUTED_VALUE"""),400.0)</f>
        <v>400</v>
      </c>
      <c r="F288" s="1" t="str">
        <f>IFERROR(__xludf.DUMMYFUNCTION("""COMPUTED_VALUE"""),"DMG: +10000, Earth DMG: +10000 ++The Chosen Crystal - When Equipped any damage dealt by a Crystal or Gem related weapon is X4. +-Cannot be duplicated.")</f>
        <v>DMG: +10000, Earth DMG: +10000 ++The Chosen Crystal - When Equipped any damage dealt by a Crystal or Gem related weapon is X4. +-Cannot be duplicated.</v>
      </c>
      <c r="G288" s="1">
        <f>IFERROR(__xludf.DUMMYFUNCTION("""COMPUTED_VALUE"""),7800000.0)</f>
        <v>7800000</v>
      </c>
      <c r="H288" s="1"/>
      <c r="I288" s="1"/>
      <c r="J288" s="1"/>
      <c r="K288" s="1"/>
      <c r="L288" s="1"/>
      <c r="M288" s="1"/>
      <c r="N288" s="1"/>
      <c r="O288" s="1"/>
      <c r="P288" s="1"/>
      <c r="Q288" s="1"/>
      <c r="R288" s="1"/>
      <c r="S288" s="1"/>
      <c r="T288" s="1"/>
      <c r="U288" s="1"/>
      <c r="V288" s="1"/>
      <c r="W288" s="1"/>
      <c r="X288" s="1"/>
      <c r="Y288" s="1"/>
      <c r="Z288" s="1"/>
    </row>
    <row r="289">
      <c r="A289" s="1" t="str">
        <f>IFERROR(__xludf.DUMMYFUNCTION("""COMPUTED_VALUE"""),"Sword Of The Cursed Naga")</f>
        <v>Sword Of The Cursed Naga</v>
      </c>
      <c r="B289" s="1"/>
      <c r="C289" s="1" t="str">
        <f>IFERROR(__xludf.DUMMYFUNCTION("""COMPUTED_VALUE"""),"Sword")</f>
        <v>Sword</v>
      </c>
      <c r="D289" s="1" t="str">
        <f>IFERROR(__xludf.DUMMYFUNCTION("""COMPUTED_VALUE"""),"Hand")</f>
        <v>Hand</v>
      </c>
      <c r="E289" s="1">
        <f>IFERROR(__xludf.DUMMYFUNCTION("""COMPUTED_VALUE"""),200.0)</f>
        <v>200</v>
      </c>
      <c r="F289" s="1" t="str">
        <f>IFERROR(__xludf.DUMMYFUNCTION("""COMPUTED_VALUE"""),"DMG: +10000, Earth DMG: +50000, Blood DMG: +50000, Celestial DMG: +10000 ++Earth Charmer - Earth attacks will deal an additional X4 damage while this weapon is equipped.
++Poison Charmer - Poison 50,000 p/r.")</f>
        <v>DMG: +10000, Earth DMG: +50000, Blood DMG: +50000, Celestial DMG: +10000 ++Earth Charmer - Earth attacks will deal an additional X4 damage while this weapon is equipped.
++Poison Charmer - Poison 50,000 p/r.</v>
      </c>
      <c r="G289" s="1">
        <f>IFERROR(__xludf.DUMMYFUNCTION("""COMPUTED_VALUE"""),2.868E8)</f>
        <v>286800000</v>
      </c>
      <c r="H289" s="1"/>
      <c r="I289" s="1"/>
      <c r="J289" s="1"/>
      <c r="K289" s="1"/>
      <c r="L289" s="1"/>
      <c r="M289" s="1"/>
      <c r="N289" s="1"/>
      <c r="O289" s="1"/>
      <c r="P289" s="1"/>
      <c r="Q289" s="1"/>
      <c r="R289" s="1"/>
      <c r="S289" s="1"/>
      <c r="T289" s="1"/>
      <c r="U289" s="1"/>
      <c r="V289" s="1"/>
      <c r="W289" s="1"/>
      <c r="X289" s="1"/>
      <c r="Y289" s="1"/>
      <c r="Z289" s="1"/>
    </row>
    <row r="290">
      <c r="A290" s="1" t="str">
        <f>IFERROR(__xludf.DUMMYFUNCTION("""COMPUTED_VALUE"""),"Sword Of The Dragons Blood")</f>
        <v>Sword Of The Dragons Blood</v>
      </c>
      <c r="B290" s="1"/>
      <c r="C290" s="1" t="str">
        <f>IFERROR(__xludf.DUMMYFUNCTION("""COMPUTED_VALUE"""),"Sword")</f>
        <v>Sword</v>
      </c>
      <c r="D290" s="1" t="str">
        <f>IFERROR(__xludf.DUMMYFUNCTION("""COMPUTED_VALUE"""),"Hand")</f>
        <v>Hand</v>
      </c>
      <c r="E290" s="1">
        <f>IFERROR(__xludf.DUMMYFUNCTION("""COMPUTED_VALUE"""),1500.0)</f>
        <v>1500</v>
      </c>
      <c r="F290" s="1" t="str">
        <f>IFERROR(__xludf.DUMMYFUNCTION("""COMPUTED_VALUE"""),"DMG: +50000, Blood DMG: +25000 ++Burning Blood: Upon a successful hit; 5000 bleed and burn until the enemy dies.")</f>
        <v>DMG: +50000, Blood DMG: +25000 ++Burning Blood: Upon a successful hit; 5000 bleed and burn until the enemy dies.</v>
      </c>
      <c r="G290" s="1">
        <f>IFERROR(__xludf.DUMMYFUNCTION("""COMPUTED_VALUE"""),1.1175E8)</f>
        <v>111750000</v>
      </c>
      <c r="H290" s="1"/>
      <c r="I290" s="1"/>
      <c r="J290" s="1"/>
      <c r="K290" s="1"/>
      <c r="L290" s="1"/>
      <c r="M290" s="1"/>
      <c r="N290" s="1"/>
      <c r="O290" s="1"/>
      <c r="P290" s="1"/>
      <c r="Q290" s="1"/>
      <c r="R290" s="1"/>
      <c r="S290" s="1"/>
      <c r="T290" s="1"/>
      <c r="U290" s="1"/>
      <c r="V290" s="1"/>
      <c r="W290" s="1"/>
      <c r="X290" s="1"/>
      <c r="Y290" s="1"/>
      <c r="Z290" s="1"/>
    </row>
    <row r="291">
      <c r="A291" s="1" t="str">
        <f>IFERROR(__xludf.DUMMYFUNCTION("""COMPUTED_VALUE"""),"Sword of The Haunted Mansion")</f>
        <v>Sword of The Haunted Mansion</v>
      </c>
      <c r="B291" s="1" t="str">
        <f>IFERROR(__xludf.DUMMYFUNCTION("""COMPUTED_VALUE"""),"Halloween exclusive")</f>
        <v>Halloween exclusive</v>
      </c>
      <c r="C291" s="1" t="str">
        <f>IFERROR(__xludf.DUMMYFUNCTION("""COMPUTED_VALUE"""),"Sword")</f>
        <v>Sword</v>
      </c>
      <c r="D291" s="1" t="str">
        <f>IFERROR(__xludf.DUMMYFUNCTION("""COMPUTED_VALUE"""),"Hand")</f>
        <v>Hand</v>
      </c>
      <c r="E291" s="1">
        <f>IFERROR(__xludf.DUMMYFUNCTION("""COMPUTED_VALUE"""),200.0)</f>
        <v>200</v>
      </c>
      <c r="F291" s="1" t="str">
        <f>IFERROR(__xludf.DUMMYFUNCTION("""COMPUTED_VALUE"""),"DMG: +20000, Fire DMG: +20000, Dark DMG: +20000, Chaos DMG: +20000, Celestial DMG: +20000 ++Hallows Welcome: All enemies roll a d20 at the beginning of battle; All enemies that roll a 10 or lower start with 0 base defense and 0 evasion, All enemies that r"&amp;"oll a 11 or higher start with X2 defense and ++5 additional evasion. +-Cannot be forged +-Cannot be duplicated")</f>
        <v>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+-Cannot be duplicated</v>
      </c>
      <c r="G291" s="1">
        <f>IFERROR(__xludf.DUMMYFUNCTION("""COMPUTED_VALUE"""),1.99E8)</f>
        <v>199000000</v>
      </c>
      <c r="H291" s="1"/>
      <c r="I291" s="1"/>
      <c r="J291" s="1"/>
      <c r="K291" s="1"/>
      <c r="L291" s="1"/>
      <c r="M291" s="1"/>
      <c r="N291" s="1"/>
      <c r="O291" s="1"/>
      <c r="P291" s="1"/>
      <c r="Q291" s="1"/>
      <c r="R291" s="1"/>
      <c r="S291" s="1"/>
      <c r="T291" s="1"/>
      <c r="U291" s="1"/>
      <c r="V291" s="1"/>
      <c r="W291" s="1"/>
      <c r="X291" s="1"/>
      <c r="Y291" s="1"/>
      <c r="Z291" s="1"/>
    </row>
    <row r="292">
      <c r="A292" s="1" t="str">
        <f>IFERROR(__xludf.DUMMYFUNCTION("""COMPUTED_VALUE"""),"Sword Of The Honorable Samurai")</f>
        <v>Sword Of The Honorable Samurai</v>
      </c>
      <c r="B292" s="1"/>
      <c r="C292" s="1" t="str">
        <f>IFERROR(__xludf.DUMMYFUNCTION("""COMPUTED_VALUE"""),"Sword")</f>
        <v>Sword</v>
      </c>
      <c r="D292" s="1" t="str">
        <f>IFERROR(__xludf.DUMMYFUNCTION("""COMPUTED_VALUE"""),"Hand")</f>
        <v>Hand</v>
      </c>
      <c r="E292" s="1">
        <f>IFERROR(__xludf.DUMMYFUNCTION("""COMPUTED_VALUE"""),400.0)</f>
        <v>400</v>
      </c>
      <c r="F292" s="1" t="str">
        <f>IFERROR(__xludf.DUMMYFUNCTION("""COMPUTED_VALUE"""),"DMG: +10000, Light DMG: +5000, Order DMG: +5000")</f>
        <v>DMG: +10000, Light DMG: +5000, Order DMG: +5000</v>
      </c>
      <c r="G292" s="1">
        <f>IFERROR(__xludf.DUMMYFUNCTION("""COMPUTED_VALUE"""),7800000.0)</f>
        <v>7800000</v>
      </c>
      <c r="H292" s="1"/>
      <c r="I292" s="1"/>
      <c r="J292" s="1"/>
      <c r="K292" s="1"/>
      <c r="L292" s="1"/>
      <c r="M292" s="1"/>
      <c r="N292" s="1"/>
      <c r="O292" s="1"/>
      <c r="P292" s="1"/>
      <c r="Q292" s="1"/>
      <c r="R292" s="1"/>
      <c r="S292" s="1"/>
      <c r="T292" s="1"/>
      <c r="U292" s="1"/>
      <c r="V292" s="1"/>
      <c r="W292" s="1"/>
      <c r="X292" s="1"/>
      <c r="Y292" s="1"/>
      <c r="Z292" s="1"/>
    </row>
    <row r="293">
      <c r="A293" s="1" t="str">
        <f>IFERROR(__xludf.DUMMYFUNCTION("""COMPUTED_VALUE"""),"Sword of The Crystal King")</f>
        <v>Sword of The Crystal King</v>
      </c>
      <c r="B293" s="1"/>
      <c r="C293" s="1" t="str">
        <f>IFERROR(__xludf.DUMMYFUNCTION("""COMPUTED_VALUE"""),"Sword")</f>
        <v>Sword</v>
      </c>
      <c r="D293" s="1" t="str">
        <f>IFERROR(__xludf.DUMMYFUNCTION("""COMPUTED_VALUE"""),"Hand")</f>
        <v>Hand</v>
      </c>
      <c r="E293" s="1">
        <f>IFERROR(__xludf.DUMMYFUNCTION("""COMPUTED_VALUE"""),200.0)</f>
        <v>200</v>
      </c>
      <c r="F293" s="1" t="str">
        <f>IFERROR(__xludf.DUMMYFUNCTION("""COMPUTED_VALUE"""),"DMG: +20000, Earth DMG: +20000, Celestial DMG: +10000 ++Crystal Kings Power - Damage dealt by this weapon gives you SP back equal to the damage you deal. ++ Crystal Embodyment - When Equipped any damage dealt by a Crystal or Gem related weapon is X8 for t"&amp;"he user. +-Cannot be duplicated.")</f>
        <v>DMG: +20000, Earth DMG: +20000, Celestial DMG: +10000 ++Crystal Kings Power - Damage dealt by this weapon gives you SP back equal to the damage you deal. ++ Crystal Embodyment - When Equipped any damage dealt by a Crystal or Gem related weapon is X8 for the user. +-Cannot be duplicated.</v>
      </c>
      <c r="G293" s="1">
        <f>IFERROR(__xludf.DUMMYFUNCTION("""COMPUTED_VALUE"""),4.95E7)</f>
        <v>49500000</v>
      </c>
      <c r="H293" s="1"/>
      <c r="I293" s="1"/>
      <c r="J293" s="1"/>
      <c r="K293" s="1"/>
      <c r="L293" s="1"/>
      <c r="M293" s="1"/>
      <c r="N293" s="1"/>
      <c r="O293" s="1"/>
      <c r="P293" s="1"/>
      <c r="Q293" s="1"/>
      <c r="R293" s="1"/>
      <c r="S293" s="1"/>
      <c r="T293" s="1"/>
      <c r="U293" s="1"/>
      <c r="V293" s="1"/>
      <c r="W293" s="1"/>
      <c r="X293" s="1"/>
      <c r="Y293" s="1"/>
      <c r="Z293" s="1"/>
    </row>
    <row r="294">
      <c r="A294" s="1" t="str">
        <f>IFERROR(__xludf.DUMMYFUNCTION("""COMPUTED_VALUE"""),"Sword of The Many Heroes")</f>
        <v>Sword of The Many Heroes</v>
      </c>
      <c r="B294" s="1"/>
      <c r="C294" s="1" t="str">
        <f>IFERROR(__xludf.DUMMYFUNCTION("""COMPUTED_VALUE"""),"Sword")</f>
        <v>Sword</v>
      </c>
      <c r="D294" s="1" t="str">
        <f>IFERROR(__xludf.DUMMYFUNCTION("""COMPUTED_VALUE"""),"Hand")</f>
        <v>Hand</v>
      </c>
      <c r="E294" s="1">
        <f>IFERROR(__xludf.DUMMYFUNCTION("""COMPUTED_VALUE"""),200.0)</f>
        <v>200</v>
      </c>
      <c r="F294" s="1" t="str">
        <f>IFERROR(__xludf.DUMMYFUNCTION("""COMPUTED_VALUE"""),"DMG: +100000, Celestial DMG: +500000 ++While you have this sword equipped and you have 4+ party members among your party, You and your allies deal X4 additional damage with weapons only. +-Cannot be duplicated")</f>
        <v>DMG: +100000, Celestial DMG: +500000 ++While you have this sword equipped and you have 4+ party members among your party, You and your allies deal X4 additional damage with weapons only. +-Cannot be duplicated</v>
      </c>
      <c r="G294" s="1">
        <f>IFERROR(__xludf.DUMMYFUNCTION("""COMPUTED_VALUE"""),7.194E9)</f>
        <v>7194000000</v>
      </c>
      <c r="H294" s="1"/>
      <c r="I294" s="1"/>
      <c r="J294" s="1"/>
      <c r="K294" s="1"/>
      <c r="L294" s="1"/>
      <c r="M294" s="1"/>
      <c r="N294" s="1"/>
      <c r="O294" s="1"/>
      <c r="P294" s="1"/>
      <c r="Q294" s="1"/>
      <c r="R294" s="1"/>
      <c r="S294" s="1"/>
      <c r="T294" s="1"/>
      <c r="U294" s="1"/>
      <c r="V294" s="1"/>
      <c r="W294" s="1"/>
      <c r="X294" s="1"/>
      <c r="Y294" s="1"/>
      <c r="Z294" s="1"/>
    </row>
    <row r="295">
      <c r="A295" s="1" t="str">
        <f>IFERROR(__xludf.DUMMYFUNCTION("""COMPUTED_VALUE"""),"Sword Of The Reaper")</f>
        <v>Sword Of The Reaper</v>
      </c>
      <c r="B295" s="1"/>
      <c r="C295" s="1" t="str">
        <f>IFERROR(__xludf.DUMMYFUNCTION("""COMPUTED_VALUE"""),"Sword")</f>
        <v>Sword</v>
      </c>
      <c r="D295" s="1" t="str">
        <f>IFERROR(__xludf.DUMMYFUNCTION("""COMPUTED_VALUE"""),"Hand")</f>
        <v>Hand</v>
      </c>
      <c r="E295" s="1">
        <f>IFERROR(__xludf.DUMMYFUNCTION("""COMPUTED_VALUE"""),200.0)</f>
        <v>200</v>
      </c>
      <c r="F295" s="1" t="str">
        <f>IFERROR(__xludf.DUMMYFUNCTION("""COMPUTED_VALUE"""),"DMG: +5000, Celestial DMG: +1000 ++Stop Targeting Me! - When targeted for an attack the base damage of this weapon will be increased by 1000 damage for the battle only.")</f>
        <v>DMG: +5000, Celestial DMG: +1000 ++Stop Targeting Me! - When targeted for an attack the base damage of this weapon will be increased by 1000 damage for the battle only.</v>
      </c>
      <c r="G295" s="1">
        <f>IFERROR(__xludf.DUMMYFUNCTION("""COMPUTED_VALUE"""),660000.0)</f>
        <v>660000</v>
      </c>
      <c r="H295" s="1"/>
      <c r="I295" s="1"/>
      <c r="J295" s="1"/>
      <c r="K295" s="1"/>
      <c r="L295" s="1"/>
      <c r="M295" s="1"/>
      <c r="N295" s="1"/>
      <c r="O295" s="1"/>
      <c r="P295" s="1"/>
      <c r="Q295" s="1"/>
      <c r="R295" s="1"/>
      <c r="S295" s="1"/>
      <c r="T295" s="1"/>
      <c r="U295" s="1"/>
      <c r="V295" s="1"/>
      <c r="W295" s="1"/>
      <c r="X295" s="1"/>
      <c r="Y295" s="1"/>
      <c r="Z295" s="1"/>
    </row>
    <row r="296">
      <c r="A296" s="1" t="str">
        <f>IFERROR(__xludf.DUMMYFUNCTION("""COMPUTED_VALUE"""),"Sword of The Sea Serpent")</f>
        <v>Sword of The Sea Serpent</v>
      </c>
      <c r="B296" s="1"/>
      <c r="C296" s="1" t="str">
        <f>IFERROR(__xludf.DUMMYFUNCTION("""COMPUTED_VALUE"""),"Sword")</f>
        <v>Sword</v>
      </c>
      <c r="D296" s="1" t="str">
        <f>IFERROR(__xludf.DUMMYFUNCTION("""COMPUTED_VALUE"""),"Hand")</f>
        <v>Hand</v>
      </c>
      <c r="E296" s="1">
        <f>IFERROR(__xludf.DUMMYFUNCTION("""COMPUTED_VALUE"""),400.0)</f>
        <v>400</v>
      </c>
      <c r="F296" s="1" t="str">
        <f>IFERROR(__xludf.DUMMYFUNCTION("""COMPUTED_VALUE"""),"DMG: +10000, Water DMG: +10000 ++X2 Additional water damage for self, ++Sea Serpents Call: Upon a succesful hit there will be a 50% chance of summoning a sea serpent to aid you in battle if the battle is in water.")</f>
        <v>DMG: +10000, Water DMG: +10000 ++X2 Additional water damage for self, ++Sea Serpents Call: Upon a succesful hit there will be a 50% chance of summoning a sea serpent to aid you in battle if the battle is in water.</v>
      </c>
      <c r="G296" s="1">
        <f>IFERROR(__xludf.DUMMYFUNCTION("""COMPUTED_VALUE"""),7800000.0)</f>
        <v>7800000</v>
      </c>
      <c r="H296" s="1"/>
      <c r="I296" s="1"/>
      <c r="J296" s="1"/>
      <c r="K296" s="1"/>
      <c r="L296" s="1"/>
      <c r="M296" s="1"/>
      <c r="N296" s="1"/>
      <c r="O296" s="1"/>
      <c r="P296" s="1"/>
      <c r="Q296" s="1"/>
      <c r="R296" s="1"/>
      <c r="S296" s="1"/>
      <c r="T296" s="1"/>
      <c r="U296" s="1"/>
      <c r="V296" s="1"/>
      <c r="W296" s="1"/>
      <c r="X296" s="1"/>
      <c r="Y296" s="1"/>
      <c r="Z296" s="1"/>
    </row>
    <row r="297">
      <c r="A297" s="1" t="str">
        <f>IFERROR(__xludf.DUMMYFUNCTION("""COMPUTED_VALUE"""),"Sword of the Vampire’s Lust")</f>
        <v>Sword of the Vampire’s Lust</v>
      </c>
      <c r="B297" s="1"/>
      <c r="C297" s="1" t="str">
        <f>IFERROR(__xludf.DUMMYFUNCTION("""COMPUTED_VALUE"""),"Sword")</f>
        <v>Sword</v>
      </c>
      <c r="D297" s="1" t="str">
        <f>IFERROR(__xludf.DUMMYFUNCTION("""COMPUTED_VALUE"""),"Hand")</f>
        <v>Hand</v>
      </c>
      <c r="E297" s="1">
        <f>IFERROR(__xludf.DUMMYFUNCTION("""COMPUTED_VALUE"""),800.0)</f>
        <v>800</v>
      </c>
      <c r="F297" s="1" t="str">
        <f>IFERROR(__xludf.DUMMYFUNCTION("""COMPUTED_VALUE"""),"DMG: +10000, Fire DMG: +10000, Dark DMG: +10000, Spirit DMG: +5000, Chaos DMG: +5000 ++Damage dealt by this weapon gives you hp back equal to the damage you deal")</f>
        <v>DMG: +10000, Fire DMG: +10000, Dark DMG: +10000, Spirit DMG: +5000, Chaos DMG: +5000 ++Damage dealt by this weapon gives you hp back equal to the damage you deal</v>
      </c>
      <c r="G297" s="1">
        <f>IFERROR(__xludf.DUMMYFUNCTION("""COMPUTED_VALUE"""),3.16E7)</f>
        <v>31600000</v>
      </c>
      <c r="H297" s="1"/>
      <c r="I297" s="1"/>
      <c r="J297" s="1"/>
      <c r="K297" s="1"/>
      <c r="L297" s="1"/>
      <c r="M297" s="1"/>
      <c r="N297" s="1"/>
      <c r="O297" s="1"/>
      <c r="P297" s="1"/>
      <c r="Q297" s="1"/>
      <c r="R297" s="1"/>
      <c r="S297" s="1"/>
      <c r="T297" s="1"/>
      <c r="U297" s="1"/>
      <c r="V297" s="1"/>
      <c r="W297" s="1"/>
      <c r="X297" s="1"/>
      <c r="Y297" s="1"/>
      <c r="Z297" s="1"/>
    </row>
    <row r="298">
      <c r="A298" s="1" t="str">
        <f>IFERROR(__xludf.DUMMYFUNCTION("""COMPUTED_VALUE"""),"Sword of The Waking Waters")</f>
        <v>Sword of The Waking Waters</v>
      </c>
      <c r="B298" s="1"/>
      <c r="C298" s="1" t="str">
        <f>IFERROR(__xludf.DUMMYFUNCTION("""COMPUTED_VALUE"""),"Sword")</f>
        <v>Sword</v>
      </c>
      <c r="D298" s="1" t="str">
        <f>IFERROR(__xludf.DUMMYFUNCTION("""COMPUTED_VALUE"""),"Hand")</f>
        <v>Hand</v>
      </c>
      <c r="E298" s="1">
        <f>IFERROR(__xludf.DUMMYFUNCTION("""COMPUTED_VALUE"""),800.0)</f>
        <v>800</v>
      </c>
      <c r="F298" s="1" t="str">
        <f>IFERROR(__xludf.DUMMYFUNCTION("""COMPUTED_VALUE"""),"DMG: +20000, Water DMG: +20000 ++X4 additional Water damage for this weapon only. ++Waking Waters: When the battle is in water and you are attacking with this weapon your d20 roll becomes double. +-Cannot be duplicated")</f>
        <v>DMG: +20000, Water DMG: +20000 ++X4 additional Water damage for this weapon only. ++Waking Waters: When the battle is in water and you are attacking with this weapon your d20 roll becomes double. +-Cannot be duplicated</v>
      </c>
      <c r="G298" s="1">
        <f>IFERROR(__xludf.DUMMYFUNCTION("""COMPUTED_VALUE"""),3.16E7)</f>
        <v>31600000</v>
      </c>
      <c r="H298" s="1"/>
      <c r="I298" s="1"/>
      <c r="J298" s="1"/>
      <c r="K298" s="1"/>
      <c r="L298" s="1"/>
      <c r="M298" s="1"/>
      <c r="N298" s="1"/>
      <c r="O298" s="1"/>
      <c r="P298" s="1"/>
      <c r="Q298" s="1"/>
      <c r="R298" s="1"/>
      <c r="S298" s="1"/>
      <c r="T298" s="1"/>
      <c r="U298" s="1"/>
      <c r="V298" s="1"/>
      <c r="W298" s="1"/>
      <c r="X298" s="1"/>
      <c r="Y298" s="1"/>
      <c r="Z298" s="1"/>
    </row>
    <row r="299">
      <c r="A299" s="1" t="str">
        <f>IFERROR(__xludf.DUMMYFUNCTION("""COMPUTED_VALUE"""),"Sword of the Wicked")</f>
        <v>Sword of the Wicked</v>
      </c>
      <c r="B299" s="1"/>
      <c r="C299" s="1" t="str">
        <f>IFERROR(__xludf.DUMMYFUNCTION("""COMPUTED_VALUE"""),"Sword")</f>
        <v>Sword</v>
      </c>
      <c r="D299" s="1" t="str">
        <f>IFERROR(__xludf.DUMMYFUNCTION("""COMPUTED_VALUE"""),"Hand")</f>
        <v>Hand</v>
      </c>
      <c r="E299" s="1">
        <f>IFERROR(__xludf.DUMMYFUNCTION("""COMPUTED_VALUE"""),50.0)</f>
        <v>50</v>
      </c>
      <c r="F299" s="1" t="str">
        <f>IFERROR(__xludf.DUMMYFUNCTION("""COMPUTED_VALUE"""),"DMG: +700, Dark DMG: +900, Chaos DMG: +900")</f>
        <v>DMG: +700, Dark DMG: +900, Chaos DMG: +900</v>
      </c>
      <c r="G299" s="1">
        <f>IFERROR(__xludf.DUMMYFUNCTION("""COMPUTED_VALUE"""),100000.0)</f>
        <v>100000</v>
      </c>
      <c r="H299" s="1"/>
      <c r="I299" s="1"/>
      <c r="J299" s="1"/>
      <c r="K299" s="1"/>
      <c r="L299" s="1"/>
      <c r="M299" s="1"/>
      <c r="N299" s="1"/>
      <c r="O299" s="1"/>
      <c r="P299" s="1"/>
      <c r="Q299" s="1"/>
      <c r="R299" s="1"/>
      <c r="S299" s="1"/>
      <c r="T299" s="1"/>
      <c r="U299" s="1"/>
      <c r="V299" s="1"/>
      <c r="W299" s="1"/>
      <c r="X299" s="1"/>
      <c r="Y299" s="1"/>
      <c r="Z299" s="1"/>
    </row>
    <row r="300">
      <c r="A300" s="1" t="str">
        <f>IFERROR(__xludf.DUMMYFUNCTION("""COMPUTED_VALUE"""),"Sword Of Tritonoch")</f>
        <v>Sword Of Tritonoch</v>
      </c>
      <c r="B300" s="1"/>
      <c r="C300" s="1" t="str">
        <f>IFERROR(__xludf.DUMMYFUNCTION("""COMPUTED_VALUE"""),"Sword")</f>
        <v>Sword</v>
      </c>
      <c r="D300" s="1" t="str">
        <f>IFERROR(__xludf.DUMMYFUNCTION("""COMPUTED_VALUE"""),"Hand")</f>
        <v>Hand</v>
      </c>
      <c r="E300" s="1">
        <f>IFERROR(__xludf.DUMMYFUNCTION("""COMPUTED_VALUE"""),800.0)</f>
        <v>800</v>
      </c>
      <c r="F300" s="1" t="str">
        <f>IFERROR(__xludf.DUMMYFUNCTION("""COMPUTED_VALUE"""),"DMG: +20000, Water DMG: +20000 ++Order of Atlanteans - +2 to your d20 roll, +5 charisma, ++Waves of Entitlement - x5 additional Water damage. +-Cannot be duplicated.")</f>
        <v>DMG: +20000, Water DMG: +20000 ++Order of Atlanteans - +2 to your d20 roll, +5 charisma, ++Waves of Entitlement - x5 additional Water damage. +-Cannot be duplicated.</v>
      </c>
      <c r="G300" s="1">
        <f>IFERROR(__xludf.DUMMYFUNCTION("""COMPUTED_VALUE"""),3.16E7)</f>
        <v>31600000</v>
      </c>
      <c r="H300" s="1"/>
      <c r="I300" s="1"/>
      <c r="J300" s="1"/>
      <c r="K300" s="1"/>
      <c r="L300" s="1"/>
      <c r="M300" s="1"/>
      <c r="N300" s="1"/>
      <c r="O300" s="1"/>
      <c r="P300" s="1"/>
      <c r="Q300" s="1"/>
      <c r="R300" s="1"/>
      <c r="S300" s="1"/>
      <c r="T300" s="1"/>
      <c r="U300" s="1"/>
      <c r="V300" s="1"/>
      <c r="W300" s="1"/>
      <c r="X300" s="1"/>
      <c r="Y300" s="1"/>
      <c r="Z300" s="1"/>
    </row>
    <row r="301">
      <c r="A301" s="1" t="str">
        <f>IFERROR(__xludf.DUMMYFUNCTION("""COMPUTED_VALUE"""),"Tentacle")</f>
        <v>Tentacle</v>
      </c>
      <c r="B301" s="1"/>
      <c r="C301" s="1" t="str">
        <f>IFERROR(__xludf.DUMMYFUNCTION("""COMPUTED_VALUE"""),"Claw")</f>
        <v>Claw</v>
      </c>
      <c r="D301" s="1" t="str">
        <f>IFERROR(__xludf.DUMMYFUNCTION("""COMPUTED_VALUE"""),"Hand")</f>
        <v>Hand</v>
      </c>
      <c r="E301" s="1">
        <f>IFERROR(__xludf.DUMMYFUNCTION("""COMPUTED_VALUE"""),30.0)</f>
        <v>30</v>
      </c>
      <c r="F301" s="1" t="str">
        <f>IFERROR(__xludf.DUMMYFUNCTION("""COMPUTED_VALUE"""),"DMG: +1000, Water DMG: +500 ++10% chance to remove target from battle")</f>
        <v>DMG: +1000, Water DMG: +500 ++10% chance to remove target from battle</v>
      </c>
      <c r="G301" s="1">
        <f>IFERROR(__xludf.DUMMYFUNCTION("""COMPUTED_VALUE"""),30000.0)</f>
        <v>30000</v>
      </c>
      <c r="H301" s="1"/>
      <c r="I301" s="1"/>
      <c r="J301" s="1"/>
      <c r="K301" s="1"/>
      <c r="L301" s="1"/>
      <c r="M301" s="1"/>
      <c r="N301" s="1"/>
      <c r="O301" s="1"/>
      <c r="P301" s="1"/>
      <c r="Q301" s="1"/>
      <c r="R301" s="1"/>
      <c r="S301" s="1"/>
      <c r="T301" s="1"/>
      <c r="U301" s="1"/>
      <c r="V301" s="1"/>
      <c r="W301" s="1"/>
      <c r="X301" s="1"/>
      <c r="Y301" s="1"/>
      <c r="Z301" s="1"/>
    </row>
    <row r="302">
      <c r="A302" s="1" t="str">
        <f>IFERROR(__xludf.DUMMYFUNCTION("""COMPUTED_VALUE"""),"The Black Hook")</f>
        <v>The Black Hook</v>
      </c>
      <c r="B302" s="1"/>
      <c r="C302" s="1" t="str">
        <f>IFERROR(__xludf.DUMMYFUNCTION("""COMPUTED_VALUE"""),"Claw")</f>
        <v>Claw</v>
      </c>
      <c r="D302" s="1" t="str">
        <f>IFERROR(__xludf.DUMMYFUNCTION("""COMPUTED_VALUE"""),"Hand")</f>
        <v>Hand</v>
      </c>
      <c r="E302" s="1">
        <f>IFERROR(__xludf.DUMMYFUNCTION("""COMPUTED_VALUE"""),2500.0)</f>
        <v>2500</v>
      </c>
      <c r="F302" s="1" t="str">
        <f>IFERROR(__xludf.DUMMYFUNCTION("""COMPUTED_VALUE"""),"DMG: +50000, Dark DMG: +50000, Blood DMG: +25000 ++Increases blood and dark damage by X4 for the wielder of this claw, ++Decreases the HP cost of spells by half. ++35% chance to remove an enemy from battle")</f>
        <v>DMG: +50000, Dark DMG: +50000, Blood DMG: +25000 ++Increases blood and dark damage by X4 for the wielder of this claw, ++Decreases the HP cost of spells by half. ++35% chance to remove an enemy from battle</v>
      </c>
      <c r="G302" s="1">
        <f>IFERROR(__xludf.DUMMYFUNCTION("""COMPUTED_VALUE"""),3.1125E8)</f>
        <v>311250000</v>
      </c>
      <c r="H302" s="1"/>
      <c r="I302" s="1"/>
      <c r="J302" s="1"/>
      <c r="K302" s="1"/>
      <c r="L302" s="1"/>
      <c r="M302" s="1"/>
      <c r="N302" s="1"/>
      <c r="O302" s="1"/>
      <c r="P302" s="1"/>
      <c r="Q302" s="1"/>
      <c r="R302" s="1"/>
      <c r="S302" s="1"/>
      <c r="T302" s="1"/>
      <c r="U302" s="1"/>
      <c r="V302" s="1"/>
      <c r="W302" s="1"/>
      <c r="X302" s="1"/>
      <c r="Y302" s="1"/>
      <c r="Z302" s="1"/>
    </row>
    <row r="303">
      <c r="A303" s="1" t="str">
        <f>IFERROR(__xludf.DUMMYFUNCTION("""COMPUTED_VALUE"""),"The Blade of the Chosen")</f>
        <v>The Blade of the Chosen</v>
      </c>
      <c r="B303" s="1"/>
      <c r="C303" s="1" t="str">
        <f>IFERROR(__xludf.DUMMYFUNCTION("""COMPUTED_VALUE"""),"Sword")</f>
        <v>Sword</v>
      </c>
      <c r="D303" s="1" t="str">
        <f>IFERROR(__xludf.DUMMYFUNCTION("""COMPUTED_VALUE"""),"Hand")</f>
        <v>Hand</v>
      </c>
      <c r="E303" s="1">
        <f>IFERROR(__xludf.DUMMYFUNCTION("""COMPUTED_VALUE"""),1000.0)</f>
        <v>1000</v>
      </c>
      <c r="F303" s="1" t="str">
        <f>IFERROR(__xludf.DUMMYFUNCTION("""COMPUTED_VALUE"""),"DMG: +10000, Fire DMG: +10000, Order DMG: +10000, Nature DMG: +10000, Blood DMG: +10000 ++Roll a d20 at the beginning of battle, 11 or higher = double the users defense and damage dealt for the current battle, 10 or lower = half the users defense and dama"&amp;"ge dealt for the current battle.")</f>
        <v>DMG: +10000, Fire DMG: +10000, Order DMG: +10000, Nature DMG: +10000, Blood DMG: +10000 ++Roll a d20 at the beginning of battle, 11 or higher = double the users defense and damage dealt for the current battle, 10 or lower = half the users defense and damage dealt for the current battle.</v>
      </c>
      <c r="G303" s="1">
        <f>IFERROR(__xludf.DUMMYFUNCTION("""COMPUTED_VALUE"""),4.95E7)</f>
        <v>49500000</v>
      </c>
      <c r="H303" s="1"/>
      <c r="I303" s="1"/>
      <c r="J303" s="1"/>
      <c r="K303" s="1"/>
      <c r="L303" s="1"/>
      <c r="M303" s="1"/>
      <c r="N303" s="1"/>
      <c r="O303" s="1"/>
      <c r="P303" s="1"/>
      <c r="Q303" s="1"/>
      <c r="R303" s="1"/>
      <c r="S303" s="1"/>
      <c r="T303" s="1"/>
      <c r="U303" s="1"/>
      <c r="V303" s="1"/>
      <c r="W303" s="1"/>
      <c r="X303" s="1"/>
      <c r="Y303" s="1"/>
      <c r="Z303" s="1"/>
    </row>
    <row r="304">
      <c r="A304" s="1" t="str">
        <f>IFERROR(__xludf.DUMMYFUNCTION("""COMPUTED_VALUE"""),"The Bow of the Fallen Hero")</f>
        <v>The Bow of the Fallen Hero</v>
      </c>
      <c r="B304" s="1"/>
      <c r="C304" s="1" t="str">
        <f>IFERROR(__xludf.DUMMYFUNCTION("""COMPUTED_VALUE"""),"Bow")</f>
        <v>Bow</v>
      </c>
      <c r="D304" s="1" t="str">
        <f>IFERROR(__xludf.DUMMYFUNCTION("""COMPUTED_VALUE"""),"Hand")</f>
        <v>Hand</v>
      </c>
      <c r="E304" s="1">
        <f>IFERROR(__xludf.DUMMYFUNCTION("""COMPUTED_VALUE"""),100.0)</f>
        <v>100</v>
      </c>
      <c r="F304" s="1" t="str">
        <f>IFERROR(__xludf.DUMMYFUNCTION("""COMPUTED_VALUE"""),"DMG: +5000 ++Dashing Arrows - You can use up to 6 arrows when attacking with this bow. ")</f>
        <v>DMG: +5000 ++Dashing Arrows - You can use up to 6 arrows when attacking with this bow. </v>
      </c>
      <c r="G304" s="1">
        <f>IFERROR(__xludf.DUMMYFUNCTION("""COMPUTED_VALUE"""),450000.0)</f>
        <v>450000</v>
      </c>
      <c r="H304" s="1"/>
      <c r="I304" s="1"/>
      <c r="J304" s="1"/>
      <c r="K304" s="1"/>
      <c r="L304" s="1"/>
      <c r="M304" s="1"/>
      <c r="N304" s="1"/>
      <c r="O304" s="1"/>
      <c r="P304" s="1"/>
      <c r="Q304" s="1"/>
      <c r="R304" s="1"/>
      <c r="S304" s="1"/>
      <c r="T304" s="1"/>
      <c r="U304" s="1"/>
      <c r="V304" s="1"/>
      <c r="W304" s="1"/>
      <c r="X304" s="1"/>
      <c r="Y304" s="1"/>
      <c r="Z304" s="1"/>
    </row>
    <row r="305">
      <c r="A305" s="1" t="str">
        <f>IFERROR(__xludf.DUMMYFUNCTION("""COMPUTED_VALUE"""),"The Bow of the Haunted")</f>
        <v>The Bow of the Haunted</v>
      </c>
      <c r="B305" s="1" t="str">
        <f>IFERROR(__xludf.DUMMYFUNCTION("""COMPUTED_VALUE"""),"Halloween exclusive")</f>
        <v>Halloween exclusive</v>
      </c>
      <c r="C305" s="1" t="str">
        <f>IFERROR(__xludf.DUMMYFUNCTION("""COMPUTED_VALUE"""),"Bow")</f>
        <v>Bow</v>
      </c>
      <c r="D305" s="1" t="str">
        <f>IFERROR(__xludf.DUMMYFUNCTION("""COMPUTED_VALUE"""),"Hand")</f>
        <v>Hand</v>
      </c>
      <c r="E305" s="1">
        <f>IFERROR(__xludf.DUMMYFUNCTION("""COMPUTED_VALUE"""),620.0)</f>
        <v>620</v>
      </c>
      <c r="F305" s="1" t="str">
        <f>IFERROR(__xludf.DUMMYFUNCTION("""COMPUTED_VALUE"""),"DMG: +1000, Fire DMG: +10000, Dark DMG: +10000, Chaos DMG: +10000 ++You can use d20 arrows when attacking with this bow, rolls to see how many. Dark and Chaos damage is doubled when attacking with this bow.")</f>
        <v>DMG: +1000, Fire DMG: +10000, Dark DMG: +10000, Chaos DMG: +10000 ++You can use d20 arrows when attacking with this bow, rolls to see how many. Dark and Chaos damage is doubled when attacking with this bow.</v>
      </c>
      <c r="G305" s="1">
        <f>IFERROR(__xludf.DUMMYFUNCTION("""COMPUTED_VALUE"""),1.891E7)</f>
        <v>18910000</v>
      </c>
      <c r="H305" s="1"/>
      <c r="I305" s="1"/>
      <c r="J305" s="1"/>
      <c r="K305" s="1"/>
      <c r="L305" s="1"/>
      <c r="M305" s="1"/>
      <c r="N305" s="1"/>
      <c r="O305" s="1"/>
      <c r="P305" s="1"/>
      <c r="Q305" s="1"/>
      <c r="R305" s="1"/>
      <c r="S305" s="1"/>
      <c r="T305" s="1"/>
      <c r="U305" s="1"/>
      <c r="V305" s="1"/>
      <c r="W305" s="1"/>
      <c r="X305" s="1"/>
      <c r="Y305" s="1"/>
      <c r="Z305" s="1"/>
    </row>
    <row r="306">
      <c r="A306" s="1" t="str">
        <f>IFERROR(__xludf.DUMMYFUNCTION("""COMPUTED_VALUE"""),"The Bow of the Pandarian")</f>
        <v>The Bow of the Pandarian</v>
      </c>
      <c r="B306" s="1"/>
      <c r="C306" s="1" t="str">
        <f>IFERROR(__xludf.DUMMYFUNCTION("""COMPUTED_VALUE"""),"Bow")</f>
        <v>Bow</v>
      </c>
      <c r="D306" s="1" t="str">
        <f>IFERROR(__xludf.DUMMYFUNCTION("""COMPUTED_VALUE"""),"Hand")</f>
        <v>Hand</v>
      </c>
      <c r="E306" s="1">
        <f>IFERROR(__xludf.DUMMYFUNCTION("""COMPUTED_VALUE"""),40.0)</f>
        <v>40</v>
      </c>
      <c r="F306" s="1" t="str">
        <f>IFERROR(__xludf.DUMMYFUNCTION("""COMPUTED_VALUE"""),"DMG: +2000 ++Half the Arrow - Ranged Spells cost half the sp cost, Ranger Enrage - All Ranged Attacks. do double in damage. ")</f>
        <v>DMG: +2000 ++Half the Arrow - Ranged Spells cost half the sp cost, Ranger Enrage - All Ranged Attacks. do double in damage. </v>
      </c>
      <c r="G306" s="1">
        <f>IFERROR(__xludf.DUMMYFUNCTION("""COMPUTED_VALUE"""),60000.0)</f>
        <v>60000</v>
      </c>
      <c r="H306" s="1"/>
      <c r="I306" s="1"/>
      <c r="J306" s="1"/>
      <c r="K306" s="1"/>
      <c r="L306" s="1"/>
      <c r="M306" s="1"/>
      <c r="N306" s="1"/>
      <c r="O306" s="1"/>
      <c r="P306" s="1"/>
      <c r="Q306" s="1"/>
      <c r="R306" s="1"/>
      <c r="S306" s="1"/>
      <c r="T306" s="1"/>
      <c r="U306" s="1"/>
      <c r="V306" s="1"/>
      <c r="W306" s="1"/>
      <c r="X306" s="1"/>
      <c r="Y306" s="1"/>
      <c r="Z306" s="1"/>
    </row>
    <row r="307">
      <c r="A307" s="1" t="str">
        <f>IFERROR(__xludf.DUMMYFUNCTION("""COMPUTED_VALUE"""),"The Buster")</f>
        <v>The Buster</v>
      </c>
      <c r="B307" s="1"/>
      <c r="C307" s="1" t="str">
        <f>IFERROR(__xludf.DUMMYFUNCTION("""COMPUTED_VALUE"""),"Sword")</f>
        <v>Sword</v>
      </c>
      <c r="D307" s="1" t="str">
        <f>IFERROR(__xludf.DUMMYFUNCTION("""COMPUTED_VALUE"""),"Hand")</f>
        <v>Hand</v>
      </c>
      <c r="E307" s="1">
        <f>IFERROR(__xludf.DUMMYFUNCTION("""COMPUTED_VALUE"""),400.0)</f>
        <v>400</v>
      </c>
      <c r="F307" s="1" t="str">
        <f>IFERROR(__xludf.DUMMYFUNCTION("""COMPUTED_VALUE"""),"DMG: +20000")</f>
        <v>DMG: +20000</v>
      </c>
      <c r="G307" s="1">
        <f>IFERROR(__xludf.DUMMYFUNCTION("""COMPUTED_VALUE"""),7800000.0)</f>
        <v>7800000</v>
      </c>
      <c r="H307" s="1"/>
      <c r="I307" s="1"/>
      <c r="J307" s="1"/>
      <c r="K307" s="1"/>
      <c r="L307" s="1"/>
      <c r="M307" s="1"/>
      <c r="N307" s="1"/>
      <c r="O307" s="1"/>
      <c r="P307" s="1"/>
      <c r="Q307" s="1"/>
      <c r="R307" s="1"/>
      <c r="S307" s="1"/>
      <c r="T307" s="1"/>
      <c r="U307" s="1"/>
      <c r="V307" s="1"/>
      <c r="W307" s="1"/>
      <c r="X307" s="1"/>
      <c r="Y307" s="1"/>
      <c r="Z307" s="1"/>
    </row>
    <row r="308">
      <c r="A308" s="1" t="str">
        <f>IFERROR(__xludf.DUMMYFUNCTION("""COMPUTED_VALUE"""),"The Dawn Splitter")</f>
        <v>The Dawn Splitter</v>
      </c>
      <c r="B308" s="1"/>
      <c r="C308" s="1" t="str">
        <f>IFERROR(__xludf.DUMMYFUNCTION("""COMPUTED_VALUE"""),"Sword")</f>
        <v>Sword</v>
      </c>
      <c r="D308" s="1" t="str">
        <f>IFERROR(__xludf.DUMMYFUNCTION("""COMPUTED_VALUE"""),"Hand")</f>
        <v>Hand</v>
      </c>
      <c r="E308" s="1">
        <f>IFERROR(__xludf.DUMMYFUNCTION("""COMPUTED_VALUE"""),200.0)</f>
        <v>200</v>
      </c>
      <c r="F308" s="1" t="str">
        <f>IFERROR(__xludf.DUMMYFUNCTION("""COMPUTED_VALUE"""),"DMG: +50000, Fire DMG: +50000, Dark DMG: +50000, Celestial DMG: +50000 ++50% Chance to put the target to sleep.")</f>
        <v>DMG: +50000, Fire DMG: +50000, Dark DMG: +50000, Celestial DMG: +50000 ++50% Chance to put the target to sleep.</v>
      </c>
      <c r="G308" s="1">
        <f>IFERROR(__xludf.DUMMYFUNCTION("""COMPUTED_VALUE"""),7.98E8)</f>
        <v>798000000</v>
      </c>
      <c r="H308" s="1"/>
      <c r="I308" s="1"/>
      <c r="J308" s="1"/>
      <c r="K308" s="1"/>
      <c r="L308" s="1"/>
      <c r="M308" s="1"/>
      <c r="N308" s="1"/>
      <c r="O308" s="1"/>
      <c r="P308" s="1"/>
      <c r="Q308" s="1"/>
      <c r="R308" s="1"/>
      <c r="S308" s="1"/>
      <c r="T308" s="1"/>
      <c r="U308" s="1"/>
      <c r="V308" s="1"/>
      <c r="W308" s="1"/>
      <c r="X308" s="1"/>
      <c r="Y308" s="1"/>
      <c r="Z308" s="1"/>
    </row>
    <row r="309">
      <c r="A309" s="1" t="str">
        <f>IFERROR(__xludf.DUMMYFUNCTION("""COMPUTED_VALUE"""),"The Dragon King's Crown")</f>
        <v>The Dragon King's Crown</v>
      </c>
      <c r="B309" s="1"/>
      <c r="C309" s="1"/>
      <c r="D309" s="1" t="str">
        <f>IFERROR(__xludf.DUMMYFUNCTION("""COMPUTED_VALUE"""),"Head")</f>
        <v>Head</v>
      </c>
      <c r="E309" s="1">
        <f>IFERROR(__xludf.DUMMYFUNCTION("""COMPUTED_VALUE"""),400.0)</f>
        <v>400</v>
      </c>
      <c r="F309" s="1" t="str">
        <f>IFERROR(__xludf.DUMMYFUNCTION("""COMPUTED_VALUE"""),"DEF: +20000 ++Immunity to damage from Natural Attacks...")</f>
        <v>DEF: +20000 ++Immunity to damage from Natural Attacks...</v>
      </c>
      <c r="G309" s="1">
        <f>IFERROR(__xludf.DUMMYFUNCTION("""COMPUTED_VALUE"""),7800000.0)</f>
        <v>7800000</v>
      </c>
      <c r="H309" s="1"/>
      <c r="I309" s="1"/>
      <c r="J309" s="1"/>
      <c r="K309" s="1"/>
      <c r="L309" s="1"/>
      <c r="M309" s="1"/>
      <c r="N309" s="1"/>
      <c r="O309" s="1"/>
      <c r="P309" s="1"/>
      <c r="Q309" s="1"/>
      <c r="R309" s="1"/>
      <c r="S309" s="1"/>
      <c r="T309" s="1"/>
      <c r="U309" s="1"/>
      <c r="V309" s="1"/>
      <c r="W309" s="1"/>
      <c r="X309" s="1"/>
      <c r="Y309" s="1"/>
      <c r="Z309" s="1"/>
    </row>
    <row r="310">
      <c r="A310" s="1" t="str">
        <f>IFERROR(__xludf.DUMMYFUNCTION("""COMPUTED_VALUE"""),"The Guardian Of Death's Sword")</f>
        <v>The Guardian Of Death's Sword</v>
      </c>
      <c r="B310" s="1"/>
      <c r="C310" s="1" t="str">
        <f>IFERROR(__xludf.DUMMYFUNCTION("""COMPUTED_VALUE"""),"Sword")</f>
        <v>Sword</v>
      </c>
      <c r="D310" s="1" t="str">
        <f>IFERROR(__xludf.DUMMYFUNCTION("""COMPUTED_VALUE"""),"Hand")</f>
        <v>Hand</v>
      </c>
      <c r="E310" s="1">
        <f>IFERROR(__xludf.DUMMYFUNCTION("""COMPUTED_VALUE"""),600.0)</f>
        <v>600</v>
      </c>
      <c r="F310" s="1" t="str">
        <f>IFERROR(__xludf.DUMMYFUNCTION("""COMPUTED_VALUE"""),"DMG: +15000, Dark DMG: +5000, Spirit DMG: +5000, Chaos DMG: +5000")</f>
        <v>DMG: +15000, Dark DMG: +5000, Spirit DMG: +5000, Chaos DMG: +5000</v>
      </c>
      <c r="G310" s="1">
        <f>IFERROR(__xludf.DUMMYFUNCTION("""COMPUTED_VALUE"""),1.77E7)</f>
        <v>17700000</v>
      </c>
      <c r="H310" s="1"/>
      <c r="I310" s="1"/>
      <c r="J310" s="1"/>
      <c r="K310" s="1"/>
      <c r="L310" s="1"/>
      <c r="M310" s="1"/>
      <c r="N310" s="1"/>
      <c r="O310" s="1"/>
      <c r="P310" s="1"/>
      <c r="Q310" s="1"/>
      <c r="R310" s="1"/>
      <c r="S310" s="1"/>
      <c r="T310" s="1"/>
      <c r="U310" s="1"/>
      <c r="V310" s="1"/>
      <c r="W310" s="1"/>
      <c r="X310" s="1"/>
      <c r="Y310" s="1"/>
      <c r="Z310" s="1"/>
    </row>
    <row r="311">
      <c r="A311" s="1" t="str">
        <f>IFERROR(__xludf.DUMMYFUNCTION("""COMPUTED_VALUE"""),"The Helm of Foul Night")</f>
        <v>The Helm of Foul Night</v>
      </c>
      <c r="B311" s="1"/>
      <c r="C311" s="1"/>
      <c r="D311" s="1" t="str">
        <f>IFERROR(__xludf.DUMMYFUNCTION("""COMPUTED_VALUE"""),"Head")</f>
        <v>Head</v>
      </c>
      <c r="E311" s="1">
        <f>IFERROR(__xludf.DUMMYFUNCTION("""COMPUTED_VALUE"""),200.0)</f>
        <v>200</v>
      </c>
      <c r="F311" s="1" t="str">
        <f>IFERROR(__xludf.DUMMYFUNCTION("""COMPUTED_VALUE"""),"DEF: +5000, Nature DEF: +5000 (Foul Night Set) ++X2 Nature and Poison damage. ++Poison Immunity. ")</f>
        <v>DEF: +5000, Nature DEF: +5000 (Foul Night Set) ++X2 Nature and Poison damage. ++Poison Immunity. </v>
      </c>
      <c r="G311" s="1">
        <f>IFERROR(__xludf.DUMMYFUNCTION("""COMPUTED_VALUE"""),1900000.0)</f>
        <v>1900000</v>
      </c>
      <c r="H311" s="1"/>
      <c r="I311" s="1"/>
      <c r="J311" s="1"/>
      <c r="K311" s="1"/>
      <c r="L311" s="1"/>
      <c r="M311" s="1"/>
      <c r="N311" s="1"/>
      <c r="O311" s="1"/>
      <c r="P311" s="1"/>
      <c r="Q311" s="1"/>
      <c r="R311" s="1"/>
      <c r="S311" s="1"/>
      <c r="T311" s="1"/>
      <c r="U311" s="1"/>
      <c r="V311" s="1"/>
      <c r="W311" s="1"/>
      <c r="X311" s="1"/>
      <c r="Y311" s="1"/>
      <c r="Z311" s="1"/>
    </row>
    <row r="312">
      <c r="A312" s="1" t="str">
        <f>IFERROR(__xludf.DUMMYFUNCTION("""COMPUTED_VALUE"""),"The Invisible Spear")</f>
        <v>The Invisible Spear</v>
      </c>
      <c r="B312" s="1"/>
      <c r="C312" s="1" t="str">
        <f>IFERROR(__xludf.DUMMYFUNCTION("""COMPUTED_VALUE"""),"Spear")</f>
        <v>Spear</v>
      </c>
      <c r="D312" s="1" t="str">
        <f>IFERROR(__xludf.DUMMYFUNCTION("""COMPUTED_VALUE"""),"Hand")</f>
        <v>Hand</v>
      </c>
      <c r="E312" s="1">
        <f>IFERROR(__xludf.DUMMYFUNCTION("""COMPUTED_VALUE"""),1.0)</f>
        <v>1</v>
      </c>
      <c r="F312" s="1" t="str">
        <f>IFERROR(__xludf.DUMMYFUNCTION("""COMPUTED_VALUE"""),"DMG: +200 ++ignores evasion")</f>
        <v>DMG: +200 ++ignores evasion</v>
      </c>
      <c r="G312" s="1">
        <f>IFERROR(__xludf.DUMMYFUNCTION("""COMPUTED_VALUE"""),0.0)</f>
        <v>0</v>
      </c>
      <c r="H312" s="1"/>
      <c r="I312" s="1"/>
      <c r="J312" s="1"/>
      <c r="K312" s="1"/>
      <c r="L312" s="1"/>
      <c r="M312" s="1"/>
      <c r="N312" s="1"/>
      <c r="O312" s="1"/>
      <c r="P312" s="1"/>
      <c r="Q312" s="1"/>
      <c r="R312" s="1"/>
      <c r="S312" s="1"/>
      <c r="T312" s="1"/>
      <c r="U312" s="1"/>
      <c r="V312" s="1"/>
      <c r="W312" s="1"/>
      <c r="X312" s="1"/>
      <c r="Y312" s="1"/>
      <c r="Z312" s="1"/>
    </row>
    <row r="313">
      <c r="A313" s="1" t="str">
        <f>IFERROR(__xludf.DUMMYFUNCTION("""COMPUTED_VALUE"""),"The Mysterious Mirror")</f>
        <v>The Mysterious Mirror</v>
      </c>
      <c r="B313" s="1"/>
      <c r="C313" s="1" t="str">
        <f>IFERROR(__xludf.DUMMYFUNCTION("""COMPUTED_VALUE"""),"Towershield")</f>
        <v>Towershield</v>
      </c>
      <c r="D313" s="1" t="str">
        <f>IFERROR(__xludf.DUMMYFUNCTION("""COMPUTED_VALUE"""),"Hand")</f>
        <v>Hand</v>
      </c>
      <c r="E313" s="1">
        <f>IFERROR(__xludf.DUMMYFUNCTION("""COMPUTED_VALUE"""),1.0)</f>
        <v>1</v>
      </c>
      <c r="F313" s="1" t="str">
        <f>IFERROR(__xludf.DUMMYFUNCTION("""COMPUTED_VALUE""")," ++When the user would take damage from an enemy the damage is reflected back at all enemies instead, or you can choose to have the mirror absorb all damage taken from the first 2 attacks to add that damage on to your next attack, you may only choose up t"&amp;"o 5 targets for the damage to be reflected back at. The mirrors effect only lasts for your first 2 turns. +-Cannot be forged +-Cannot be duplicated")</f>
        <v> ++When the user would take damage from an enemy the damage is reflected back at all enemies instead, or you can choose to have the mirror absorb all damage taken from the first 2 attacks to add that damage on to your next attack, you may only choose up to 5 targets for the damage to be reflected back at. The mirrors effect only lasts for your first 2 turns. +-Cannot be forged +-Cannot be duplicated</v>
      </c>
      <c r="G313" s="1">
        <f>IFERROR(__xludf.DUMMYFUNCTION("""COMPUTED_VALUE"""),0.0)</f>
        <v>0</v>
      </c>
      <c r="H313" s="1"/>
      <c r="I313" s="1"/>
      <c r="J313" s="1"/>
      <c r="K313" s="1"/>
      <c r="L313" s="1"/>
      <c r="M313" s="1"/>
      <c r="N313" s="1"/>
      <c r="O313" s="1"/>
      <c r="P313" s="1"/>
      <c r="Q313" s="1"/>
      <c r="R313" s="1"/>
      <c r="S313" s="1"/>
      <c r="T313" s="1"/>
      <c r="U313" s="1"/>
      <c r="V313" s="1"/>
      <c r="W313" s="1"/>
      <c r="X313" s="1"/>
      <c r="Y313" s="1"/>
      <c r="Z313" s="1"/>
    </row>
    <row r="314">
      <c r="A314" s="1" t="str">
        <f>IFERROR(__xludf.DUMMYFUNCTION("""COMPUTED_VALUE"""),"The Puppet Masters Amulet")</f>
        <v>The Puppet Masters Amulet</v>
      </c>
      <c r="B314" s="1"/>
      <c r="C314" s="1"/>
      <c r="D314" s="1" t="str">
        <f>IFERROR(__xludf.DUMMYFUNCTION("""COMPUTED_VALUE"""),"Neck")</f>
        <v>Neck</v>
      </c>
      <c r="E314" s="1">
        <f>IFERROR(__xludf.DUMMYFUNCTION("""COMPUTED_VALUE"""),1.0)</f>
        <v>1</v>
      </c>
      <c r="F314" s="1" t="str">
        <f>IFERROR(__xludf.DUMMYFUNCTION("""COMPUTED_VALUE""")," ++Immune to possession.  +-Cannot be duplicated.")</f>
        <v> ++Immune to possession.  +-Cannot be duplicated.</v>
      </c>
      <c r="G314" s="1">
        <f>IFERROR(__xludf.DUMMYFUNCTION("""COMPUTED_VALUE"""),0.0)</f>
        <v>0</v>
      </c>
      <c r="H314" s="1"/>
      <c r="I314" s="1"/>
      <c r="J314" s="1"/>
      <c r="K314" s="1"/>
      <c r="L314" s="1"/>
      <c r="M314" s="1"/>
      <c r="N314" s="1"/>
      <c r="O314" s="1"/>
      <c r="P314" s="1"/>
      <c r="Q314" s="1"/>
      <c r="R314" s="1"/>
      <c r="S314" s="1"/>
      <c r="T314" s="1"/>
      <c r="U314" s="1"/>
      <c r="V314" s="1"/>
      <c r="W314" s="1"/>
      <c r="X314" s="1"/>
      <c r="Y314" s="1"/>
      <c r="Z314" s="1"/>
    </row>
    <row r="315">
      <c r="A315" s="1" t="str">
        <f>IFERROR(__xludf.DUMMYFUNCTION("""COMPUTED_VALUE"""),"The Puppet Masters Cloak")</f>
        <v>The Puppet Masters Cloak</v>
      </c>
      <c r="B315" s="1"/>
      <c r="C315" s="1"/>
      <c r="D315" s="1" t="str">
        <f>IFERROR(__xludf.DUMMYFUNCTION("""COMPUTED_VALUE"""),"Torso")</f>
        <v>Torso</v>
      </c>
      <c r="E315" s="1">
        <f>IFERROR(__xludf.DUMMYFUNCTION("""COMPUTED_VALUE"""),1.0)</f>
        <v>1</v>
      </c>
      <c r="F315" s="1" t="str">
        <f>IFERROR(__xludf.DUMMYFUNCTION("""COMPUTED_VALUE""")," ++User and allies gain immunity to chaos and dark damage while in the party. +-Cannot be duplicated")</f>
        <v> ++User and allies gain immunity to chaos and dark damage while in the party. +-Cannot be duplicated</v>
      </c>
      <c r="G315" s="1">
        <f>IFERROR(__xludf.DUMMYFUNCTION("""COMPUTED_VALUE"""),0.0)</f>
        <v>0</v>
      </c>
      <c r="H315" s="1"/>
      <c r="I315" s="1"/>
      <c r="J315" s="1"/>
      <c r="K315" s="1"/>
      <c r="L315" s="1"/>
      <c r="M315" s="1"/>
      <c r="N315" s="1"/>
      <c r="O315" s="1"/>
      <c r="P315" s="1"/>
      <c r="Q315" s="1"/>
      <c r="R315" s="1"/>
      <c r="S315" s="1"/>
      <c r="T315" s="1"/>
      <c r="U315" s="1"/>
      <c r="V315" s="1"/>
      <c r="W315" s="1"/>
      <c r="X315" s="1"/>
      <c r="Y315" s="1"/>
      <c r="Z315" s="1"/>
    </row>
    <row r="316">
      <c r="A316" s="1" t="str">
        <f>IFERROR(__xludf.DUMMYFUNCTION("""COMPUTED_VALUE"""),"The Puppet Masters Ring")</f>
        <v>The Puppet Masters Ring</v>
      </c>
      <c r="B316" s="1"/>
      <c r="C316" s="1"/>
      <c r="D316" s="1" t="str">
        <f>IFERROR(__xludf.DUMMYFUNCTION("""COMPUTED_VALUE"""),"Ring")</f>
        <v>Ring</v>
      </c>
      <c r="E316" s="1">
        <f>IFERROR(__xludf.DUMMYFUNCTION("""COMPUTED_VALUE"""),1.0)</f>
        <v>1</v>
      </c>
      <c r="F316" s="1" t="str">
        <f>IFERROR(__xludf.DUMMYFUNCTION("""COMPUTED_VALUE""")," ++Take control of a target of choice. Fail/Succeed roll, (This effect counts as a possession)  +-Cannot be duplicated.")</f>
        <v> ++Take control of a target of choice. Fail/Succeed roll, (This effect counts as a possession)  +-Cannot be duplicated.</v>
      </c>
      <c r="G316" s="1">
        <f>IFERROR(__xludf.DUMMYFUNCTION("""COMPUTED_VALUE"""),0.0)</f>
        <v>0</v>
      </c>
      <c r="H316" s="1"/>
      <c r="I316" s="1"/>
      <c r="J316" s="1"/>
      <c r="K316" s="1"/>
      <c r="L316" s="1"/>
      <c r="M316" s="1"/>
      <c r="N316" s="1"/>
      <c r="O316" s="1"/>
      <c r="P316" s="1"/>
      <c r="Q316" s="1"/>
      <c r="R316" s="1"/>
      <c r="S316" s="1"/>
      <c r="T316" s="1"/>
      <c r="U316" s="1"/>
      <c r="V316" s="1"/>
      <c r="W316" s="1"/>
      <c r="X316" s="1"/>
      <c r="Y316" s="1"/>
      <c r="Z316" s="1"/>
    </row>
    <row r="317">
      <c r="A317" s="1" t="str">
        <f>IFERROR(__xludf.DUMMYFUNCTION("""COMPUTED_VALUE"""),"The Red Sword")</f>
        <v>The Red Sword</v>
      </c>
      <c r="B317" s="1" t="str">
        <f>IFERROR(__xludf.DUMMYFUNCTION("""COMPUTED_VALUE"""),"A Sword that was made of Vampire’s Blood")</f>
        <v>A Sword that was made of Vampire’s Blood</v>
      </c>
      <c r="C317" s="1" t="str">
        <f>IFERROR(__xludf.DUMMYFUNCTION("""COMPUTED_VALUE"""),"Sword")</f>
        <v>Sword</v>
      </c>
      <c r="D317" s="1" t="str">
        <f>IFERROR(__xludf.DUMMYFUNCTION("""COMPUTED_VALUE"""),"Hand")</f>
        <v>Hand</v>
      </c>
      <c r="E317" s="1">
        <f>IFERROR(__xludf.DUMMYFUNCTION("""COMPUTED_VALUE"""),1.0)</f>
        <v>1</v>
      </c>
      <c r="F317" s="1" t="str">
        <f>IFERROR(__xludf.DUMMYFUNCTION("""COMPUTED_VALUE"""),"DMG: +300")</f>
        <v>DMG: +300</v>
      </c>
      <c r="G317" s="1">
        <f>IFERROR(__xludf.DUMMYFUNCTION("""COMPUTED_VALUE"""),0.0)</f>
        <v>0</v>
      </c>
      <c r="H317" s="1"/>
      <c r="I317" s="1"/>
      <c r="J317" s="1"/>
      <c r="K317" s="1"/>
      <c r="L317" s="1"/>
      <c r="M317" s="1"/>
      <c r="N317" s="1"/>
      <c r="O317" s="1"/>
      <c r="P317" s="1"/>
      <c r="Q317" s="1"/>
      <c r="R317" s="1"/>
      <c r="S317" s="1"/>
      <c r="T317" s="1"/>
      <c r="U317" s="1"/>
      <c r="V317" s="1"/>
      <c r="W317" s="1"/>
      <c r="X317" s="1"/>
      <c r="Y317" s="1"/>
      <c r="Z317" s="1"/>
    </row>
    <row r="318">
      <c r="A318" s="1" t="str">
        <f>IFERROR(__xludf.DUMMYFUNCTION("""COMPUTED_VALUE"""),"The Servants Sword")</f>
        <v>The Servants Sword</v>
      </c>
      <c r="B318" s="1"/>
      <c r="C318" s="1" t="str">
        <f>IFERROR(__xludf.DUMMYFUNCTION("""COMPUTED_VALUE"""),"Sword")</f>
        <v>Sword</v>
      </c>
      <c r="D318" s="1" t="str">
        <f>IFERROR(__xludf.DUMMYFUNCTION("""COMPUTED_VALUE"""),"Hand")</f>
        <v>Hand</v>
      </c>
      <c r="E318" s="1">
        <f>IFERROR(__xludf.DUMMYFUNCTION("""COMPUTED_VALUE"""),600.0)</f>
        <v>600</v>
      </c>
      <c r="F318" s="1" t="str">
        <f>IFERROR(__xludf.DUMMYFUNCTION("""COMPUTED_VALUE"""),"DMG: +20000, Chaos DMG: +10000")</f>
        <v>DMG: +20000, Chaos DMG: +10000</v>
      </c>
      <c r="G318" s="1">
        <f>IFERROR(__xludf.DUMMYFUNCTION("""COMPUTED_VALUE"""),1.77E7)</f>
        <v>17700000</v>
      </c>
      <c r="H318" s="1"/>
      <c r="I318" s="1"/>
      <c r="J318" s="1"/>
      <c r="K318" s="1"/>
      <c r="L318" s="1"/>
      <c r="M318" s="1"/>
      <c r="N318" s="1"/>
      <c r="O318" s="1"/>
      <c r="P318" s="1"/>
      <c r="Q318" s="1"/>
      <c r="R318" s="1"/>
      <c r="S318" s="1"/>
      <c r="T318" s="1"/>
      <c r="U318" s="1"/>
      <c r="V318" s="1"/>
      <c r="W318" s="1"/>
      <c r="X318" s="1"/>
      <c r="Y318" s="1"/>
      <c r="Z318" s="1"/>
    </row>
    <row r="319">
      <c r="A319" s="1" t="str">
        <f>IFERROR(__xludf.DUMMYFUNCTION("""COMPUTED_VALUE"""),"The Shield of Foul Night")</f>
        <v>The Shield of Foul Night</v>
      </c>
      <c r="B319" s="1"/>
      <c r="C319" s="1" t="str">
        <f>IFERROR(__xludf.DUMMYFUNCTION("""COMPUTED_VALUE"""),"Buckler")</f>
        <v>Buckler</v>
      </c>
      <c r="D319" s="1" t="str">
        <f>IFERROR(__xludf.DUMMYFUNCTION("""COMPUTED_VALUE"""),"Hand")</f>
        <v>Hand</v>
      </c>
      <c r="E319" s="1">
        <f>IFERROR(__xludf.DUMMYFUNCTION("""COMPUTED_VALUE"""),200.0)</f>
        <v>200</v>
      </c>
      <c r="F319" s="1" t="str">
        <f>IFERROR(__xludf.DUMMYFUNCTION("""COMPUTED_VALUE"""),"DEF: +5000, Nature DEF: +5000 (Foul Night Set) ++Nature Immunity, Poison Immunity")</f>
        <v>DEF: +5000, Nature DEF: +5000 (Foul Night Set) ++Nature Immunity, Poison Immunity</v>
      </c>
      <c r="G319" s="1">
        <f>IFERROR(__xludf.DUMMYFUNCTION("""COMPUTED_VALUE"""),1900000.0)</f>
        <v>1900000</v>
      </c>
      <c r="H319" s="1"/>
      <c r="I319" s="1"/>
      <c r="J319" s="1"/>
      <c r="K319" s="1"/>
      <c r="L319" s="1"/>
      <c r="M319" s="1"/>
      <c r="N319" s="1"/>
      <c r="O319" s="1"/>
      <c r="P319" s="1"/>
      <c r="Q319" s="1"/>
      <c r="R319" s="1"/>
      <c r="S319" s="1"/>
      <c r="T319" s="1"/>
      <c r="U319" s="1"/>
      <c r="V319" s="1"/>
      <c r="W319" s="1"/>
      <c r="X319" s="1"/>
      <c r="Y319" s="1"/>
      <c r="Z319" s="1"/>
    </row>
    <row r="320">
      <c r="A320" s="1" t="str">
        <f>IFERROR(__xludf.DUMMYFUNCTION("""COMPUTED_VALUE"""),"The Staff of  Haunted Bones")</f>
        <v>The Staff of  Haunted Bones</v>
      </c>
      <c r="B320" s="1" t="str">
        <f>IFERROR(__xludf.DUMMYFUNCTION("""COMPUTED_VALUE"""),"Halloween exclusive")</f>
        <v>Halloween exclusive</v>
      </c>
      <c r="C320" s="1" t="str">
        <f>IFERROR(__xludf.DUMMYFUNCTION("""COMPUTED_VALUE"""),"Staff")</f>
        <v>Staff</v>
      </c>
      <c r="D320" s="1" t="str">
        <f>IFERROR(__xludf.DUMMYFUNCTION("""COMPUTED_VALUE"""),"Hand")</f>
        <v>Hand</v>
      </c>
      <c r="E320" s="1">
        <f>IFERROR(__xludf.DUMMYFUNCTION("""COMPUTED_VALUE"""),1.0)</f>
        <v>1</v>
      </c>
      <c r="F320" s="1" t="str">
        <f>IFERROR(__xludf.DUMMYFUNCTION("""COMPUTED_VALUE""")," X2 additional Dark, Chaos, and Spirit damage.")</f>
        <v> X2 additional Dark, Chaos, and Spirit damage.</v>
      </c>
      <c r="G320" s="1">
        <f>IFERROR(__xludf.DUMMYFUNCTION("""COMPUTED_VALUE"""),0.0)</f>
        <v>0</v>
      </c>
      <c r="H320" s="1"/>
      <c r="I320" s="1"/>
      <c r="J320" s="1"/>
      <c r="K320" s="1"/>
      <c r="L320" s="1"/>
      <c r="M320" s="1"/>
      <c r="N320" s="1"/>
      <c r="O320" s="1"/>
      <c r="P320" s="1"/>
      <c r="Q320" s="1"/>
      <c r="R320" s="1"/>
      <c r="S320" s="1"/>
      <c r="T320" s="1"/>
      <c r="U320" s="1"/>
      <c r="V320" s="1"/>
      <c r="W320" s="1"/>
      <c r="X320" s="1"/>
      <c r="Y320" s="1"/>
      <c r="Z320" s="1"/>
    </row>
    <row r="321">
      <c r="A321" s="1" t="str">
        <f>IFERROR(__xludf.DUMMYFUNCTION("""COMPUTED_VALUE"""),"The Staff of the Aquas")</f>
        <v>The Staff of the Aquas</v>
      </c>
      <c r="B321" s="1"/>
      <c r="C321" s="1" t="str">
        <f>IFERROR(__xludf.DUMMYFUNCTION("""COMPUTED_VALUE"""),"Staff")</f>
        <v>Staff</v>
      </c>
      <c r="D321" s="1" t="str">
        <f>IFERROR(__xludf.DUMMYFUNCTION("""COMPUTED_VALUE"""),"Hand")</f>
        <v>Hand</v>
      </c>
      <c r="E321" s="1">
        <f>IFERROR(__xludf.DUMMYFUNCTION("""COMPUTED_VALUE"""),1.0)</f>
        <v>1</v>
      </c>
      <c r="F321" s="1" t="str">
        <f>IFERROR(__xludf.DUMMYFUNCTION("""COMPUTED_VALUE""")," ++All Water Spells Deal x3 damage and cost half sp to use.")</f>
        <v> ++All Water Spells Deal x3 damage and cost half sp to use.</v>
      </c>
      <c r="G321" s="1">
        <f>IFERROR(__xludf.DUMMYFUNCTION("""COMPUTED_VALUE"""),0.0)</f>
        <v>0</v>
      </c>
      <c r="H321" s="1"/>
      <c r="I321" s="1"/>
      <c r="J321" s="1"/>
      <c r="K321" s="1"/>
      <c r="L321" s="1"/>
      <c r="M321" s="1"/>
      <c r="N321" s="1"/>
      <c r="O321" s="1"/>
      <c r="P321" s="1"/>
      <c r="Q321" s="1"/>
      <c r="R321" s="1"/>
      <c r="S321" s="1"/>
      <c r="T321" s="1"/>
      <c r="U321" s="1"/>
      <c r="V321" s="1"/>
      <c r="W321" s="1"/>
      <c r="X321" s="1"/>
      <c r="Y321" s="1"/>
      <c r="Z321" s="1"/>
    </row>
    <row r="322">
      <c r="A322" s="1" t="str">
        <f>IFERROR(__xludf.DUMMYFUNCTION("""COMPUTED_VALUE"""),"The Staff of The Pumpkin’s Curse")</f>
        <v>The Staff of The Pumpkin’s Curse</v>
      </c>
      <c r="B322" s="1"/>
      <c r="C322" s="1" t="str">
        <f>IFERROR(__xludf.DUMMYFUNCTION("""COMPUTED_VALUE"""),"Staff")</f>
        <v>Staff</v>
      </c>
      <c r="D322" s="1" t="str">
        <f>IFERROR(__xludf.DUMMYFUNCTION("""COMPUTED_VALUE"""),"Hand")</f>
        <v>Hand</v>
      </c>
      <c r="E322" s="1">
        <f>IFERROR(__xludf.DUMMYFUNCTION("""COMPUTED_VALUE"""),1.0)</f>
        <v>1</v>
      </c>
      <c r="F322" s="1" t="str">
        <f>IFERROR(__xludf.DUMMYFUNCTION("""COMPUTED_VALUE""")," ++ Select a target, Any Fire Nature and Dark damage the target deals halved, Fail/Succeed.")</f>
        <v> ++ Select a target, Any Fire Nature and Dark damage the target deals halved, Fail/Succeed.</v>
      </c>
      <c r="G322" s="1">
        <f>IFERROR(__xludf.DUMMYFUNCTION("""COMPUTED_VALUE"""),0.0)</f>
        <v>0</v>
      </c>
      <c r="H322" s="1"/>
      <c r="I322" s="1"/>
      <c r="J322" s="1"/>
      <c r="K322" s="1"/>
      <c r="L322" s="1"/>
      <c r="M322" s="1"/>
      <c r="N322" s="1"/>
      <c r="O322" s="1"/>
      <c r="P322" s="1"/>
      <c r="Q322" s="1"/>
      <c r="R322" s="1"/>
      <c r="S322" s="1"/>
      <c r="T322" s="1"/>
      <c r="U322" s="1"/>
      <c r="V322" s="1"/>
      <c r="W322" s="1"/>
      <c r="X322" s="1"/>
      <c r="Y322" s="1"/>
      <c r="Z322" s="1"/>
    </row>
    <row r="323">
      <c r="A323" s="1" t="str">
        <f>IFERROR(__xludf.DUMMYFUNCTION("""COMPUTED_VALUE"""),"The Stick of the Panda")</f>
        <v>The Stick of the Panda</v>
      </c>
      <c r="B323" s="1"/>
      <c r="C323" s="1" t="str">
        <f>IFERROR(__xludf.DUMMYFUNCTION("""COMPUTED_VALUE"""),"Club")</f>
        <v>Club</v>
      </c>
      <c r="D323" s="1" t="str">
        <f>IFERROR(__xludf.DUMMYFUNCTION("""COMPUTED_VALUE"""),"Hand")</f>
        <v>Hand</v>
      </c>
      <c r="E323" s="1">
        <f>IFERROR(__xludf.DUMMYFUNCTION("""COMPUTED_VALUE"""),400.0)</f>
        <v>400</v>
      </c>
      <c r="F323" s="1" t="str">
        <f>IFERROR(__xludf.DUMMYFUNCTION("""COMPUTED_VALUE"""),"DMG: +10000, Nature DMG: +10000 ++When you find an herb you get 2 of the herb found instead of 1. +-Cannot be duplicated")</f>
        <v>DMG: +10000, Nature DMG: +10000 ++When you find an herb you get 2 of the herb found instead of 1. +-Cannot be duplicated</v>
      </c>
      <c r="G323" s="1">
        <f>IFERROR(__xludf.DUMMYFUNCTION("""COMPUTED_VALUE"""),7800000.0)</f>
        <v>7800000</v>
      </c>
      <c r="H323" s="1"/>
      <c r="I323" s="1"/>
      <c r="J323" s="1"/>
      <c r="K323" s="1"/>
      <c r="L323" s="1"/>
      <c r="M323" s="1"/>
      <c r="N323" s="1"/>
      <c r="O323" s="1"/>
      <c r="P323" s="1"/>
      <c r="Q323" s="1"/>
      <c r="R323" s="1"/>
      <c r="S323" s="1"/>
      <c r="T323" s="1"/>
      <c r="U323" s="1"/>
      <c r="V323" s="1"/>
      <c r="W323" s="1"/>
      <c r="X323" s="1"/>
      <c r="Y323" s="1"/>
      <c r="Z323" s="1"/>
    </row>
    <row r="324">
      <c r="A324" s="1" t="str">
        <f>IFERROR(__xludf.DUMMYFUNCTION("""COMPUTED_VALUE"""),"The Sword Of Death")</f>
        <v>The Sword Of Death</v>
      </c>
      <c r="B324" s="1"/>
      <c r="C324" s="1" t="str">
        <f>IFERROR(__xludf.DUMMYFUNCTION("""COMPUTED_VALUE"""),"Sword")</f>
        <v>Sword</v>
      </c>
      <c r="D324" s="1" t="str">
        <f>IFERROR(__xludf.DUMMYFUNCTION("""COMPUTED_VALUE"""),"Hand")</f>
        <v>Hand</v>
      </c>
      <c r="E324" s="1">
        <f>IFERROR(__xludf.DUMMYFUNCTION("""COMPUTED_VALUE"""),1.0)</f>
        <v>1</v>
      </c>
      <c r="F324" s="1" t="str">
        <f>IFERROR(__xludf.DUMMYFUNCTION("""COMPUTED_VALUE"""),"DMG: +250")</f>
        <v>DMG: +250</v>
      </c>
      <c r="G324" s="1">
        <f>IFERROR(__xludf.DUMMYFUNCTION("""COMPUTED_VALUE"""),0.0)</f>
        <v>0</v>
      </c>
      <c r="H324" s="1"/>
      <c r="I324" s="1"/>
      <c r="J324" s="1"/>
      <c r="K324" s="1"/>
      <c r="L324" s="1"/>
      <c r="M324" s="1"/>
      <c r="N324" s="1"/>
      <c r="O324" s="1"/>
      <c r="P324" s="1"/>
      <c r="Q324" s="1"/>
      <c r="R324" s="1"/>
      <c r="S324" s="1"/>
      <c r="T324" s="1"/>
      <c r="U324" s="1"/>
      <c r="V324" s="1"/>
      <c r="W324" s="1"/>
      <c r="X324" s="1"/>
      <c r="Y324" s="1"/>
      <c r="Z324" s="1"/>
    </row>
    <row r="325">
      <c r="A325" s="1" t="str">
        <f>IFERROR(__xludf.DUMMYFUNCTION("""COMPUTED_VALUE"""),"The Sword Of Easter's Gathering (Exclusive)")</f>
        <v>The Sword Of Easter's Gathering (Exclusive)</v>
      </c>
      <c r="B325" s="1"/>
      <c r="C325" s="1" t="str">
        <f>IFERROR(__xludf.DUMMYFUNCTION("""COMPUTED_VALUE"""),"Sword")</f>
        <v>Sword</v>
      </c>
      <c r="D325" s="1" t="str">
        <f>IFERROR(__xludf.DUMMYFUNCTION("""COMPUTED_VALUE"""),"Hand")</f>
        <v>Hand</v>
      </c>
      <c r="E325" s="1">
        <f>IFERROR(__xludf.DUMMYFUNCTION("""COMPUTED_VALUE"""),200.0)</f>
        <v>200</v>
      </c>
      <c r="F325" s="1" t="str">
        <f>IFERROR(__xludf.DUMMYFUNCTION("""COMPUTED_VALUE"""),", Nature DMG: +10000, Celestial DMG: +10000 ++Doubles all elemental damage when held, ++2 on all rolls while in battle, +-Cannot be forged +-Cannot be duplicated")</f>
        <v>, Nature DMG: +10000, Celestial DMG: +10000 ++Doubles all elemental damage when held, ++2 on all rolls while in battle, +-Cannot be forged +-Cannot be duplicated</v>
      </c>
      <c r="G325" s="1">
        <f>IFERROR(__xludf.DUMMYFUNCTION("""COMPUTED_VALUE"""),7800000.0)</f>
        <v>7800000</v>
      </c>
      <c r="H325" s="1"/>
      <c r="I325" s="1"/>
      <c r="J325" s="1"/>
      <c r="K325" s="1"/>
      <c r="L325" s="1"/>
      <c r="M325" s="1"/>
      <c r="N325" s="1"/>
      <c r="O325" s="1"/>
      <c r="P325" s="1"/>
      <c r="Q325" s="1"/>
      <c r="R325" s="1"/>
      <c r="S325" s="1"/>
      <c r="T325" s="1"/>
      <c r="U325" s="1"/>
      <c r="V325" s="1"/>
      <c r="W325" s="1"/>
      <c r="X325" s="1"/>
      <c r="Y325" s="1"/>
      <c r="Z325" s="1"/>
    </row>
    <row r="326">
      <c r="A326" s="1" t="str">
        <f>IFERROR(__xludf.DUMMYFUNCTION("""COMPUTED_VALUE"""),"The Sword of Manannán (Exclusive)")</f>
        <v>The Sword of Manannán (Exclusive)</v>
      </c>
      <c r="B326" s="1" t="str">
        <f>IFERROR(__xludf.DUMMYFUNCTION("""COMPUTED_VALUE"""),"Lugh's Sword he wielded in battle")</f>
        <v>Lugh's Sword he wielded in battle</v>
      </c>
      <c r="C326" s="1" t="str">
        <f>IFERROR(__xludf.DUMMYFUNCTION("""COMPUTED_VALUE"""),"Sword")</f>
        <v>Sword</v>
      </c>
      <c r="D326" s="1" t="str">
        <f>IFERROR(__xludf.DUMMYFUNCTION("""COMPUTED_VALUE"""),"Hand")</f>
        <v>Hand</v>
      </c>
      <c r="E326" s="1">
        <f>IFERROR(__xludf.DUMMYFUNCTION("""COMPUTED_VALUE"""),200.0)</f>
        <v>200</v>
      </c>
      <c r="F326" s="1" t="str">
        <f>IFERROR(__xludf.DUMMYFUNCTION("""COMPUTED_VALUE"""),"DMG: +75000, Celestial DMG: +75000 ++Intimidation and Charisma stat is double while equipped")</f>
        <v>DMG: +75000, Celestial DMG: +75000 ++Intimidation and Charisma stat is double while equipped</v>
      </c>
      <c r="G326" s="1">
        <f>IFERROR(__xludf.DUMMYFUNCTION("""COMPUTED_VALUE"""),4.485E8)</f>
        <v>448500000</v>
      </c>
      <c r="H326" s="1"/>
      <c r="I326" s="1"/>
      <c r="J326" s="1"/>
      <c r="K326" s="1"/>
      <c r="L326" s="1"/>
      <c r="M326" s="1"/>
      <c r="N326" s="1"/>
      <c r="O326" s="1"/>
      <c r="P326" s="1"/>
      <c r="Q326" s="1"/>
      <c r="R326" s="1"/>
      <c r="S326" s="1"/>
      <c r="T326" s="1"/>
      <c r="U326" s="1"/>
      <c r="V326" s="1"/>
      <c r="W326" s="1"/>
      <c r="X326" s="1"/>
      <c r="Y326" s="1"/>
      <c r="Z326" s="1"/>
    </row>
    <row r="327">
      <c r="A327" s="1" t="str">
        <f>IFERROR(__xludf.DUMMYFUNCTION("""COMPUTED_VALUE"""),"The Waking Ash of the Serpent’s Pendent")</f>
        <v>The Waking Ash of the Serpent’s Pendent</v>
      </c>
      <c r="B327" s="1"/>
      <c r="C327" s="1"/>
      <c r="D327" s="1" t="str">
        <f>IFERROR(__xludf.DUMMYFUNCTION("""COMPUTED_VALUE"""),"Neck")</f>
        <v>Neck</v>
      </c>
      <c r="E327" s="1">
        <f>IFERROR(__xludf.DUMMYFUNCTION("""COMPUTED_VALUE"""),1.0)</f>
        <v>1</v>
      </c>
      <c r="F327" s="1" t="str">
        <f>IFERROR(__xludf.DUMMYFUNCTION("""COMPUTED_VALUE""")," ++When attacked with a fire spell or fire weapon you may absorb the damage you take from that 1 attack and add the damage you would have taken to your next attack as additional fire damage, This effect can only be used once per battle. +-Cannot be duplic"&amp;"ated.")</f>
        <v> ++When attacked with a fire spell or fire weapon you may absorb the damage you take from that 1 attack and add the damage you would have taken to your next attack as additional fire damage, This effect can only be used once per battle. +-Cannot be duplicated.</v>
      </c>
      <c r="G327" s="1">
        <f>IFERROR(__xludf.DUMMYFUNCTION("""COMPUTED_VALUE"""),0.0)</f>
        <v>0</v>
      </c>
      <c r="H327" s="1"/>
      <c r="I327" s="1"/>
      <c r="J327" s="1"/>
      <c r="K327" s="1"/>
      <c r="L327" s="1"/>
      <c r="M327" s="1"/>
      <c r="N327" s="1"/>
      <c r="O327" s="1"/>
      <c r="P327" s="1"/>
      <c r="Q327" s="1"/>
      <c r="R327" s="1"/>
      <c r="S327" s="1"/>
      <c r="T327" s="1"/>
      <c r="U327" s="1"/>
      <c r="V327" s="1"/>
      <c r="W327" s="1"/>
      <c r="X327" s="1"/>
      <c r="Y327" s="1"/>
      <c r="Z327" s="1"/>
    </row>
    <row r="328">
      <c r="A328" s="1" t="str">
        <f>IFERROR(__xludf.DUMMYFUNCTION("""COMPUTED_VALUE"""),"The Wand of Aquatic Beasts")</f>
        <v>The Wand of Aquatic Beasts</v>
      </c>
      <c r="B328" s="1"/>
      <c r="C328" s="1" t="str">
        <f>IFERROR(__xludf.DUMMYFUNCTION("""COMPUTED_VALUE"""),"Wand")</f>
        <v>Wand</v>
      </c>
      <c r="D328" s="1" t="str">
        <f>IFERROR(__xludf.DUMMYFUNCTION("""COMPUTED_VALUE"""),"Hand")</f>
        <v>Hand</v>
      </c>
      <c r="E328" s="1">
        <f>IFERROR(__xludf.DUMMYFUNCTION("""COMPUTED_VALUE"""),1.0)</f>
        <v>1</v>
      </c>
      <c r="F328" s="1" t="str">
        <f>IFERROR(__xludf.DUMMYFUNCTION("""COMPUTED_VALUE""")," ++All water and storm spells are decreased by half sp.")</f>
        <v> ++All water and storm spells are decreased by half sp.</v>
      </c>
      <c r="G328" s="1">
        <f>IFERROR(__xludf.DUMMYFUNCTION("""COMPUTED_VALUE"""),0.0)</f>
        <v>0</v>
      </c>
      <c r="H328" s="1"/>
      <c r="I328" s="1"/>
      <c r="J328" s="1"/>
      <c r="K328" s="1"/>
      <c r="L328" s="1"/>
      <c r="M328" s="1"/>
      <c r="N328" s="1"/>
      <c r="O328" s="1"/>
      <c r="P328" s="1"/>
      <c r="Q328" s="1"/>
      <c r="R328" s="1"/>
      <c r="S328" s="1"/>
      <c r="T328" s="1"/>
      <c r="U328" s="1"/>
      <c r="V328" s="1"/>
      <c r="W328" s="1"/>
      <c r="X328" s="1"/>
      <c r="Y328" s="1"/>
      <c r="Z328" s="1"/>
    </row>
    <row r="329">
      <c r="A329" s="1" t="str">
        <f>IFERROR(__xludf.DUMMYFUNCTION("""COMPUTED_VALUE"""),"Titanic Two Hander")</f>
        <v>Titanic Two Hander</v>
      </c>
      <c r="B329" s="1"/>
      <c r="C329" s="1" t="str">
        <f>IFERROR(__xludf.DUMMYFUNCTION("""COMPUTED_VALUE"""),"Sword")</f>
        <v>Sword</v>
      </c>
      <c r="D329" s="1" t="str">
        <f>IFERROR(__xludf.DUMMYFUNCTION("""COMPUTED_VALUE"""),"Hand")</f>
        <v>Hand</v>
      </c>
      <c r="E329" s="1">
        <f>IFERROR(__xludf.DUMMYFUNCTION("""COMPUTED_VALUE"""),200.0)</f>
        <v>200</v>
      </c>
      <c r="F329" s="1" t="str">
        <f>IFERROR(__xludf.DUMMYFUNCTION("""COMPUTED_VALUE"""),"DMG: +10000")</f>
        <v>DMG: +10000</v>
      </c>
      <c r="G329" s="1">
        <f>IFERROR(__xludf.DUMMYFUNCTION("""COMPUTED_VALUE"""),1900000.0)</f>
        <v>1900000</v>
      </c>
      <c r="H329" s="1"/>
      <c r="I329" s="1"/>
      <c r="J329" s="1"/>
      <c r="K329" s="1"/>
      <c r="L329" s="1"/>
      <c r="M329" s="1"/>
      <c r="N329" s="1"/>
      <c r="O329" s="1"/>
      <c r="P329" s="1"/>
      <c r="Q329" s="1"/>
      <c r="R329" s="1"/>
      <c r="S329" s="1"/>
      <c r="T329" s="1"/>
      <c r="U329" s="1"/>
      <c r="V329" s="1"/>
      <c r="W329" s="1"/>
      <c r="X329" s="1"/>
      <c r="Y329" s="1"/>
      <c r="Z329" s="1"/>
    </row>
    <row r="330">
      <c r="A330" s="1" t="str">
        <f>IFERROR(__xludf.DUMMYFUNCTION("""COMPUTED_VALUE"""),"Top Hat")</f>
        <v>Top Hat</v>
      </c>
      <c r="B330" s="1" t="str">
        <f>IFERROR(__xludf.DUMMYFUNCTION("""COMPUTED_VALUE"""),"nothing like good ol abraham")</f>
        <v>nothing like good ol abraham</v>
      </c>
      <c r="C330" s="1"/>
      <c r="D330" s="1" t="str">
        <f>IFERROR(__xludf.DUMMYFUNCTION("""COMPUTED_VALUE"""),"Head")</f>
        <v>Head</v>
      </c>
      <c r="E330" s="1">
        <f>IFERROR(__xludf.DUMMYFUNCTION("""COMPUTED_VALUE"""),1.0)</f>
        <v>1</v>
      </c>
      <c r="F330" s="1" t="str">
        <f>IFERROR(__xludf.DUMMYFUNCTION("""COMPUTED_VALUE"""),"DEF: +1")</f>
        <v>DEF: +1</v>
      </c>
      <c r="G330" s="1">
        <f>IFERROR(__xludf.DUMMYFUNCTION("""COMPUTED_VALUE"""),0.0)</f>
        <v>0</v>
      </c>
      <c r="H330" s="1"/>
      <c r="I330" s="1"/>
      <c r="J330" s="1"/>
      <c r="K330" s="1"/>
      <c r="L330" s="1"/>
      <c r="M330" s="1"/>
      <c r="N330" s="1"/>
      <c r="O330" s="1"/>
      <c r="P330" s="1"/>
      <c r="Q330" s="1"/>
      <c r="R330" s="1"/>
      <c r="S330" s="1"/>
      <c r="T330" s="1"/>
      <c r="U330" s="1"/>
      <c r="V330" s="1"/>
      <c r="W330" s="1"/>
      <c r="X330" s="1"/>
      <c r="Y330" s="1"/>
      <c r="Z330" s="1"/>
    </row>
    <row r="331">
      <c r="A331" s="1" t="str">
        <f>IFERROR(__xludf.DUMMYFUNCTION("""COMPUTED_VALUE"""),"Trident")</f>
        <v>Trident</v>
      </c>
      <c r="B331" s="1"/>
      <c r="C331" s="1" t="str">
        <f>IFERROR(__xludf.DUMMYFUNCTION("""COMPUTED_VALUE"""),"Spear")</f>
        <v>Spear</v>
      </c>
      <c r="D331" s="1" t="str">
        <f>IFERROR(__xludf.DUMMYFUNCTION("""COMPUTED_VALUE"""),"Hand")</f>
        <v>Hand</v>
      </c>
      <c r="E331" s="1">
        <f>IFERROR(__xludf.DUMMYFUNCTION("""COMPUTED_VALUE"""),20.0)</f>
        <v>20</v>
      </c>
      <c r="F331" s="1" t="str">
        <f>IFERROR(__xludf.DUMMYFUNCTION("""COMPUTED_VALUE"""),"DMG: +600")</f>
        <v>DMG: +600</v>
      </c>
      <c r="G331" s="1">
        <f>IFERROR(__xludf.DUMMYFUNCTION("""COMPUTED_VALUE"""),1000.0)</f>
        <v>1000</v>
      </c>
      <c r="H331" s="1"/>
      <c r="I331" s="1"/>
      <c r="J331" s="1"/>
      <c r="K331" s="1"/>
      <c r="L331" s="1"/>
      <c r="M331" s="1"/>
      <c r="N331" s="1"/>
      <c r="O331" s="1"/>
      <c r="P331" s="1"/>
      <c r="Q331" s="1"/>
      <c r="R331" s="1"/>
      <c r="S331" s="1"/>
      <c r="T331" s="1"/>
      <c r="U331" s="1"/>
      <c r="V331" s="1"/>
      <c r="W331" s="1"/>
      <c r="X331" s="1"/>
      <c r="Y331" s="1"/>
      <c r="Z331" s="1"/>
    </row>
    <row r="332">
      <c r="A332" s="1" t="str">
        <f>IFERROR(__xludf.DUMMYFUNCTION("""COMPUTED_VALUE"""),"Tundra Staff")</f>
        <v>Tundra Staff</v>
      </c>
      <c r="B332" s="1"/>
      <c r="C332" s="1" t="str">
        <f>IFERROR(__xludf.DUMMYFUNCTION("""COMPUTED_VALUE"""),"Staff")</f>
        <v>Staff</v>
      </c>
      <c r="D332" s="1" t="str">
        <f>IFERROR(__xludf.DUMMYFUNCTION("""COMPUTED_VALUE"""),"Hand")</f>
        <v>Hand</v>
      </c>
      <c r="E332" s="1">
        <f>IFERROR(__xludf.DUMMYFUNCTION("""COMPUTED_VALUE"""),200.0)</f>
        <v>200</v>
      </c>
      <c r="F332" s="1" t="str">
        <f>IFERROR(__xludf.DUMMYFUNCTION("""COMPUTED_VALUE"""),", Earth : +10000 ++X2 Earth damage. +-Cannot be duplicated")</f>
        <v>, Earth : +10000 ++X2 Earth damage. +-Cannot be duplicated</v>
      </c>
      <c r="G332" s="1">
        <f>IFERROR(__xludf.DUMMYFUNCTION("""COMPUTED_VALUE"""),1900000.0)</f>
        <v>1900000</v>
      </c>
      <c r="H332" s="1"/>
      <c r="I332" s="1"/>
      <c r="J332" s="1"/>
      <c r="K332" s="1"/>
      <c r="L332" s="1"/>
      <c r="M332" s="1"/>
      <c r="N332" s="1"/>
      <c r="O332" s="1"/>
      <c r="P332" s="1"/>
      <c r="Q332" s="1"/>
      <c r="R332" s="1"/>
      <c r="S332" s="1"/>
      <c r="T332" s="1"/>
      <c r="U332" s="1"/>
      <c r="V332" s="1"/>
      <c r="W332" s="1"/>
      <c r="X332" s="1"/>
      <c r="Y332" s="1"/>
      <c r="Z332" s="1"/>
    </row>
    <row r="333">
      <c r="A333" s="1" t="str">
        <f>IFERROR(__xludf.DUMMYFUNCTION("""COMPUTED_VALUE"""),"Twilight Bow")</f>
        <v>Twilight Bow</v>
      </c>
      <c r="B333" s="1"/>
      <c r="C333" s="1" t="str">
        <f>IFERROR(__xludf.DUMMYFUNCTION("""COMPUTED_VALUE"""),"Bow")</f>
        <v>Bow</v>
      </c>
      <c r="D333" s="1" t="str">
        <f>IFERROR(__xludf.DUMMYFUNCTION("""COMPUTED_VALUE"""),"Hand")</f>
        <v>Hand</v>
      </c>
      <c r="E333" s="1">
        <f>IFERROR(__xludf.DUMMYFUNCTION("""COMPUTED_VALUE"""),400.0)</f>
        <v>400</v>
      </c>
      <c r="F333" s="1" t="str">
        <f>IFERROR(__xludf.DUMMYFUNCTION("""COMPUTED_VALUE"""),"DMG: +10000, Twilight DMG: +10000")</f>
        <v>DMG: +10000, Twilight DMG: +10000</v>
      </c>
      <c r="G333" s="1">
        <f>IFERROR(__xludf.DUMMYFUNCTION("""COMPUTED_VALUE"""),7800000.0)</f>
        <v>7800000</v>
      </c>
      <c r="H333" s="1"/>
      <c r="I333" s="1"/>
      <c r="J333" s="1"/>
      <c r="K333" s="1"/>
      <c r="L333" s="1"/>
      <c r="M333" s="1"/>
      <c r="N333" s="1"/>
      <c r="O333" s="1"/>
      <c r="P333" s="1"/>
      <c r="Q333" s="1"/>
      <c r="R333" s="1"/>
      <c r="S333" s="1"/>
      <c r="T333" s="1"/>
      <c r="U333" s="1"/>
      <c r="V333" s="1"/>
      <c r="W333" s="1"/>
      <c r="X333" s="1"/>
      <c r="Y333" s="1"/>
      <c r="Z333" s="1"/>
    </row>
    <row r="334">
      <c r="A334" s="1" t="str">
        <f>IFERROR(__xludf.DUMMYFUNCTION("""COMPUTED_VALUE"""),"Twilight Crystal Sword of Evil's Bane")</f>
        <v>Twilight Crystal Sword of Evil's Bane</v>
      </c>
      <c r="B334" s="1" t="str">
        <f>IFERROR(__xludf.DUMMYFUNCTION("""COMPUTED_VALUE"""),"Halloween Event Exclusive Item")</f>
        <v>Halloween Event Exclusive Item</v>
      </c>
      <c r="C334" s="1" t="str">
        <f>IFERROR(__xludf.DUMMYFUNCTION("""COMPUTED_VALUE"""),"Sword")</f>
        <v>Sword</v>
      </c>
      <c r="D334" s="1" t="str">
        <f>IFERROR(__xludf.DUMMYFUNCTION("""COMPUTED_VALUE"""),"Hand")</f>
        <v>Hand</v>
      </c>
      <c r="E334" s="1">
        <f>IFERROR(__xludf.DUMMYFUNCTION("""COMPUTED_VALUE"""),200.0)</f>
        <v>200</v>
      </c>
      <c r="F334" s="1" t="str">
        <f>IFERROR(__xludf.DUMMYFUNCTION("""COMPUTED_VALUE"""),"DMG: +20000, Twilight DMG: +20000, Celestial DMG: +10000 ++X4 Order, Light, Chaos, and Dark damage for the user and party. +-Cannot be forged +-Cannot be duplicated")</f>
        <v>DMG: +20000, Twilight DMG: +20000, Celestial DMG: +10000 ++X4 Order, Light, Chaos, and Dark damage for the user and party. +-Cannot be forged +-Cannot be duplicated</v>
      </c>
      <c r="G334" s="1">
        <f>IFERROR(__xludf.DUMMYFUNCTION("""COMPUTED_VALUE"""),4.95E7)</f>
        <v>49500000</v>
      </c>
      <c r="H334" s="1"/>
      <c r="I334" s="1"/>
      <c r="J334" s="1"/>
      <c r="K334" s="1"/>
      <c r="L334" s="1"/>
      <c r="M334" s="1"/>
      <c r="N334" s="1"/>
      <c r="O334" s="1"/>
      <c r="P334" s="1"/>
      <c r="Q334" s="1"/>
      <c r="R334" s="1"/>
      <c r="S334" s="1"/>
      <c r="T334" s="1"/>
      <c r="U334" s="1"/>
      <c r="V334" s="1"/>
      <c r="W334" s="1"/>
      <c r="X334" s="1"/>
      <c r="Y334" s="1"/>
      <c r="Z334" s="1"/>
    </row>
    <row r="335">
      <c r="A335" s="1" t="str">
        <f>IFERROR(__xludf.DUMMYFUNCTION("""COMPUTED_VALUE"""),"Twilight Sword")</f>
        <v>Twilight Sword</v>
      </c>
      <c r="B335" s="1"/>
      <c r="C335" s="1" t="str">
        <f>IFERROR(__xludf.DUMMYFUNCTION("""COMPUTED_VALUE"""),"Sword")</f>
        <v>Sword</v>
      </c>
      <c r="D335" s="1" t="str">
        <f>IFERROR(__xludf.DUMMYFUNCTION("""COMPUTED_VALUE"""),"Hand")</f>
        <v>Hand</v>
      </c>
      <c r="E335" s="1">
        <f>IFERROR(__xludf.DUMMYFUNCTION("""COMPUTED_VALUE"""),20.0)</f>
        <v>20</v>
      </c>
      <c r="F335" s="1" t="str">
        <f>IFERROR(__xludf.DUMMYFUNCTION("""COMPUTED_VALUE"""),"DMG: +500, Twilight DMG: +200")</f>
        <v>DMG: +500, Twilight DMG: +200</v>
      </c>
      <c r="G335" s="1">
        <f>IFERROR(__xludf.DUMMYFUNCTION("""COMPUTED_VALUE"""),1000.0)</f>
        <v>1000</v>
      </c>
      <c r="H335" s="1"/>
      <c r="I335" s="1"/>
      <c r="J335" s="1"/>
      <c r="K335" s="1"/>
      <c r="L335" s="1"/>
      <c r="M335" s="1"/>
      <c r="N335" s="1"/>
      <c r="O335" s="1"/>
      <c r="P335" s="1"/>
      <c r="Q335" s="1"/>
      <c r="R335" s="1"/>
      <c r="S335" s="1"/>
      <c r="T335" s="1"/>
      <c r="U335" s="1"/>
      <c r="V335" s="1"/>
      <c r="W335" s="1"/>
      <c r="X335" s="1"/>
      <c r="Y335" s="1"/>
      <c r="Z335" s="1"/>
    </row>
    <row r="336">
      <c r="A336" s="1" t="str">
        <f>IFERROR(__xludf.DUMMYFUNCTION("""COMPUTED_VALUE"""),"Unknown Amulet")</f>
        <v>Unknown Amulet</v>
      </c>
      <c r="B336" s="1"/>
      <c r="C336" s="1"/>
      <c r="D336" s="1" t="str">
        <f>IFERROR(__xludf.DUMMYFUNCTION("""COMPUTED_VALUE"""),"Neck")</f>
        <v>Neck</v>
      </c>
      <c r="E336" s="1">
        <f>IFERROR(__xludf.DUMMYFUNCTION("""COMPUTED_VALUE"""),1.0)</f>
        <v>1</v>
      </c>
      <c r="F336" s="1" t="str">
        <f>IFERROR(__xludf.DUMMYFUNCTION("""COMPUTED_VALUE""")," ++At the beginning of battle, roll a d20. If the number is 1-5, everyone in the battle loses 1 HP. If the number is 6-10, all enemies lose 25% of their current HP. If the number is 11-19, the wearer loses 40% current HP. If the number is 20, the battle i"&amp;"s instantly won. (If you roll above a 20 , double your loot amount of each item)")</f>
        <v>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v>
      </c>
      <c r="G336" s="1">
        <f>IFERROR(__xludf.DUMMYFUNCTION("""COMPUTED_VALUE"""),0.0)</f>
        <v>0</v>
      </c>
      <c r="H336" s="1"/>
      <c r="I336" s="1"/>
      <c r="J336" s="1"/>
      <c r="K336" s="1"/>
      <c r="L336" s="1"/>
      <c r="M336" s="1"/>
      <c r="N336" s="1"/>
      <c r="O336" s="1"/>
      <c r="P336" s="1"/>
      <c r="Q336" s="1"/>
      <c r="R336" s="1"/>
      <c r="S336" s="1"/>
      <c r="T336" s="1"/>
      <c r="U336" s="1"/>
      <c r="V336" s="1"/>
      <c r="W336" s="1"/>
      <c r="X336" s="1"/>
      <c r="Y336" s="1"/>
      <c r="Z336" s="1"/>
    </row>
    <row r="337">
      <c r="A337" s="1" t="str">
        <f>IFERROR(__xludf.DUMMYFUNCTION("""COMPUTED_VALUE"""),"Vambraces of Waking Waters")</f>
        <v>Vambraces of Waking Waters</v>
      </c>
      <c r="B337" s="1"/>
      <c r="C337" s="1"/>
      <c r="D337" s="1" t="str">
        <f>IFERROR(__xludf.DUMMYFUNCTION("""COMPUTED_VALUE"""),"Arms")</f>
        <v>Arms</v>
      </c>
      <c r="E337" s="1">
        <f>IFERROR(__xludf.DUMMYFUNCTION("""COMPUTED_VALUE"""),200.0)</f>
        <v>200</v>
      </c>
      <c r="F337" s="1" t="str">
        <f>IFERROR(__xludf.DUMMYFUNCTION("""COMPUTED_VALUE"""),"DEF: +5000, Water DEF: +5000 ++X4 additional Water damage.")</f>
        <v>DEF: +5000, Water DEF: +5000 ++X4 additional Water damage.</v>
      </c>
      <c r="G337" s="1">
        <f>IFERROR(__xludf.DUMMYFUNCTION("""COMPUTED_VALUE"""),1900000.0)</f>
        <v>1900000</v>
      </c>
      <c r="H337" s="1"/>
      <c r="I337" s="1"/>
      <c r="J337" s="1"/>
      <c r="K337" s="1"/>
      <c r="L337" s="1"/>
      <c r="M337" s="1"/>
      <c r="N337" s="1"/>
      <c r="O337" s="1"/>
      <c r="P337" s="1"/>
      <c r="Q337" s="1"/>
      <c r="R337" s="1"/>
      <c r="S337" s="1"/>
      <c r="T337" s="1"/>
      <c r="U337" s="1"/>
      <c r="V337" s="1"/>
      <c r="W337" s="1"/>
      <c r="X337" s="1"/>
      <c r="Y337" s="1"/>
      <c r="Z337" s="1"/>
    </row>
    <row r="338">
      <c r="A338" s="1" t="str">
        <f>IFERROR(__xludf.DUMMYFUNCTION("""COMPUTED_VALUE"""),"Viking Helm")</f>
        <v>Viking Helm</v>
      </c>
      <c r="B338" s="1"/>
      <c r="C338" s="1"/>
      <c r="D338" s="1" t="str">
        <f>IFERROR(__xludf.DUMMYFUNCTION("""COMPUTED_VALUE"""),"Head")</f>
        <v>Head</v>
      </c>
      <c r="E338" s="1">
        <f>IFERROR(__xludf.DUMMYFUNCTION("""COMPUTED_VALUE"""),1.0)</f>
        <v>1</v>
      </c>
      <c r="F338" s="1" t="str">
        <f>IFERROR(__xludf.DUMMYFUNCTION("""COMPUTED_VALUE"""),"DEF: +200 (Viking Set)")</f>
        <v>DEF: +200 (Viking Set)</v>
      </c>
      <c r="G338" s="1">
        <f>IFERROR(__xludf.DUMMYFUNCTION("""COMPUTED_VALUE"""),0.0)</f>
        <v>0</v>
      </c>
      <c r="H338" s="1"/>
      <c r="I338" s="1"/>
      <c r="J338" s="1"/>
      <c r="K338" s="1"/>
      <c r="L338" s="1"/>
      <c r="M338" s="1"/>
      <c r="N338" s="1"/>
      <c r="O338" s="1"/>
      <c r="P338" s="1"/>
      <c r="Q338" s="1"/>
      <c r="R338" s="1"/>
      <c r="S338" s="1"/>
      <c r="T338" s="1"/>
      <c r="U338" s="1"/>
      <c r="V338" s="1"/>
      <c r="W338" s="1"/>
      <c r="X338" s="1"/>
      <c r="Y338" s="1"/>
      <c r="Z338" s="1"/>
    </row>
    <row r="339">
      <c r="A339" s="1" t="str">
        <f>IFERROR(__xludf.DUMMYFUNCTION("""COMPUTED_VALUE"""),"Void sword")</f>
        <v>Void sword</v>
      </c>
      <c r="B339" s="1"/>
      <c r="C339" s="1" t="str">
        <f>IFERROR(__xludf.DUMMYFUNCTION("""COMPUTED_VALUE"""),"Sword")</f>
        <v>Sword</v>
      </c>
      <c r="D339" s="1" t="str">
        <f>IFERROR(__xludf.DUMMYFUNCTION("""COMPUTED_VALUE"""),"Hand")</f>
        <v>Hand</v>
      </c>
      <c r="E339" s="1">
        <f>IFERROR(__xludf.DUMMYFUNCTION("""COMPUTED_VALUE"""),200.0)</f>
        <v>200</v>
      </c>
      <c r="F339" s="1" t="str">
        <f>IFERROR(__xludf.DUMMYFUNCTION("""COMPUTED_VALUE"""),", Celestial : +1 ++100% chance of instant death. Breaks upon instant death and causes a giant explosion causing 10,000,000 Celestial damage to all enemies..")</f>
        <v>, Celestial : +1 ++100% chance of instant death. Breaks upon instant death and causes a giant explosion causing 10,000,000 Celestial damage to all enemies..</v>
      </c>
      <c r="G339" s="1">
        <f>IFERROR(__xludf.DUMMYFUNCTION("""COMPUTED_VALUE"""),0.0)</f>
        <v>0</v>
      </c>
      <c r="H339" s="1"/>
      <c r="I339" s="1"/>
      <c r="J339" s="1"/>
      <c r="K339" s="1"/>
      <c r="L339" s="1"/>
      <c r="M339" s="1"/>
      <c r="N339" s="1"/>
      <c r="O339" s="1"/>
      <c r="P339" s="1"/>
      <c r="Q339" s="1"/>
      <c r="R339" s="1"/>
      <c r="S339" s="1"/>
      <c r="T339" s="1"/>
      <c r="U339" s="1"/>
      <c r="V339" s="1"/>
      <c r="W339" s="1"/>
      <c r="X339" s="1"/>
      <c r="Y339" s="1"/>
      <c r="Z339" s="1"/>
    </row>
    <row r="340">
      <c r="A340" s="1" t="str">
        <f>IFERROR(__xludf.DUMMYFUNCTION("""COMPUTED_VALUE"""),"Volcanic Sword of Destruction")</f>
        <v>Volcanic Sword of Destruction</v>
      </c>
      <c r="B340" s="1"/>
      <c r="C340" s="1" t="str">
        <f>IFERROR(__xludf.DUMMYFUNCTION("""COMPUTED_VALUE"""),"Sword")</f>
        <v>Sword</v>
      </c>
      <c r="D340" s="1" t="str">
        <f>IFERROR(__xludf.DUMMYFUNCTION("""COMPUTED_VALUE"""),"Hand")</f>
        <v>Hand</v>
      </c>
      <c r="E340" s="1">
        <f>IFERROR(__xludf.DUMMYFUNCTION("""COMPUTED_VALUE"""),200.0)</f>
        <v>200</v>
      </c>
      <c r="F340" s="1" t="str">
        <f>IFERROR(__xludf.DUMMYFUNCTION("""COMPUTED_VALUE"""),"DMG: +100000, Fire DMG: +300000, Celestial DMG: +100000 ++Volcanic Valves - Increase the damage of fire weapons and fire spells by x3, When you attack and miss the target with this sword the damage this sword deals will double each time you miss. +-Cannot"&amp;" be forged +-Cannot be duplicated")</f>
        <v>DMG: +100000, Fire DMG: +300000, Celestial DMG: +100000 ++Volcanic Valves - Increase the damage of fire weapons and fire spells by x3, When you attack and miss the target with this sword the damage this sword deals will double each time you miss. +-Cannot be forged +-Cannot be duplicated</v>
      </c>
      <c r="G340" s="1">
        <f>IFERROR(__xludf.DUMMYFUNCTION("""COMPUTED_VALUE"""),4.995E9)</f>
        <v>4995000000</v>
      </c>
      <c r="H340" s="1"/>
      <c r="I340" s="1"/>
      <c r="J340" s="1"/>
      <c r="K340" s="1"/>
      <c r="L340" s="1"/>
      <c r="M340" s="1"/>
      <c r="N340" s="1"/>
      <c r="O340" s="1"/>
      <c r="P340" s="1"/>
      <c r="Q340" s="1"/>
      <c r="R340" s="1"/>
      <c r="S340" s="1"/>
      <c r="T340" s="1"/>
      <c r="U340" s="1"/>
      <c r="V340" s="1"/>
      <c r="W340" s="1"/>
      <c r="X340" s="1"/>
      <c r="Y340" s="1"/>
      <c r="Z340" s="1"/>
    </row>
    <row r="341">
      <c r="A341" s="1" t="str">
        <f>IFERROR(__xludf.DUMMYFUNCTION("""COMPUTED_VALUE"""),"Wand of Grey")</f>
        <v>Wand of Grey</v>
      </c>
      <c r="B341" s="1"/>
      <c r="C341" s="1" t="str">
        <f>IFERROR(__xludf.DUMMYFUNCTION("""COMPUTED_VALUE"""),"Wand")</f>
        <v>Wand</v>
      </c>
      <c r="D341" s="1" t="str">
        <f>IFERROR(__xludf.DUMMYFUNCTION("""COMPUTED_VALUE"""),"Hand")</f>
        <v>Hand</v>
      </c>
      <c r="E341" s="1">
        <f>IFERROR(__xludf.DUMMYFUNCTION("""COMPUTED_VALUE"""),1.0)</f>
        <v>1</v>
      </c>
      <c r="F341" s="1" t="str">
        <f>IFERROR(__xludf.DUMMYFUNCTION("""COMPUTED_VALUE""")," ++X2 more damage to all spells. +-Cannot be duplicated.")</f>
        <v> ++X2 more damage to all spells. +-Cannot be duplicated.</v>
      </c>
      <c r="G341" s="1">
        <f>IFERROR(__xludf.DUMMYFUNCTION("""COMPUTED_VALUE"""),0.0)</f>
        <v>0</v>
      </c>
      <c r="H341" s="1"/>
      <c r="I341" s="1"/>
      <c r="J341" s="1"/>
      <c r="K341" s="1"/>
      <c r="L341" s="1"/>
      <c r="M341" s="1"/>
      <c r="N341" s="1"/>
      <c r="O341" s="1"/>
      <c r="P341" s="1"/>
      <c r="Q341" s="1"/>
      <c r="R341" s="1"/>
      <c r="S341" s="1"/>
      <c r="T341" s="1"/>
      <c r="U341" s="1"/>
      <c r="V341" s="1"/>
      <c r="W341" s="1"/>
      <c r="X341" s="1"/>
      <c r="Y341" s="1"/>
      <c r="Z341" s="1"/>
    </row>
    <row r="342">
      <c r="A342" s="1" t="str">
        <f>IFERROR(__xludf.DUMMYFUNCTION("""COMPUTED_VALUE"""),"Wand of Multi-Color")</f>
        <v>Wand of Multi-Color</v>
      </c>
      <c r="B342" s="1"/>
      <c r="C342" s="1" t="str">
        <f>IFERROR(__xludf.DUMMYFUNCTION("""COMPUTED_VALUE"""),"Wand")</f>
        <v>Wand</v>
      </c>
      <c r="D342" s="1" t="str">
        <f>IFERROR(__xludf.DUMMYFUNCTION("""COMPUTED_VALUE"""),"Hand")</f>
        <v>Hand</v>
      </c>
      <c r="E342" s="1">
        <f>IFERROR(__xludf.DUMMYFUNCTION("""COMPUTED_VALUE"""),1.0)</f>
        <v>1</v>
      </c>
      <c r="F342" s="1" t="str">
        <f>IFERROR(__xludf.DUMMYFUNCTION("""COMPUTED_VALUE""")," ++All types of spells are reduced by half sp. +-Cannot be duplicated. +-Can only equip one")</f>
        <v> ++All types of spells are reduced by half sp. +-Cannot be duplicated. +-Can only equip one</v>
      </c>
      <c r="G342" s="1">
        <f>IFERROR(__xludf.DUMMYFUNCTION("""COMPUTED_VALUE"""),0.0)</f>
        <v>0</v>
      </c>
      <c r="H342" s="1"/>
      <c r="I342" s="1"/>
      <c r="J342" s="1"/>
      <c r="K342" s="1"/>
      <c r="L342" s="1"/>
      <c r="M342" s="1"/>
      <c r="N342" s="1"/>
      <c r="O342" s="1"/>
      <c r="P342" s="1"/>
      <c r="Q342" s="1"/>
      <c r="R342" s="1"/>
      <c r="S342" s="1"/>
      <c r="T342" s="1"/>
      <c r="U342" s="1"/>
      <c r="V342" s="1"/>
      <c r="W342" s="1"/>
      <c r="X342" s="1"/>
      <c r="Y342" s="1"/>
      <c r="Z342" s="1"/>
    </row>
    <row r="343">
      <c r="A343" s="1" t="str">
        <f>IFERROR(__xludf.DUMMYFUNCTION("""COMPUTED_VALUE"""),"Warlock’s Armored Chestplate")</f>
        <v>Warlock’s Armored Chestplate</v>
      </c>
      <c r="B343" s="1"/>
      <c r="C343" s="1"/>
      <c r="D343" s="1" t="str">
        <f>IFERROR(__xludf.DUMMYFUNCTION("""COMPUTED_VALUE"""),"Torso")</f>
        <v>Torso</v>
      </c>
      <c r="E343" s="1">
        <f>IFERROR(__xludf.DUMMYFUNCTION("""COMPUTED_VALUE"""),100.0)</f>
        <v>100</v>
      </c>
      <c r="F343" s="1" t="str">
        <f>IFERROR(__xludf.DUMMYFUNCTION("""COMPUTED_VALUE"""),"DEF: +5000 ++All Dark, and Weapon attacks deal X2 more damage, All SP costs for Melee, Dark, and Physical Spells are reduced to half. ++Immunity to Dark and Chaos Damage.")</f>
        <v>DEF: +5000 ++All Dark, and Weapon attacks deal X2 more damage, All SP costs for Melee, Dark, and Physical Spells are reduced to half. ++Immunity to Dark and Chaos Damage.</v>
      </c>
      <c r="G343" s="1">
        <f>IFERROR(__xludf.DUMMYFUNCTION("""COMPUTED_VALUE"""),450000.0)</f>
        <v>450000</v>
      </c>
      <c r="H343" s="1"/>
      <c r="I343" s="1"/>
      <c r="J343" s="1"/>
      <c r="K343" s="1"/>
      <c r="L343" s="1"/>
      <c r="M343" s="1"/>
      <c r="N343" s="1"/>
      <c r="O343" s="1"/>
      <c r="P343" s="1"/>
      <c r="Q343" s="1"/>
      <c r="R343" s="1"/>
      <c r="S343" s="1"/>
      <c r="T343" s="1"/>
      <c r="U343" s="1"/>
      <c r="V343" s="1"/>
      <c r="W343" s="1"/>
      <c r="X343" s="1"/>
      <c r="Y343" s="1"/>
      <c r="Z343" s="1"/>
    </row>
    <row r="344">
      <c r="A344" s="1" t="str">
        <f>IFERROR(__xludf.DUMMYFUNCTION("""COMPUTED_VALUE"""),"Water Warhammer")</f>
        <v>Water Warhammer</v>
      </c>
      <c r="B344" s="1"/>
      <c r="C344" s="1" t="str">
        <f>IFERROR(__xludf.DUMMYFUNCTION("""COMPUTED_VALUE"""),"Club")</f>
        <v>Club</v>
      </c>
      <c r="D344" s="1" t="str">
        <f>IFERROR(__xludf.DUMMYFUNCTION("""COMPUTED_VALUE"""),"Hand")</f>
        <v>Hand</v>
      </c>
      <c r="E344" s="1">
        <f>IFERROR(__xludf.DUMMYFUNCTION("""COMPUTED_VALUE"""),200.0)</f>
        <v>200</v>
      </c>
      <c r="F344" s="1" t="str">
        <f>IFERROR(__xludf.DUMMYFUNCTION("""COMPUTED_VALUE"""),"DMG: +5000, Water DMG: +5000")</f>
        <v>DMG: +5000, Water DMG: +5000</v>
      </c>
      <c r="G344" s="1">
        <f>IFERROR(__xludf.DUMMYFUNCTION("""COMPUTED_VALUE"""),1900000.0)</f>
        <v>1900000</v>
      </c>
      <c r="H344" s="1"/>
      <c r="I344" s="1"/>
      <c r="J344" s="1"/>
      <c r="K344" s="1"/>
      <c r="L344" s="1"/>
      <c r="M344" s="1"/>
      <c r="N344" s="1"/>
      <c r="O344" s="1"/>
      <c r="P344" s="1"/>
      <c r="Q344" s="1"/>
      <c r="R344" s="1"/>
      <c r="S344" s="1"/>
      <c r="T344" s="1"/>
      <c r="U344" s="1"/>
      <c r="V344" s="1"/>
      <c r="W344" s="1"/>
      <c r="X344" s="1"/>
      <c r="Y344" s="1"/>
      <c r="Z344" s="1"/>
    </row>
    <row r="345">
      <c r="A345" s="1" t="str">
        <f>IFERROR(__xludf.DUMMYFUNCTION("""COMPUTED_VALUE"""),"Weaponized Bamboo Hat")</f>
        <v>Weaponized Bamboo Hat</v>
      </c>
      <c r="B345" s="1"/>
      <c r="C345" s="1" t="str">
        <f>IFERROR(__xludf.DUMMYFUNCTION("""COMPUTED_VALUE"""),"Knife")</f>
        <v>Knife</v>
      </c>
      <c r="D345" s="1" t="str">
        <f>IFERROR(__xludf.DUMMYFUNCTION("""COMPUTED_VALUE"""),"Head")</f>
        <v>Head</v>
      </c>
      <c r="E345" s="1">
        <f>IFERROR(__xludf.DUMMYFUNCTION("""COMPUTED_VALUE"""),40.0)</f>
        <v>40</v>
      </c>
      <c r="F345" s="1" t="str">
        <f>IFERROR(__xludf.DUMMYFUNCTION("""COMPUTED_VALUE"""),"DEF: +1000, Nature DEF: +1000 ++10,000 damage when thrown, this item will return to you after thrown.")</f>
        <v>DEF: +1000, Nature DEF: +1000 ++10,000 damage when thrown, this item will return to you after thrown.</v>
      </c>
      <c r="G345" s="1">
        <f>IFERROR(__xludf.DUMMYFUNCTION("""COMPUTED_VALUE"""),60000.0)</f>
        <v>60000</v>
      </c>
      <c r="H345" s="1"/>
      <c r="I345" s="1"/>
      <c r="J345" s="1"/>
      <c r="K345" s="1"/>
      <c r="L345" s="1"/>
      <c r="M345" s="1"/>
      <c r="N345" s="1"/>
      <c r="O345" s="1"/>
      <c r="P345" s="1"/>
      <c r="Q345" s="1"/>
      <c r="R345" s="1"/>
      <c r="S345" s="1"/>
      <c r="T345" s="1"/>
      <c r="U345" s="1"/>
      <c r="V345" s="1"/>
      <c r="W345" s="1"/>
      <c r="X345" s="1"/>
      <c r="Y345" s="1"/>
      <c r="Z345" s="1"/>
    </row>
    <row r="346">
      <c r="A346" s="1" t="str">
        <f>IFERROR(__xludf.DUMMYFUNCTION("""COMPUTED_VALUE"""),"Wig of Temper Fire")</f>
        <v>Wig of Temper Fire</v>
      </c>
      <c r="B346" s="1"/>
      <c r="C346" s="1"/>
      <c r="D346" s="1" t="str">
        <f>IFERROR(__xludf.DUMMYFUNCTION("""COMPUTED_VALUE"""),"Head")</f>
        <v>Head</v>
      </c>
      <c r="E346" s="1">
        <f>IFERROR(__xludf.DUMMYFUNCTION("""COMPUTED_VALUE"""),1.0)</f>
        <v>1</v>
      </c>
      <c r="F346" s="1" t="str">
        <f>IFERROR(__xludf.DUMMYFUNCTION("""COMPUTED_VALUE""")," ++reduces any fire damage to 1 +-Cannot be duplicated")</f>
        <v> ++reduces any fire damage to 1 +-Cannot be duplicated</v>
      </c>
      <c r="G346" s="1">
        <f>IFERROR(__xludf.DUMMYFUNCTION("""COMPUTED_VALUE"""),0.0)</f>
        <v>0</v>
      </c>
      <c r="H346" s="1"/>
      <c r="I346" s="1"/>
      <c r="J346" s="1"/>
      <c r="K346" s="1"/>
      <c r="L346" s="1"/>
      <c r="M346" s="1"/>
      <c r="N346" s="1"/>
      <c r="O346" s="1"/>
      <c r="P346" s="1"/>
      <c r="Q346" s="1"/>
      <c r="R346" s="1"/>
      <c r="S346" s="1"/>
      <c r="T346" s="1"/>
      <c r="U346" s="1"/>
      <c r="V346" s="1"/>
      <c r="W346" s="1"/>
      <c r="X346" s="1"/>
      <c r="Y346" s="1"/>
      <c r="Z346" s="1"/>
    </row>
    <row r="347">
      <c r="A347" s="1" t="str">
        <f>IFERROR(__xludf.DUMMYFUNCTION("""COMPUTED_VALUE"""),"Woodsman’s Hacker")</f>
        <v>Woodsman’s Hacker</v>
      </c>
      <c r="B347" s="1"/>
      <c r="C347" s="1" t="str">
        <f>IFERROR(__xludf.DUMMYFUNCTION("""COMPUTED_VALUE"""),"Axe")</f>
        <v>Axe</v>
      </c>
      <c r="D347" s="1" t="str">
        <f>IFERROR(__xludf.DUMMYFUNCTION("""COMPUTED_VALUE"""),"Hand")</f>
        <v>Hand</v>
      </c>
      <c r="E347" s="1">
        <f>IFERROR(__xludf.DUMMYFUNCTION("""COMPUTED_VALUE"""),10.0)</f>
        <v>10</v>
      </c>
      <c r="F347" s="1" t="str">
        <f>IFERROR(__xludf.DUMMYFUNCTION("""COMPUTED_VALUE"""),"DMG: +500")</f>
        <v>DMG: +500</v>
      </c>
      <c r="G347" s="1">
        <f>IFERROR(__xludf.DUMMYFUNCTION("""COMPUTED_VALUE"""),1000.0)</f>
        <v>1000</v>
      </c>
      <c r="H347" s="1"/>
      <c r="I347" s="1"/>
      <c r="J347" s="1"/>
      <c r="K347" s="1"/>
      <c r="L347" s="1"/>
      <c r="M347" s="1"/>
      <c r="N347" s="1"/>
      <c r="O347" s="1"/>
      <c r="P347" s="1"/>
      <c r="Q347" s="1"/>
      <c r="R347" s="1"/>
      <c r="S347" s="1"/>
      <c r="T347" s="1"/>
      <c r="U347" s="1"/>
      <c r="V347" s="1"/>
      <c r="W347" s="1"/>
      <c r="X347" s="1"/>
      <c r="Y347" s="1"/>
      <c r="Z347" s="1"/>
    </row>
    <row r="348">
      <c r="A348" s="1" t="str">
        <f>IFERROR(__xludf.DUMMYFUNCTION("""COMPUTED_VALUE"""),"World Tree Sword")</f>
        <v>World Tree Sword</v>
      </c>
      <c r="B348" s="1"/>
      <c r="C348" s="1"/>
      <c r="D348" s="1" t="str">
        <f>IFERROR(__xludf.DUMMYFUNCTION("""COMPUTED_VALUE"""),"Hand")</f>
        <v>Hand</v>
      </c>
      <c r="E348" s="1">
        <f>IFERROR(__xludf.DUMMYFUNCTION("""COMPUTED_VALUE"""),200.0)</f>
        <v>200</v>
      </c>
      <c r="F348" s="1" t="str">
        <f>IFERROR(__xludf.DUMMYFUNCTION("""COMPUTED_VALUE"""),"DMG: +100000, Earth DMG: +50000, Light DMG: +50000, Spirit DMG: +50000, Order DMG: +50000, Nature DMG: +50000, Celestial DMG: +50000 ++If you kill an enemy with this weapon your HP and SP will fully be restored. +-Cannot be forged +-Cannot be duplicated")</f>
        <v>DMG: +100000, Earth DMG: +50000, Light DMG: +50000, Spirit DMG: +50000, Order DMG: +50000, Nature DMG: +50000, Celestial DMG: +50000 ++If you kill an enemy with this weapon your HP and SP will fully be restored. +-Cannot be forged +-Cannot be duplicated</v>
      </c>
      <c r="G348" s="1">
        <f>IFERROR(__xludf.DUMMYFUNCTION("""COMPUTED_VALUE"""),3.196E9)</f>
        <v>3196000000</v>
      </c>
      <c r="H348" s="1"/>
      <c r="I348" s="1"/>
      <c r="J348" s="1"/>
      <c r="K348" s="1"/>
      <c r="L348" s="1"/>
      <c r="M348" s="1"/>
      <c r="N348" s="1"/>
      <c r="O348" s="1"/>
      <c r="P348" s="1"/>
      <c r="Q348" s="1"/>
      <c r="R348" s="1"/>
      <c r="S348" s="1"/>
      <c r="T348" s="1"/>
      <c r="U348" s="1"/>
      <c r="V348" s="1"/>
      <c r="W348" s="1"/>
      <c r="X348" s="1"/>
      <c r="Y348" s="1"/>
      <c r="Z348" s="1"/>
    </row>
    <row r="349">
      <c r="A349" s="1" t="str">
        <f>IFERROR(__xludf.DUMMYFUNCTION("""COMPUTED_VALUE"""),"Tear of the Dragon Pendant")</f>
        <v>Tear of the Dragon Pendant</v>
      </c>
      <c r="B349" s="1"/>
      <c r="C349" s="1"/>
      <c r="D349" s="1" t="str">
        <f>IFERROR(__xludf.DUMMYFUNCTION("""COMPUTED_VALUE"""),"Neck")</f>
        <v>Neck</v>
      </c>
      <c r="E349" s="1">
        <f>IFERROR(__xludf.DUMMYFUNCTION("""COMPUTED_VALUE"""),1.0)</f>
        <v>1</v>
      </c>
      <c r="F349" s="1" t="str">
        <f>IFERROR(__xludf.DUMMYFUNCTION("""COMPUTED_VALUE""")," ++Plus 5 or Minus 5 on your attack and percentage rolls, Users choice. +-Cannot be duplicated.")</f>
        <v> ++Plus 5 or Minus 5 on your attack and percentage rolls, Users choice. +-Cannot be duplicated.</v>
      </c>
      <c r="G349" s="1">
        <f>IFERROR(__xludf.DUMMYFUNCTION("""COMPUTED_VALUE"""),0.0)</f>
        <v>0</v>
      </c>
      <c r="H349" s="1"/>
      <c r="I349" s="1"/>
      <c r="J349" s="1"/>
      <c r="K349" s="1"/>
      <c r="L349" s="1"/>
      <c r="M349" s="1"/>
      <c r="N349" s="1"/>
      <c r="O349" s="1"/>
      <c r="P349" s="1"/>
      <c r="Q349" s="1"/>
      <c r="R349" s="1"/>
      <c r="S349" s="1"/>
      <c r="T349" s="1"/>
      <c r="U349" s="1"/>
      <c r="V349" s="1"/>
      <c r="W349" s="1"/>
      <c r="X349" s="1"/>
      <c r="Y349" s="1"/>
      <c r="Z349" s="1"/>
    </row>
    <row r="350">
      <c r="A350" s="1" t="str">
        <f>IFERROR(__xludf.DUMMYFUNCTION("""COMPUTED_VALUE"""),"Luck of the Dragon Pendant")</f>
        <v>Luck of the Dragon Pendant</v>
      </c>
      <c r="B350" s="1"/>
      <c r="C350" s="1"/>
      <c r="D350" s="1" t="str">
        <f>IFERROR(__xludf.DUMMYFUNCTION("""COMPUTED_VALUE"""),"Neck")</f>
        <v>Neck</v>
      </c>
      <c r="E350" s="1">
        <f>IFERROR(__xludf.DUMMYFUNCTION("""COMPUTED_VALUE"""),1.0)</f>
        <v>1</v>
      </c>
      <c r="F350" s="1" t="str">
        <f>IFERROR(__xludf.DUMMYFUNCTION("""COMPUTED_VALUE""")," ++Plus 5 or Minus 5 on your Loot and Fail/Succeed rolls, Users choice. +-Cannot be duplicated.")</f>
        <v> ++Plus 5 or Minus 5 on your Loot and Fail/Succeed rolls, Users choice. +-Cannot be duplicated.</v>
      </c>
      <c r="G350" s="1">
        <f>IFERROR(__xludf.DUMMYFUNCTION("""COMPUTED_VALUE"""),0.0)</f>
        <v>0</v>
      </c>
      <c r="H350" s="1"/>
      <c r="I350" s="1"/>
      <c r="J350" s="1"/>
      <c r="K350" s="1"/>
      <c r="L350" s="1"/>
      <c r="M350" s="1"/>
      <c r="N350" s="1"/>
      <c r="O350" s="1"/>
      <c r="P350" s="1"/>
      <c r="Q350" s="1"/>
      <c r="R350" s="1"/>
      <c r="S350" s="1"/>
      <c r="T350" s="1"/>
      <c r="U350" s="1"/>
      <c r="V350" s="1"/>
      <c r="W350" s="1"/>
      <c r="X350" s="1"/>
      <c r="Y350" s="1"/>
      <c r="Z350" s="1"/>
    </row>
    <row r="351">
      <c r="A351" s="1" t="str">
        <f>IFERROR(__xludf.DUMMYFUNCTION("""COMPUTED_VALUE"""),"Scale of the Dragon Pendant")</f>
        <v>Scale of the Dragon Pendant</v>
      </c>
      <c r="B351" s="1"/>
      <c r="C351" s="1"/>
      <c r="D351" s="1" t="str">
        <f>IFERROR(__xludf.DUMMYFUNCTION("""COMPUTED_VALUE"""),"Neck")</f>
        <v>Neck</v>
      </c>
      <c r="E351" s="1">
        <f>IFERROR(__xludf.DUMMYFUNCTION("""COMPUTED_VALUE"""),1.0)</f>
        <v>1</v>
      </c>
      <c r="F351" s="1" t="str">
        <f>IFERROR(__xludf.DUMMYFUNCTION("""COMPUTED_VALUE""")," ++Allows you to use a companions SP as your own if the companion is a dragon. +-Cannot be duplicated.")</f>
        <v> ++Allows you to use a companions SP as your own if the companion is a dragon. +-Cannot be duplicated.</v>
      </c>
      <c r="G351" s="1">
        <f>IFERROR(__xludf.DUMMYFUNCTION("""COMPUTED_VALUE"""),0.0)</f>
        <v>0</v>
      </c>
      <c r="H351" s="1"/>
      <c r="I351" s="1"/>
      <c r="J351" s="1"/>
      <c r="K351" s="1"/>
      <c r="L351" s="1"/>
      <c r="M351" s="1"/>
      <c r="N351" s="1"/>
      <c r="O351" s="1"/>
      <c r="P351" s="1"/>
      <c r="Q351" s="1"/>
      <c r="R351" s="1"/>
      <c r="S351" s="1"/>
      <c r="T351" s="1"/>
      <c r="U351" s="1"/>
      <c r="V351" s="1"/>
      <c r="W351" s="1"/>
      <c r="X351" s="1"/>
      <c r="Y351" s="1"/>
      <c r="Z351" s="1"/>
    </row>
    <row r="352">
      <c r="A352" s="1" t="str">
        <f>IFERROR(__xludf.DUMMYFUNCTION("""COMPUTED_VALUE"""),"Guard Pauldrons")</f>
        <v>Guard Pauldrons</v>
      </c>
      <c r="B352" s="1" t="str">
        <f>IFERROR(__xludf.DUMMYFUNCTION("""COMPUTED_VALUE"""),"Quest Item")</f>
        <v>Quest Item</v>
      </c>
      <c r="C352" s="1"/>
      <c r="D352" s="1" t="str">
        <f>IFERROR(__xludf.DUMMYFUNCTION("""COMPUTED_VALUE"""),"Shoulders")</f>
        <v>Shoulders</v>
      </c>
      <c r="E352" s="1">
        <f>IFERROR(__xludf.DUMMYFUNCTION("""COMPUTED_VALUE"""),200.0)</f>
        <v>200</v>
      </c>
      <c r="F352" s="1" t="str">
        <f>IFERROR(__xludf.DUMMYFUNCTION("""COMPUTED_VALUE"""),"DEF: +25000, Light DEF: +25000, Celestial DEF: +25000 +-Cannot be duplicated")</f>
        <v>DEF: +25000, Light DEF: +25000, Celestial DEF: +25000 +-Cannot be duplicated</v>
      </c>
      <c r="G352" s="1">
        <f>IFERROR(__xludf.DUMMYFUNCTION("""COMPUTED_VALUE"""),1.1175E8)</f>
        <v>111750000</v>
      </c>
      <c r="H352" s="1"/>
      <c r="I352" s="1"/>
      <c r="J352" s="1"/>
      <c r="K352" s="1"/>
      <c r="L352" s="1"/>
      <c r="M352" s="1"/>
      <c r="N352" s="1"/>
      <c r="O352" s="1"/>
      <c r="P352" s="1"/>
      <c r="Q352" s="1"/>
      <c r="R352" s="1"/>
      <c r="S352" s="1"/>
      <c r="T352" s="1"/>
      <c r="U352" s="1"/>
      <c r="V352" s="1"/>
      <c r="W352" s="1"/>
      <c r="X352" s="1"/>
      <c r="Y352" s="1"/>
      <c r="Z352" s="1"/>
    </row>
    <row r="353">
      <c r="A353" s="1" t="str">
        <f>IFERROR(__xludf.DUMMYFUNCTION("""COMPUTED_VALUE"""),"Guard Vambraces")</f>
        <v>Guard Vambraces</v>
      </c>
      <c r="B353" s="1" t="str">
        <f>IFERROR(__xludf.DUMMYFUNCTION("""COMPUTED_VALUE"""),"Quest Item")</f>
        <v>Quest Item</v>
      </c>
      <c r="C353" s="1"/>
      <c r="D353" s="1" t="str">
        <f>IFERROR(__xludf.DUMMYFUNCTION("""COMPUTED_VALUE"""),"Arms")</f>
        <v>Arms</v>
      </c>
      <c r="E353" s="1">
        <f>IFERROR(__xludf.DUMMYFUNCTION("""COMPUTED_VALUE"""),200.0)</f>
        <v>200</v>
      </c>
      <c r="F353" s="1" t="str">
        <f>IFERROR(__xludf.DUMMYFUNCTION("""COMPUTED_VALUE"""),"DEF: +25000, Light DEF: +25000, Celestial DEF: +25000 +-Cannot be duplicated")</f>
        <v>DEF: +25000, Light DEF: +25000, Celestial DEF: +25000 +-Cannot be duplicated</v>
      </c>
      <c r="G353" s="1">
        <f>IFERROR(__xludf.DUMMYFUNCTION("""COMPUTED_VALUE"""),1.1175E8)</f>
        <v>111750000</v>
      </c>
      <c r="H353" s="1"/>
      <c r="I353" s="1"/>
      <c r="J353" s="1"/>
      <c r="K353" s="1"/>
      <c r="L353" s="1"/>
      <c r="M353" s="1"/>
      <c r="N353" s="1"/>
      <c r="O353" s="1"/>
      <c r="P353" s="1"/>
      <c r="Q353" s="1"/>
      <c r="R353" s="1"/>
      <c r="S353" s="1"/>
      <c r="T353" s="1"/>
      <c r="U353" s="1"/>
      <c r="V353" s="1"/>
      <c r="W353" s="1"/>
      <c r="X353" s="1"/>
      <c r="Y353" s="1"/>
      <c r="Z353" s="1"/>
    </row>
    <row r="354">
      <c r="A354" s="1" t="str">
        <f>IFERROR(__xludf.DUMMYFUNCTION("""COMPUTED_VALUE"""),"Royal Guard Pauldrons")</f>
        <v>Royal Guard Pauldrons</v>
      </c>
      <c r="B354" s="1" t="str">
        <f>IFERROR(__xludf.DUMMYFUNCTION("""COMPUTED_VALUE"""),"Quest Item")</f>
        <v>Quest Item</v>
      </c>
      <c r="C354" s="1"/>
      <c r="D354" s="1" t="str">
        <f>IFERROR(__xludf.DUMMYFUNCTION("""COMPUTED_VALUE"""),"Shoulders")</f>
        <v>Shoulders</v>
      </c>
      <c r="E354" s="1">
        <f>IFERROR(__xludf.DUMMYFUNCTION("""COMPUTED_VALUE"""),200.0)</f>
        <v>200</v>
      </c>
      <c r="F354" s="1" t="str">
        <f>IFERROR(__xludf.DUMMYFUNCTION("""COMPUTED_VALUE"""),"DEF: +50000, Light DEF: +50000, Celestial DEF: +50000 +-Cannot be duplicated")</f>
        <v>DEF: +50000, Light DEF: +50000, Celestial DEF: +50000 +-Cannot be duplicated</v>
      </c>
      <c r="G354" s="1">
        <f>IFERROR(__xludf.DUMMYFUNCTION("""COMPUTED_VALUE"""),4.485E8)</f>
        <v>448500000</v>
      </c>
      <c r="H354" s="1"/>
      <c r="I354" s="1"/>
      <c r="J354" s="1"/>
      <c r="K354" s="1"/>
      <c r="L354" s="1"/>
      <c r="M354" s="1"/>
      <c r="N354" s="1"/>
      <c r="O354" s="1"/>
      <c r="P354" s="1"/>
      <c r="Q354" s="1"/>
      <c r="R354" s="1"/>
      <c r="S354" s="1"/>
      <c r="T354" s="1"/>
      <c r="U354" s="1"/>
      <c r="V354" s="1"/>
      <c r="W354" s="1"/>
      <c r="X354" s="1"/>
      <c r="Y354" s="1"/>
      <c r="Z354" s="1"/>
    </row>
    <row r="355">
      <c r="A355" s="1" t="str">
        <f>IFERROR(__xludf.DUMMYFUNCTION("""COMPUTED_VALUE"""),"Royal Guard Vambraces")</f>
        <v>Royal Guard Vambraces</v>
      </c>
      <c r="B355" s="1" t="str">
        <f>IFERROR(__xludf.DUMMYFUNCTION("""COMPUTED_VALUE"""),"Quest Item")</f>
        <v>Quest Item</v>
      </c>
      <c r="C355" s="1"/>
      <c r="D355" s="1" t="str">
        <f>IFERROR(__xludf.DUMMYFUNCTION("""COMPUTED_VALUE"""),"Arms")</f>
        <v>Arms</v>
      </c>
      <c r="E355" s="1">
        <f>IFERROR(__xludf.DUMMYFUNCTION("""COMPUTED_VALUE"""),200.0)</f>
        <v>200</v>
      </c>
      <c r="F355" s="1" t="str">
        <f>IFERROR(__xludf.DUMMYFUNCTION("""COMPUTED_VALUE"""),"DEF: +50000, Light DEF: +50000, Celestial DEF: +50000 +-Cannot be duplicated")</f>
        <v>DEF: +50000, Light DEF: +50000, Celestial DEF: +50000 +-Cannot be duplicated</v>
      </c>
      <c r="G355" s="1">
        <f>IFERROR(__xludf.DUMMYFUNCTION("""COMPUTED_VALUE"""),4.485E8)</f>
        <v>448500000</v>
      </c>
      <c r="H355" s="1"/>
      <c r="I355" s="1"/>
      <c r="J355" s="1"/>
      <c r="K355" s="1"/>
      <c r="L355" s="1"/>
      <c r="M355" s="1"/>
      <c r="N355" s="1"/>
      <c r="O355" s="1"/>
      <c r="P355" s="1"/>
      <c r="Q355" s="1"/>
      <c r="R355" s="1"/>
      <c r="S355" s="1"/>
      <c r="T355" s="1"/>
      <c r="U355" s="1"/>
      <c r="V355" s="1"/>
      <c r="W355" s="1"/>
      <c r="X355" s="1"/>
      <c r="Y355" s="1"/>
      <c r="Z355" s="1"/>
    </row>
    <row r="356">
      <c r="A356" s="1" t="str">
        <f>IFERROR(__xludf.DUMMYFUNCTION("""COMPUTED_VALUE"""),"Celestian Royal Pauldrons")</f>
        <v>Celestian Royal Pauldrons</v>
      </c>
      <c r="B356" s="1" t="str">
        <f>IFERROR(__xludf.DUMMYFUNCTION("""COMPUTED_VALUE"""),"Quest Item")</f>
        <v>Quest Item</v>
      </c>
      <c r="C356" s="1"/>
      <c r="D356" s="1" t="str">
        <f>IFERROR(__xludf.DUMMYFUNCTION("""COMPUTED_VALUE"""),"Shoulders")</f>
        <v>Shoulders</v>
      </c>
      <c r="E356" s="1">
        <f>IFERROR(__xludf.DUMMYFUNCTION("""COMPUTED_VALUE"""),200.0)</f>
        <v>200</v>
      </c>
      <c r="F356" s="1" t="str">
        <f>IFERROR(__xludf.DUMMYFUNCTION("""COMPUTED_VALUE"""),"DEF: +100000, Light DEF: +100000, Dark DEF: +100000, Celestial DEF: +100000 ++X2 Celestial Damage. +-Cannot be duplicated.")</f>
        <v>DEF: +100000, Light DEF: +100000, Dark DEF: +100000, Celestial DEF: +100000 ++X2 Celestial Damage. +-Cannot be duplicated.</v>
      </c>
      <c r="G356" s="1">
        <f>IFERROR(__xludf.DUMMYFUNCTION("""COMPUTED_VALUE"""),3.196E9)</f>
        <v>3196000000</v>
      </c>
      <c r="H356" s="1"/>
      <c r="I356" s="1"/>
      <c r="J356" s="1"/>
      <c r="K356" s="1"/>
      <c r="L356" s="1"/>
      <c r="M356" s="1"/>
      <c r="N356" s="1"/>
      <c r="O356" s="1"/>
      <c r="P356" s="1"/>
      <c r="Q356" s="1"/>
      <c r="R356" s="1"/>
      <c r="S356" s="1"/>
      <c r="T356" s="1"/>
      <c r="U356" s="1"/>
      <c r="V356" s="1"/>
      <c r="W356" s="1"/>
      <c r="X356" s="1"/>
      <c r="Y356" s="1"/>
      <c r="Z356" s="1"/>
    </row>
    <row r="357">
      <c r="A357" s="1" t="str">
        <f>IFERROR(__xludf.DUMMYFUNCTION("""COMPUTED_VALUE"""),"Celestian Royal Vambraces")</f>
        <v>Celestian Royal Vambraces</v>
      </c>
      <c r="B357" s="1" t="str">
        <f>IFERROR(__xludf.DUMMYFUNCTION("""COMPUTED_VALUE"""),"Quest Item")</f>
        <v>Quest Item</v>
      </c>
      <c r="C357" s="1"/>
      <c r="D357" s="1" t="str">
        <f>IFERROR(__xludf.DUMMYFUNCTION("""COMPUTED_VALUE"""),"Arms")</f>
        <v>Arms</v>
      </c>
      <c r="E357" s="1">
        <f>IFERROR(__xludf.DUMMYFUNCTION("""COMPUTED_VALUE"""),200.0)</f>
        <v>200</v>
      </c>
      <c r="F357" s="1" t="str">
        <f>IFERROR(__xludf.DUMMYFUNCTION("""COMPUTED_VALUE"""),"DEF: +100000, Light DEF: +100000, Dark DEF: +100000, Celestial DEF: +100000 ++X2 Celestial Damage. +-Cannot be duplicated.")</f>
        <v>DEF: +100000, Light DEF: +100000, Dark DEF: +100000, Celestial DEF: +100000 ++X2 Celestial Damage. +-Cannot be duplicated.</v>
      </c>
      <c r="G357" s="1">
        <f>IFERROR(__xludf.DUMMYFUNCTION("""COMPUTED_VALUE"""),3.196E9)</f>
        <v>3196000000</v>
      </c>
      <c r="H357" s="1"/>
      <c r="I357" s="1"/>
      <c r="J357" s="1"/>
      <c r="K357" s="1"/>
      <c r="L357" s="1"/>
      <c r="M357" s="1"/>
      <c r="N357" s="1"/>
      <c r="O357" s="1"/>
      <c r="P357" s="1"/>
      <c r="Q357" s="1"/>
      <c r="R357" s="1"/>
      <c r="S357" s="1"/>
      <c r="T357" s="1"/>
      <c r="U357" s="1"/>
      <c r="V357" s="1"/>
      <c r="W357" s="1"/>
      <c r="X357" s="1"/>
      <c r="Y357" s="1"/>
      <c r="Z357" s="1"/>
    </row>
    <row r="358">
      <c r="A358" s="1" t="str">
        <f>IFERROR(__xludf.DUMMYFUNCTION("""COMPUTED_VALUE"""),"Royal Guard Shield")</f>
        <v>Royal Guard Shield</v>
      </c>
      <c r="B358" s="1" t="str">
        <f>IFERROR(__xludf.DUMMYFUNCTION("""COMPUTED_VALUE"""),"Quest Item")</f>
        <v>Quest Item</v>
      </c>
      <c r="C358" s="1" t="str">
        <f>IFERROR(__xludf.DUMMYFUNCTION("""COMPUTED_VALUE"""),"Towershield")</f>
        <v>Towershield</v>
      </c>
      <c r="D358" s="1" t="str">
        <f>IFERROR(__xludf.DUMMYFUNCTION("""COMPUTED_VALUE"""),"Hand")</f>
        <v>Hand</v>
      </c>
      <c r="E358" s="1">
        <f>IFERROR(__xludf.DUMMYFUNCTION("""COMPUTED_VALUE"""),200.0)</f>
        <v>200</v>
      </c>
      <c r="F358" s="1" t="str">
        <f>IFERROR(__xludf.DUMMYFUNCTION("""COMPUTED_VALUE"""),"DEF: +50000, Light DEF: +50000, Dark DEF: +50000, Celestial DEF: +50000 ++X2 Celestial Defense. +-Cannot be duplicated.")</f>
        <v>DEF: +50000, Light DEF: +50000, Dark DEF: +50000, Celestial DEF: +50000 ++X2 Celestial Defense. +-Cannot be duplicated.</v>
      </c>
      <c r="G358" s="1">
        <f>IFERROR(__xludf.DUMMYFUNCTION("""COMPUTED_VALUE"""),7.98E8)</f>
        <v>798000000</v>
      </c>
      <c r="H358" s="1"/>
      <c r="I358" s="1"/>
      <c r="J358" s="1"/>
      <c r="K358" s="1"/>
      <c r="L358" s="1"/>
      <c r="M358" s="1"/>
      <c r="N358" s="1"/>
      <c r="O358" s="1"/>
      <c r="P358" s="1"/>
      <c r="Q358" s="1"/>
      <c r="R358" s="1"/>
      <c r="S358" s="1"/>
      <c r="T358" s="1"/>
      <c r="U358" s="1"/>
      <c r="V358" s="1"/>
      <c r="W358" s="1"/>
      <c r="X358" s="1"/>
      <c r="Y358" s="1"/>
      <c r="Z358" s="1"/>
    </row>
    <row r="359">
      <c r="A359" s="1" t="str">
        <f>IFERROR(__xludf.DUMMYFUNCTION("""COMPUTED_VALUE"""),"Guard Leggings")</f>
        <v>Guard Leggings</v>
      </c>
      <c r="B359" s="1" t="str">
        <f>IFERROR(__xludf.DUMMYFUNCTION("""COMPUTED_VALUE"""),"Quest Item")</f>
        <v>Quest Item</v>
      </c>
      <c r="C359" s="1"/>
      <c r="D359" s="1" t="str">
        <f>IFERROR(__xludf.DUMMYFUNCTION("""COMPUTED_VALUE"""),"Legs")</f>
        <v>Legs</v>
      </c>
      <c r="E359" s="1">
        <f>IFERROR(__xludf.DUMMYFUNCTION("""COMPUTED_VALUE"""),200.0)</f>
        <v>200</v>
      </c>
      <c r="F359" s="1" t="str">
        <f>IFERROR(__xludf.DUMMYFUNCTION("""COMPUTED_VALUE"""),"DEF: +25000, Light DEF: +25000, Celestial DEF: +25000 +-Cannot be duplicated")</f>
        <v>DEF: +25000, Light DEF: +25000, Celestial DEF: +25000 +-Cannot be duplicated</v>
      </c>
      <c r="G359" s="1">
        <f>IFERROR(__xludf.DUMMYFUNCTION("""COMPUTED_VALUE"""),1.1175E8)</f>
        <v>111750000</v>
      </c>
      <c r="H359" s="1"/>
      <c r="I359" s="1"/>
      <c r="J359" s="1"/>
      <c r="K359" s="1"/>
      <c r="L359" s="1"/>
      <c r="M359" s="1"/>
      <c r="N359" s="1"/>
      <c r="O359" s="1"/>
      <c r="P359" s="1"/>
      <c r="Q359" s="1"/>
      <c r="R359" s="1"/>
      <c r="S359" s="1"/>
      <c r="T359" s="1"/>
      <c r="U359" s="1"/>
      <c r="V359" s="1"/>
      <c r="W359" s="1"/>
      <c r="X359" s="1"/>
      <c r="Y359" s="1"/>
      <c r="Z359" s="1"/>
    </row>
    <row r="360">
      <c r="A360" s="1" t="str">
        <f>IFERROR(__xludf.DUMMYFUNCTION("""COMPUTED_VALUE"""),"Guard Boots")</f>
        <v>Guard Boots</v>
      </c>
      <c r="B360" s="1" t="str">
        <f>IFERROR(__xludf.DUMMYFUNCTION("""COMPUTED_VALUE"""),"Quest Item")</f>
        <v>Quest Item</v>
      </c>
      <c r="C360" s="1"/>
      <c r="D360" s="1" t="str">
        <f>IFERROR(__xludf.DUMMYFUNCTION("""COMPUTED_VALUE"""),"Feet")</f>
        <v>Feet</v>
      </c>
      <c r="E360" s="1">
        <f>IFERROR(__xludf.DUMMYFUNCTION("""COMPUTED_VALUE"""),200.0)</f>
        <v>200</v>
      </c>
      <c r="F360" s="1" t="str">
        <f>IFERROR(__xludf.DUMMYFUNCTION("""COMPUTED_VALUE"""),"DEF: +25000, Light DEF: +25000, Celestial DEF: +25000 +-Cannot be duplicated")</f>
        <v>DEF: +25000, Light DEF: +25000, Celestial DEF: +25000 +-Cannot be duplicated</v>
      </c>
      <c r="G360" s="1">
        <f>IFERROR(__xludf.DUMMYFUNCTION("""COMPUTED_VALUE"""),1.1175E8)</f>
        <v>111750000</v>
      </c>
      <c r="H360" s="1"/>
      <c r="I360" s="1"/>
      <c r="J360" s="1"/>
      <c r="K360" s="1"/>
      <c r="L360" s="1"/>
      <c r="M360" s="1"/>
      <c r="N360" s="1"/>
      <c r="O360" s="1"/>
      <c r="P360" s="1"/>
      <c r="Q360" s="1"/>
      <c r="R360" s="1"/>
      <c r="S360" s="1"/>
      <c r="T360" s="1"/>
      <c r="U360" s="1"/>
      <c r="V360" s="1"/>
      <c r="W360" s="1"/>
      <c r="X360" s="1"/>
      <c r="Y360" s="1"/>
      <c r="Z360" s="1"/>
    </row>
    <row r="361">
      <c r="A361" s="1" t="str">
        <f>IFERROR(__xludf.DUMMYFUNCTION("""COMPUTED_VALUE"""),"Celestian Royal Boots")</f>
        <v>Celestian Royal Boots</v>
      </c>
      <c r="B361" s="1" t="str">
        <f>IFERROR(__xludf.DUMMYFUNCTION("""COMPUTED_VALUE"""),"Quest Item")</f>
        <v>Quest Item</v>
      </c>
      <c r="C361" s="1"/>
      <c r="D361" s="1" t="str">
        <f>IFERROR(__xludf.DUMMYFUNCTION("""COMPUTED_VALUE"""),"Feet")</f>
        <v>Feet</v>
      </c>
      <c r="E361" s="1">
        <f>IFERROR(__xludf.DUMMYFUNCTION("""COMPUTED_VALUE"""),200.0)</f>
        <v>200</v>
      </c>
      <c r="F361" s="1" t="str">
        <f>IFERROR(__xludf.DUMMYFUNCTION("""COMPUTED_VALUE"""),"DEF: +100000, Light DEF: +100000, Dark DEF: +100000, Celestial DEF: +100000 ++X6 Celestial Damage. +-Cannot be duplicated.")</f>
        <v>DEF: +100000, Light DEF: +100000, Dark DEF: +100000, Celestial DEF: +100000 ++X6 Celestial Damage. +-Cannot be duplicated.</v>
      </c>
      <c r="G361" s="1">
        <f>IFERROR(__xludf.DUMMYFUNCTION("""COMPUTED_VALUE"""),3.196E9)</f>
        <v>3196000000</v>
      </c>
      <c r="H361" s="1"/>
      <c r="I361" s="1"/>
      <c r="J361" s="1"/>
      <c r="K361" s="1"/>
      <c r="L361" s="1"/>
      <c r="M361" s="1"/>
      <c r="N361" s="1"/>
      <c r="O361" s="1"/>
      <c r="P361" s="1"/>
      <c r="Q361" s="1"/>
      <c r="R361" s="1"/>
      <c r="S361" s="1"/>
      <c r="T361" s="1"/>
      <c r="U361" s="1"/>
      <c r="V361" s="1"/>
      <c r="W361" s="1"/>
      <c r="X361" s="1"/>
      <c r="Y361" s="1"/>
      <c r="Z361" s="1"/>
    </row>
    <row r="362">
      <c r="A362" s="1" t="str">
        <f>IFERROR(__xludf.DUMMYFUNCTION("""COMPUTED_VALUE"""),"Celestian Royal Leggings")</f>
        <v>Celestian Royal Leggings</v>
      </c>
      <c r="B362" s="1" t="str">
        <f>IFERROR(__xludf.DUMMYFUNCTION("""COMPUTED_VALUE"""),"Quest Item")</f>
        <v>Quest Item</v>
      </c>
      <c r="C362" s="1"/>
      <c r="D362" s="1" t="str">
        <f>IFERROR(__xludf.DUMMYFUNCTION("""COMPUTED_VALUE"""),"Legs")</f>
        <v>Legs</v>
      </c>
      <c r="E362" s="1">
        <f>IFERROR(__xludf.DUMMYFUNCTION("""COMPUTED_VALUE"""),200.0)</f>
        <v>200</v>
      </c>
      <c r="F362" s="1" t="str">
        <f>IFERROR(__xludf.DUMMYFUNCTION("""COMPUTED_VALUE"""),"DEF: +100000, Light DEF: +100000, Dark DEF: +100000, Celestial DEF: +100000 ++X6 Celestial Damage. +-Cannot be duplicated.")</f>
        <v>DEF: +100000, Light DEF: +100000, Dark DEF: +100000, Celestial DEF: +100000 ++X6 Celestial Damage. +-Cannot be duplicated.</v>
      </c>
      <c r="G362" s="1">
        <f>IFERROR(__xludf.DUMMYFUNCTION("""COMPUTED_VALUE"""),3.196E9)</f>
        <v>3196000000</v>
      </c>
      <c r="H362" s="1"/>
      <c r="I362" s="1"/>
      <c r="J362" s="1"/>
      <c r="K362" s="1"/>
      <c r="L362" s="1"/>
      <c r="M362" s="1"/>
      <c r="N362" s="1"/>
      <c r="O362" s="1"/>
      <c r="P362" s="1"/>
      <c r="Q362" s="1"/>
      <c r="R362" s="1"/>
      <c r="S362" s="1"/>
      <c r="T362" s="1"/>
      <c r="U362" s="1"/>
      <c r="V362" s="1"/>
      <c r="W362" s="1"/>
      <c r="X362" s="1"/>
      <c r="Y362" s="1"/>
      <c r="Z362" s="1"/>
    </row>
    <row r="363">
      <c r="A363" s="1" t="str">
        <f>IFERROR(__xludf.DUMMYFUNCTION("""COMPUTED_VALUE"""),"Celestian Royal Helmet")</f>
        <v>Celestian Royal Helmet</v>
      </c>
      <c r="B363" s="1" t="str">
        <f>IFERROR(__xludf.DUMMYFUNCTION("""COMPUTED_VALUE"""),"Quest Item")</f>
        <v>Quest Item</v>
      </c>
      <c r="C363" s="1"/>
      <c r="D363" s="1" t="str">
        <f>IFERROR(__xludf.DUMMYFUNCTION("""COMPUTED_VALUE"""),"Head")</f>
        <v>Head</v>
      </c>
      <c r="E363" s="1">
        <f>IFERROR(__xludf.DUMMYFUNCTION("""COMPUTED_VALUE"""),200.0)</f>
        <v>200</v>
      </c>
      <c r="F363" s="1" t="str">
        <f>IFERROR(__xludf.DUMMYFUNCTION("""COMPUTED_VALUE"""),"DEF: +100000, Light DEF: +100000, Dark DEF: +100000, Celestial DEF: +100000 ++X6 Celestial Damage. +-Cannot be duplicated.")</f>
        <v>DEF: +100000, Light DEF: +100000, Dark DEF: +100000, Celestial DEF: +100000 ++X6 Celestial Damage. +-Cannot be duplicated.</v>
      </c>
      <c r="G363" s="1">
        <f>IFERROR(__xludf.DUMMYFUNCTION("""COMPUTED_VALUE"""),3.196E9)</f>
        <v>3196000000</v>
      </c>
      <c r="H363" s="1"/>
      <c r="I363" s="1"/>
      <c r="J363" s="1"/>
      <c r="K363" s="1"/>
      <c r="L363" s="1"/>
      <c r="M363" s="1"/>
      <c r="N363" s="1"/>
      <c r="O363" s="1"/>
      <c r="P363" s="1"/>
      <c r="Q363" s="1"/>
      <c r="R363" s="1"/>
      <c r="S363" s="1"/>
      <c r="T363" s="1"/>
      <c r="U363" s="1"/>
      <c r="V363" s="1"/>
      <c r="W363" s="1"/>
      <c r="X363" s="1"/>
      <c r="Y363" s="1"/>
      <c r="Z363" s="1"/>
    </row>
    <row r="364">
      <c r="A364" s="1" t="str">
        <f>IFERROR(__xludf.DUMMYFUNCTION("""COMPUTED_VALUE"""),"Celestian Royal Chestplate")</f>
        <v>Celestian Royal Chestplate</v>
      </c>
      <c r="B364" s="1" t="str">
        <f>IFERROR(__xludf.DUMMYFUNCTION("""COMPUTED_VALUE"""),"Quest Item")</f>
        <v>Quest Item</v>
      </c>
      <c r="C364" s="1"/>
      <c r="D364" s="1" t="str">
        <f>IFERROR(__xludf.DUMMYFUNCTION("""COMPUTED_VALUE"""),"Torso")</f>
        <v>Torso</v>
      </c>
      <c r="E364" s="1">
        <f>IFERROR(__xludf.DUMMYFUNCTION("""COMPUTED_VALUE"""),200.0)</f>
        <v>200</v>
      </c>
      <c r="F364" s="1" t="str">
        <f>IFERROR(__xludf.DUMMYFUNCTION("""COMPUTED_VALUE"""),"DEF: +100000, Light DEF: +100000, Dark DEF: +100000, Celestial DEF: +100000 ++X6 Celestial Damage. +-Cannot be duplicated.")</f>
        <v>DEF: +100000, Light DEF: +100000, Dark DEF: +100000, Celestial DEF: +100000 ++X6 Celestial Damage. +-Cannot be duplicated.</v>
      </c>
      <c r="G364" s="1">
        <f>IFERROR(__xludf.DUMMYFUNCTION("""COMPUTED_VALUE"""),3.196E9)</f>
        <v>3196000000</v>
      </c>
      <c r="H364" s="1"/>
      <c r="I364" s="1"/>
      <c r="J364" s="1"/>
      <c r="K364" s="1"/>
      <c r="L364" s="1"/>
      <c r="M364" s="1"/>
      <c r="N364" s="1"/>
      <c r="O364" s="1"/>
      <c r="P364" s="1"/>
      <c r="Q364" s="1"/>
      <c r="R364" s="1"/>
      <c r="S364" s="1"/>
      <c r="T364" s="1"/>
      <c r="U364" s="1"/>
      <c r="V364" s="1"/>
      <c r="W364" s="1"/>
      <c r="X364" s="1"/>
      <c r="Y364" s="1"/>
      <c r="Z364" s="1"/>
    </row>
    <row r="365">
      <c r="A365" s="1" t="str">
        <f>IFERROR(__xludf.DUMMYFUNCTION("""COMPUTED_VALUE"""),"Guard Chestplate")</f>
        <v>Guard Chestplate</v>
      </c>
      <c r="B365" s="1" t="str">
        <f>IFERROR(__xludf.DUMMYFUNCTION("""COMPUTED_VALUE"""),"Quest Item")</f>
        <v>Quest Item</v>
      </c>
      <c r="C365" s="1"/>
      <c r="D365" s="1" t="str">
        <f>IFERROR(__xludf.DUMMYFUNCTION("""COMPUTED_VALUE"""),"Torso")</f>
        <v>Torso</v>
      </c>
      <c r="E365" s="1">
        <f>IFERROR(__xludf.DUMMYFUNCTION("""COMPUTED_VALUE"""),200.0)</f>
        <v>200</v>
      </c>
      <c r="F365" s="1" t="str">
        <f>IFERROR(__xludf.DUMMYFUNCTION("""COMPUTED_VALUE"""),"DEF: +25000, Light DEF: +25000, Celestial DEF: +25000 +-Cannot be duplicated.")</f>
        <v>DEF: +25000, Light DEF: +25000, Celestial DEF: +25000 +-Cannot be duplicated.</v>
      </c>
      <c r="G365" s="1">
        <f>IFERROR(__xludf.DUMMYFUNCTION("""COMPUTED_VALUE"""),1.1175E8)</f>
        <v>111750000</v>
      </c>
      <c r="H365" s="1"/>
      <c r="I365" s="1"/>
      <c r="J365" s="1"/>
      <c r="K365" s="1"/>
      <c r="L365" s="1"/>
      <c r="M365" s="1"/>
      <c r="N365" s="1"/>
      <c r="O365" s="1"/>
      <c r="P365" s="1"/>
      <c r="Q365" s="1"/>
      <c r="R365" s="1"/>
      <c r="S365" s="1"/>
      <c r="T365" s="1"/>
      <c r="U365" s="1"/>
      <c r="V365" s="1"/>
      <c r="W365" s="1"/>
      <c r="X365" s="1"/>
      <c r="Y365" s="1"/>
      <c r="Z365" s="1"/>
    </row>
    <row r="366">
      <c r="A366" s="1" t="str">
        <f>IFERROR(__xludf.DUMMYFUNCTION("""COMPUTED_VALUE"""),"Revolver")</f>
        <v>Revolver</v>
      </c>
      <c r="B366" s="1"/>
      <c r="C366" s="1" t="str">
        <f>IFERROR(__xludf.DUMMYFUNCTION("""COMPUTED_VALUE"""),"Firearm")</f>
        <v>Firearm</v>
      </c>
      <c r="D366" s="1" t="str">
        <f>IFERROR(__xludf.DUMMYFUNCTION("""COMPUTED_VALUE"""),"Hand")</f>
        <v>Hand</v>
      </c>
      <c r="E366" s="1">
        <f>IFERROR(__xludf.DUMMYFUNCTION("""COMPUTED_VALUE"""),200.0)</f>
        <v>200</v>
      </c>
      <c r="F366" s="1" t="str">
        <f>IFERROR(__xludf.DUMMYFUNCTION("""COMPUTED_VALUE"""),"DMG: +5000, Blood DMG: +5000")</f>
        <v>DMG: +5000, Blood DMG: +5000</v>
      </c>
      <c r="G366" s="1">
        <f>IFERROR(__xludf.DUMMYFUNCTION("""COMPUTED_VALUE"""),1900000.0)</f>
        <v>1900000</v>
      </c>
      <c r="H366" s="1"/>
      <c r="I366" s="1"/>
      <c r="J366" s="1"/>
      <c r="K366" s="1"/>
      <c r="L366" s="1"/>
      <c r="M366" s="1"/>
      <c r="N366" s="1"/>
      <c r="O366" s="1"/>
      <c r="P366" s="1"/>
      <c r="Q366" s="1"/>
      <c r="R366" s="1"/>
      <c r="S366" s="1"/>
      <c r="T366" s="1"/>
      <c r="U366" s="1"/>
      <c r="V366" s="1"/>
      <c r="W366" s="1"/>
      <c r="X366" s="1"/>
      <c r="Y366" s="1"/>
      <c r="Z366" s="1"/>
    </row>
    <row r="367">
      <c r="A367" s="1" t="str">
        <f>IFERROR(__xludf.DUMMYFUNCTION("""COMPUTED_VALUE"""),"Musket")</f>
        <v>Musket</v>
      </c>
      <c r="B367" s="1"/>
      <c r="C367" s="1" t="str">
        <f>IFERROR(__xludf.DUMMYFUNCTION("""COMPUTED_VALUE"""),"Firearm")</f>
        <v>Firearm</v>
      </c>
      <c r="D367" s="1" t="str">
        <f>IFERROR(__xludf.DUMMYFUNCTION("""COMPUTED_VALUE"""),"Hand")</f>
        <v>Hand</v>
      </c>
      <c r="E367" s="1">
        <f>IFERROR(__xludf.DUMMYFUNCTION("""COMPUTED_VALUE"""),400.0)</f>
        <v>400</v>
      </c>
      <c r="F367" s="1" t="str">
        <f>IFERROR(__xludf.DUMMYFUNCTION("""COMPUTED_VALUE"""),"DMG: +10000, Blood DMG: +10000")</f>
        <v>DMG: +10000, Blood DMG: +10000</v>
      </c>
      <c r="G367" s="1">
        <f>IFERROR(__xludf.DUMMYFUNCTION("""COMPUTED_VALUE"""),7800000.0)</f>
        <v>7800000</v>
      </c>
      <c r="H367" s="1"/>
      <c r="I367" s="1"/>
      <c r="J367" s="1"/>
      <c r="K367" s="1"/>
      <c r="L367" s="1"/>
      <c r="M367" s="1"/>
      <c r="N367" s="1"/>
      <c r="O367" s="1"/>
      <c r="P367" s="1"/>
      <c r="Q367" s="1"/>
      <c r="R367" s="1"/>
      <c r="S367" s="1"/>
      <c r="T367" s="1"/>
      <c r="U367" s="1"/>
      <c r="V367" s="1"/>
      <c r="W367" s="1"/>
      <c r="X367" s="1"/>
      <c r="Y367" s="1"/>
      <c r="Z367" s="1"/>
    </row>
    <row r="368">
      <c r="A368" s="1" t="str">
        <f>IFERROR(__xludf.DUMMYFUNCTION("""COMPUTED_VALUE"""),"Lazer Infused Railgun")</f>
        <v>Lazer Infused Railgun</v>
      </c>
      <c r="B368" s="1"/>
      <c r="C368" s="1" t="str">
        <f>IFERROR(__xludf.DUMMYFUNCTION("""COMPUTED_VALUE"""),"Firearm")</f>
        <v>Firearm</v>
      </c>
      <c r="D368" s="1" t="str">
        <f>IFERROR(__xludf.DUMMYFUNCTION("""COMPUTED_VALUE"""),"Hand")</f>
        <v>Hand</v>
      </c>
      <c r="E368" s="1">
        <f>IFERROR(__xludf.DUMMYFUNCTION("""COMPUTED_VALUE"""),1600.0)</f>
        <v>1600</v>
      </c>
      <c r="F368" s="1" t="str">
        <f>IFERROR(__xludf.DUMMYFUNCTION("""COMPUTED_VALUE"""),"DMG: +40000, Blood DMG: +40000 ++Damages all enemies, Cannot Avoid. ++Ignores defense, ++Does not need ammunition. +-Cannot be forged. ")</f>
        <v>DMG: +40000, Blood DMG: +40000 ++Damages all enemies, Cannot Avoid. ++Ignores defense, ++Does not need ammunition. +-Cannot be forged. </v>
      </c>
      <c r="G368" s="1">
        <f>IFERROR(__xludf.DUMMYFUNCTION("""COMPUTED_VALUE"""),1.272E8)</f>
        <v>127200000</v>
      </c>
      <c r="H368" s="1"/>
      <c r="I368" s="1"/>
      <c r="J368" s="1"/>
      <c r="K368" s="1"/>
      <c r="L368" s="1"/>
      <c r="M368" s="1"/>
      <c r="N368" s="1"/>
      <c r="O368" s="1"/>
      <c r="P368" s="1"/>
      <c r="Q368" s="1"/>
      <c r="R368" s="1"/>
      <c r="S368" s="1"/>
      <c r="T368" s="1"/>
      <c r="U368" s="1"/>
      <c r="V368" s="1"/>
      <c r="W368" s="1"/>
      <c r="X368" s="1"/>
      <c r="Y368" s="1"/>
      <c r="Z368" s="1"/>
    </row>
    <row r="369">
      <c r="A369" s="1" t="str">
        <f>IFERROR(__xludf.DUMMYFUNCTION("""COMPUTED_VALUE"""),"Minigun")</f>
        <v>Minigun</v>
      </c>
      <c r="B369" s="1"/>
      <c r="C369" s="1" t="str">
        <f>IFERROR(__xludf.DUMMYFUNCTION("""COMPUTED_VALUE"""),"Firearm")</f>
        <v>Firearm</v>
      </c>
      <c r="D369" s="1" t="str">
        <f>IFERROR(__xludf.DUMMYFUNCTION("""COMPUTED_VALUE"""),"Hand")</f>
        <v>Hand</v>
      </c>
      <c r="E369" s="1">
        <f>IFERROR(__xludf.DUMMYFUNCTION("""COMPUTED_VALUE"""),1200.0)</f>
        <v>1200</v>
      </c>
      <c r="F369" s="1" t="str">
        <f>IFERROR(__xludf.DUMMYFUNCTION("""COMPUTED_VALUE"""),"DMG: +30000, Blood DMG: +30000 ++Damages all enemies, Cannot Avoid, Roll a d100 the turn you use this weapon to see how many bullets it shoots.")</f>
        <v>DMG: +30000, Blood DMG: +30000 ++Damages all enemies, Cannot Avoid, Roll a d100 the turn you use this weapon to see how many bullets it shoots.</v>
      </c>
      <c r="G369" s="1">
        <f>IFERROR(__xludf.DUMMYFUNCTION("""COMPUTED_VALUE"""),7.14E7)</f>
        <v>71400000</v>
      </c>
      <c r="H369" s="1"/>
      <c r="I369" s="1"/>
      <c r="J369" s="1"/>
      <c r="K369" s="1"/>
      <c r="L369" s="1"/>
      <c r="M369" s="1"/>
      <c r="N369" s="1"/>
      <c r="O369" s="1"/>
      <c r="P369" s="1"/>
      <c r="Q369" s="1"/>
      <c r="R369" s="1"/>
      <c r="S369" s="1"/>
      <c r="T369" s="1"/>
      <c r="U369" s="1"/>
      <c r="V369" s="1"/>
      <c r="W369" s="1"/>
      <c r="X369" s="1"/>
      <c r="Y369" s="1"/>
      <c r="Z369" s="1"/>
    </row>
    <row r="370">
      <c r="A370" s="1" t="str">
        <f>IFERROR(__xludf.DUMMYFUNCTION("""COMPUTED_VALUE"""),"Seahorse’s Ring")</f>
        <v>Seahorse’s Ring</v>
      </c>
      <c r="B370" s="1"/>
      <c r="C370" s="1"/>
      <c r="D370" s="1" t="str">
        <f>IFERROR(__xludf.DUMMYFUNCTION("""COMPUTED_VALUE"""),"Ring")</f>
        <v>Ring</v>
      </c>
      <c r="E370" s="1">
        <f>IFERROR(__xludf.DUMMYFUNCTION("""COMPUTED_VALUE"""),20.0)</f>
        <v>20</v>
      </c>
      <c r="F370" s="1" t="str">
        <f>IFERROR(__xludf.DUMMYFUNCTION("""COMPUTED_VALUE"""),", Nature : +1000 ++When fishing you have a 5% chance to encounter a rare seahorse, and he will give you a unique item (Chosen by a DM/GM)")</f>
        <v>, Nature : +1000 ++When fishing you have a 5% chance to encounter a rare seahorse, and he will give you a unique item (Chosen by a DM/GM)</v>
      </c>
      <c r="G370" s="1">
        <f>IFERROR(__xludf.DUMMYFUNCTION("""COMPUTED_VALUE"""),10000.0)</f>
        <v>10000</v>
      </c>
      <c r="H370" s="1"/>
      <c r="I370" s="1"/>
      <c r="J370" s="1"/>
      <c r="K370" s="1"/>
      <c r="L370" s="1"/>
      <c r="M370" s="1"/>
      <c r="N370" s="1"/>
      <c r="O370" s="1"/>
      <c r="P370" s="1"/>
      <c r="Q370" s="1"/>
      <c r="R370" s="1"/>
      <c r="S370" s="1"/>
      <c r="T370" s="1"/>
      <c r="U370" s="1"/>
      <c r="V370" s="1"/>
      <c r="W370" s="1"/>
      <c r="X370" s="1"/>
      <c r="Y370" s="1"/>
      <c r="Z370" s="1"/>
    </row>
    <row r="371">
      <c r="A371" s="1" t="str">
        <f>IFERROR(__xludf.DUMMYFUNCTION("""COMPUTED_VALUE"""),"Bamboo Vambraces")</f>
        <v>Bamboo Vambraces</v>
      </c>
      <c r="B371" s="1"/>
      <c r="C371" s="1"/>
      <c r="D371" s="1" t="str">
        <f>IFERROR(__xludf.DUMMYFUNCTION("""COMPUTED_VALUE"""),"Arms")</f>
        <v>Arms</v>
      </c>
      <c r="E371" s="1">
        <f>IFERROR(__xludf.DUMMYFUNCTION("""COMPUTED_VALUE"""),40.0)</f>
        <v>40</v>
      </c>
      <c r="F371" s="1" t="str">
        <f>IFERROR(__xludf.DUMMYFUNCTION("""COMPUTED_VALUE"""),"DEF: +1000, Nature DEF: +1000")</f>
        <v>DEF: +1000, Nature DEF: +1000</v>
      </c>
      <c r="G371" s="1">
        <f>IFERROR(__xludf.DUMMYFUNCTION("""COMPUTED_VALUE"""),60000.0)</f>
        <v>60000</v>
      </c>
      <c r="H371" s="1"/>
      <c r="I371" s="1"/>
      <c r="J371" s="1"/>
      <c r="K371" s="1"/>
      <c r="L371" s="1"/>
      <c r="M371" s="1"/>
      <c r="N371" s="1"/>
      <c r="O371" s="1"/>
      <c r="P371" s="1"/>
      <c r="Q371" s="1"/>
      <c r="R371" s="1"/>
      <c r="S371" s="1"/>
      <c r="T371" s="1"/>
      <c r="U371" s="1"/>
      <c r="V371" s="1"/>
      <c r="W371" s="1"/>
      <c r="X371" s="1"/>
      <c r="Y371" s="1"/>
      <c r="Z371" s="1"/>
    </row>
    <row r="372">
      <c r="A372" s="1" t="str">
        <f>IFERROR(__xludf.DUMMYFUNCTION("""COMPUTED_VALUE"""),"Bamboo Pauldrons")</f>
        <v>Bamboo Pauldrons</v>
      </c>
      <c r="B372" s="1"/>
      <c r="C372" s="1"/>
      <c r="D372" s="1" t="str">
        <f>IFERROR(__xludf.DUMMYFUNCTION("""COMPUTED_VALUE"""),"Shoulders")</f>
        <v>Shoulders</v>
      </c>
      <c r="E372" s="1">
        <f>IFERROR(__xludf.DUMMYFUNCTION("""COMPUTED_VALUE"""),40.0)</f>
        <v>40</v>
      </c>
      <c r="F372" s="1" t="str">
        <f>IFERROR(__xludf.DUMMYFUNCTION("""COMPUTED_VALUE"""),"DEF: +1000, Nature DEF: +1000")</f>
        <v>DEF: +1000, Nature DEF: +1000</v>
      </c>
      <c r="G372" s="1">
        <f>IFERROR(__xludf.DUMMYFUNCTION("""COMPUTED_VALUE"""),60000.0)</f>
        <v>60000</v>
      </c>
      <c r="H372" s="1"/>
      <c r="I372" s="1"/>
      <c r="J372" s="1"/>
      <c r="K372" s="1"/>
      <c r="L372" s="1"/>
      <c r="M372" s="1"/>
      <c r="N372" s="1"/>
      <c r="O372" s="1"/>
      <c r="P372" s="1"/>
      <c r="Q372" s="1"/>
      <c r="R372" s="1"/>
      <c r="S372" s="1"/>
      <c r="T372" s="1"/>
      <c r="U372" s="1"/>
      <c r="V372" s="1"/>
      <c r="W372" s="1"/>
      <c r="X372" s="1"/>
      <c r="Y372" s="1"/>
      <c r="Z372" s="1"/>
    </row>
    <row r="373">
      <c r="A373" s="1" t="str">
        <f>IFERROR(__xludf.DUMMYFUNCTION("""COMPUTED_VALUE"""),"Bamboo Chestplate")</f>
        <v>Bamboo Chestplate</v>
      </c>
      <c r="B373" s="1"/>
      <c r="C373" s="1"/>
      <c r="D373" s="1" t="str">
        <f>IFERROR(__xludf.DUMMYFUNCTION("""COMPUTED_VALUE"""),"Torso")</f>
        <v>Torso</v>
      </c>
      <c r="E373" s="1">
        <f>IFERROR(__xludf.DUMMYFUNCTION("""COMPUTED_VALUE"""),40.0)</f>
        <v>40</v>
      </c>
      <c r="F373" s="1" t="str">
        <f>IFERROR(__xludf.DUMMYFUNCTION("""COMPUTED_VALUE"""),"DEF: +1000, Nature DEF: +1000")</f>
        <v>DEF: +1000, Nature DEF: +1000</v>
      </c>
      <c r="G373" s="1">
        <f>IFERROR(__xludf.DUMMYFUNCTION("""COMPUTED_VALUE"""),60000.0)</f>
        <v>60000</v>
      </c>
      <c r="H373" s="1"/>
      <c r="I373" s="1"/>
      <c r="J373" s="1"/>
      <c r="K373" s="1"/>
      <c r="L373" s="1"/>
      <c r="M373" s="1"/>
      <c r="N373" s="1"/>
      <c r="O373" s="1"/>
      <c r="P373" s="1"/>
      <c r="Q373" s="1"/>
      <c r="R373" s="1"/>
      <c r="S373" s="1"/>
      <c r="T373" s="1"/>
      <c r="U373" s="1"/>
      <c r="V373" s="1"/>
      <c r="W373" s="1"/>
      <c r="X373" s="1"/>
      <c r="Y373" s="1"/>
      <c r="Z373" s="1"/>
    </row>
    <row r="374">
      <c r="A374" s="1" t="str">
        <f>IFERROR(__xludf.DUMMYFUNCTION("""COMPUTED_VALUE"""),"Bamboo Greaves")</f>
        <v>Bamboo Greaves</v>
      </c>
      <c r="B374" s="1"/>
      <c r="C374" s="1"/>
      <c r="D374" s="1" t="str">
        <f>IFERROR(__xludf.DUMMYFUNCTION("""COMPUTED_VALUE"""),"Legs")</f>
        <v>Legs</v>
      </c>
      <c r="E374" s="1">
        <f>IFERROR(__xludf.DUMMYFUNCTION("""COMPUTED_VALUE"""),40.0)</f>
        <v>40</v>
      </c>
      <c r="F374" s="1" t="str">
        <f>IFERROR(__xludf.DUMMYFUNCTION("""COMPUTED_VALUE"""),"DEF: +1000, Nature DEF: +1000")</f>
        <v>DEF: +1000, Nature DEF: +1000</v>
      </c>
      <c r="G374" s="1">
        <f>IFERROR(__xludf.DUMMYFUNCTION("""COMPUTED_VALUE"""),60000.0)</f>
        <v>60000</v>
      </c>
      <c r="H374" s="1"/>
      <c r="I374" s="1"/>
      <c r="J374" s="1"/>
      <c r="K374" s="1"/>
      <c r="L374" s="1"/>
      <c r="M374" s="1"/>
      <c r="N374" s="1"/>
      <c r="O374" s="1"/>
      <c r="P374" s="1"/>
      <c r="Q374" s="1"/>
      <c r="R374" s="1"/>
      <c r="S374" s="1"/>
      <c r="T374" s="1"/>
      <c r="U374" s="1"/>
      <c r="V374" s="1"/>
      <c r="W374" s="1"/>
      <c r="X374" s="1"/>
      <c r="Y374" s="1"/>
      <c r="Z374" s="1"/>
    </row>
    <row r="375">
      <c r="A375" s="1" t="str">
        <f>IFERROR(__xludf.DUMMYFUNCTION("""COMPUTED_VALUE"""),"Strengthened Bamboo Sword")</f>
        <v>Strengthened Bamboo Sword</v>
      </c>
      <c r="B375" s="1"/>
      <c r="C375" s="1" t="str">
        <f>IFERROR(__xludf.DUMMYFUNCTION("""COMPUTED_VALUE"""),"Sword")</f>
        <v>Sword</v>
      </c>
      <c r="D375" s="1" t="str">
        <f>IFERROR(__xludf.DUMMYFUNCTION("""COMPUTED_VALUE"""),"Hand")</f>
        <v>Hand</v>
      </c>
      <c r="E375" s="1">
        <f>IFERROR(__xludf.DUMMYFUNCTION("""COMPUTED_VALUE"""),40.0)</f>
        <v>40</v>
      </c>
      <c r="F375" s="1" t="str">
        <f>IFERROR(__xludf.DUMMYFUNCTION("""COMPUTED_VALUE"""),"DMG: +1000, Nature DMG: +1000 ++X4 damage for this weapon if the battle is in a Forest or Jungle.")</f>
        <v>DMG: +1000, Nature DMG: +1000 ++X4 damage for this weapon if the battle is in a Forest or Jungle.</v>
      </c>
      <c r="G375" s="1">
        <f>IFERROR(__xludf.DUMMYFUNCTION("""COMPUTED_VALUE"""),60000.0)</f>
        <v>60000</v>
      </c>
      <c r="H375" s="1"/>
      <c r="I375" s="1"/>
      <c r="J375" s="1"/>
      <c r="K375" s="1"/>
      <c r="L375" s="1"/>
      <c r="M375" s="1"/>
      <c r="N375" s="1"/>
      <c r="O375" s="1"/>
      <c r="P375" s="1"/>
      <c r="Q375" s="1"/>
      <c r="R375" s="1"/>
      <c r="S375" s="1"/>
      <c r="T375" s="1"/>
      <c r="U375" s="1"/>
      <c r="V375" s="1"/>
      <c r="W375" s="1"/>
      <c r="X375" s="1"/>
      <c r="Y375" s="1"/>
      <c r="Z375" s="1"/>
    </row>
    <row r="376">
      <c r="A376" s="1" t="str">
        <f>IFERROR(__xludf.DUMMYFUNCTION("""COMPUTED_VALUE"""),"Bamboo Sandals")</f>
        <v>Bamboo Sandals</v>
      </c>
      <c r="B376" s="1"/>
      <c r="C376" s="1"/>
      <c r="D376" s="1" t="str">
        <f>IFERROR(__xludf.DUMMYFUNCTION("""COMPUTED_VALUE"""),"Feet")</f>
        <v>Feet</v>
      </c>
      <c r="E376" s="1">
        <f>IFERROR(__xludf.DUMMYFUNCTION("""COMPUTED_VALUE"""),40.0)</f>
        <v>40</v>
      </c>
      <c r="F376" s="1" t="str">
        <f>IFERROR(__xludf.DUMMYFUNCTION("""COMPUTED_VALUE"""),"DEF: +1000, Nature DEF: +1000")</f>
        <v>DEF: +1000, Nature DEF: +1000</v>
      </c>
      <c r="G376" s="1">
        <f>IFERROR(__xludf.DUMMYFUNCTION("""COMPUTED_VALUE"""),60000.0)</f>
        <v>60000</v>
      </c>
      <c r="H376" s="1"/>
      <c r="I376" s="1"/>
      <c r="J376" s="1"/>
      <c r="K376" s="1"/>
      <c r="L376" s="1"/>
      <c r="M376" s="1"/>
      <c r="N376" s="1"/>
      <c r="O376" s="1"/>
      <c r="P376" s="1"/>
      <c r="Q376" s="1"/>
      <c r="R376" s="1"/>
      <c r="S376" s="1"/>
      <c r="T376" s="1"/>
      <c r="U376" s="1"/>
      <c r="V376" s="1"/>
      <c r="W376" s="1"/>
      <c r="X376" s="1"/>
      <c r="Y376" s="1"/>
      <c r="Z376" s="1"/>
    </row>
    <row r="377">
      <c r="A377" s="1" t="str">
        <f>IFERROR(__xludf.DUMMYFUNCTION("""COMPUTED_VALUE"""),"Greaves of Foul Night")</f>
        <v>Greaves of Foul Night</v>
      </c>
      <c r="B377" s="1"/>
      <c r="C377" s="1"/>
      <c r="D377" s="1" t="str">
        <f>IFERROR(__xludf.DUMMYFUNCTION("""COMPUTED_VALUE"""),"Legs")</f>
        <v>Legs</v>
      </c>
      <c r="E377" s="1">
        <f>IFERROR(__xludf.DUMMYFUNCTION("""COMPUTED_VALUE"""),200.0)</f>
        <v>200</v>
      </c>
      <c r="F377" s="1" t="str">
        <f>IFERROR(__xludf.DUMMYFUNCTION("""COMPUTED_VALUE"""),"DEF: +5000, Nature DEF: +5000 (Foul Night Set) ++X2 Nature and Poison damage, Poison Immunity.")</f>
        <v>DEF: +5000, Nature DEF: +5000 (Foul Night Set) ++X2 Nature and Poison damage, Poison Immunity.</v>
      </c>
      <c r="G377" s="1">
        <f>IFERROR(__xludf.DUMMYFUNCTION("""COMPUTED_VALUE"""),1900000.0)</f>
        <v>1900000</v>
      </c>
      <c r="H377" s="1"/>
      <c r="I377" s="1"/>
      <c r="J377" s="1"/>
      <c r="K377" s="1"/>
      <c r="L377" s="1"/>
      <c r="M377" s="1"/>
      <c r="N377" s="1"/>
      <c r="O377" s="1"/>
      <c r="P377" s="1"/>
      <c r="Q377" s="1"/>
      <c r="R377" s="1"/>
      <c r="S377" s="1"/>
      <c r="T377" s="1"/>
      <c r="U377" s="1"/>
      <c r="V377" s="1"/>
      <c r="W377" s="1"/>
      <c r="X377" s="1"/>
      <c r="Y377" s="1"/>
      <c r="Z377" s="1"/>
    </row>
    <row r="378">
      <c r="A378" s="1" t="str">
        <f>IFERROR(__xludf.DUMMYFUNCTION("""COMPUTED_VALUE"""),"Vambraces of Foul Night")</f>
        <v>Vambraces of Foul Night</v>
      </c>
      <c r="B378" s="1"/>
      <c r="C378" s="1"/>
      <c r="D378" s="1" t="str">
        <f>IFERROR(__xludf.DUMMYFUNCTION("""COMPUTED_VALUE"""),"Arms")</f>
        <v>Arms</v>
      </c>
      <c r="E378" s="1">
        <f>IFERROR(__xludf.DUMMYFUNCTION("""COMPUTED_VALUE"""),200.0)</f>
        <v>200</v>
      </c>
      <c r="F378" s="1" t="str">
        <f>IFERROR(__xludf.DUMMYFUNCTION("""COMPUTED_VALUE"""),"DEF: +5000, Dark DEF: +5000 (Foul Night Set) ++X2 Dark and Poison damage, Poison Immunity.")</f>
        <v>DEF: +5000, Dark DEF: +5000 (Foul Night Set) ++X2 Dark and Poison damage, Poison Immunity.</v>
      </c>
      <c r="G378" s="1">
        <f>IFERROR(__xludf.DUMMYFUNCTION("""COMPUTED_VALUE"""),1900000.0)</f>
        <v>1900000</v>
      </c>
      <c r="H378" s="1"/>
      <c r="I378" s="1"/>
      <c r="J378" s="1"/>
      <c r="K378" s="1"/>
      <c r="L378" s="1"/>
      <c r="M378" s="1"/>
      <c r="N378" s="1"/>
      <c r="O378" s="1"/>
      <c r="P378" s="1"/>
      <c r="Q378" s="1"/>
      <c r="R378" s="1"/>
      <c r="S378" s="1"/>
      <c r="T378" s="1"/>
      <c r="U378" s="1"/>
      <c r="V378" s="1"/>
      <c r="W378" s="1"/>
      <c r="X378" s="1"/>
      <c r="Y378" s="1"/>
      <c r="Z378" s="1"/>
    </row>
    <row r="379">
      <c r="A379" s="1" t="str">
        <f>IFERROR(__xludf.DUMMYFUNCTION("""COMPUTED_VALUE"""),"Boots of Foul Night")</f>
        <v>Boots of Foul Night</v>
      </c>
      <c r="B379" s="1"/>
      <c r="C379" s="1"/>
      <c r="D379" s="1" t="str">
        <f>IFERROR(__xludf.DUMMYFUNCTION("""COMPUTED_VALUE"""),"Feet")</f>
        <v>Feet</v>
      </c>
      <c r="E379" s="1">
        <f>IFERROR(__xludf.DUMMYFUNCTION("""COMPUTED_VALUE"""),200.0)</f>
        <v>200</v>
      </c>
      <c r="F379" s="1" t="str">
        <f>IFERROR(__xludf.DUMMYFUNCTION("""COMPUTED_VALUE"""),"DEF: +5000, Dark DEF: +5000 (Foul Night Set) ++X2 Dark and Poison damage, Poison Immunity.")</f>
        <v>DEF: +5000, Dark DEF: +5000 (Foul Night Set) ++X2 Dark and Poison damage, Poison Immunity.</v>
      </c>
      <c r="G379" s="1">
        <f>IFERROR(__xludf.DUMMYFUNCTION("""COMPUTED_VALUE"""),1900000.0)</f>
        <v>1900000</v>
      </c>
      <c r="H379" s="1"/>
      <c r="I379" s="1"/>
      <c r="J379" s="1"/>
      <c r="K379" s="1"/>
      <c r="L379" s="1"/>
      <c r="M379" s="1"/>
      <c r="N379" s="1"/>
      <c r="O379" s="1"/>
      <c r="P379" s="1"/>
      <c r="Q379" s="1"/>
      <c r="R379" s="1"/>
      <c r="S379" s="1"/>
      <c r="T379" s="1"/>
      <c r="U379" s="1"/>
      <c r="V379" s="1"/>
      <c r="W379" s="1"/>
      <c r="X379" s="1"/>
      <c r="Y379" s="1"/>
      <c r="Z379" s="1"/>
    </row>
    <row r="380">
      <c r="A380" s="1" t="str">
        <f>IFERROR(__xludf.DUMMYFUNCTION("""COMPUTED_VALUE"""),"Pauldrons of Foul Night")</f>
        <v>Pauldrons of Foul Night</v>
      </c>
      <c r="B380" s="1"/>
      <c r="C380" s="1"/>
      <c r="D380" s="1" t="str">
        <f>IFERROR(__xludf.DUMMYFUNCTION("""COMPUTED_VALUE"""),"Shoulders")</f>
        <v>Shoulders</v>
      </c>
      <c r="E380" s="1">
        <f>IFERROR(__xludf.DUMMYFUNCTION("""COMPUTED_VALUE"""),200.0)</f>
        <v>200</v>
      </c>
      <c r="F380" s="1" t="str">
        <f>IFERROR(__xludf.DUMMYFUNCTION("""COMPUTED_VALUE"""),"DEF: +5000, Dark DEF: +5000 (Foul Night Set) ++X2 Dark and Poison damage, Poison Immunity.")</f>
        <v>DEF: +5000, Dark DEF: +5000 (Foul Night Set) ++X2 Dark and Poison damage, Poison Immunity.</v>
      </c>
      <c r="G380" s="1">
        <f>IFERROR(__xludf.DUMMYFUNCTION("""COMPUTED_VALUE"""),1900000.0)</f>
        <v>1900000</v>
      </c>
      <c r="H380" s="1"/>
      <c r="I380" s="1"/>
      <c r="J380" s="1"/>
      <c r="K380" s="1"/>
      <c r="L380" s="1"/>
      <c r="M380" s="1"/>
      <c r="N380" s="1"/>
      <c r="O380" s="1"/>
      <c r="P380" s="1"/>
      <c r="Q380" s="1"/>
      <c r="R380" s="1"/>
      <c r="S380" s="1"/>
      <c r="T380" s="1"/>
      <c r="U380" s="1"/>
      <c r="V380" s="1"/>
      <c r="W380" s="1"/>
      <c r="X380" s="1"/>
      <c r="Y380" s="1"/>
      <c r="Z380" s="1"/>
    </row>
    <row r="381">
      <c r="A381" s="1" t="str">
        <f>IFERROR(__xludf.DUMMYFUNCTION("""COMPUTED_VALUE"""),"Crystal Forged Pauldrons")</f>
        <v>Crystal Forged Pauldrons</v>
      </c>
      <c r="B381" s="1"/>
      <c r="C381" s="1"/>
      <c r="D381" s="1" t="str">
        <f>IFERROR(__xludf.DUMMYFUNCTION("""COMPUTED_VALUE"""),"Shoulders")</f>
        <v>Shoulders</v>
      </c>
      <c r="E381" s="1">
        <f>IFERROR(__xludf.DUMMYFUNCTION("""COMPUTED_VALUE"""),200.0)</f>
        <v>200</v>
      </c>
      <c r="F381"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1" s="1">
        <f>IFERROR(__xludf.DUMMYFUNCTION("""COMPUTED_VALUE"""),1900000.0)</f>
        <v>1900000</v>
      </c>
      <c r="H381" s="1"/>
      <c r="I381" s="1"/>
      <c r="J381" s="1"/>
      <c r="K381" s="1"/>
      <c r="L381" s="1"/>
      <c r="M381" s="1"/>
      <c r="N381" s="1"/>
      <c r="O381" s="1"/>
      <c r="P381" s="1"/>
      <c r="Q381" s="1"/>
      <c r="R381" s="1"/>
      <c r="S381" s="1"/>
      <c r="T381" s="1"/>
      <c r="U381" s="1"/>
      <c r="V381" s="1"/>
      <c r="W381" s="1"/>
      <c r="X381" s="1"/>
      <c r="Y381" s="1"/>
      <c r="Z381" s="1"/>
    </row>
    <row r="382">
      <c r="A382" s="1" t="str">
        <f>IFERROR(__xludf.DUMMYFUNCTION("""COMPUTED_VALUE"""),"Crystal Forged Greaves")</f>
        <v>Crystal Forged Greaves</v>
      </c>
      <c r="B382" s="1"/>
      <c r="C382" s="1"/>
      <c r="D382" s="1" t="str">
        <f>IFERROR(__xludf.DUMMYFUNCTION("""COMPUTED_VALUE"""),"Legs")</f>
        <v>Legs</v>
      </c>
      <c r="E382" s="1">
        <f>IFERROR(__xludf.DUMMYFUNCTION("""COMPUTED_VALUE"""),200.0)</f>
        <v>200</v>
      </c>
      <c r="F382"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2" s="1">
        <f>IFERROR(__xludf.DUMMYFUNCTION("""COMPUTED_VALUE"""),1900000.0)</f>
        <v>1900000</v>
      </c>
      <c r="H382" s="1"/>
      <c r="I382" s="1"/>
      <c r="J382" s="1"/>
      <c r="K382" s="1"/>
      <c r="L382" s="1"/>
      <c r="M382" s="1"/>
      <c r="N382" s="1"/>
      <c r="O382" s="1"/>
      <c r="P382" s="1"/>
      <c r="Q382" s="1"/>
      <c r="R382" s="1"/>
      <c r="S382" s="1"/>
      <c r="T382" s="1"/>
      <c r="U382" s="1"/>
      <c r="V382" s="1"/>
      <c r="W382" s="1"/>
      <c r="X382" s="1"/>
      <c r="Y382" s="1"/>
      <c r="Z382" s="1"/>
    </row>
    <row r="383">
      <c r="A383" s="1" t="str">
        <f>IFERROR(__xludf.DUMMYFUNCTION("""COMPUTED_VALUE"""),"Crystal Forged Boots")</f>
        <v>Crystal Forged Boots</v>
      </c>
      <c r="B383" s="1"/>
      <c r="C383" s="1"/>
      <c r="D383" s="1" t="str">
        <f>IFERROR(__xludf.DUMMYFUNCTION("""COMPUTED_VALUE"""),"Feet")</f>
        <v>Feet</v>
      </c>
      <c r="E383" s="1">
        <f>IFERROR(__xludf.DUMMYFUNCTION("""COMPUTED_VALUE"""),200.0)</f>
        <v>200</v>
      </c>
      <c r="F383"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3" s="1">
        <f>IFERROR(__xludf.DUMMYFUNCTION("""COMPUTED_VALUE"""),1900000.0)</f>
        <v>1900000</v>
      </c>
      <c r="H383" s="1"/>
      <c r="I383" s="1"/>
      <c r="J383" s="1"/>
      <c r="K383" s="1"/>
      <c r="L383" s="1"/>
      <c r="M383" s="1"/>
      <c r="N383" s="1"/>
      <c r="O383" s="1"/>
      <c r="P383" s="1"/>
      <c r="Q383" s="1"/>
      <c r="R383" s="1"/>
      <c r="S383" s="1"/>
      <c r="T383" s="1"/>
      <c r="U383" s="1"/>
      <c r="V383" s="1"/>
      <c r="W383" s="1"/>
      <c r="X383" s="1"/>
      <c r="Y383" s="1"/>
      <c r="Z383" s="1"/>
    </row>
    <row r="384">
      <c r="A384" s="1" t="str">
        <f>IFERROR(__xludf.DUMMYFUNCTION("""COMPUTED_VALUE"""),"Crystal Forged Vambraces")</f>
        <v>Crystal Forged Vambraces</v>
      </c>
      <c r="B384" s="1"/>
      <c r="C384" s="1"/>
      <c r="D384" s="1" t="str">
        <f>IFERROR(__xludf.DUMMYFUNCTION("""COMPUTED_VALUE"""),"Arms")</f>
        <v>Arms</v>
      </c>
      <c r="E384" s="1">
        <f>IFERROR(__xludf.DUMMYFUNCTION("""COMPUTED_VALUE"""),200.0)</f>
        <v>200</v>
      </c>
      <c r="F384"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4" s="1">
        <f>IFERROR(__xludf.DUMMYFUNCTION("""COMPUTED_VALUE"""),1900000.0)</f>
        <v>1900000</v>
      </c>
      <c r="H384" s="1"/>
      <c r="I384" s="1"/>
      <c r="J384" s="1"/>
      <c r="K384" s="1"/>
      <c r="L384" s="1"/>
      <c r="M384" s="1"/>
      <c r="N384" s="1"/>
      <c r="O384" s="1"/>
      <c r="P384" s="1"/>
      <c r="Q384" s="1"/>
      <c r="R384" s="1"/>
      <c r="S384" s="1"/>
      <c r="T384" s="1"/>
      <c r="U384" s="1"/>
      <c r="V384" s="1"/>
      <c r="W384" s="1"/>
      <c r="X384" s="1"/>
      <c r="Y384" s="1"/>
      <c r="Z384" s="1"/>
    </row>
    <row r="385">
      <c r="A385" s="1" t="str">
        <f>IFERROR(__xludf.DUMMYFUNCTION("""COMPUTED_VALUE"""),"Fiddle")</f>
        <v>Fiddle</v>
      </c>
      <c r="B385" s="1"/>
      <c r="C385" s="1" t="str">
        <f>IFERROR(__xludf.DUMMYFUNCTION("""COMPUTED_VALUE"""),"Instrument")</f>
        <v>Instrument</v>
      </c>
      <c r="D385" s="1" t="str">
        <f>IFERROR(__xludf.DUMMYFUNCTION("""COMPUTED_VALUE"""),"Hand")</f>
        <v>Hand</v>
      </c>
      <c r="E385" s="1">
        <f>IFERROR(__xludf.DUMMYFUNCTION("""COMPUTED_VALUE"""),40.0)</f>
        <v>40</v>
      </c>
      <c r="F385" s="1" t="str">
        <f>IFERROR(__xludf.DUMMYFUNCTION("""COMPUTED_VALUE"""),"DMG: +2000")</f>
        <v>DMG: +2000</v>
      </c>
      <c r="G385" s="1">
        <f>IFERROR(__xludf.DUMMYFUNCTION("""COMPUTED_VALUE"""),60000.0)</f>
        <v>60000</v>
      </c>
      <c r="H385" s="1"/>
      <c r="I385" s="1"/>
      <c r="J385" s="1"/>
      <c r="K385" s="1"/>
      <c r="L385" s="1"/>
      <c r="M385" s="1"/>
      <c r="N385" s="1"/>
      <c r="O385" s="1"/>
      <c r="P385" s="1"/>
      <c r="Q385" s="1"/>
      <c r="R385" s="1"/>
      <c r="S385" s="1"/>
      <c r="T385" s="1"/>
      <c r="U385" s="1"/>
      <c r="V385" s="1"/>
      <c r="W385" s="1"/>
      <c r="X385" s="1"/>
      <c r="Y385" s="1"/>
      <c r="Z385" s="1"/>
    </row>
    <row r="386">
      <c r="A386" s="1" t="str">
        <f>IFERROR(__xludf.DUMMYFUNCTION("""COMPUTED_VALUE"""),"WyvernTail Blade")</f>
        <v>WyvernTail Blade</v>
      </c>
      <c r="B386" s="1"/>
      <c r="C386" s="1" t="str">
        <f>IFERROR(__xludf.DUMMYFUNCTION("""COMPUTED_VALUE"""),"Sword")</f>
        <v>Sword</v>
      </c>
      <c r="D386" s="1" t="str">
        <f>IFERROR(__xludf.DUMMYFUNCTION("""COMPUTED_VALUE"""),"Hand")</f>
        <v>Hand</v>
      </c>
      <c r="E386" s="1">
        <f>IFERROR(__xludf.DUMMYFUNCTION("""COMPUTED_VALUE"""),200.0)</f>
        <v>200</v>
      </c>
      <c r="F386" s="1" t="str">
        <f>IFERROR(__xludf.DUMMYFUNCTION("""COMPUTED_VALUE"""),"DMG: +5000, Water DMG: +5000 (Wyverntail Set) ++50% Chance to freeze the target being attacked by this weapon.")</f>
        <v>DMG: +5000, Water DMG: +5000 (Wyverntail Set) ++50% Chance to freeze the target being attacked by this weapon.</v>
      </c>
      <c r="G386" s="1">
        <f>IFERROR(__xludf.DUMMYFUNCTION("""COMPUTED_VALUE"""),1900000.0)</f>
        <v>1900000</v>
      </c>
      <c r="H386" s="1"/>
      <c r="I386" s="1"/>
      <c r="J386" s="1"/>
      <c r="K386" s="1"/>
      <c r="L386" s="1"/>
      <c r="M386" s="1"/>
      <c r="N386" s="1"/>
      <c r="O386" s="1"/>
      <c r="P386" s="1"/>
      <c r="Q386" s="1"/>
      <c r="R386" s="1"/>
      <c r="S386" s="1"/>
      <c r="T386" s="1"/>
      <c r="U386" s="1"/>
      <c r="V386" s="1"/>
      <c r="W386" s="1"/>
      <c r="X386" s="1"/>
      <c r="Y386" s="1"/>
      <c r="Z386" s="1"/>
    </row>
    <row r="387">
      <c r="A387" s="1" t="str">
        <f>IFERROR(__xludf.DUMMYFUNCTION("""COMPUTED_VALUE"""),"WyvernTail Helm")</f>
        <v>WyvernTail Helm</v>
      </c>
      <c r="B387" s="1"/>
      <c r="C387" s="1"/>
      <c r="D387" s="1" t="str">
        <f>IFERROR(__xludf.DUMMYFUNCTION("""COMPUTED_VALUE"""),"Head")</f>
        <v>Head</v>
      </c>
      <c r="E387" s="1">
        <f>IFERROR(__xludf.DUMMYFUNCTION("""COMPUTED_VALUE"""),200.0)</f>
        <v>200</v>
      </c>
      <c r="F387" s="1" t="str">
        <f>IFERROR(__xludf.DUMMYFUNCTION("""COMPUTED_VALUE"""),"DEF: +10000 (Wyverntail Set) ++Freeze Immunity")</f>
        <v>DEF: +10000 (Wyverntail Set) ++Freeze Immunity</v>
      </c>
      <c r="G387" s="1">
        <f>IFERROR(__xludf.DUMMYFUNCTION("""COMPUTED_VALUE"""),1900000.0)</f>
        <v>1900000</v>
      </c>
      <c r="H387" s="1"/>
      <c r="I387" s="1"/>
      <c r="J387" s="1"/>
      <c r="K387" s="1"/>
      <c r="L387" s="1"/>
      <c r="M387" s="1"/>
      <c r="N387" s="1"/>
      <c r="O387" s="1"/>
      <c r="P387" s="1"/>
      <c r="Q387" s="1"/>
      <c r="R387" s="1"/>
      <c r="S387" s="1"/>
      <c r="T387" s="1"/>
      <c r="U387" s="1"/>
      <c r="V387" s="1"/>
      <c r="W387" s="1"/>
      <c r="X387" s="1"/>
      <c r="Y387" s="1"/>
      <c r="Z387" s="1"/>
    </row>
    <row r="388">
      <c r="A388" s="1" t="str">
        <f>IFERROR(__xludf.DUMMYFUNCTION("""COMPUTED_VALUE"""),"WyvernTail Pauldrons")</f>
        <v>WyvernTail Pauldrons</v>
      </c>
      <c r="B388" s="1"/>
      <c r="C388" s="1"/>
      <c r="D388" s="1" t="str">
        <f>IFERROR(__xludf.DUMMYFUNCTION("""COMPUTED_VALUE"""),"Shoulders")</f>
        <v>Shoulders</v>
      </c>
      <c r="E388" s="1">
        <f>IFERROR(__xludf.DUMMYFUNCTION("""COMPUTED_VALUE"""),200.0)</f>
        <v>200</v>
      </c>
      <c r="F388" s="1" t="str">
        <f>IFERROR(__xludf.DUMMYFUNCTION("""COMPUTED_VALUE"""),"DEF: +10000 (Wyverntail Set) ++Freeze Immunity")</f>
        <v>DEF: +10000 (Wyverntail Set) ++Freeze Immunity</v>
      </c>
      <c r="G388" s="1">
        <f>IFERROR(__xludf.DUMMYFUNCTION("""COMPUTED_VALUE"""),1900000.0)</f>
        <v>1900000</v>
      </c>
      <c r="H388" s="1"/>
      <c r="I388" s="1"/>
      <c r="J388" s="1"/>
      <c r="K388" s="1"/>
      <c r="L388" s="1"/>
      <c r="M388" s="1"/>
      <c r="N388" s="1"/>
      <c r="O388" s="1"/>
      <c r="P388" s="1"/>
      <c r="Q388" s="1"/>
      <c r="R388" s="1"/>
      <c r="S388" s="1"/>
      <c r="T388" s="1"/>
      <c r="U388" s="1"/>
      <c r="V388" s="1"/>
      <c r="W388" s="1"/>
      <c r="X388" s="1"/>
      <c r="Y388" s="1"/>
      <c r="Z388" s="1"/>
    </row>
    <row r="389">
      <c r="A389" s="1" t="str">
        <f>IFERROR(__xludf.DUMMYFUNCTION("""COMPUTED_VALUE"""),"WyvernTail Chestplate")</f>
        <v>WyvernTail Chestplate</v>
      </c>
      <c r="B389" s="1"/>
      <c r="C389" s="1"/>
      <c r="D389" s="1" t="str">
        <f>IFERROR(__xludf.DUMMYFUNCTION("""COMPUTED_VALUE"""),"Torso")</f>
        <v>Torso</v>
      </c>
      <c r="E389" s="1">
        <f>IFERROR(__xludf.DUMMYFUNCTION("""COMPUTED_VALUE"""),200.0)</f>
        <v>200</v>
      </c>
      <c r="F389" s="1" t="str">
        <f>IFERROR(__xludf.DUMMYFUNCTION("""COMPUTED_VALUE"""),"DEF: +10000 (Wyverntail Set) ++Freeze Immunity")</f>
        <v>DEF: +10000 (Wyverntail Set) ++Freeze Immunity</v>
      </c>
      <c r="G389" s="1">
        <f>IFERROR(__xludf.DUMMYFUNCTION("""COMPUTED_VALUE"""),1900000.0)</f>
        <v>1900000</v>
      </c>
      <c r="H389" s="1"/>
      <c r="I389" s="1"/>
      <c r="J389" s="1"/>
      <c r="K389" s="1"/>
      <c r="L389" s="1"/>
      <c r="M389" s="1"/>
      <c r="N389" s="1"/>
      <c r="O389" s="1"/>
      <c r="P389" s="1"/>
      <c r="Q389" s="1"/>
      <c r="R389" s="1"/>
      <c r="S389" s="1"/>
      <c r="T389" s="1"/>
      <c r="U389" s="1"/>
      <c r="V389" s="1"/>
      <c r="W389" s="1"/>
      <c r="X389" s="1"/>
      <c r="Y389" s="1"/>
      <c r="Z389" s="1"/>
    </row>
    <row r="390">
      <c r="A390" s="1" t="str">
        <f>IFERROR(__xludf.DUMMYFUNCTION("""COMPUTED_VALUE"""),"WyvernTail Vambraces")</f>
        <v>WyvernTail Vambraces</v>
      </c>
      <c r="B390" s="1"/>
      <c r="C390" s="1"/>
      <c r="D390" s="1" t="str">
        <f>IFERROR(__xludf.DUMMYFUNCTION("""COMPUTED_VALUE"""),"Arms")</f>
        <v>Arms</v>
      </c>
      <c r="E390" s="1">
        <f>IFERROR(__xludf.DUMMYFUNCTION("""COMPUTED_VALUE"""),200.0)</f>
        <v>200</v>
      </c>
      <c r="F390" s="1" t="str">
        <f>IFERROR(__xludf.DUMMYFUNCTION("""COMPUTED_VALUE"""),"DEF: +10000 (Wyverntail Set) ++Freeze Immunity")</f>
        <v>DEF: +10000 (Wyverntail Set) ++Freeze Immunity</v>
      </c>
      <c r="G390" s="1">
        <f>IFERROR(__xludf.DUMMYFUNCTION("""COMPUTED_VALUE"""),1900000.0)</f>
        <v>1900000</v>
      </c>
      <c r="H390" s="1"/>
      <c r="I390" s="1"/>
      <c r="J390" s="1"/>
      <c r="K390" s="1"/>
      <c r="L390" s="1"/>
      <c r="M390" s="1"/>
      <c r="N390" s="1"/>
      <c r="O390" s="1"/>
      <c r="P390" s="1"/>
      <c r="Q390" s="1"/>
      <c r="R390" s="1"/>
      <c r="S390" s="1"/>
      <c r="T390" s="1"/>
      <c r="U390" s="1"/>
      <c r="V390" s="1"/>
      <c r="W390" s="1"/>
      <c r="X390" s="1"/>
      <c r="Y390" s="1"/>
      <c r="Z390" s="1"/>
    </row>
    <row r="391">
      <c r="A391" s="1" t="str">
        <f>IFERROR(__xludf.DUMMYFUNCTION("""COMPUTED_VALUE"""),"WyvernTail Greaves")</f>
        <v>WyvernTail Greaves</v>
      </c>
      <c r="B391" s="1"/>
      <c r="C391" s="1"/>
      <c r="D391" s="1" t="str">
        <f>IFERROR(__xludf.DUMMYFUNCTION("""COMPUTED_VALUE"""),"Legs")</f>
        <v>Legs</v>
      </c>
      <c r="E391" s="1">
        <f>IFERROR(__xludf.DUMMYFUNCTION("""COMPUTED_VALUE"""),200.0)</f>
        <v>200</v>
      </c>
      <c r="F391" s="1" t="str">
        <f>IFERROR(__xludf.DUMMYFUNCTION("""COMPUTED_VALUE"""),"DEF: +10000 (Wyverntail Set) ++Freeze Immunity")</f>
        <v>DEF: +10000 (Wyverntail Set) ++Freeze Immunity</v>
      </c>
      <c r="G391" s="1">
        <f>IFERROR(__xludf.DUMMYFUNCTION("""COMPUTED_VALUE"""),1900000.0)</f>
        <v>1900000</v>
      </c>
      <c r="H391" s="1"/>
      <c r="I391" s="1"/>
      <c r="J391" s="1"/>
      <c r="K391" s="1"/>
      <c r="L391" s="1"/>
      <c r="M391" s="1"/>
      <c r="N391" s="1"/>
      <c r="O391" s="1"/>
      <c r="P391" s="1"/>
      <c r="Q391" s="1"/>
      <c r="R391" s="1"/>
      <c r="S391" s="1"/>
      <c r="T391" s="1"/>
      <c r="U391" s="1"/>
      <c r="V391" s="1"/>
      <c r="W391" s="1"/>
      <c r="X391" s="1"/>
      <c r="Y391" s="1"/>
      <c r="Z391" s="1"/>
    </row>
    <row r="392">
      <c r="A392" s="1" t="str">
        <f>IFERROR(__xludf.DUMMYFUNCTION("""COMPUTED_VALUE"""),"WyvernTail Boots")</f>
        <v>WyvernTail Boots</v>
      </c>
      <c r="B392" s="1"/>
      <c r="C392" s="1"/>
      <c r="D392" s="1" t="str">
        <f>IFERROR(__xludf.DUMMYFUNCTION("""COMPUTED_VALUE"""),"Feet")</f>
        <v>Feet</v>
      </c>
      <c r="E392" s="1">
        <f>IFERROR(__xludf.DUMMYFUNCTION("""COMPUTED_VALUE"""),200.0)</f>
        <v>200</v>
      </c>
      <c r="F392" s="1" t="str">
        <f>IFERROR(__xludf.DUMMYFUNCTION("""COMPUTED_VALUE"""),"DEF: +10000 (Wyverntail Set) ++Freeze Immunity")</f>
        <v>DEF: +10000 (Wyverntail Set) ++Freeze Immunity</v>
      </c>
      <c r="G392" s="1">
        <f>IFERROR(__xludf.DUMMYFUNCTION("""COMPUTED_VALUE"""),1900000.0)</f>
        <v>1900000</v>
      </c>
      <c r="H392" s="1"/>
      <c r="I392" s="1"/>
      <c r="J392" s="1"/>
      <c r="K392" s="1"/>
      <c r="L392" s="1"/>
      <c r="M392" s="1"/>
      <c r="N392" s="1"/>
      <c r="O392" s="1"/>
      <c r="P392" s="1"/>
      <c r="Q392" s="1"/>
      <c r="R392" s="1"/>
      <c r="S392" s="1"/>
      <c r="T392" s="1"/>
      <c r="U392" s="1"/>
      <c r="V392" s="1"/>
      <c r="W392" s="1"/>
      <c r="X392" s="1"/>
      <c r="Y392" s="1"/>
      <c r="Z392" s="1"/>
    </row>
    <row r="393">
      <c r="A393" s="1" t="str">
        <f>IFERROR(__xludf.DUMMYFUNCTION("""COMPUTED_VALUE"""),"WyvernTail Pendent")</f>
        <v>WyvernTail Pendent</v>
      </c>
      <c r="B393" s="1"/>
      <c r="C393" s="1"/>
      <c r="D393" s="1" t="str">
        <f>IFERROR(__xludf.DUMMYFUNCTION("""COMPUTED_VALUE"""),"Neck")</f>
        <v>Neck</v>
      </c>
      <c r="E393" s="1">
        <f>IFERROR(__xludf.DUMMYFUNCTION("""COMPUTED_VALUE"""),1.0)</f>
        <v>1</v>
      </c>
      <c r="F393" s="1" t="str">
        <f>IFERROR(__xludf.DUMMYFUNCTION("""COMPUTED_VALUE""")," (Wyverntail Set) ++When you are attacked, the enemy that attacked you has a 25% Chance to Freeze.")</f>
        <v> (Wyverntail Set) ++When you are attacked, the enemy that attacked you has a 25% Chance to Freeze.</v>
      </c>
      <c r="G393" s="1">
        <f>IFERROR(__xludf.DUMMYFUNCTION("""COMPUTED_VALUE"""),0.0)</f>
        <v>0</v>
      </c>
      <c r="H393" s="1"/>
      <c r="I393" s="1"/>
      <c r="J393" s="1"/>
      <c r="K393" s="1"/>
      <c r="L393" s="1"/>
      <c r="M393" s="1"/>
      <c r="N393" s="1"/>
      <c r="O393" s="1"/>
      <c r="P393" s="1"/>
      <c r="Q393" s="1"/>
      <c r="R393" s="1"/>
      <c r="S393" s="1"/>
      <c r="T393" s="1"/>
      <c r="U393" s="1"/>
      <c r="V393" s="1"/>
      <c r="W393" s="1"/>
      <c r="X393" s="1"/>
      <c r="Y393" s="1"/>
      <c r="Z393" s="1"/>
    </row>
    <row r="394">
      <c r="A394" s="1" t="str">
        <f>IFERROR(__xludf.DUMMYFUNCTION("""COMPUTED_VALUE"""),"WyvernTail Ring")</f>
        <v>WyvernTail Ring</v>
      </c>
      <c r="B394" s="1"/>
      <c r="C394" s="1"/>
      <c r="D394" s="1" t="str">
        <f>IFERROR(__xludf.DUMMYFUNCTION("""COMPUTED_VALUE"""),"Ring")</f>
        <v>Ring</v>
      </c>
      <c r="E394" s="1">
        <f>IFERROR(__xludf.DUMMYFUNCTION("""COMPUTED_VALUE"""),1.0)</f>
        <v>1</v>
      </c>
      <c r="F394" s="1" t="str">
        <f>IFERROR(__xludf.DUMMYFUNCTION("""COMPUTED_VALUE""")," (Wyverntail Set) ++When you are attacked, the enemy that attacked you has a 25% Chance to Freeze. ")</f>
        <v> (Wyverntail Set) ++When you are attacked, the enemy that attacked you has a 25% Chance to Freeze. </v>
      </c>
      <c r="G394" s="1">
        <f>IFERROR(__xludf.DUMMYFUNCTION("""COMPUTED_VALUE"""),0.0)</f>
        <v>0</v>
      </c>
      <c r="H394" s="1"/>
      <c r="I394" s="1"/>
      <c r="J394" s="1"/>
      <c r="K394" s="1"/>
      <c r="L394" s="1"/>
      <c r="M394" s="1"/>
      <c r="N394" s="1"/>
      <c r="O394" s="1"/>
      <c r="P394" s="1"/>
      <c r="Q394" s="1"/>
      <c r="R394" s="1"/>
      <c r="S394" s="1"/>
      <c r="T394" s="1"/>
      <c r="U394" s="1"/>
      <c r="V394" s="1"/>
      <c r="W394" s="1"/>
      <c r="X394" s="1"/>
      <c r="Y394" s="1"/>
      <c r="Z394" s="1"/>
    </row>
    <row r="395">
      <c r="A395" s="1" t="str">
        <f>IFERROR(__xludf.DUMMYFUNCTION("""COMPUTED_VALUE"""),"Sweltering Blade")</f>
        <v>Sweltering Blade</v>
      </c>
      <c r="B395" s="1"/>
      <c r="C395" s="1" t="str">
        <f>IFERROR(__xludf.DUMMYFUNCTION("""COMPUTED_VALUE"""),"Sword")</f>
        <v>Sword</v>
      </c>
      <c r="D395" s="1" t="str">
        <f>IFERROR(__xludf.DUMMYFUNCTION("""COMPUTED_VALUE"""),"Hand")</f>
        <v>Hand</v>
      </c>
      <c r="E395" s="1">
        <f>IFERROR(__xludf.DUMMYFUNCTION("""COMPUTED_VALUE"""),400.0)</f>
        <v>400</v>
      </c>
      <c r="F395" s="1" t="str">
        <f>IFERROR(__xludf.DUMMYFUNCTION("""COMPUTED_VALUE"""),"DMG: +5000, Fire DMG: +5000, Water DMG: +5000, Nature DMG: +5000 (Sweltering Set) ++X2 Nature, Water, and Fire Damage.")</f>
        <v>DMG: +5000, Fire DMG: +5000, Water DMG: +5000, Nature DMG: +5000 (Sweltering Set) ++X2 Nature, Water, and Fire Damage.</v>
      </c>
      <c r="G395" s="1">
        <f>IFERROR(__xludf.DUMMYFUNCTION("""COMPUTED_VALUE"""),7800000.0)</f>
        <v>7800000</v>
      </c>
      <c r="H395" s="1"/>
      <c r="I395" s="1"/>
      <c r="J395" s="1"/>
      <c r="K395" s="1"/>
      <c r="L395" s="1"/>
      <c r="M395" s="1"/>
      <c r="N395" s="1"/>
      <c r="O395" s="1"/>
      <c r="P395" s="1"/>
      <c r="Q395" s="1"/>
      <c r="R395" s="1"/>
      <c r="S395" s="1"/>
      <c r="T395" s="1"/>
      <c r="U395" s="1"/>
      <c r="V395" s="1"/>
      <c r="W395" s="1"/>
      <c r="X395" s="1"/>
      <c r="Y395" s="1"/>
      <c r="Z395" s="1"/>
    </row>
    <row r="396">
      <c r="A396" s="1" t="str">
        <f>IFERROR(__xludf.DUMMYFUNCTION("""COMPUTED_VALUE"""),"Sweltering Helm")</f>
        <v>Sweltering Helm</v>
      </c>
      <c r="B396" s="1"/>
      <c r="C396" s="1"/>
      <c r="D396" s="1" t="str">
        <f>IFERROR(__xludf.DUMMYFUNCTION("""COMPUTED_VALUE"""),"Head")</f>
        <v>Head</v>
      </c>
      <c r="E396" s="1">
        <f>IFERROR(__xludf.DUMMYFUNCTION("""COMPUTED_VALUE"""),400.0)</f>
        <v>400</v>
      </c>
      <c r="F396" s="1" t="str">
        <f>IFERROR(__xludf.DUMMYFUNCTION("""COMPUTED_VALUE"""),"DEF: +5000, Fire DEF: +5000, Water DEF: +5000, Nature DEF: +5000 (Sweltering Set) ++X2 Nature, Water, and Fire Damage.")</f>
        <v>DEF: +5000, Fire DEF: +5000, Water DEF: +5000, Nature DEF: +5000 (Sweltering Set) ++X2 Nature, Water, and Fire Damage.</v>
      </c>
      <c r="G396" s="1">
        <f>IFERROR(__xludf.DUMMYFUNCTION("""COMPUTED_VALUE"""),7800000.0)</f>
        <v>7800000</v>
      </c>
      <c r="H396" s="1"/>
      <c r="I396" s="1"/>
      <c r="J396" s="1"/>
      <c r="K396" s="1"/>
      <c r="L396" s="1"/>
      <c r="M396" s="1"/>
      <c r="N396" s="1"/>
      <c r="O396" s="1"/>
      <c r="P396" s="1"/>
      <c r="Q396" s="1"/>
      <c r="R396" s="1"/>
      <c r="S396" s="1"/>
      <c r="T396" s="1"/>
      <c r="U396" s="1"/>
      <c r="V396" s="1"/>
      <c r="W396" s="1"/>
      <c r="X396" s="1"/>
      <c r="Y396" s="1"/>
      <c r="Z396" s="1"/>
    </row>
    <row r="397">
      <c r="A397" s="1" t="str">
        <f>IFERROR(__xludf.DUMMYFUNCTION("""COMPUTED_VALUE"""),"Sweltering Pauldrons")</f>
        <v>Sweltering Pauldrons</v>
      </c>
      <c r="B397" s="1"/>
      <c r="C397" s="1"/>
      <c r="D397" s="1" t="str">
        <f>IFERROR(__xludf.DUMMYFUNCTION("""COMPUTED_VALUE"""),"Shoulders")</f>
        <v>Shoulders</v>
      </c>
      <c r="E397" s="1">
        <f>IFERROR(__xludf.DUMMYFUNCTION("""COMPUTED_VALUE"""),400.0)</f>
        <v>400</v>
      </c>
      <c r="F397" s="1" t="str">
        <f>IFERROR(__xludf.DUMMYFUNCTION("""COMPUTED_VALUE"""),"DEF: +5000, Fire DEF: +5000, Water DEF: +5000, Nature DEF: +5000 (Sweltering Set) ++X2 Nature, Water, and Fire Damage.")</f>
        <v>DEF: +5000, Fire DEF: +5000, Water DEF: +5000, Nature DEF: +5000 (Sweltering Set) ++X2 Nature, Water, and Fire Damage.</v>
      </c>
      <c r="G397" s="1">
        <f>IFERROR(__xludf.DUMMYFUNCTION("""COMPUTED_VALUE"""),7800000.0)</f>
        <v>7800000</v>
      </c>
      <c r="H397" s="1"/>
      <c r="I397" s="1"/>
      <c r="J397" s="1"/>
      <c r="K397" s="1"/>
      <c r="L397" s="1"/>
      <c r="M397" s="1"/>
      <c r="N397" s="1"/>
      <c r="O397" s="1"/>
      <c r="P397" s="1"/>
      <c r="Q397" s="1"/>
      <c r="R397" s="1"/>
      <c r="S397" s="1"/>
      <c r="T397" s="1"/>
      <c r="U397" s="1"/>
      <c r="V397" s="1"/>
      <c r="W397" s="1"/>
      <c r="X397" s="1"/>
      <c r="Y397" s="1"/>
      <c r="Z397" s="1"/>
    </row>
    <row r="398">
      <c r="A398" s="1" t="str">
        <f>IFERROR(__xludf.DUMMYFUNCTION("""COMPUTED_VALUE"""),"Sweltering Chestplate")</f>
        <v>Sweltering Chestplate</v>
      </c>
      <c r="B398" s="1"/>
      <c r="C398" s="1"/>
      <c r="D398" s="1" t="str">
        <f>IFERROR(__xludf.DUMMYFUNCTION("""COMPUTED_VALUE"""),"Torso")</f>
        <v>Torso</v>
      </c>
      <c r="E398" s="1">
        <f>IFERROR(__xludf.DUMMYFUNCTION("""COMPUTED_VALUE"""),400.0)</f>
        <v>400</v>
      </c>
      <c r="F398" s="1" t="str">
        <f>IFERROR(__xludf.DUMMYFUNCTION("""COMPUTED_VALUE"""),"DEF: +5000, Fire DEF: +5000, Water DEF: +5000, Nature DEF: +5000 (Sweltering Set) ++X2 Nature, Water, and Fire Damage.")</f>
        <v>DEF: +5000, Fire DEF: +5000, Water DEF: +5000, Nature DEF: +5000 (Sweltering Set) ++X2 Nature, Water, and Fire Damage.</v>
      </c>
      <c r="G398" s="1">
        <f>IFERROR(__xludf.DUMMYFUNCTION("""COMPUTED_VALUE"""),7800000.0)</f>
        <v>7800000</v>
      </c>
      <c r="H398" s="1"/>
      <c r="I398" s="1"/>
      <c r="J398" s="1"/>
      <c r="K398" s="1"/>
      <c r="L398" s="1"/>
      <c r="M398" s="1"/>
      <c r="N398" s="1"/>
      <c r="O398" s="1"/>
      <c r="P398" s="1"/>
      <c r="Q398" s="1"/>
      <c r="R398" s="1"/>
      <c r="S398" s="1"/>
      <c r="T398" s="1"/>
      <c r="U398" s="1"/>
      <c r="V398" s="1"/>
      <c r="W398" s="1"/>
      <c r="X398" s="1"/>
      <c r="Y398" s="1"/>
      <c r="Z398" s="1"/>
    </row>
    <row r="399">
      <c r="A399" s="1" t="str">
        <f>IFERROR(__xludf.DUMMYFUNCTION("""COMPUTED_VALUE"""),"Sweltering Vambraces")</f>
        <v>Sweltering Vambraces</v>
      </c>
      <c r="B399" s="1"/>
      <c r="C399" s="1"/>
      <c r="D399" s="1" t="str">
        <f>IFERROR(__xludf.DUMMYFUNCTION("""COMPUTED_VALUE"""),"Arms")</f>
        <v>Arms</v>
      </c>
      <c r="E399" s="1">
        <f>IFERROR(__xludf.DUMMYFUNCTION("""COMPUTED_VALUE"""),400.0)</f>
        <v>400</v>
      </c>
      <c r="F399" s="1" t="str">
        <f>IFERROR(__xludf.DUMMYFUNCTION("""COMPUTED_VALUE"""),"DEF: +5000, Fire DEF: +5000, Water DEF: +5000, Nature DEF: +5000 (Sweltering Set) ++X2 Nature, Water, and Fire Damage.")</f>
        <v>DEF: +5000, Fire DEF: +5000, Water DEF: +5000, Nature DEF: +5000 (Sweltering Set) ++X2 Nature, Water, and Fire Damage.</v>
      </c>
      <c r="G399" s="1">
        <f>IFERROR(__xludf.DUMMYFUNCTION("""COMPUTED_VALUE"""),7800000.0)</f>
        <v>7800000</v>
      </c>
      <c r="H399" s="1"/>
      <c r="I399" s="1"/>
      <c r="J399" s="1"/>
      <c r="K399" s="1"/>
      <c r="L399" s="1"/>
      <c r="M399" s="1"/>
      <c r="N399" s="1"/>
      <c r="O399" s="1"/>
      <c r="P399" s="1"/>
      <c r="Q399" s="1"/>
      <c r="R399" s="1"/>
      <c r="S399" s="1"/>
      <c r="T399" s="1"/>
      <c r="U399" s="1"/>
      <c r="V399" s="1"/>
      <c r="W399" s="1"/>
      <c r="X399" s="1"/>
      <c r="Y399" s="1"/>
      <c r="Z399" s="1"/>
    </row>
    <row r="400">
      <c r="A400" s="1" t="str">
        <f>IFERROR(__xludf.DUMMYFUNCTION("""COMPUTED_VALUE"""),"Sweltering Greaves")</f>
        <v>Sweltering Greaves</v>
      </c>
      <c r="B400" s="1"/>
      <c r="C400" s="1"/>
      <c r="D400" s="1" t="str">
        <f>IFERROR(__xludf.DUMMYFUNCTION("""COMPUTED_VALUE"""),"Legs")</f>
        <v>Legs</v>
      </c>
      <c r="E400" s="1">
        <f>IFERROR(__xludf.DUMMYFUNCTION("""COMPUTED_VALUE"""),400.0)</f>
        <v>400</v>
      </c>
      <c r="F400" s="1" t="str">
        <f>IFERROR(__xludf.DUMMYFUNCTION("""COMPUTED_VALUE"""),"DEF: +5000, Fire DEF: +5000, Water DEF: +5000, Nature DEF: +5000 (Sweltering Set) ++X2 Nature, Water, and Fire Damage.")</f>
        <v>DEF: +5000, Fire DEF: +5000, Water DEF: +5000, Nature DEF: +5000 (Sweltering Set) ++X2 Nature, Water, and Fire Damage.</v>
      </c>
      <c r="G400" s="1">
        <f>IFERROR(__xludf.DUMMYFUNCTION("""COMPUTED_VALUE"""),7800000.0)</f>
        <v>7800000</v>
      </c>
      <c r="H400" s="1"/>
      <c r="I400" s="1"/>
      <c r="J400" s="1"/>
      <c r="K400" s="1"/>
      <c r="L400" s="1"/>
      <c r="M400" s="1"/>
      <c r="N400" s="1"/>
      <c r="O400" s="1"/>
      <c r="P400" s="1"/>
      <c r="Q400" s="1"/>
      <c r="R400" s="1"/>
      <c r="S400" s="1"/>
      <c r="T400" s="1"/>
      <c r="U400" s="1"/>
      <c r="V400" s="1"/>
      <c r="W400" s="1"/>
      <c r="X400" s="1"/>
      <c r="Y400" s="1"/>
      <c r="Z400" s="1"/>
    </row>
    <row r="401">
      <c r="A401" s="1" t="str">
        <f>IFERROR(__xludf.DUMMYFUNCTION("""COMPUTED_VALUE"""),"Sweltering Boots")</f>
        <v>Sweltering Boots</v>
      </c>
      <c r="B401" s="1"/>
      <c r="C401" s="1"/>
      <c r="D401" s="1" t="str">
        <f>IFERROR(__xludf.DUMMYFUNCTION("""COMPUTED_VALUE"""),"Feet")</f>
        <v>Feet</v>
      </c>
      <c r="E401" s="1">
        <f>IFERROR(__xludf.DUMMYFUNCTION("""COMPUTED_VALUE"""),400.0)</f>
        <v>400</v>
      </c>
      <c r="F401" s="1" t="str">
        <f>IFERROR(__xludf.DUMMYFUNCTION("""COMPUTED_VALUE"""),"DEF: +5000, Fire DEF: +5000, Water DEF: +5000, Nature DEF: +5000 (Sweltering Set) ++X2 Nature, Water, and Fire Damage.")</f>
        <v>DEF: +5000, Fire DEF: +5000, Water DEF: +5000, Nature DEF: +5000 (Sweltering Set) ++X2 Nature, Water, and Fire Damage.</v>
      </c>
      <c r="G401" s="1">
        <f>IFERROR(__xludf.DUMMYFUNCTION("""COMPUTED_VALUE"""),7800000.0)</f>
        <v>7800000</v>
      </c>
      <c r="H401" s="1"/>
      <c r="I401" s="1"/>
      <c r="J401" s="1"/>
      <c r="K401" s="1"/>
      <c r="L401" s="1"/>
      <c r="M401" s="1"/>
      <c r="N401" s="1"/>
      <c r="O401" s="1"/>
      <c r="P401" s="1"/>
      <c r="Q401" s="1"/>
      <c r="R401" s="1"/>
      <c r="S401" s="1"/>
      <c r="T401" s="1"/>
      <c r="U401" s="1"/>
      <c r="V401" s="1"/>
      <c r="W401" s="1"/>
      <c r="X401" s="1"/>
      <c r="Y401" s="1"/>
      <c r="Z401" s="1"/>
    </row>
    <row r="402">
      <c r="A402" s="1" t="str">
        <f>IFERROR(__xludf.DUMMYFUNCTION("""COMPUTED_VALUE"""),"Sweltering Pendent")</f>
        <v>Sweltering Pendent</v>
      </c>
      <c r="B402" s="1"/>
      <c r="C402" s="1"/>
      <c r="D402" s="1" t="str">
        <f>IFERROR(__xludf.DUMMYFUNCTION("""COMPUTED_VALUE"""),"Neck")</f>
        <v>Neck</v>
      </c>
      <c r="E402" s="1">
        <f>IFERROR(__xludf.DUMMYFUNCTION("""COMPUTED_VALUE"""),1.0)</f>
        <v>1</v>
      </c>
      <c r="F402" s="1" t="str">
        <f>IFERROR(__xludf.DUMMYFUNCTION("""COMPUTED_VALUE""")," (Sweltering Set) ++Fire, Nature, and Water immunity.")</f>
        <v> (Sweltering Set) ++Fire, Nature, and Water immunity.</v>
      </c>
      <c r="G402" s="1">
        <f>IFERROR(__xludf.DUMMYFUNCTION("""COMPUTED_VALUE"""),0.0)</f>
        <v>0</v>
      </c>
      <c r="H402" s="1"/>
      <c r="I402" s="1"/>
      <c r="J402" s="1"/>
      <c r="K402" s="1"/>
      <c r="L402" s="1"/>
      <c r="M402" s="1"/>
      <c r="N402" s="1"/>
      <c r="O402" s="1"/>
      <c r="P402" s="1"/>
      <c r="Q402" s="1"/>
      <c r="R402" s="1"/>
      <c r="S402" s="1"/>
      <c r="T402" s="1"/>
      <c r="U402" s="1"/>
      <c r="V402" s="1"/>
      <c r="W402" s="1"/>
      <c r="X402" s="1"/>
      <c r="Y402" s="1"/>
      <c r="Z402" s="1"/>
    </row>
    <row r="403">
      <c r="A403" s="1" t="str">
        <f>IFERROR(__xludf.DUMMYFUNCTION("""COMPUTED_VALUE"""),"Sweltering Ring")</f>
        <v>Sweltering Ring</v>
      </c>
      <c r="B403" s="1"/>
      <c r="C403" s="1"/>
      <c r="D403" s="1" t="str">
        <f>IFERROR(__xludf.DUMMYFUNCTION("""COMPUTED_VALUE"""),"Ring")</f>
        <v>Ring</v>
      </c>
      <c r="E403" s="1">
        <f>IFERROR(__xludf.DUMMYFUNCTION("""COMPUTED_VALUE"""),1.0)</f>
        <v>1</v>
      </c>
      <c r="F403" s="1" t="str">
        <f>IFERROR(__xludf.DUMMYFUNCTION("""COMPUTED_VALUE""")," (Sweltering Set) ++Fire, Nature, and Water immunity.")</f>
        <v> (Sweltering Set) ++Fire, Nature, and Water immunity.</v>
      </c>
      <c r="G403" s="1">
        <f>IFERROR(__xludf.DUMMYFUNCTION("""COMPUTED_VALUE"""),0.0)</f>
        <v>0</v>
      </c>
      <c r="H403" s="1"/>
      <c r="I403" s="1"/>
      <c r="J403" s="1"/>
      <c r="K403" s="1"/>
      <c r="L403" s="1"/>
      <c r="M403" s="1"/>
      <c r="N403" s="1"/>
      <c r="O403" s="1"/>
      <c r="P403" s="1"/>
      <c r="Q403" s="1"/>
      <c r="R403" s="1"/>
      <c r="S403" s="1"/>
      <c r="T403" s="1"/>
      <c r="U403" s="1"/>
      <c r="V403" s="1"/>
      <c r="W403" s="1"/>
      <c r="X403" s="1"/>
      <c r="Y403" s="1"/>
      <c r="Z403" s="1"/>
    </row>
    <row r="404">
      <c r="A404" s="1" t="str">
        <f>IFERROR(__xludf.DUMMYFUNCTION("""COMPUTED_VALUE"""),"Reinforced Tortoise Shell")</f>
        <v>Reinforced Tortoise Shell</v>
      </c>
      <c r="B404" s="1"/>
      <c r="C404" s="1"/>
      <c r="D404" s="1" t="str">
        <f>IFERROR(__xludf.DUMMYFUNCTION("""COMPUTED_VALUE"""),"Torso")</f>
        <v>Torso</v>
      </c>
      <c r="E404" s="1">
        <f>IFERROR(__xludf.DUMMYFUNCTION("""COMPUTED_VALUE"""),400.0)</f>
        <v>400</v>
      </c>
      <c r="F404" s="1" t="str">
        <f>IFERROR(__xludf.DUMMYFUNCTION("""COMPUTED_VALUE"""),"DEF: +10000, Water DEF: +5000, Light DEF: +5000 ++X2 Defense for the wearer. +-Cannot be Duplicated.")</f>
        <v>DEF: +10000, Water DEF: +5000, Light DEF: +5000 ++X2 Defense for the wearer. +-Cannot be Duplicated.</v>
      </c>
      <c r="G404" s="1">
        <f>IFERROR(__xludf.DUMMYFUNCTION("""COMPUTED_VALUE"""),7800000.0)</f>
        <v>7800000</v>
      </c>
      <c r="H404" s="1"/>
      <c r="I404" s="1"/>
      <c r="J404" s="1"/>
      <c r="K404" s="1"/>
      <c r="L404" s="1"/>
      <c r="M404" s="1"/>
      <c r="N404" s="1"/>
      <c r="O404" s="1"/>
      <c r="P404" s="1"/>
      <c r="Q404" s="1"/>
      <c r="R404" s="1"/>
      <c r="S404" s="1"/>
      <c r="T404" s="1"/>
      <c r="U404" s="1"/>
      <c r="V404" s="1"/>
      <c r="W404" s="1"/>
      <c r="X404" s="1"/>
      <c r="Y404" s="1"/>
      <c r="Z404" s="1"/>
    </row>
    <row r="405">
      <c r="A405" s="1" t="str">
        <f>IFERROR(__xludf.DUMMYFUNCTION("""COMPUTED_VALUE"""),"Tortoise Shell Shield")</f>
        <v>Tortoise Shell Shield</v>
      </c>
      <c r="B405" s="1"/>
      <c r="C405" s="1" t="str">
        <f>IFERROR(__xludf.DUMMYFUNCTION("""COMPUTED_VALUE"""),"Towershield")</f>
        <v>Towershield</v>
      </c>
      <c r="D405" s="1" t="str">
        <f>IFERROR(__xludf.DUMMYFUNCTION("""COMPUTED_VALUE"""),"Hand")</f>
        <v>Hand</v>
      </c>
      <c r="E405" s="1">
        <f>IFERROR(__xludf.DUMMYFUNCTION("""COMPUTED_VALUE"""),400.0)</f>
        <v>400</v>
      </c>
      <c r="F405" s="1" t="str">
        <f>IFERROR(__xludf.DUMMYFUNCTION("""COMPUTED_VALUE"""),"DEF: +20000 ++X2 Defense for the wearer. +-Cannot be Duplicated.")</f>
        <v>DEF: +20000 ++X2 Defense for the wearer. +-Cannot be Duplicated.</v>
      </c>
      <c r="G405" s="1">
        <f>IFERROR(__xludf.DUMMYFUNCTION("""COMPUTED_VALUE"""),7800000.0)</f>
        <v>7800000</v>
      </c>
      <c r="H405" s="1"/>
      <c r="I405" s="1"/>
      <c r="J405" s="1"/>
      <c r="K405" s="1"/>
      <c r="L405" s="1"/>
      <c r="M405" s="1"/>
      <c r="N405" s="1"/>
      <c r="O405" s="1"/>
      <c r="P405" s="1"/>
      <c r="Q405" s="1"/>
      <c r="R405" s="1"/>
      <c r="S405" s="1"/>
      <c r="T405" s="1"/>
      <c r="U405" s="1"/>
      <c r="V405" s="1"/>
      <c r="W405" s="1"/>
      <c r="X405" s="1"/>
      <c r="Y405" s="1"/>
      <c r="Z405" s="1"/>
    </row>
    <row r="406">
      <c r="A406" s="1" t="str">
        <f>IFERROR(__xludf.DUMMYFUNCTION("""COMPUTED_VALUE"""),"Stone of the Summit")</f>
        <v>Stone of the Summit</v>
      </c>
      <c r="B406" s="1"/>
      <c r="C406" s="1"/>
      <c r="D406" s="1" t="str">
        <f>IFERROR(__xludf.DUMMYFUNCTION("""COMPUTED_VALUE"""),"Hand")</f>
        <v>Hand</v>
      </c>
      <c r="E406" s="1">
        <f>IFERROR(__xludf.DUMMYFUNCTION("""COMPUTED_VALUE"""),1.0)</f>
        <v>1</v>
      </c>
      <c r="F406" s="1" t="str">
        <f>IFERROR(__xludf.DUMMYFUNCTION("""COMPUTED_VALUE""")," ++X2 additional damage towards weapons for the user.")</f>
        <v> ++X2 additional damage towards weapons for the user.</v>
      </c>
      <c r="G406" s="1">
        <f>IFERROR(__xludf.DUMMYFUNCTION("""COMPUTED_VALUE"""),0.0)</f>
        <v>0</v>
      </c>
      <c r="H406" s="1"/>
      <c r="I406" s="1"/>
      <c r="J406" s="1"/>
      <c r="K406" s="1"/>
      <c r="L406" s="1"/>
      <c r="M406" s="1"/>
      <c r="N406" s="1"/>
      <c r="O406" s="1"/>
      <c r="P406" s="1"/>
      <c r="Q406" s="1"/>
      <c r="R406" s="1"/>
      <c r="S406" s="1"/>
      <c r="T406" s="1"/>
      <c r="U406" s="1"/>
      <c r="V406" s="1"/>
      <c r="W406" s="1"/>
      <c r="X406" s="1"/>
      <c r="Y406" s="1"/>
      <c r="Z406" s="1"/>
    </row>
    <row r="407">
      <c r="A407" s="1" t="str">
        <f>IFERROR(__xludf.DUMMYFUNCTION("""COMPUTED_VALUE"""),"Deep Blue Pearl")</f>
        <v>Deep Blue Pearl</v>
      </c>
      <c r="B407" s="1" t="str">
        <f>IFERROR(__xludf.DUMMYFUNCTION("""COMPUTED_VALUE"""),"A rare pearl found deep within the ocean of Dragonscale Island.")</f>
        <v>A rare pearl found deep within the ocean of Dragonscale Island.</v>
      </c>
      <c r="C407" s="1"/>
      <c r="D407" s="1" t="str">
        <f>IFERROR(__xludf.DUMMYFUNCTION("""COMPUTED_VALUE"""),"Hand")</f>
        <v>Hand</v>
      </c>
      <c r="E407" s="1">
        <f>IFERROR(__xludf.DUMMYFUNCTION("""COMPUTED_VALUE"""),200.0)</f>
        <v>200</v>
      </c>
      <c r="F407" s="1" t="str">
        <f>IFERROR(__xludf.DUMMYFUNCTION("""COMPUTED_VALUE"""),"DEF: +10000 ++Water Immunity. ++Water damage dealt by you gives you sp back equal half the damage caused.")</f>
        <v>DEF: +10000 ++Water Immunity. ++Water damage dealt by you gives you sp back equal half the damage caused.</v>
      </c>
      <c r="G407" s="1">
        <f>IFERROR(__xludf.DUMMYFUNCTION("""COMPUTED_VALUE"""),1900000.0)</f>
        <v>1900000</v>
      </c>
      <c r="H407" s="1"/>
      <c r="I407" s="1"/>
      <c r="J407" s="1"/>
      <c r="K407" s="1"/>
      <c r="L407" s="1"/>
      <c r="M407" s="1"/>
      <c r="N407" s="1"/>
      <c r="O407" s="1"/>
      <c r="P407" s="1"/>
      <c r="Q407" s="1"/>
      <c r="R407" s="1"/>
      <c r="S407" s="1"/>
      <c r="T407" s="1"/>
      <c r="U407" s="1"/>
      <c r="V407" s="1"/>
      <c r="W407" s="1"/>
      <c r="X407" s="1"/>
      <c r="Y407" s="1"/>
      <c r="Z407" s="1"/>
    </row>
    <row r="408">
      <c r="A408" s="1" t="str">
        <f>IFERROR(__xludf.DUMMYFUNCTION("""COMPUTED_VALUE"""),"Tempests Lightning Rod")</f>
        <v>Tempests Lightning Rod</v>
      </c>
      <c r="B408" s="1"/>
      <c r="C408" s="1" t="str">
        <f>IFERROR(__xludf.DUMMYFUNCTION("""COMPUTED_VALUE"""),"Spear")</f>
        <v>Spear</v>
      </c>
      <c r="D408" s="1" t="str">
        <f>IFERROR(__xludf.DUMMYFUNCTION("""COMPUTED_VALUE"""),"Hand")</f>
        <v>Hand</v>
      </c>
      <c r="E408" s="1">
        <f>IFERROR(__xludf.DUMMYFUNCTION("""COMPUTED_VALUE"""),600.0)</f>
        <v>600</v>
      </c>
      <c r="F408" s="1" t="str">
        <f>IFERROR(__xludf.DUMMYFUNCTION("""COMPUTED_VALUE"""),"DMG: +10000, Water DMG: +10000, Storm DMG: +10000 ++X4 additional Storm Damage for the user, ++You may attack up to 3 times with this weapon in 1 turn, Roll a d3 to determine how many attacks this weapon does.")</f>
        <v>DMG: +10000, Water DMG: +10000, Storm DMG: +10000 ++X4 additional Storm Damage for the user, ++You may attack up to 3 times with this weapon in 1 turn, Roll a d3 to determine how many attacks this weapon does.</v>
      </c>
      <c r="G408" s="1">
        <f>IFERROR(__xludf.DUMMYFUNCTION("""COMPUTED_VALUE"""),1.77E7)</f>
        <v>17700000</v>
      </c>
      <c r="H408" s="1"/>
      <c r="I408" s="1"/>
      <c r="J408" s="1"/>
      <c r="K408" s="1"/>
      <c r="L408" s="1"/>
      <c r="M408" s="1"/>
      <c r="N408" s="1"/>
      <c r="O408" s="1"/>
      <c r="P408" s="1"/>
      <c r="Q408" s="1"/>
      <c r="R408" s="1"/>
      <c r="S408" s="1"/>
      <c r="T408" s="1"/>
      <c r="U408" s="1"/>
      <c r="V408" s="1"/>
      <c r="W408" s="1"/>
      <c r="X408" s="1"/>
      <c r="Y408" s="1"/>
      <c r="Z408" s="1"/>
    </row>
    <row r="409">
      <c r="A409" s="1" t="str">
        <f>IFERROR(__xludf.DUMMYFUNCTION("""COMPUTED_VALUE"""),"Sword of Mystic Vagility")</f>
        <v>Sword of Mystic Vagility</v>
      </c>
      <c r="B409" s="1"/>
      <c r="C409" s="1" t="str">
        <f>IFERROR(__xludf.DUMMYFUNCTION("""COMPUTED_VALUE"""),"Sword")</f>
        <v>Sword</v>
      </c>
      <c r="D409" s="1" t="str">
        <f>IFERROR(__xludf.DUMMYFUNCTION("""COMPUTED_VALUE"""),"Hand")</f>
        <v>Hand</v>
      </c>
      <c r="E409" s="1">
        <f>IFERROR(__xludf.DUMMYFUNCTION("""COMPUTED_VALUE"""),200.0)</f>
        <v>200</v>
      </c>
      <c r="F409" s="1" t="str">
        <f>IFERROR(__xludf.DUMMYFUNCTION("""COMPUTED_VALUE"""),"DMG: +50000, Celestial DMG: +50000 ++5 to d20 rolls, ++2 Evasion, ++2 Mobility. +-Cannot be duplicated.")</f>
        <v>DMG: +50000, Celestial DMG: +50000 ++5 to d20 rolls, ++2 Evasion, ++2 Mobility. +-Cannot be duplicated.</v>
      </c>
      <c r="G409" s="1">
        <f>IFERROR(__xludf.DUMMYFUNCTION("""COMPUTED_VALUE"""),1.99E8)</f>
        <v>199000000</v>
      </c>
      <c r="H409" s="1"/>
      <c r="I409" s="1"/>
      <c r="J409" s="1"/>
      <c r="K409" s="1"/>
      <c r="L409" s="1"/>
      <c r="M409" s="1"/>
      <c r="N409" s="1"/>
      <c r="O409" s="1"/>
      <c r="P409" s="1"/>
      <c r="Q409" s="1"/>
      <c r="R409" s="1"/>
      <c r="S409" s="1"/>
      <c r="T409" s="1"/>
      <c r="U409" s="1"/>
      <c r="V409" s="1"/>
      <c r="W409" s="1"/>
      <c r="X409" s="1"/>
      <c r="Y409" s="1"/>
      <c r="Z409" s="1"/>
    </row>
    <row r="410">
      <c r="A410" s="1" t="str">
        <f>IFERROR(__xludf.DUMMYFUNCTION("""COMPUTED_VALUE"""),".50 Caliber Machine Gun (car)")</f>
        <v>.50 Caliber Machine Gun (car)</v>
      </c>
      <c r="B410" s="1"/>
      <c r="C410" s="1" t="str">
        <f>IFERROR(__xludf.DUMMYFUNCTION("""COMPUTED_VALUE"""),"Firearm")</f>
        <v>Firearm</v>
      </c>
      <c r="D410" s="1" t="str">
        <f>IFERROR(__xludf.DUMMYFUNCTION("""COMPUTED_VALUE"""),"CarGun")</f>
        <v>CarGun</v>
      </c>
      <c r="E410" s="1">
        <f>IFERROR(__xludf.DUMMYFUNCTION("""COMPUTED_VALUE"""),400.0)</f>
        <v>400</v>
      </c>
      <c r="F410" s="1" t="str">
        <f>IFERROR(__xludf.DUMMYFUNCTION("""COMPUTED_VALUE"""),"DMG: +20000 ++Roll a d500 to see how many bullets are used when you attack with this weapon. +-Uses bullets. ++Damages 2 targets. ++Cannot Avoid.")</f>
        <v>DMG: +20000 ++Roll a d500 to see how many bullets are used when you attack with this weapon. +-Uses bullets. ++Damages 2 targets. ++Cannot Avoid.</v>
      </c>
      <c r="G410" s="1">
        <f>IFERROR(__xludf.DUMMYFUNCTION("""COMPUTED_VALUE"""),7800000.0)</f>
        <v>7800000</v>
      </c>
      <c r="H410" s="1"/>
      <c r="I410" s="1"/>
      <c r="J410" s="1"/>
      <c r="K410" s="1"/>
      <c r="L410" s="1"/>
      <c r="M410" s="1"/>
      <c r="N410" s="1"/>
      <c r="O410" s="1"/>
      <c r="P410" s="1"/>
      <c r="Q410" s="1"/>
      <c r="R410" s="1"/>
      <c r="S410" s="1"/>
      <c r="T410" s="1"/>
      <c r="U410" s="1"/>
      <c r="V410" s="1"/>
      <c r="W410" s="1"/>
      <c r="X410" s="1"/>
      <c r="Y410" s="1"/>
      <c r="Z410" s="1"/>
    </row>
    <row r="411">
      <c r="A411" s="1" t="str">
        <f>IFERROR(__xludf.DUMMYFUNCTION("""COMPUTED_VALUE"""),"Auto Turret")</f>
        <v>Auto Turret</v>
      </c>
      <c r="B411" s="1"/>
      <c r="C411" s="1" t="str">
        <f>IFERROR(__xludf.DUMMYFUNCTION("""COMPUTED_VALUE"""),"Firearm")</f>
        <v>Firearm</v>
      </c>
      <c r="D411" s="1" t="str">
        <f>IFERROR(__xludf.DUMMYFUNCTION("""COMPUTED_VALUE"""),"CarGun")</f>
        <v>CarGun</v>
      </c>
      <c r="E411" s="1">
        <f>IFERROR(__xludf.DUMMYFUNCTION("""COMPUTED_VALUE"""),800.0)</f>
        <v>800</v>
      </c>
      <c r="F411" s="1" t="str">
        <f>IFERROR(__xludf.DUMMYFUNCTION("""COMPUTED_VALUE"""),"DMG: +40000 ++Does not take an action to use, Acts as if it has a turn order of its own. ++Has unlimited bullets. +-Uses bullets ++Roll a d1000 to see how many bullets are used. ++Damages all targets. ++Cannot avoid.")</f>
        <v>DMG: +40000 ++Does not take an action to use, Acts as if it has a turn order of its own. ++Has unlimited bullets. +-Uses bullets ++Roll a d1000 to see how many bullets are used. ++Damages all targets. ++Cannot avoid.</v>
      </c>
      <c r="G411" s="1">
        <f>IFERROR(__xludf.DUMMYFUNCTION("""COMPUTED_VALUE"""),3.16E7)</f>
        <v>31600000</v>
      </c>
      <c r="H411" s="1"/>
      <c r="I411" s="1"/>
      <c r="J411" s="1"/>
      <c r="K411" s="1"/>
      <c r="L411" s="1"/>
      <c r="M411" s="1"/>
      <c r="N411" s="1"/>
      <c r="O411" s="1"/>
      <c r="P411" s="1"/>
      <c r="Q411" s="1"/>
      <c r="R411" s="1"/>
      <c r="S411" s="1"/>
      <c r="T411" s="1"/>
      <c r="U411" s="1"/>
      <c r="V411" s="1"/>
      <c r="W411" s="1"/>
      <c r="X411" s="1"/>
      <c r="Y411" s="1"/>
      <c r="Z411" s="1"/>
    </row>
    <row r="412">
      <c r="A412" s="1" t="str">
        <f>IFERROR(__xludf.DUMMYFUNCTION("""COMPUTED_VALUE"""),"Lazer Infused Cannon")</f>
        <v>Lazer Infused Cannon</v>
      </c>
      <c r="B412" s="1"/>
      <c r="C412" s="1" t="str">
        <f>IFERROR(__xludf.DUMMYFUNCTION("""COMPUTED_VALUE"""),"Firearm")</f>
        <v>Firearm</v>
      </c>
      <c r="D412" s="1" t="str">
        <f>IFERROR(__xludf.DUMMYFUNCTION("""COMPUTED_VALUE"""),"BoatGun")</f>
        <v>BoatGun</v>
      </c>
      <c r="E412" s="1">
        <f>IFERROR(__xludf.DUMMYFUNCTION("""COMPUTED_VALUE"""),5000.0)</f>
        <v>5000</v>
      </c>
      <c r="F412" s="1" t="str">
        <f>IFERROR(__xludf.DUMMYFUNCTION("""COMPUTED_VALUE"""),", Fire DMG: +250000 ++Does not use Ammunition. ++Cannot avoid, ++Damages all enemies.")</f>
        <v>, Fire DMG: +250000 ++Does not use Ammunition. ++Cannot avoid, ++Damages all enemies.</v>
      </c>
      <c r="G412" s="1">
        <f>IFERROR(__xludf.DUMMYFUNCTION("""COMPUTED_VALUE"""),1.2475E9)</f>
        <v>1247500000</v>
      </c>
      <c r="H412" s="1"/>
      <c r="I412" s="1"/>
      <c r="J412" s="1"/>
      <c r="K412" s="1"/>
      <c r="L412" s="1"/>
      <c r="M412" s="1"/>
      <c r="N412" s="1"/>
      <c r="O412" s="1"/>
      <c r="P412" s="1"/>
      <c r="Q412" s="1"/>
      <c r="R412" s="1"/>
      <c r="S412" s="1"/>
      <c r="T412" s="1"/>
      <c r="U412" s="1"/>
      <c r="V412" s="1"/>
      <c r="W412" s="1"/>
      <c r="X412" s="1"/>
      <c r="Y412" s="1"/>
      <c r="Z412" s="1"/>
    </row>
    <row r="413">
      <c r="A413" s="1" t="str">
        <f>IFERROR(__xludf.DUMMYFUNCTION("""COMPUTED_VALUE"""),"Roof Mounted Turret")</f>
        <v>Roof Mounted Turret</v>
      </c>
      <c r="B413" s="1"/>
      <c r="C413" s="1" t="str">
        <f>IFERROR(__xludf.DUMMYFUNCTION("""COMPUTED_VALUE"""),"Firearm")</f>
        <v>Firearm</v>
      </c>
      <c r="D413" s="1" t="str">
        <f>IFERROR(__xludf.DUMMYFUNCTION("""COMPUTED_VALUE"""),"CarGun")</f>
        <v>CarGun</v>
      </c>
      <c r="E413" s="1">
        <f>IFERROR(__xludf.DUMMYFUNCTION("""COMPUTED_VALUE"""),500.0)</f>
        <v>500</v>
      </c>
      <c r="F413" s="1" t="str">
        <f>IFERROR(__xludf.DUMMYFUNCTION("""COMPUTED_VALUE"""),"DMG: +25000 ++Roll a d500 to see how many bullets are used when you attack with this weapon. +-Uses bullets ++Damages up to 2 targets.")</f>
        <v>DMG: +25000 ++Roll a d500 to see how many bullets are used when you attack with this weapon. +-Uses bullets ++Damages up to 2 targets.</v>
      </c>
      <c r="G413" s="1">
        <f>IFERROR(__xludf.DUMMYFUNCTION("""COMPUTED_VALUE"""),1.225E7)</f>
        <v>12250000</v>
      </c>
      <c r="H413" s="1"/>
      <c r="I413" s="1"/>
      <c r="J413" s="1"/>
      <c r="K413" s="1"/>
      <c r="L413" s="1"/>
      <c r="M413" s="1"/>
      <c r="N413" s="1"/>
      <c r="O413" s="1"/>
      <c r="P413" s="1"/>
      <c r="Q413" s="1"/>
      <c r="R413" s="1"/>
      <c r="S413" s="1"/>
      <c r="T413" s="1"/>
      <c r="U413" s="1"/>
      <c r="V413" s="1"/>
      <c r="W413" s="1"/>
      <c r="X413" s="1"/>
      <c r="Y413" s="1"/>
      <c r="Z413" s="1"/>
    </row>
    <row r="414">
      <c r="A414" s="1" t="str">
        <f>IFERROR(__xludf.DUMMYFUNCTION("""COMPUTED_VALUE"""),".50 Caliber Machine Gun (boat)")</f>
        <v>.50 Caliber Machine Gun (boat)</v>
      </c>
      <c r="B414" s="1"/>
      <c r="C414" s="1" t="str">
        <f>IFERROR(__xludf.DUMMYFUNCTION("""COMPUTED_VALUE"""),"Firearm")</f>
        <v>Firearm</v>
      </c>
      <c r="D414" s="1" t="str">
        <f>IFERROR(__xludf.DUMMYFUNCTION("""COMPUTED_VALUE"""),"BoatGun")</f>
        <v>BoatGun</v>
      </c>
      <c r="E414" s="1">
        <f>IFERROR(__xludf.DUMMYFUNCTION("""COMPUTED_VALUE"""),500.0)</f>
        <v>500</v>
      </c>
      <c r="F414" s="1" t="str">
        <f>IFERROR(__xludf.DUMMYFUNCTION("""COMPUTED_VALUE"""),"DMG: +25000 ++Roll a d500 to see how many bullets are used when you attack with this weapon. +-Uses bullets")</f>
        <v>DMG: +25000 ++Roll a d500 to see how many bullets are used when you attack with this weapon. +-Uses bullets</v>
      </c>
      <c r="G414" s="1">
        <f>IFERROR(__xludf.DUMMYFUNCTION("""COMPUTED_VALUE"""),1.225E7)</f>
        <v>12250000</v>
      </c>
      <c r="H414" s="1"/>
      <c r="I414" s="1"/>
      <c r="J414" s="1"/>
      <c r="K414" s="1"/>
      <c r="L414" s="1"/>
      <c r="M414" s="1"/>
      <c r="N414" s="1"/>
      <c r="O414" s="1"/>
      <c r="P414" s="1"/>
      <c r="Q414" s="1"/>
      <c r="R414" s="1"/>
      <c r="S414" s="1"/>
      <c r="T414" s="1"/>
      <c r="U414" s="1"/>
      <c r="V414" s="1"/>
      <c r="W414" s="1"/>
      <c r="X414" s="1"/>
      <c r="Y414" s="1"/>
      <c r="Z414" s="1"/>
    </row>
    <row r="415">
      <c r="A415" s="1" t="str">
        <f>IFERROR(__xludf.DUMMYFUNCTION("""COMPUTED_VALUE"""),"Missile Turret (car)")</f>
        <v>Missile Turret (car)</v>
      </c>
      <c r="B415" s="1"/>
      <c r="C415" s="1" t="str">
        <f>IFERROR(__xludf.DUMMYFUNCTION("""COMPUTED_VALUE"""),"Firearm")</f>
        <v>Firearm</v>
      </c>
      <c r="D415" s="1" t="str">
        <f>IFERROR(__xludf.DUMMYFUNCTION("""COMPUTED_VALUE"""),"CarGun")</f>
        <v>CarGun</v>
      </c>
      <c r="E415" s="1">
        <f>IFERROR(__xludf.DUMMYFUNCTION("""COMPUTED_VALUE"""),2000.0)</f>
        <v>2000</v>
      </c>
      <c r="F415" s="1" t="str">
        <f>IFERROR(__xludf.DUMMYFUNCTION("""COMPUTED_VALUE"""),"DMG: +50000, Fire DMG: +50000 ++Damages all enemies. +-Uses Missiles.")</f>
        <v>DMG: +50000, Fire DMG: +50000 ++Damages all enemies. +-Uses Missiles.</v>
      </c>
      <c r="G415" s="1">
        <f>IFERROR(__xludf.DUMMYFUNCTION("""COMPUTED_VALUE"""),1.99E8)</f>
        <v>199000000</v>
      </c>
      <c r="H415" s="1"/>
      <c r="I415" s="1"/>
      <c r="J415" s="1"/>
      <c r="K415" s="1"/>
      <c r="L415" s="1"/>
      <c r="M415" s="1"/>
      <c r="N415" s="1"/>
      <c r="O415" s="1"/>
      <c r="P415" s="1"/>
      <c r="Q415" s="1"/>
      <c r="R415" s="1"/>
      <c r="S415" s="1"/>
      <c r="T415" s="1"/>
      <c r="U415" s="1"/>
      <c r="V415" s="1"/>
      <c r="W415" s="1"/>
      <c r="X415" s="1"/>
      <c r="Y415" s="1"/>
      <c r="Z415" s="1"/>
    </row>
    <row r="416">
      <c r="A416" s="1" t="str">
        <f>IFERROR(__xludf.DUMMYFUNCTION("""COMPUTED_VALUE"""),"Missile Turret (boat)")</f>
        <v>Missile Turret (boat)</v>
      </c>
      <c r="B416" s="1"/>
      <c r="C416" s="1" t="str">
        <f>IFERROR(__xludf.DUMMYFUNCTION("""COMPUTED_VALUE"""),"Firearm")</f>
        <v>Firearm</v>
      </c>
      <c r="D416" s="1" t="str">
        <f>IFERROR(__xludf.DUMMYFUNCTION("""COMPUTED_VALUE"""),"BoatGun")</f>
        <v>BoatGun</v>
      </c>
      <c r="E416" s="1">
        <f>IFERROR(__xludf.DUMMYFUNCTION("""COMPUTED_VALUE"""),2000.0)</f>
        <v>2000</v>
      </c>
      <c r="F416" s="1" t="str">
        <f>IFERROR(__xludf.DUMMYFUNCTION("""COMPUTED_VALUE"""),"DMG: +50000, Fire DMG: +50000 ++Damages all enemies. +-Uses Missiles.")</f>
        <v>DMG: +50000, Fire DMG: +50000 ++Damages all enemies. +-Uses Missiles.</v>
      </c>
      <c r="G416" s="1">
        <f>IFERROR(__xludf.DUMMYFUNCTION("""COMPUTED_VALUE"""),1.99E8)</f>
        <v>199000000</v>
      </c>
      <c r="H416" s="1"/>
      <c r="I416" s="1"/>
      <c r="J416" s="1"/>
      <c r="K416" s="1"/>
      <c r="L416" s="1"/>
      <c r="M416" s="1"/>
      <c r="N416" s="1"/>
      <c r="O416" s="1"/>
      <c r="P416" s="1"/>
      <c r="Q416" s="1"/>
      <c r="R416" s="1"/>
      <c r="S416" s="1"/>
      <c r="T416" s="1"/>
      <c r="U416" s="1"/>
      <c r="V416" s="1"/>
      <c r="W416" s="1"/>
      <c r="X416" s="1"/>
      <c r="Y416" s="1"/>
      <c r="Z416" s="1"/>
    </row>
    <row r="417">
      <c r="A417" s="1" t="str">
        <f>IFERROR(__xludf.DUMMYFUNCTION("""COMPUTED_VALUE"""),"Royal Sword of Dragonia")</f>
        <v>Royal Sword of Dragonia</v>
      </c>
      <c r="B417" s="1"/>
      <c r="C417" s="1" t="str">
        <f>IFERROR(__xludf.DUMMYFUNCTION("""COMPUTED_VALUE"""),"Sword")</f>
        <v>Sword</v>
      </c>
      <c r="D417" s="1" t="str">
        <f>IFERROR(__xludf.DUMMYFUNCTION("""COMPUTED_VALUE"""),"Hand")</f>
        <v>Hand</v>
      </c>
      <c r="E417" s="1">
        <f>IFERROR(__xludf.DUMMYFUNCTION("""COMPUTED_VALUE"""),200.0)</f>
        <v>200</v>
      </c>
      <c r="F417" s="1" t="str">
        <f>IFERROR(__xludf.DUMMYFUNCTION("""COMPUTED_VALUE"""),"DMG: +50000, Fire DMG: +50000, Order DMG: +50000, Blood DMG: +25000, Celestial DMG: +25000 ++Dragons Luck II: If you have a dragon companion with you during the current battle add ++5 to your turn order roll. +-Cannot be forged +-Cannot be duplicated")</f>
        <v>DMG: +50000, Fire DMG: +50000, Order DMG: +50000, Blood DMG: +25000, Celestial DMG: +25000 ++Dragons Luck II: If you have a dragon companion with you during the current battle add ++5 to your turn order roll. +-Cannot be forged +-Cannot be duplicated</v>
      </c>
      <c r="G417" s="1">
        <f>IFERROR(__xludf.DUMMYFUNCTION("""COMPUTED_VALUE"""),7.98E8)</f>
        <v>798000000</v>
      </c>
      <c r="H417" s="1"/>
      <c r="I417" s="1"/>
      <c r="J417" s="1"/>
      <c r="K417" s="1"/>
      <c r="L417" s="1"/>
      <c r="M417" s="1"/>
      <c r="N417" s="1"/>
      <c r="O417" s="1"/>
      <c r="P417" s="1"/>
      <c r="Q417" s="1"/>
      <c r="R417" s="1"/>
      <c r="S417" s="1"/>
      <c r="T417" s="1"/>
      <c r="U417" s="1"/>
      <c r="V417" s="1"/>
      <c r="W417" s="1"/>
      <c r="X417" s="1"/>
      <c r="Y417" s="1"/>
      <c r="Z417" s="1"/>
    </row>
    <row r="418">
      <c r="A418" s="1" t="str">
        <f>IFERROR(__xludf.DUMMYFUNCTION("""COMPUTED_VALUE"""),"Dragonian Helm")</f>
        <v>Dragonian Helm</v>
      </c>
      <c r="B418" s="1"/>
      <c r="C418" s="1" t="str">
        <f>IFERROR(__xludf.DUMMYFUNCTION("""COMPUTED_VALUE"""),"Sword")</f>
        <v>Sword</v>
      </c>
      <c r="D418" s="1" t="str">
        <f>IFERROR(__xludf.DUMMYFUNCTION("""COMPUTED_VALUE"""),"Head")</f>
        <v>Head</v>
      </c>
      <c r="E418" s="1">
        <f>IFERROR(__xludf.DUMMYFUNCTION("""COMPUTED_VALUE"""),200.0)</f>
        <v>200</v>
      </c>
      <c r="F418"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18" s="1">
        <f>IFERROR(__xludf.DUMMYFUNCTION("""COMPUTED_VALUE"""),7.98E8)</f>
        <v>798000000</v>
      </c>
      <c r="H418" s="1"/>
      <c r="I418" s="1"/>
      <c r="J418" s="1"/>
      <c r="K418" s="1"/>
      <c r="L418" s="1"/>
      <c r="M418" s="1"/>
      <c r="N418" s="1"/>
      <c r="O418" s="1"/>
      <c r="P418" s="1"/>
      <c r="Q418" s="1"/>
      <c r="R418" s="1"/>
      <c r="S418" s="1"/>
      <c r="T418" s="1"/>
      <c r="U418" s="1"/>
      <c r="V418" s="1"/>
      <c r="W418" s="1"/>
      <c r="X418" s="1"/>
      <c r="Y418" s="1"/>
      <c r="Z418" s="1"/>
    </row>
    <row r="419">
      <c r="A419" s="1" t="str">
        <f>IFERROR(__xludf.DUMMYFUNCTION("""COMPUTED_VALUE"""),"Dragonian Pauldrons")</f>
        <v>Dragonian Pauldrons</v>
      </c>
      <c r="B419" s="1"/>
      <c r="C419" s="1"/>
      <c r="D419" s="1" t="str">
        <f>IFERROR(__xludf.DUMMYFUNCTION("""COMPUTED_VALUE"""),"Shoulders")</f>
        <v>Shoulders</v>
      </c>
      <c r="E419" s="1">
        <f>IFERROR(__xludf.DUMMYFUNCTION("""COMPUTED_VALUE"""),200.0)</f>
        <v>200</v>
      </c>
      <c r="F419"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19" s="1">
        <f>IFERROR(__xludf.DUMMYFUNCTION("""COMPUTED_VALUE"""),7.98E8)</f>
        <v>798000000</v>
      </c>
      <c r="H419" s="1"/>
      <c r="I419" s="1"/>
      <c r="J419" s="1"/>
      <c r="K419" s="1"/>
      <c r="L419" s="1"/>
      <c r="M419" s="1"/>
      <c r="N419" s="1"/>
      <c r="O419" s="1"/>
      <c r="P419" s="1"/>
      <c r="Q419" s="1"/>
      <c r="R419" s="1"/>
      <c r="S419" s="1"/>
      <c r="T419" s="1"/>
      <c r="U419" s="1"/>
      <c r="V419" s="1"/>
      <c r="W419" s="1"/>
      <c r="X419" s="1"/>
      <c r="Y419" s="1"/>
      <c r="Z419" s="1"/>
    </row>
    <row r="420">
      <c r="A420" s="1" t="str">
        <f>IFERROR(__xludf.DUMMYFUNCTION("""COMPUTED_VALUE"""),"Dragonian Chestplate")</f>
        <v>Dragonian Chestplate</v>
      </c>
      <c r="B420" s="1"/>
      <c r="C420" s="1"/>
      <c r="D420" s="1" t="str">
        <f>IFERROR(__xludf.DUMMYFUNCTION("""COMPUTED_VALUE"""),"Torso")</f>
        <v>Torso</v>
      </c>
      <c r="E420" s="1">
        <f>IFERROR(__xludf.DUMMYFUNCTION("""COMPUTED_VALUE"""),200.0)</f>
        <v>200</v>
      </c>
      <c r="F420"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0" s="1">
        <f>IFERROR(__xludf.DUMMYFUNCTION("""COMPUTED_VALUE"""),7.98E8)</f>
        <v>798000000</v>
      </c>
      <c r="H420" s="1"/>
      <c r="I420" s="1"/>
      <c r="J420" s="1"/>
      <c r="K420" s="1"/>
      <c r="L420" s="1"/>
      <c r="M420" s="1"/>
      <c r="N420" s="1"/>
      <c r="O420" s="1"/>
      <c r="P420" s="1"/>
      <c r="Q420" s="1"/>
      <c r="R420" s="1"/>
      <c r="S420" s="1"/>
      <c r="T420" s="1"/>
      <c r="U420" s="1"/>
      <c r="V420" s="1"/>
      <c r="W420" s="1"/>
      <c r="X420" s="1"/>
      <c r="Y420" s="1"/>
      <c r="Z420" s="1"/>
    </row>
    <row r="421">
      <c r="A421" s="1" t="str">
        <f>IFERROR(__xludf.DUMMYFUNCTION("""COMPUTED_VALUE"""),"Dragonian Vambraces")</f>
        <v>Dragonian Vambraces</v>
      </c>
      <c r="B421" s="1"/>
      <c r="C421" s="1"/>
      <c r="D421" s="1" t="str">
        <f>IFERROR(__xludf.DUMMYFUNCTION("""COMPUTED_VALUE"""),"Arms")</f>
        <v>Arms</v>
      </c>
      <c r="E421" s="1">
        <f>IFERROR(__xludf.DUMMYFUNCTION("""COMPUTED_VALUE"""),200.0)</f>
        <v>200</v>
      </c>
      <c r="F421"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1" s="1">
        <f>IFERROR(__xludf.DUMMYFUNCTION("""COMPUTED_VALUE"""),7.98E8)</f>
        <v>798000000</v>
      </c>
      <c r="H421" s="1"/>
      <c r="I421" s="1"/>
      <c r="J421" s="1"/>
      <c r="K421" s="1"/>
      <c r="L421" s="1"/>
      <c r="M421" s="1"/>
      <c r="N421" s="1"/>
      <c r="O421" s="1"/>
      <c r="P421" s="1"/>
      <c r="Q421" s="1"/>
      <c r="R421" s="1"/>
      <c r="S421" s="1"/>
      <c r="T421" s="1"/>
      <c r="U421" s="1"/>
      <c r="V421" s="1"/>
      <c r="W421" s="1"/>
      <c r="X421" s="1"/>
      <c r="Y421" s="1"/>
      <c r="Z421" s="1"/>
    </row>
    <row r="422">
      <c r="A422" s="1" t="str">
        <f>IFERROR(__xludf.DUMMYFUNCTION("""COMPUTED_VALUE"""),"Dragonian Greaves")</f>
        <v>Dragonian Greaves</v>
      </c>
      <c r="B422" s="1"/>
      <c r="C422" s="1"/>
      <c r="D422" s="1" t="str">
        <f>IFERROR(__xludf.DUMMYFUNCTION("""COMPUTED_VALUE"""),"Legs")</f>
        <v>Legs</v>
      </c>
      <c r="E422" s="1">
        <f>IFERROR(__xludf.DUMMYFUNCTION("""COMPUTED_VALUE"""),200.0)</f>
        <v>200</v>
      </c>
      <c r="F422"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2" s="1">
        <f>IFERROR(__xludf.DUMMYFUNCTION("""COMPUTED_VALUE"""),7.98E8)</f>
        <v>798000000</v>
      </c>
      <c r="H422" s="1"/>
      <c r="I422" s="1"/>
      <c r="J422" s="1"/>
      <c r="K422" s="1"/>
      <c r="L422" s="1"/>
      <c r="M422" s="1"/>
      <c r="N422" s="1"/>
      <c r="O422" s="1"/>
      <c r="P422" s="1"/>
      <c r="Q422" s="1"/>
      <c r="R422" s="1"/>
      <c r="S422" s="1"/>
      <c r="T422" s="1"/>
      <c r="U422" s="1"/>
      <c r="V422" s="1"/>
      <c r="W422" s="1"/>
      <c r="X422" s="1"/>
      <c r="Y422" s="1"/>
      <c r="Z422" s="1"/>
    </row>
    <row r="423">
      <c r="A423" s="1" t="str">
        <f>IFERROR(__xludf.DUMMYFUNCTION("""COMPUTED_VALUE"""),"Dragonian Boots")</f>
        <v>Dragonian Boots</v>
      </c>
      <c r="B423" s="1"/>
      <c r="C423" s="1"/>
      <c r="D423" s="1" t="str">
        <f>IFERROR(__xludf.DUMMYFUNCTION("""COMPUTED_VALUE"""),"Feet")</f>
        <v>Feet</v>
      </c>
      <c r="E423" s="1">
        <f>IFERROR(__xludf.DUMMYFUNCTION("""COMPUTED_VALUE"""),200.0)</f>
        <v>200</v>
      </c>
      <c r="F423" s="1"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3" s="1">
        <f>IFERROR(__xludf.DUMMYFUNCTION("""COMPUTED_VALUE"""),7.98E8)</f>
        <v>798000000</v>
      </c>
      <c r="H423" s="1"/>
      <c r="I423" s="1"/>
      <c r="J423" s="1"/>
      <c r="K423" s="1"/>
      <c r="L423" s="1"/>
      <c r="M423" s="1"/>
      <c r="N423" s="1"/>
      <c r="O423" s="1"/>
      <c r="P423" s="1"/>
      <c r="Q423" s="1"/>
      <c r="R423" s="1"/>
      <c r="S423" s="1"/>
      <c r="T423" s="1"/>
      <c r="U423" s="1"/>
      <c r="V423" s="1"/>
      <c r="W423" s="1"/>
      <c r="X423" s="1"/>
      <c r="Y423" s="1"/>
      <c r="Z423" s="1"/>
    </row>
    <row r="424">
      <c r="A424" s="1" t="str">
        <f>IFERROR(__xludf.DUMMYFUNCTION("""COMPUTED_VALUE"""),"Dragonian Pendent")</f>
        <v>Dragonian Pendent</v>
      </c>
      <c r="B424" s="1"/>
      <c r="C424" s="1"/>
      <c r="D424" s="1" t="str">
        <f>IFERROR(__xludf.DUMMYFUNCTION("""COMPUTED_VALUE"""),"Neck")</f>
        <v>Neck</v>
      </c>
      <c r="E424" s="1">
        <f>IFERROR(__xludf.DUMMYFUNCTION("""COMPUTED_VALUE"""),200.0)</f>
        <v>200</v>
      </c>
      <c r="F424" s="1" t="str">
        <f>IFERROR(__xludf.DUMMYFUNCTION("""COMPUTED_VALUE"""),", Celestial DEF: +15000 ++Dragon Dealer: Damage dealt to dragons by the wearer is increased by X4. +-Cannot be forged +-Cannot be duplicated")</f>
        <v>, Celestial DEF: +15000 ++Dragon Dealer: Damage dealt to dragons by the wearer is increased by X4. +-Cannot be forged +-Cannot be duplicated</v>
      </c>
      <c r="G424" s="1">
        <f>IFERROR(__xludf.DUMMYFUNCTION("""COMPUTED_VALUE"""),4350000.0)</f>
        <v>4350000</v>
      </c>
      <c r="H424" s="1"/>
      <c r="I424" s="1"/>
      <c r="J424" s="1"/>
      <c r="K424" s="1"/>
      <c r="L424" s="1"/>
      <c r="M424" s="1"/>
      <c r="N424" s="1"/>
      <c r="O424" s="1"/>
      <c r="P424" s="1"/>
      <c r="Q424" s="1"/>
      <c r="R424" s="1"/>
      <c r="S424" s="1"/>
      <c r="T424" s="1"/>
      <c r="U424" s="1"/>
      <c r="V424" s="1"/>
      <c r="W424" s="1"/>
      <c r="X424" s="1"/>
      <c r="Y424" s="1"/>
      <c r="Z424" s="1"/>
    </row>
    <row r="425">
      <c r="A425" s="1" t="str">
        <f>IFERROR(__xludf.DUMMYFUNCTION("""COMPUTED_VALUE"""),"Dragonian Ring")</f>
        <v>Dragonian Ring</v>
      </c>
      <c r="B425" s="1"/>
      <c r="C425" s="1"/>
      <c r="D425" s="1" t="str">
        <f>IFERROR(__xludf.DUMMYFUNCTION("""COMPUTED_VALUE"""),"Ring")</f>
        <v>Ring</v>
      </c>
      <c r="E425" s="1">
        <f>IFERROR(__xludf.DUMMYFUNCTION("""COMPUTED_VALUE"""),200.0)</f>
        <v>200</v>
      </c>
      <c r="F425" s="1" t="str">
        <f>IFERROR(__xludf.DUMMYFUNCTION("""COMPUTED_VALUE"""),", Celestial DEF: +15000 ++Dragon Dealer: Damage dealt to dragons by the wearer is increased by X4. +-Cannot be forged +-Cannot be duplicated")</f>
        <v>, Celestial DEF: +15000 ++Dragon Dealer: Damage dealt to dragons by the wearer is increased by X4. +-Cannot be forged +-Cannot be duplicated</v>
      </c>
      <c r="G425" s="1">
        <f>IFERROR(__xludf.DUMMYFUNCTION("""COMPUTED_VALUE"""),4350000.0)</f>
        <v>4350000</v>
      </c>
      <c r="H425" s="1"/>
      <c r="I425" s="1"/>
      <c r="J425" s="1"/>
      <c r="K425" s="1"/>
      <c r="L425" s="1"/>
      <c r="M425" s="1"/>
      <c r="N425" s="1"/>
      <c r="O425" s="1"/>
      <c r="P425" s="1"/>
      <c r="Q425" s="1"/>
      <c r="R425" s="1"/>
      <c r="S425" s="1"/>
      <c r="T425" s="1"/>
      <c r="U425" s="1"/>
      <c r="V425" s="1"/>
      <c r="W425" s="1"/>
      <c r="X425" s="1"/>
      <c r="Y425" s="1"/>
      <c r="Z425" s="1"/>
    </row>
    <row r="426">
      <c r="A426" s="1" t="str">
        <f>IFERROR(__xludf.DUMMYFUNCTION("""COMPUTED_VALUE"""),"Fishing Pole of Luck and Power")</f>
        <v>Fishing Pole of Luck and Power</v>
      </c>
      <c r="B426" s="1"/>
      <c r="C426" s="1" t="str">
        <f>IFERROR(__xludf.DUMMYFUNCTION("""COMPUTED_VALUE"""),"Club")</f>
        <v>Club</v>
      </c>
      <c r="D426" s="1" t="str">
        <f>IFERROR(__xludf.DUMMYFUNCTION("""COMPUTED_VALUE"""),"Hand")</f>
        <v>Hand</v>
      </c>
      <c r="E426" s="1">
        <f>IFERROR(__xludf.DUMMYFUNCTION("""COMPUTED_VALUE"""),1600.0)</f>
        <v>1600</v>
      </c>
      <c r="F426" s="1" t="str">
        <f>IFERROR(__xludf.DUMMYFUNCTION("""COMPUTED_VALUE"""),"DMG: +20000, Fire DMG: +20000, Water DMG: +20000, Storm DMG: +20000 ++Can be used as a weapon or to fish, Will cook fish that are caught. ++When you deal damage to a target with this item it will have a 50% chance to remove them from battle.")</f>
        <v>DMG: +20000, Fire DMG: +20000, Water DMG: +20000, Storm DMG: +20000 ++Can be used as a weapon or to fish, Will cook fish that are caught. ++When you deal damage to a target with this item it will have a 50% chance to remove them from battle.</v>
      </c>
      <c r="G426" s="1">
        <f>IFERROR(__xludf.DUMMYFUNCTION("""COMPUTED_VALUE"""),1.272E8)</f>
        <v>127200000</v>
      </c>
      <c r="H426" s="1"/>
      <c r="I426" s="1"/>
      <c r="J426" s="1"/>
      <c r="K426" s="1"/>
      <c r="L426" s="1"/>
      <c r="M426" s="1"/>
      <c r="N426" s="1"/>
      <c r="O426" s="1"/>
      <c r="P426" s="1"/>
      <c r="Q426" s="1"/>
      <c r="R426" s="1"/>
      <c r="S426" s="1"/>
      <c r="T426" s="1"/>
      <c r="U426" s="1"/>
      <c r="V426" s="1"/>
      <c r="W426" s="1"/>
      <c r="X426" s="1"/>
      <c r="Y426" s="1"/>
      <c r="Z426" s="1"/>
    </row>
    <row r="427">
      <c r="A427" s="1" t="str">
        <f>IFERROR(__xludf.DUMMYFUNCTION("""COMPUTED_VALUE"""),"Ancient Oni Pauldrons")</f>
        <v>Ancient Oni Pauldrons</v>
      </c>
      <c r="B427" s="1" t="str">
        <f>IFERROR(__xludf.DUMMYFUNCTION("""COMPUTED_VALUE"""),"An ancient relic to Zhenmay")</f>
        <v>An ancient relic to Zhenmay</v>
      </c>
      <c r="C427" s="1"/>
      <c r="D427" s="1" t="str">
        <f>IFERROR(__xludf.DUMMYFUNCTION("""COMPUTED_VALUE"""),"Shoulders")</f>
        <v>Shoulders</v>
      </c>
      <c r="E427" s="1">
        <f>IFERROR(__xludf.DUMMYFUNCTION("""COMPUTED_VALUE"""),200.0)</f>
        <v>200</v>
      </c>
      <c r="F427"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427" s="1">
        <f>IFERROR(__xludf.DUMMYFUNCTION("""COMPUTED_VALUE"""),5.104E8)</f>
        <v>510400000</v>
      </c>
      <c r="H427" s="1"/>
      <c r="I427" s="1"/>
      <c r="J427" s="1"/>
      <c r="K427" s="1"/>
      <c r="L427" s="1"/>
      <c r="M427" s="1"/>
      <c r="N427" s="1"/>
      <c r="O427" s="1"/>
      <c r="P427" s="1"/>
      <c r="Q427" s="1"/>
      <c r="R427" s="1"/>
      <c r="S427" s="1"/>
      <c r="T427" s="1"/>
      <c r="U427" s="1"/>
      <c r="V427" s="1"/>
      <c r="W427" s="1"/>
      <c r="X427" s="1"/>
      <c r="Y427" s="1"/>
      <c r="Z427" s="1"/>
    </row>
    <row r="428">
      <c r="A428" s="1" t="str">
        <f>IFERROR(__xludf.DUMMYFUNCTION("""COMPUTED_VALUE"""),"Ancient Oni Vambraces")</f>
        <v>Ancient Oni Vambraces</v>
      </c>
      <c r="B428" s="1" t="str">
        <f>IFERROR(__xludf.DUMMYFUNCTION("""COMPUTED_VALUE"""),"An ancient relic to Zhenmay")</f>
        <v>An ancient relic to Zhenmay</v>
      </c>
      <c r="C428" s="1"/>
      <c r="D428" s="1" t="str">
        <f>IFERROR(__xludf.DUMMYFUNCTION("""COMPUTED_VALUE"""),"Arms")</f>
        <v>Arms</v>
      </c>
      <c r="E428" s="1">
        <f>IFERROR(__xludf.DUMMYFUNCTION("""COMPUTED_VALUE"""),200.0)</f>
        <v>200</v>
      </c>
      <c r="F428"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8" s="1">
        <f>IFERROR(__xludf.DUMMYFUNCTION("""COMPUTED_VALUE"""),5.104E8)</f>
        <v>510400000</v>
      </c>
      <c r="H428" s="1"/>
      <c r="I428" s="1"/>
      <c r="J428" s="1"/>
      <c r="K428" s="1"/>
      <c r="L428" s="1"/>
      <c r="M428" s="1"/>
      <c r="N428" s="1"/>
      <c r="O428" s="1"/>
      <c r="P428" s="1"/>
      <c r="Q428" s="1"/>
      <c r="R428" s="1"/>
      <c r="S428" s="1"/>
      <c r="T428" s="1"/>
      <c r="U428" s="1"/>
      <c r="V428" s="1"/>
      <c r="W428" s="1"/>
      <c r="X428" s="1"/>
      <c r="Y428" s="1"/>
      <c r="Z428" s="1"/>
    </row>
    <row r="429">
      <c r="A429" s="1" t="str">
        <f>IFERROR(__xludf.DUMMYFUNCTION("""COMPUTED_VALUE"""),"Ancient Oni Greaves")</f>
        <v>Ancient Oni Greaves</v>
      </c>
      <c r="B429" s="1" t="str">
        <f>IFERROR(__xludf.DUMMYFUNCTION("""COMPUTED_VALUE"""),"An ancient relic to Zhenmay")</f>
        <v>An ancient relic to Zhenmay</v>
      </c>
      <c r="C429" s="1"/>
      <c r="D429" s="1" t="str">
        <f>IFERROR(__xludf.DUMMYFUNCTION("""COMPUTED_VALUE"""),"Legs")</f>
        <v>Legs</v>
      </c>
      <c r="E429" s="1">
        <f>IFERROR(__xludf.DUMMYFUNCTION("""COMPUTED_VALUE"""),200.0)</f>
        <v>200</v>
      </c>
      <c r="F429"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9" s="1">
        <f>IFERROR(__xludf.DUMMYFUNCTION("""COMPUTED_VALUE"""),5.104E8)</f>
        <v>510400000</v>
      </c>
      <c r="H429" s="1"/>
      <c r="I429" s="1"/>
      <c r="J429" s="1"/>
      <c r="K429" s="1"/>
      <c r="L429" s="1"/>
      <c r="M429" s="1"/>
      <c r="N429" s="1"/>
      <c r="O429" s="1"/>
      <c r="P429" s="1"/>
      <c r="Q429" s="1"/>
      <c r="R429" s="1"/>
      <c r="S429" s="1"/>
      <c r="T429" s="1"/>
      <c r="U429" s="1"/>
      <c r="V429" s="1"/>
      <c r="W429" s="1"/>
      <c r="X429" s="1"/>
      <c r="Y429" s="1"/>
      <c r="Z429" s="1"/>
    </row>
    <row r="430">
      <c r="A430" s="1" t="str">
        <f>IFERROR(__xludf.DUMMYFUNCTION("""COMPUTED_VALUE"""),"Ancient Oni Boots")</f>
        <v>Ancient Oni Boots</v>
      </c>
      <c r="B430" s="1" t="str">
        <f>IFERROR(__xludf.DUMMYFUNCTION("""COMPUTED_VALUE"""),"An ancient relic to Zhenmay")</f>
        <v>An ancient relic to Zhenmay</v>
      </c>
      <c r="C430" s="1"/>
      <c r="D430" s="1" t="str">
        <f>IFERROR(__xludf.DUMMYFUNCTION("""COMPUTED_VALUE"""),"Feet")</f>
        <v>Feet</v>
      </c>
      <c r="E430" s="1">
        <f>IFERROR(__xludf.DUMMYFUNCTION("""COMPUTED_VALUE"""),200.0)</f>
        <v>200</v>
      </c>
      <c r="F430"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30" s="1">
        <f>IFERROR(__xludf.DUMMYFUNCTION("""COMPUTED_VALUE"""),5.104E8)</f>
        <v>510400000</v>
      </c>
      <c r="H430" s="1"/>
      <c r="I430" s="1"/>
      <c r="J430" s="1"/>
      <c r="K430" s="1"/>
      <c r="L430" s="1"/>
      <c r="M430" s="1"/>
      <c r="N430" s="1"/>
      <c r="O430" s="1"/>
      <c r="P430" s="1"/>
      <c r="Q430" s="1"/>
      <c r="R430" s="1"/>
      <c r="S430" s="1"/>
      <c r="T430" s="1"/>
      <c r="U430" s="1"/>
      <c r="V430" s="1"/>
      <c r="W430" s="1"/>
      <c r="X430" s="1"/>
      <c r="Y430" s="1"/>
      <c r="Z430" s="1"/>
    </row>
    <row r="431">
      <c r="A431" s="1" t="str">
        <f>IFERROR(__xludf.DUMMYFUNCTION("""COMPUTED_VALUE"""),"Ancient Oni Katana")</f>
        <v>Ancient Oni Katana</v>
      </c>
      <c r="B431" s="1" t="str">
        <f>IFERROR(__xludf.DUMMYFUNCTION("""COMPUTED_VALUE"""),"An ancient relic to Zhenmay")</f>
        <v>An ancient relic to Zhenmay</v>
      </c>
      <c r="C431" s="1" t="str">
        <f>IFERROR(__xludf.DUMMYFUNCTION("""COMPUTED_VALUE"""),"Sword")</f>
        <v>Sword</v>
      </c>
      <c r="D431" s="1" t="str">
        <f>IFERROR(__xludf.DUMMYFUNCTION("""COMPUTED_VALUE"""),"Hand")</f>
        <v>Hand</v>
      </c>
      <c r="E431" s="1">
        <f>IFERROR(__xludf.DUMMYFUNCTION("""COMPUTED_VALUE"""),200.0)</f>
        <v>200</v>
      </c>
      <c r="F431" s="1" t="str">
        <f>IFERROR(__xludf.DUMMYFUNCTION("""COMPUTED_VALUE"""),"DMG: +10000, Fire DMG: +10000, Physical DMG: +10000, Water DMG: +10000, Storm DMG: +10000, Earth DMG: +10000, Light DMG: +10000, Dark DMG: +10000, Spirit DMG: +10000, Order DMG: +10000, Chaos DMG: +10000, Nature DMG: +10000, Voodoo DMG: +10000, Blood DMG:"&amp;" +10000, Astral DMG: +10000, Celestial DMG: +10000 ++X2 additional damage for all elements. +-Only Samurai's, Monks, and Ninjas can equip. +-Cannot be forged +-Cannot be duplicated")</f>
        <v>DMG: +10000, Fire DMG: +10000, Physical DMG: +10000, Water DMG: +10000, Storm DMG: +10000, Earth DMG: +10000, Light DMG: +10000, Dark DMG: +10000, Spirit DMG: +10000, Order DMG: +10000, Chaos DMG: +10000, Nature DMG: +10000, Voodoo DMG: +10000, Blood DMG: +10000, Astral DMG: +10000, Celestial DMG: +10000 ++X2 additional damage for all elements. +-Only Samurai's, Monks, and Ninjas can equip. +-Cannot be forged +-Cannot be duplicated</v>
      </c>
      <c r="G431" s="1">
        <f>IFERROR(__xludf.DUMMYFUNCTION("""COMPUTED_VALUE"""),5.104E8)</f>
        <v>510400000</v>
      </c>
      <c r="H431" s="1"/>
      <c r="I431" s="1"/>
      <c r="J431" s="1"/>
      <c r="K431" s="1"/>
      <c r="L431" s="1"/>
      <c r="M431" s="1"/>
      <c r="N431" s="1"/>
      <c r="O431" s="1"/>
      <c r="P431" s="1"/>
      <c r="Q431" s="1"/>
      <c r="R431" s="1"/>
      <c r="S431" s="1"/>
      <c r="T431" s="1"/>
      <c r="U431" s="1"/>
      <c r="V431" s="1"/>
      <c r="W431" s="1"/>
      <c r="X431" s="1"/>
      <c r="Y431" s="1"/>
      <c r="Z431" s="1"/>
    </row>
    <row r="432">
      <c r="A432" s="1" t="str">
        <f>IFERROR(__xludf.DUMMYFUNCTION("""COMPUTED_VALUE"""),"The Grand Staff of Evil Flames")</f>
        <v>The Grand Staff of Evil Flames</v>
      </c>
      <c r="B432" s="1"/>
      <c r="C432" s="1" t="str">
        <f>IFERROR(__xludf.DUMMYFUNCTION("""COMPUTED_VALUE"""),"Staff")</f>
        <v>Staff</v>
      </c>
      <c r="D432" s="1" t="str">
        <f>IFERROR(__xludf.DUMMYFUNCTION("""COMPUTED_VALUE"""),"Hand")</f>
        <v>Hand</v>
      </c>
      <c r="E432" s="1">
        <f>IFERROR(__xludf.DUMMYFUNCTION("""COMPUTED_VALUE"""),1200.0)</f>
        <v>1200</v>
      </c>
      <c r="F432" s="1" t="str">
        <f>IFERROR(__xludf.DUMMYFUNCTION("""COMPUTED_VALUE"""),", Fire DMG: +20000, Dark DMG: +20000, Chaos DMG: +20000 ++X4 additional Dark, Fire, and Chaos damage for the user while equipped. +-Cannot be duplicated")</f>
        <v>, Fire DMG: +20000, Dark DMG: +20000, Chaos DMG: +20000 ++X4 additional Dark, Fire, and Chaos damage for the user while equipped. +-Cannot be duplicated</v>
      </c>
      <c r="G432" s="1">
        <f>IFERROR(__xludf.DUMMYFUNCTION("""COMPUTED_VALUE"""),7.14E7)</f>
        <v>71400000</v>
      </c>
      <c r="H432" s="1"/>
      <c r="I432" s="1"/>
      <c r="J432" s="1"/>
      <c r="K432" s="1"/>
      <c r="L432" s="1"/>
      <c r="M432" s="1"/>
      <c r="N432" s="1"/>
      <c r="O432" s="1"/>
      <c r="P432" s="1"/>
      <c r="Q432" s="1"/>
      <c r="R432" s="1"/>
      <c r="S432" s="1"/>
      <c r="T432" s="1"/>
      <c r="U432" s="1"/>
      <c r="V432" s="1"/>
      <c r="W432" s="1"/>
      <c r="X432" s="1"/>
      <c r="Y432" s="1"/>
      <c r="Z432" s="1"/>
    </row>
    <row r="433">
      <c r="A433" s="1" t="str">
        <f>IFERROR(__xludf.DUMMYFUNCTION("""COMPUTED_VALUE"""),"Soul Sword of The Endless Realm")</f>
        <v>Soul Sword of The Endless Realm</v>
      </c>
      <c r="B433" s="1"/>
      <c r="C433" s="1" t="str">
        <f>IFERROR(__xludf.DUMMYFUNCTION("""COMPUTED_VALUE"""),"Sword")</f>
        <v>Sword</v>
      </c>
      <c r="D433" s="1" t="str">
        <f>IFERROR(__xludf.DUMMYFUNCTION("""COMPUTED_VALUE"""),"Hand")</f>
        <v>Hand</v>
      </c>
      <c r="E433" s="1">
        <f>IFERROR(__xludf.DUMMYFUNCTION("""COMPUTED_VALUE"""),200.0)</f>
        <v>200</v>
      </c>
      <c r="F433" s="1" t="str">
        <f>IFERROR(__xludf.DUMMYFUNCTION("""COMPUTED_VALUE"""),"DMG: +150000, Dark DMG: +150000, Celestial DMG: +150000 ++While equipped if you have other soul related items equipped this sword will deal X8 additional damage, ++SP Steal: Gain SP back equal to the damage caused with this weapon. +-Cannot be duplicated.")</f>
        <v>DMG: +150000, Dark DMG: +150000, Celestial DMG: +150000 ++While equipped if you have other soul related items equipped this sword will deal X8 additional damage, ++SP Steal: Gain SP back equal to the damage caused with this weapon. +-Cannot be duplicated.</v>
      </c>
      <c r="G433" s="1">
        <f>IFERROR(__xludf.DUMMYFUNCTION("""COMPUTED_VALUE"""),4.0455E9)</f>
        <v>4045500000</v>
      </c>
      <c r="H433" s="1"/>
      <c r="I433" s="1"/>
      <c r="J433" s="1"/>
      <c r="K433" s="1"/>
      <c r="L433" s="1"/>
      <c r="M433" s="1"/>
      <c r="N433" s="1"/>
      <c r="O433" s="1"/>
      <c r="P433" s="1"/>
      <c r="Q433" s="1"/>
      <c r="R433" s="1"/>
      <c r="S433" s="1"/>
      <c r="T433" s="1"/>
      <c r="U433" s="1"/>
      <c r="V433" s="1"/>
      <c r="W433" s="1"/>
      <c r="X433" s="1"/>
      <c r="Y433" s="1"/>
      <c r="Z433" s="1"/>
    </row>
    <row r="434">
      <c r="A434" s="1" t="str">
        <f>IFERROR(__xludf.DUMMYFUNCTION("""COMPUTED_VALUE"""),"Rat King's Crown")</f>
        <v>Rat King's Crown</v>
      </c>
      <c r="B434" s="1"/>
      <c r="C434" s="1"/>
      <c r="D434" s="1" t="str">
        <f>IFERROR(__xludf.DUMMYFUNCTION("""COMPUTED_VALUE"""),"Head")</f>
        <v>Head</v>
      </c>
      <c r="E434" s="1">
        <f>IFERROR(__xludf.DUMMYFUNCTION("""COMPUTED_VALUE"""),1000.0)</f>
        <v>1000</v>
      </c>
      <c r="F434" s="1" t="str">
        <f>IFERROR(__xludf.DUMMYFUNCTION("""COMPUTED_VALUE"""),"DEF: +50000 ++If you or a party member dies this crown will summon a d2 of Lava Rats, Level determined by DM/GM, This effect can only be applied once per battle. +-Cannot be duplicated.")</f>
        <v>DEF: +50000 ++If you or a party member dies this crown will summon a d2 of Lava Rats, Level determined by DM/GM, This effect can only be applied once per battle. +-Cannot be duplicated.</v>
      </c>
      <c r="G434" s="1">
        <f>IFERROR(__xludf.DUMMYFUNCTION("""COMPUTED_VALUE"""),4.95E7)</f>
        <v>49500000</v>
      </c>
      <c r="H434" s="1"/>
      <c r="I434" s="1"/>
      <c r="J434" s="1"/>
      <c r="K434" s="1"/>
      <c r="L434" s="1"/>
      <c r="M434" s="1"/>
      <c r="N434" s="1"/>
      <c r="O434" s="1"/>
      <c r="P434" s="1"/>
      <c r="Q434" s="1"/>
      <c r="R434" s="1"/>
      <c r="S434" s="1"/>
      <c r="T434" s="1"/>
      <c r="U434" s="1"/>
      <c r="V434" s="1"/>
      <c r="W434" s="1"/>
      <c r="X434" s="1"/>
      <c r="Y434" s="1"/>
      <c r="Z434" s="1"/>
    </row>
    <row r="435">
      <c r="A435" s="1" t="str">
        <f>IFERROR(__xludf.DUMMYFUNCTION("""COMPUTED_VALUE"""),"Vermouth's Crown of Tides")</f>
        <v>Vermouth's Crown of Tides</v>
      </c>
      <c r="B435" s="1" t="str">
        <f>IFERROR(__xludf.DUMMYFUNCTION("""COMPUTED_VALUE"""),"A magical artifact that grants control over water and weather, allowing the wearer to manipulate aquatic elements.")</f>
        <v>A magical artifact that grants control over water and weather, allowing the wearer to manipulate aquatic elements.</v>
      </c>
      <c r="C435" s="1"/>
      <c r="D435" s="1" t="str">
        <f>IFERROR(__xludf.DUMMYFUNCTION("""COMPUTED_VALUE"""),"Head")</f>
        <v>Head</v>
      </c>
      <c r="E435" s="1">
        <f>IFERROR(__xludf.DUMMYFUNCTION("""COMPUTED_VALUE"""),700.0)</f>
        <v>700</v>
      </c>
      <c r="F435" s="1" t="str">
        <f>IFERROR(__xludf.DUMMYFUNCTION("""COMPUTED_VALUE"""),"DEF: +25000, Water DEF: +10000 ++Immunity to Water damage. ++X2 Additional Water damage for the user.")</f>
        <v>DEF: +25000, Water DEF: +10000 ++Immunity to Water damage. ++X2 Additional Water damage for the user.</v>
      </c>
      <c r="G435" s="1">
        <f>IFERROR(__xludf.DUMMYFUNCTION("""COMPUTED_VALUE"""),2.415E7)</f>
        <v>24150000</v>
      </c>
      <c r="H435" s="1"/>
      <c r="I435" s="1"/>
      <c r="J435" s="1"/>
      <c r="K435" s="1"/>
      <c r="L435" s="1"/>
      <c r="M435" s="1"/>
      <c r="N435" s="1"/>
      <c r="O435" s="1"/>
      <c r="P435" s="1"/>
      <c r="Q435" s="1"/>
      <c r="R435" s="1"/>
      <c r="S435" s="1"/>
      <c r="T435" s="1"/>
      <c r="U435" s="1"/>
      <c r="V435" s="1"/>
      <c r="W435" s="1"/>
      <c r="X435" s="1"/>
      <c r="Y435" s="1"/>
      <c r="Z435" s="1"/>
    </row>
    <row r="436">
      <c r="A436" s="1" t="str">
        <f>IFERROR(__xludf.DUMMYFUNCTION("""COMPUTED_VALUE"""),"ChronoMech Enigma")</f>
        <v>ChronoMech Enigma</v>
      </c>
      <c r="B436" s="1" t="str">
        <f>IFERROR(__xludf.DUMMYFUNCTION("""COMPUTED_VALUE"""),"A clockwork device that grants unique abilities.")</f>
        <v>A clockwork device that grants unique abilities.</v>
      </c>
      <c r="C436" s="1"/>
      <c r="D436" s="1" t="str">
        <f>IFERROR(__xludf.DUMMYFUNCTION("""COMPUTED_VALUE"""),"Hand")</f>
        <v>Hand</v>
      </c>
      <c r="E436" s="1">
        <f>IFERROR(__xludf.DUMMYFUNCTION("""COMPUTED_VALUE"""),200.0)</f>
        <v>200</v>
      </c>
      <c r="F436" s="1" t="str">
        <f>IFERROR(__xludf.DUMMYFUNCTION("""COMPUTED_VALUE"""),"DEF: +10000 ++Allows you to change the time of day to day or night. Can only be used once per journey while traveling. ++Fail/Succeed. +-Cannot be duplicated.")</f>
        <v>DEF: +10000 ++Allows you to change the time of day to day or night. Can only be used once per journey while traveling. ++Fail/Succeed. +-Cannot be duplicated.</v>
      </c>
      <c r="G436" s="1">
        <f>IFERROR(__xludf.DUMMYFUNCTION("""COMPUTED_VALUE"""),1900000.0)</f>
        <v>1900000</v>
      </c>
      <c r="H436" s="1"/>
      <c r="I436" s="1"/>
      <c r="J436" s="1"/>
      <c r="K436" s="1"/>
      <c r="L436" s="1"/>
      <c r="M436" s="1"/>
      <c r="N436" s="1"/>
      <c r="O436" s="1"/>
      <c r="P436" s="1"/>
      <c r="Q436" s="1"/>
      <c r="R436" s="1"/>
      <c r="S436" s="1"/>
      <c r="T436" s="1"/>
      <c r="U436" s="1"/>
      <c r="V436" s="1"/>
      <c r="W436" s="1"/>
      <c r="X436" s="1"/>
      <c r="Y436" s="1"/>
      <c r="Z436" s="1"/>
    </row>
    <row r="437">
      <c r="A437" s="1" t="str">
        <f>IFERROR(__xludf.DUMMYFUNCTION("""COMPUTED_VALUE"""),"Royal Sword of The Halloween Kingdom")</f>
        <v>Royal Sword of The Halloween Kingdom</v>
      </c>
      <c r="B437" s="1" t="str">
        <f>IFERROR(__xludf.DUMMYFUNCTION("""COMPUTED_VALUE"""),"Halloween Exclusive")</f>
        <v>Halloween Exclusive</v>
      </c>
      <c r="C437" s="1" t="str">
        <f>IFERROR(__xludf.DUMMYFUNCTION("""COMPUTED_VALUE"""),"Sword")</f>
        <v>Sword</v>
      </c>
      <c r="D437" s="1" t="str">
        <f>IFERROR(__xludf.DUMMYFUNCTION("""COMPUTED_VALUE"""),"Hand")</f>
        <v>Hand</v>
      </c>
      <c r="E437" s="1">
        <f>IFERROR(__xludf.DUMMYFUNCTION("""COMPUTED_VALUE"""),200.0)</f>
        <v>200</v>
      </c>
      <c r="F437" s="1" t="str">
        <f>IFERROR(__xludf.DUMMYFUNCTION("""COMPUTED_VALUE"""),"DMG: +50000, Fire DMG: +20000, Dark DMG: +20000, Spirit DMG: +20000, Chaos DMG: +20000, Stasis DMG: +20000, Twilight DMG: +20000, Voodoo DMG: +20000, Blood DMG: +20000, Celestial DMG: +20000 ++Hallows Guidance: +5 can be added to your d20 rolls, ++Royal S"&amp;"hadows of the Halloween Kingdom: 25% chance to cast conceal for no sp cost after successfully attacking an enemy with this weapon. +-Cannot be forged +-Cannot be duplicated")</f>
        <v>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forged +-Cannot be duplicated</v>
      </c>
      <c r="G437" s="1">
        <f>IFERROR(__xludf.DUMMYFUNCTION("""COMPUTED_VALUE"""),1.0557E9)</f>
        <v>1055700000</v>
      </c>
      <c r="H437" s="1"/>
      <c r="I437" s="1"/>
      <c r="J437" s="1"/>
      <c r="K437" s="1"/>
      <c r="L437" s="1"/>
      <c r="M437" s="1"/>
      <c r="N437" s="1"/>
      <c r="O437" s="1"/>
      <c r="P437" s="1"/>
      <c r="Q437" s="1"/>
      <c r="R437" s="1"/>
      <c r="S437" s="1"/>
      <c r="T437" s="1"/>
      <c r="U437" s="1"/>
      <c r="V437" s="1"/>
      <c r="W437" s="1"/>
      <c r="X437" s="1"/>
      <c r="Y437" s="1"/>
      <c r="Z437" s="1"/>
    </row>
    <row r="438">
      <c r="A438" s="1" t="str">
        <f>IFERROR(__xludf.DUMMYFUNCTION("""COMPUTED_VALUE"""),"Royal Shield of The Halloween Kingdom")</f>
        <v>Royal Shield of The Halloween Kingdom</v>
      </c>
      <c r="B438" s="1" t="str">
        <f>IFERROR(__xludf.DUMMYFUNCTION("""COMPUTED_VALUE"""),"Halloween Exclusive")</f>
        <v>Halloween Exclusive</v>
      </c>
      <c r="C438" s="1" t="str">
        <f>IFERROR(__xludf.DUMMYFUNCTION("""COMPUTED_VALUE"""),"Towershield")</f>
        <v>Towershield</v>
      </c>
      <c r="D438" s="1" t="str">
        <f>IFERROR(__xludf.DUMMYFUNCTION("""COMPUTED_VALUE"""),"Hand")</f>
        <v>Hand</v>
      </c>
      <c r="E438" s="1">
        <f>IFERROR(__xludf.DUMMYFUNCTION("""COMPUTED_VALUE"""),200.0)</f>
        <v>200</v>
      </c>
      <c r="F438" s="1" t="str">
        <f>IFERROR(__xludf.DUMMYFUNCTION("""COMPUTED_VALUE"""),"DEF: +50000, Fire DEF: +20000, Dark DEF: +20000, Spirit DEF: +20000, Chaos DEF: +20000, Stasis DEF: +20000, Twilight DEF: +20000, Voodoo DEF: +20000, Blood DEF: +20000, Celestial DEF: +20000 ++Royal Ward of The Halloween Kingdom: 25% chance to be unaffect"&amp;"ed by a weapon attack. ++Pumpkin Thorns: 25% chance to inflict half the damage dealt to you back to the enemy. +-Cannot be forged +-Cannot be duplicated")</f>
        <v>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forged +-Cannot be duplicated</v>
      </c>
      <c r="G438" s="1">
        <f>IFERROR(__xludf.DUMMYFUNCTION("""COMPUTED_VALUE"""),1.0557E9)</f>
        <v>1055700000</v>
      </c>
      <c r="H438" s="1"/>
      <c r="I438" s="1"/>
      <c r="J438" s="1"/>
      <c r="K438" s="1"/>
      <c r="L438" s="1"/>
      <c r="M438" s="1"/>
      <c r="N438" s="1"/>
      <c r="O438" s="1"/>
      <c r="P438" s="1"/>
      <c r="Q438" s="1"/>
      <c r="R438" s="1"/>
      <c r="S438" s="1"/>
      <c r="T438" s="1"/>
      <c r="U438" s="1"/>
      <c r="V438" s="1"/>
      <c r="W438" s="1"/>
      <c r="X438" s="1"/>
      <c r="Y438" s="1"/>
      <c r="Z438" s="1"/>
    </row>
    <row r="439">
      <c r="A439" s="1" t="str">
        <f>IFERROR(__xludf.DUMMYFUNCTION("""COMPUTED_VALUE"""),"Sacred Flaming Pearl")</f>
        <v>Sacred Flaming Pearl</v>
      </c>
      <c r="B439" s="1" t="str">
        <f>IFERROR(__xludf.DUMMYFUNCTION("""COMPUTED_VALUE"""),"Quest item.")</f>
        <v>Quest item.</v>
      </c>
      <c r="C439" s="1"/>
      <c r="D439" s="1" t="str">
        <f>IFERROR(__xludf.DUMMYFUNCTION("""COMPUTED_VALUE"""),"Hand")</f>
        <v>Hand</v>
      </c>
      <c r="E439" s="1">
        <f>IFERROR(__xludf.DUMMYFUNCTION("""COMPUTED_VALUE"""),1.0)</f>
        <v>1</v>
      </c>
      <c r="F439" s="1" t="str">
        <f>IFERROR(__xludf.DUMMYFUNCTION("""COMPUTED_VALUE""")," ++X4 additional fire damage for the user. +-Cannot be duplicated.")</f>
        <v> ++X4 additional fire damage for the user. +-Cannot be duplicated.</v>
      </c>
      <c r="G439" s="1">
        <f>IFERROR(__xludf.DUMMYFUNCTION("""COMPUTED_VALUE"""),0.0)</f>
        <v>0</v>
      </c>
      <c r="H439" s="1"/>
      <c r="I439" s="1"/>
      <c r="J439" s="1"/>
      <c r="K439" s="1"/>
      <c r="L439" s="1"/>
      <c r="M439" s="1"/>
      <c r="N439" s="1"/>
      <c r="O439" s="1"/>
      <c r="P439" s="1"/>
      <c r="Q439" s="1"/>
      <c r="R439" s="1"/>
      <c r="S439" s="1"/>
      <c r="T439" s="1"/>
      <c r="U439" s="1"/>
      <c r="V439" s="1"/>
      <c r="W439" s="1"/>
      <c r="X439" s="1"/>
      <c r="Y439" s="1"/>
      <c r="Z439" s="1"/>
    </row>
    <row r="440">
      <c r="A440" s="1" t="str">
        <f>IFERROR(__xludf.DUMMYFUNCTION("""COMPUTED_VALUE"""),"DragonScale Royal Helm")</f>
        <v>DragonScale Royal Helm</v>
      </c>
      <c r="B440" s="1"/>
      <c r="C440" s="1"/>
      <c r="D440" s="1" t="str">
        <f>IFERROR(__xludf.DUMMYFUNCTION("""COMPUTED_VALUE"""),"Head")</f>
        <v>Head</v>
      </c>
      <c r="E440" s="1">
        <f>IFERROR(__xludf.DUMMYFUNCTION("""COMPUTED_VALUE"""),200.0)</f>
        <v>200</v>
      </c>
      <c r="F440" s="1" t="str">
        <f>IFERROR(__xludf.DUMMYFUNCTION("""COMPUTED_VALUE"""),"DEF: +40000, Dark DEF: +10000, Chaos DEF: +10000, Celestial DEF: +10000 ++X2 Defense for the Wearer. ++Light Embodiment - When Equipped deal X2 Order and Light DMG ")</f>
        <v>DEF: +40000, Dark DEF: +10000, Chaos DEF: +10000, Celestial DEF: +10000 ++X2 Defense for the Wearer. ++Light Embodiment - When Equipped deal X2 Order and Light DMG </v>
      </c>
      <c r="G440" s="1">
        <f>IFERROR(__xludf.DUMMYFUNCTION("""COMPUTED_VALUE"""),9.73E7)</f>
        <v>97300000</v>
      </c>
      <c r="H440" s="1"/>
      <c r="I440" s="1"/>
      <c r="J440" s="1"/>
      <c r="K440" s="1"/>
      <c r="L440" s="1"/>
      <c r="M440" s="1"/>
      <c r="N440" s="1"/>
      <c r="O440" s="1"/>
      <c r="P440" s="1"/>
      <c r="Q440" s="1"/>
      <c r="R440" s="1"/>
      <c r="S440" s="1"/>
      <c r="T440" s="1"/>
      <c r="U440" s="1"/>
      <c r="V440" s="1"/>
      <c r="W440" s="1"/>
      <c r="X440" s="1"/>
      <c r="Y440" s="1"/>
      <c r="Z440" s="1"/>
    </row>
    <row r="441">
      <c r="A441" s="1" t="str">
        <f>IFERROR(__xludf.DUMMYFUNCTION("""COMPUTED_VALUE"""),"DragonScale Royal Chestplate")</f>
        <v>DragonScale Royal Chestplate</v>
      </c>
      <c r="B441" s="1"/>
      <c r="C441" s="1"/>
      <c r="D441" s="1" t="str">
        <f>IFERROR(__xludf.DUMMYFUNCTION("""COMPUTED_VALUE"""),"Torso")</f>
        <v>Torso</v>
      </c>
      <c r="E441" s="1">
        <f>IFERROR(__xludf.DUMMYFUNCTION("""COMPUTED_VALUE"""),200.0)</f>
        <v>200</v>
      </c>
      <c r="F441" s="1" t="str">
        <f>IFERROR(__xludf.DUMMYFUNCTION("""COMPUTED_VALUE"""),"DEF: +20000, Water DEF: +5000, Dark DEF: +10000, Chaos DEF: +10000, Celestial DEF: +10000 ++X4 Defense for the Wearer. ++Light Embodiment II - When Equipped deal X4 Order and Light DMG ")</f>
        <v>DEF: +20000, Water DEF: +5000, Dark DEF: +10000, Chaos DEF: +10000, Celestial DEF: +10000 ++X4 Defense for the Wearer. ++Light Embodiment II - When Equipped deal X4 Order and Light DMG </v>
      </c>
      <c r="G441" s="1">
        <f>IFERROR(__xludf.DUMMYFUNCTION("""COMPUTED_VALUE"""),5.995E7)</f>
        <v>59950000</v>
      </c>
      <c r="H441" s="1"/>
      <c r="I441" s="1"/>
      <c r="J441" s="1"/>
      <c r="K441" s="1"/>
      <c r="L441" s="1"/>
      <c r="M441" s="1"/>
      <c r="N441" s="1"/>
      <c r="O441" s="1"/>
      <c r="P441" s="1"/>
      <c r="Q441" s="1"/>
      <c r="R441" s="1"/>
      <c r="S441" s="1"/>
      <c r="T441" s="1"/>
      <c r="U441" s="1"/>
      <c r="V441" s="1"/>
      <c r="W441" s="1"/>
      <c r="X441" s="1"/>
      <c r="Y441" s="1"/>
      <c r="Z441" s="1"/>
    </row>
    <row r="442">
      <c r="A442" s="1" t="str">
        <f>IFERROR(__xludf.DUMMYFUNCTION("""COMPUTED_VALUE"""),"DragonScale Royal Vambraces")</f>
        <v>DragonScale Royal Vambraces</v>
      </c>
      <c r="B442" s="1"/>
      <c r="C442" s="1"/>
      <c r="D442" s="1" t="str">
        <f>IFERROR(__xludf.DUMMYFUNCTION("""COMPUTED_VALUE"""),"Arms")</f>
        <v>Arms</v>
      </c>
      <c r="E442" s="1">
        <f>IFERROR(__xludf.DUMMYFUNCTION("""COMPUTED_VALUE"""),200.0)</f>
        <v>200</v>
      </c>
      <c r="F442" s="1" t="str">
        <f>IFERROR(__xludf.DUMMYFUNCTION("""COMPUTED_VALUE"""),"DEF: +10000, Dark DEF: +10000, Chaos DEF: +10000, Celestial DEF: +10000 ++X2 Defense for the Wearer. ++Light Embodiment - When Equipped deal X2 Order and Light DMG ")</f>
        <v>DEF: +10000, Dark DEF: +10000, Chaos DEF: +10000, Celestial DEF: +10000 ++X2 Defense for the Wearer. ++Light Embodiment - When Equipped deal X2 Order and Light DMG </v>
      </c>
      <c r="G442" s="1">
        <f>IFERROR(__xludf.DUMMYFUNCTION("""COMPUTED_VALUE"""),3.16E7)</f>
        <v>31600000</v>
      </c>
      <c r="H442" s="1"/>
      <c r="I442" s="1"/>
      <c r="J442" s="1"/>
      <c r="K442" s="1"/>
      <c r="L442" s="1"/>
      <c r="M442" s="1"/>
      <c r="N442" s="1"/>
      <c r="O442" s="1"/>
      <c r="P442" s="1"/>
      <c r="Q442" s="1"/>
      <c r="R442" s="1"/>
      <c r="S442" s="1"/>
      <c r="T442" s="1"/>
      <c r="U442" s="1"/>
      <c r="V442" s="1"/>
      <c r="W442" s="1"/>
      <c r="X442" s="1"/>
      <c r="Y442" s="1"/>
      <c r="Z442" s="1"/>
    </row>
    <row r="443">
      <c r="A443" s="1" t="str">
        <f>IFERROR(__xludf.DUMMYFUNCTION("""COMPUTED_VALUE"""),"DragonScale Royal Greaves")</f>
        <v>DragonScale Royal Greaves</v>
      </c>
      <c r="B443" s="1"/>
      <c r="C443" s="1"/>
      <c r="D443" s="1" t="str">
        <f>IFERROR(__xludf.DUMMYFUNCTION("""COMPUTED_VALUE"""),"Legs")</f>
        <v>Legs</v>
      </c>
      <c r="E443" s="1">
        <f>IFERROR(__xludf.DUMMYFUNCTION("""COMPUTED_VALUE"""),200.0)</f>
        <v>200</v>
      </c>
      <c r="F443" s="1" t="str">
        <f>IFERROR(__xludf.DUMMYFUNCTION("""COMPUTED_VALUE"""),"DEF: +10000, Dark DEF: +10000, Chaos DEF: +10000, Celestial DEF: +10000 ++X2 Defense for the Wearer. ++Light Embodiment - When Equipped deal X2 Order and Light DMG ")</f>
        <v>DEF: +10000, Dark DEF: +10000, Chaos DEF: +10000, Celestial DEF: +10000 ++X2 Defense for the Wearer. ++Light Embodiment - When Equipped deal X2 Order and Light DMG </v>
      </c>
      <c r="G443" s="1">
        <f>IFERROR(__xludf.DUMMYFUNCTION("""COMPUTED_VALUE"""),3.16E7)</f>
        <v>31600000</v>
      </c>
      <c r="H443" s="1"/>
      <c r="I443" s="1"/>
      <c r="J443" s="1"/>
      <c r="K443" s="1"/>
      <c r="L443" s="1"/>
      <c r="M443" s="1"/>
      <c r="N443" s="1"/>
      <c r="O443" s="1"/>
      <c r="P443" s="1"/>
      <c r="Q443" s="1"/>
      <c r="R443" s="1"/>
      <c r="S443" s="1"/>
      <c r="T443" s="1"/>
      <c r="U443" s="1"/>
      <c r="V443" s="1"/>
      <c r="W443" s="1"/>
      <c r="X443" s="1"/>
      <c r="Y443" s="1"/>
      <c r="Z443" s="1"/>
    </row>
    <row r="444">
      <c r="A444" s="1" t="str">
        <f>IFERROR(__xludf.DUMMYFUNCTION("""COMPUTED_VALUE"""),"DragonScale Royal Shield")</f>
        <v>DragonScale Royal Shield</v>
      </c>
      <c r="B444" s="1"/>
      <c r="C444" s="1" t="str">
        <f>IFERROR(__xludf.DUMMYFUNCTION("""COMPUTED_VALUE"""),"Towershield")</f>
        <v>Towershield</v>
      </c>
      <c r="D444" s="1" t="str">
        <f>IFERROR(__xludf.DUMMYFUNCTION("""COMPUTED_VALUE"""),"Hand")</f>
        <v>Hand</v>
      </c>
      <c r="E444" s="1">
        <f>IFERROR(__xludf.DUMMYFUNCTION("""COMPUTED_VALUE"""),200.0)</f>
        <v>200</v>
      </c>
      <c r="F444" s="1" t="str">
        <f>IFERROR(__xludf.DUMMYFUNCTION("""COMPUTED_VALUE"""),"DEF: +55000, Dark DEF: +20000, Chaos DEF: +20000, Celestial DEF: +10000 ++X2 Defense for the Wearer. ++Light Embodiment - When Equipped deal X2 Order and Light DMG ")</f>
        <v>DEF: +55000, Dark DEF: +20000, Chaos DEF: +20000, Celestial DEF: +10000 ++X2 Defense for the Wearer. ++Light Embodiment - When Equipped deal X2 Order and Light DMG </v>
      </c>
      <c r="G444" s="1">
        <f>IFERROR(__xludf.DUMMYFUNCTION("""COMPUTED_VALUE"""),2.1945E8)</f>
        <v>219450000</v>
      </c>
      <c r="H444" s="1"/>
      <c r="I444" s="1"/>
      <c r="J444" s="1"/>
      <c r="K444" s="1"/>
      <c r="L444" s="1"/>
      <c r="M444" s="1"/>
      <c r="N444" s="1"/>
      <c r="O444" s="1"/>
      <c r="P444" s="1"/>
      <c r="Q444" s="1"/>
      <c r="R444" s="1"/>
      <c r="S444" s="1"/>
      <c r="T444" s="1"/>
      <c r="U444" s="1"/>
      <c r="V444" s="1"/>
      <c r="W444" s="1"/>
      <c r="X444" s="1"/>
      <c r="Y444" s="1"/>
      <c r="Z444" s="1"/>
    </row>
    <row r="445">
      <c r="A445" s="1" t="str">
        <f>IFERROR(__xludf.DUMMYFUNCTION("""COMPUTED_VALUE"""),"DragonScale Royal Boots")</f>
        <v>DragonScale Royal Boots</v>
      </c>
      <c r="B445" s="1"/>
      <c r="C445" s="1"/>
      <c r="D445" s="1" t="str">
        <f>IFERROR(__xludf.DUMMYFUNCTION("""COMPUTED_VALUE"""),"Feet")</f>
        <v>Feet</v>
      </c>
      <c r="E445" s="1">
        <f>IFERROR(__xludf.DUMMYFUNCTION("""COMPUTED_VALUE"""),200.0)</f>
        <v>200</v>
      </c>
      <c r="F445" s="1" t="str">
        <f>IFERROR(__xludf.DUMMYFUNCTION("""COMPUTED_VALUE"""),"DEF: +22000, Dark DEF: +10000, Chaos DEF: +10000, Celestial DEF: +10000 ++X2 Defense for the Wearer. ++Light Embodiment - When Equipped deal X2 Order and Light DMG ")</f>
        <v>DEF: +22000, Dark DEF: +10000, Chaos DEF: +10000, Celestial DEF: +10000 ++X2 Defense for the Wearer. ++Light Embodiment - When Equipped deal X2 Order and Light DMG </v>
      </c>
      <c r="G445" s="1">
        <f>IFERROR(__xludf.DUMMYFUNCTION("""COMPUTED_VALUE"""),5.356E7)</f>
        <v>53560000</v>
      </c>
      <c r="H445" s="1"/>
      <c r="I445" s="1"/>
      <c r="J445" s="1"/>
      <c r="K445" s="1"/>
      <c r="L445" s="1"/>
      <c r="M445" s="1"/>
      <c r="N445" s="1"/>
      <c r="O445" s="1"/>
      <c r="P445" s="1"/>
      <c r="Q445" s="1"/>
      <c r="R445" s="1"/>
      <c r="S445" s="1"/>
      <c r="T445" s="1"/>
      <c r="U445" s="1"/>
      <c r="V445" s="1"/>
      <c r="W445" s="1"/>
      <c r="X445" s="1"/>
      <c r="Y445" s="1"/>
      <c r="Z445" s="1"/>
    </row>
    <row r="446">
      <c r="A446" s="1" t="str">
        <f>IFERROR(__xludf.DUMMYFUNCTION("""COMPUTED_VALUE"""),"DragonScale Royal Pauldrons")</f>
        <v>DragonScale Royal Pauldrons</v>
      </c>
      <c r="B446" s="1"/>
      <c r="C446" s="1"/>
      <c r="D446" s="1" t="str">
        <f>IFERROR(__xludf.DUMMYFUNCTION("""COMPUTED_VALUE"""),"Shoulders")</f>
        <v>Shoulders</v>
      </c>
      <c r="E446" s="1">
        <f>IFERROR(__xludf.DUMMYFUNCTION("""COMPUTED_VALUE"""),200.0)</f>
        <v>200</v>
      </c>
      <c r="F446" s="1" t="str">
        <f>IFERROR(__xludf.DUMMYFUNCTION("""COMPUTED_VALUE"""),"DEF: +20000, Dark DEF: +10000, Chaos DEF: +10000, Celestial DEF: +10000 ++X2 Defense for the Wearer. ++Light Embodiment - When Equipped deal X2 Order and Light DMG ")</f>
        <v>DEF: +20000, Dark DEF: +10000, Chaos DEF: +10000, Celestial DEF: +10000 ++X2 Defense for the Wearer. ++Light Embodiment - When Equipped deal X2 Order and Light DMG </v>
      </c>
      <c r="G446" s="1">
        <f>IFERROR(__xludf.DUMMYFUNCTION("""COMPUTED_VALUE"""),4.95E7)</f>
        <v>49500000</v>
      </c>
      <c r="H446" s="1"/>
      <c r="I446" s="1"/>
      <c r="J446" s="1"/>
      <c r="K446" s="1"/>
      <c r="L446" s="1"/>
      <c r="M446" s="1"/>
      <c r="N446" s="1"/>
      <c r="O446" s="1"/>
      <c r="P446" s="1"/>
      <c r="Q446" s="1"/>
      <c r="R446" s="1"/>
      <c r="S446" s="1"/>
      <c r="T446" s="1"/>
      <c r="U446" s="1"/>
      <c r="V446" s="1"/>
      <c r="W446" s="1"/>
      <c r="X446" s="1"/>
      <c r="Y446" s="1"/>
      <c r="Z446" s="1"/>
    </row>
    <row r="447">
      <c r="A447" s="1" t="str">
        <f>IFERROR(__xludf.DUMMYFUNCTION("""COMPUTED_VALUE"""),"BLADE! OF! JUSTICE!!!!")</f>
        <v>BLADE! OF! JUSTICE!!!!</v>
      </c>
      <c r="B447" s="1"/>
      <c r="C447" s="1" t="str">
        <f>IFERROR(__xludf.DUMMYFUNCTION("""COMPUTED_VALUE"""),"Sword")</f>
        <v>Sword</v>
      </c>
      <c r="D447" s="1" t="str">
        <f>IFERROR(__xludf.DUMMYFUNCTION("""COMPUTED_VALUE"""),"Hand")</f>
        <v>Hand</v>
      </c>
      <c r="E447" s="1">
        <f>IFERROR(__xludf.DUMMYFUNCTION("""COMPUTED_VALUE"""),200.0)</f>
        <v>200</v>
      </c>
      <c r="F447" s="1" t="str">
        <f>IFERROR(__xludf.DUMMYFUNCTION("""COMPUTED_VALUE"""),"DMG: +100000, Light DMG: +10000, Order DMG: +10000, Celestial DMG: +10000 ++This Weapon will deal X4 damage while equipped against Criminals. ++Light Embodiment II - When Equipped deal X4 Order and Light DMG ")</f>
        <v>DMG: +100000, Light DMG: +10000, Order DMG: +10000, Celestial DMG: +10000 ++This Weapon will deal X4 damage while equipped against Criminals. ++Light Embodiment II - When Equipped deal X4 Order and Light DMG </v>
      </c>
      <c r="G447" s="1">
        <f>IFERROR(__xludf.DUMMYFUNCTION("""COMPUTED_VALUE"""),3.367E8)</f>
        <v>336700000</v>
      </c>
      <c r="H447" s="1"/>
      <c r="I447" s="1"/>
      <c r="J447" s="1"/>
      <c r="K447" s="1"/>
      <c r="L447" s="1"/>
      <c r="M447" s="1"/>
      <c r="N447" s="1"/>
      <c r="O447" s="1"/>
      <c r="P447" s="1"/>
      <c r="Q447" s="1"/>
      <c r="R447" s="1"/>
      <c r="S447" s="1"/>
      <c r="T447" s="1"/>
      <c r="U447" s="1"/>
      <c r="V447" s="1"/>
      <c r="W447" s="1"/>
      <c r="X447" s="1"/>
      <c r="Y447" s="1"/>
      <c r="Z447" s="1"/>
    </row>
    <row r="448">
      <c r="A448" s="1" t="str">
        <f>IFERROR(__xludf.DUMMYFUNCTION("""COMPUTED_VALUE"""),"Abstara Royal Helm")</f>
        <v>Abstara Royal Helm</v>
      </c>
      <c r="B448" s="1"/>
      <c r="C448" s="1"/>
      <c r="D448" s="1" t="str">
        <f>IFERROR(__xludf.DUMMYFUNCTION("""COMPUTED_VALUE"""),"Head")</f>
        <v>Head</v>
      </c>
      <c r="E448" s="1">
        <f>IFERROR(__xludf.DUMMYFUNCTION("""COMPUTED_VALUE"""),200.0)</f>
        <v>200</v>
      </c>
      <c r="F448"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48" s="1">
        <f>IFERROR(__xludf.DUMMYFUNCTION("""COMPUTED_VALUE"""),1.99E8)</f>
        <v>199000000</v>
      </c>
      <c r="H448" s="1"/>
      <c r="I448" s="1"/>
      <c r="J448" s="1"/>
      <c r="K448" s="1"/>
      <c r="L448" s="1"/>
      <c r="M448" s="1"/>
      <c r="N448" s="1"/>
      <c r="O448" s="1"/>
      <c r="P448" s="1"/>
      <c r="Q448" s="1"/>
      <c r="R448" s="1"/>
      <c r="S448" s="1"/>
      <c r="T448" s="1"/>
      <c r="U448" s="1"/>
      <c r="V448" s="1"/>
      <c r="W448" s="1"/>
      <c r="X448" s="1"/>
      <c r="Y448" s="1"/>
      <c r="Z448" s="1"/>
    </row>
    <row r="449">
      <c r="A449" s="1" t="str">
        <f>IFERROR(__xludf.DUMMYFUNCTION("""COMPUTED_VALUE"""),"Abstara Royal Chestplate")</f>
        <v>Abstara Royal Chestplate</v>
      </c>
      <c r="B449" s="1"/>
      <c r="C449" s="1"/>
      <c r="D449" s="1" t="str">
        <f>IFERROR(__xludf.DUMMYFUNCTION("""COMPUTED_VALUE"""),"Torso")</f>
        <v>Torso</v>
      </c>
      <c r="E449" s="1">
        <f>IFERROR(__xludf.DUMMYFUNCTION("""COMPUTED_VALUE"""),200.0)</f>
        <v>200</v>
      </c>
      <c r="F449"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49" s="1">
        <f>IFERROR(__xludf.DUMMYFUNCTION("""COMPUTED_VALUE"""),1.99E8)</f>
        <v>199000000</v>
      </c>
      <c r="H449" s="1"/>
      <c r="I449" s="1"/>
      <c r="J449" s="1"/>
      <c r="K449" s="1"/>
      <c r="L449" s="1"/>
      <c r="M449" s="1"/>
      <c r="N449" s="1"/>
      <c r="O449" s="1"/>
      <c r="P449" s="1"/>
      <c r="Q449" s="1"/>
      <c r="R449" s="1"/>
      <c r="S449" s="1"/>
      <c r="T449" s="1"/>
      <c r="U449" s="1"/>
      <c r="V449" s="1"/>
      <c r="W449" s="1"/>
      <c r="X449" s="1"/>
      <c r="Y449" s="1"/>
      <c r="Z449" s="1"/>
    </row>
    <row r="450">
      <c r="A450" s="1" t="str">
        <f>IFERROR(__xludf.DUMMYFUNCTION("""COMPUTED_VALUE"""),"Abstara Royal Vambraces")</f>
        <v>Abstara Royal Vambraces</v>
      </c>
      <c r="B450" s="1"/>
      <c r="C450" s="1"/>
      <c r="D450" s="1" t="str">
        <f>IFERROR(__xludf.DUMMYFUNCTION("""COMPUTED_VALUE"""),"Arms")</f>
        <v>Arms</v>
      </c>
      <c r="E450" s="1">
        <f>IFERROR(__xludf.DUMMYFUNCTION("""COMPUTED_VALUE"""),200.0)</f>
        <v>200</v>
      </c>
      <c r="F450"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0" s="1">
        <f>IFERROR(__xludf.DUMMYFUNCTION("""COMPUTED_VALUE"""),1.99E8)</f>
        <v>199000000</v>
      </c>
      <c r="H450" s="1"/>
      <c r="I450" s="1"/>
      <c r="J450" s="1"/>
      <c r="K450" s="1"/>
      <c r="L450" s="1"/>
      <c r="M450" s="1"/>
      <c r="N450" s="1"/>
      <c r="O450" s="1"/>
      <c r="P450" s="1"/>
      <c r="Q450" s="1"/>
      <c r="R450" s="1"/>
      <c r="S450" s="1"/>
      <c r="T450" s="1"/>
      <c r="U450" s="1"/>
      <c r="V450" s="1"/>
      <c r="W450" s="1"/>
      <c r="X450" s="1"/>
      <c r="Y450" s="1"/>
      <c r="Z450" s="1"/>
    </row>
    <row r="451">
      <c r="A451" s="1" t="str">
        <f>IFERROR(__xludf.DUMMYFUNCTION("""COMPUTED_VALUE"""),"Abstara Royal Greaves")</f>
        <v>Abstara Royal Greaves</v>
      </c>
      <c r="B451" s="1"/>
      <c r="C451" s="1"/>
      <c r="D451" s="1" t="str">
        <f>IFERROR(__xludf.DUMMYFUNCTION("""COMPUTED_VALUE"""),"Legs")</f>
        <v>Legs</v>
      </c>
      <c r="E451" s="1">
        <f>IFERROR(__xludf.DUMMYFUNCTION("""COMPUTED_VALUE"""),200.0)</f>
        <v>200</v>
      </c>
      <c r="F451"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1" s="1">
        <f>IFERROR(__xludf.DUMMYFUNCTION("""COMPUTED_VALUE"""),1.99E8)</f>
        <v>199000000</v>
      </c>
      <c r="H451" s="1"/>
      <c r="I451" s="1"/>
      <c r="J451" s="1"/>
      <c r="K451" s="1"/>
      <c r="L451" s="1"/>
      <c r="M451" s="1"/>
      <c r="N451" s="1"/>
      <c r="O451" s="1"/>
      <c r="P451" s="1"/>
      <c r="Q451" s="1"/>
      <c r="R451" s="1"/>
      <c r="S451" s="1"/>
      <c r="T451" s="1"/>
      <c r="U451" s="1"/>
      <c r="V451" s="1"/>
      <c r="W451" s="1"/>
      <c r="X451" s="1"/>
      <c r="Y451" s="1"/>
      <c r="Z451" s="1"/>
    </row>
    <row r="452">
      <c r="A452" s="1" t="str">
        <f>IFERROR(__xludf.DUMMYFUNCTION("""COMPUTED_VALUE"""),"Abstara Royal Shield")</f>
        <v>Abstara Royal Shield</v>
      </c>
      <c r="B452" s="1"/>
      <c r="C452" s="1" t="str">
        <f>IFERROR(__xludf.DUMMYFUNCTION("""COMPUTED_VALUE"""),"Towershield")</f>
        <v>Towershield</v>
      </c>
      <c r="D452" s="1" t="str">
        <f>IFERROR(__xludf.DUMMYFUNCTION("""COMPUTED_VALUE"""),"Hand")</f>
        <v>Hand</v>
      </c>
      <c r="E452" s="1">
        <f>IFERROR(__xludf.DUMMYFUNCTION("""COMPUTED_VALUE"""),200.0)</f>
        <v>200</v>
      </c>
      <c r="F452"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2" s="1">
        <f>IFERROR(__xludf.DUMMYFUNCTION("""COMPUTED_VALUE"""),1.99E8)</f>
        <v>199000000</v>
      </c>
      <c r="H452" s="1"/>
      <c r="I452" s="1"/>
      <c r="J452" s="1"/>
      <c r="K452" s="1"/>
      <c r="L452" s="1"/>
      <c r="M452" s="1"/>
      <c r="N452" s="1"/>
      <c r="O452" s="1"/>
      <c r="P452" s="1"/>
      <c r="Q452" s="1"/>
      <c r="R452" s="1"/>
      <c r="S452" s="1"/>
      <c r="T452" s="1"/>
      <c r="U452" s="1"/>
      <c r="V452" s="1"/>
      <c r="W452" s="1"/>
      <c r="X452" s="1"/>
      <c r="Y452" s="1"/>
      <c r="Z452" s="1"/>
    </row>
    <row r="453">
      <c r="A453" s="1" t="str">
        <f>IFERROR(__xludf.DUMMYFUNCTION("""COMPUTED_VALUE"""),"Abstara Royal Boots")</f>
        <v>Abstara Royal Boots</v>
      </c>
      <c r="B453" s="1"/>
      <c r="C453" s="1"/>
      <c r="D453" s="1" t="str">
        <f>IFERROR(__xludf.DUMMYFUNCTION("""COMPUTED_VALUE"""),"Feet")</f>
        <v>Feet</v>
      </c>
      <c r="E453" s="1">
        <f>IFERROR(__xludf.DUMMYFUNCTION("""COMPUTED_VALUE"""),200.0)</f>
        <v>200</v>
      </c>
      <c r="F453"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3" s="1">
        <f>IFERROR(__xludf.DUMMYFUNCTION("""COMPUTED_VALUE"""),1.99E8)</f>
        <v>199000000</v>
      </c>
      <c r="H453" s="1"/>
      <c r="I453" s="1"/>
      <c r="J453" s="1"/>
      <c r="K453" s="1"/>
      <c r="L453" s="1"/>
      <c r="M453" s="1"/>
      <c r="N453" s="1"/>
      <c r="O453" s="1"/>
      <c r="P453" s="1"/>
      <c r="Q453" s="1"/>
      <c r="R453" s="1"/>
      <c r="S453" s="1"/>
      <c r="T453" s="1"/>
      <c r="U453" s="1"/>
      <c r="V453" s="1"/>
      <c r="W453" s="1"/>
      <c r="X453" s="1"/>
      <c r="Y453" s="1"/>
      <c r="Z453" s="1"/>
    </row>
    <row r="454">
      <c r="A454" s="1" t="str">
        <f>IFERROR(__xludf.DUMMYFUNCTION("""COMPUTED_VALUE"""),"Abstara Royal Pauldrons")</f>
        <v>Abstara Royal Pauldrons</v>
      </c>
      <c r="B454" s="1"/>
      <c r="C454" s="1"/>
      <c r="D454" s="1" t="str">
        <f>IFERROR(__xludf.DUMMYFUNCTION("""COMPUTED_VALUE"""),"Shoulders")</f>
        <v>Shoulders</v>
      </c>
      <c r="E454" s="1">
        <f>IFERROR(__xludf.DUMMYFUNCTION("""COMPUTED_VALUE"""),200.0)</f>
        <v>200</v>
      </c>
      <c r="F454" s="1"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4" s="1">
        <f>IFERROR(__xludf.DUMMYFUNCTION("""COMPUTED_VALUE"""),1.99E8)</f>
        <v>199000000</v>
      </c>
      <c r="H454" s="1"/>
      <c r="I454" s="1"/>
      <c r="J454" s="1"/>
      <c r="K454" s="1"/>
      <c r="L454" s="1"/>
      <c r="M454" s="1"/>
      <c r="N454" s="1"/>
      <c r="O454" s="1"/>
      <c r="P454" s="1"/>
      <c r="Q454" s="1"/>
      <c r="R454" s="1"/>
      <c r="S454" s="1"/>
      <c r="T454" s="1"/>
      <c r="U454" s="1"/>
      <c r="V454" s="1"/>
      <c r="W454" s="1"/>
      <c r="X454" s="1"/>
      <c r="Y454" s="1"/>
      <c r="Z454" s="1"/>
    </row>
    <row r="455">
      <c r="A455" s="1" t="str">
        <f>IFERROR(__xludf.DUMMYFUNCTION("""COMPUTED_VALUE"""),"Feathered Hat of Roguish ""Justice""")</f>
        <v>Feathered Hat of Roguish "Justice"</v>
      </c>
      <c r="B455" s="1" t="str">
        <f>IFERROR(__xludf.DUMMYFUNCTION("""COMPUTED_VALUE"""),"Quest Item")</f>
        <v>Quest Item</v>
      </c>
      <c r="C455" s="1"/>
      <c r="D455" s="1" t="str">
        <f>IFERROR(__xludf.DUMMYFUNCTION("""COMPUTED_VALUE"""),"Head")</f>
        <v>Head</v>
      </c>
      <c r="E455" s="1">
        <f>IFERROR(__xludf.DUMMYFUNCTION("""COMPUTED_VALUE"""),200.0)</f>
        <v>200</v>
      </c>
      <c r="F455" s="1"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5" s="1">
        <f>IFERROR(__xludf.DUMMYFUNCTION("""COMPUTED_VALUE"""),3.16E7)</f>
        <v>31600000</v>
      </c>
      <c r="H455" s="1"/>
      <c r="I455" s="1"/>
      <c r="J455" s="1"/>
      <c r="K455" s="1"/>
      <c r="L455" s="1"/>
      <c r="M455" s="1"/>
      <c r="N455" s="1"/>
      <c r="O455" s="1"/>
      <c r="P455" s="1"/>
      <c r="Q455" s="1"/>
      <c r="R455" s="1"/>
      <c r="S455" s="1"/>
      <c r="T455" s="1"/>
      <c r="U455" s="1"/>
      <c r="V455" s="1"/>
      <c r="W455" s="1"/>
      <c r="X455" s="1"/>
      <c r="Y455" s="1"/>
      <c r="Z455" s="1"/>
    </row>
    <row r="456">
      <c r="A456" s="1" t="str">
        <f>IFERROR(__xludf.DUMMYFUNCTION("""COMPUTED_VALUE"""),"Cape of Misdeed")</f>
        <v>Cape of Misdeed</v>
      </c>
      <c r="B456" s="1" t="str">
        <f>IFERROR(__xludf.DUMMYFUNCTION("""COMPUTED_VALUE"""),"Quest Item")</f>
        <v>Quest Item</v>
      </c>
      <c r="C456" s="1"/>
      <c r="D456" s="1" t="str">
        <f>IFERROR(__xludf.DUMMYFUNCTION("""COMPUTED_VALUE"""),"Shoulders")</f>
        <v>Shoulders</v>
      </c>
      <c r="E456" s="1">
        <f>IFERROR(__xludf.DUMMYFUNCTION("""COMPUTED_VALUE"""),200.0)</f>
        <v>200</v>
      </c>
      <c r="F456" s="1" t="str">
        <f>IFERROR(__xludf.DUMMYFUNCTION("""COMPUTED_VALUE"""),"DEF: +1000, Light DEF: +10000, Order DEF: +10000, Celestial DEF: +1000 (Roguish Guise Set) ++X2 Money Stolen Via the Sword of Bad Luck. +1 Evasion When Fighting Guards. +-Cannot be duplicated +-Pirate/Marauder Only")</f>
        <v>DEF: +1000, Light DEF: +10000, Order DEF: +10000, Celestial DEF: +1000 (Roguish Guise Set) ++X2 Money Stolen Via the Sword of Bad Luck. +1 Evasion When Fighting Guards. +-Cannot be duplicated +-Pirate/Marauder Only</v>
      </c>
      <c r="G456" s="1">
        <f>IFERROR(__xludf.DUMMYFUNCTION("""COMPUTED_VALUE"""),9460000.0)</f>
        <v>9460000</v>
      </c>
      <c r="H456" s="1"/>
      <c r="I456" s="1"/>
      <c r="J456" s="1"/>
      <c r="K456" s="1"/>
      <c r="L456" s="1"/>
      <c r="M456" s="1"/>
      <c r="N456" s="1"/>
      <c r="O456" s="1"/>
      <c r="P456" s="1"/>
      <c r="Q456" s="1"/>
      <c r="R456" s="1"/>
      <c r="S456" s="1"/>
      <c r="T456" s="1"/>
      <c r="U456" s="1"/>
      <c r="V456" s="1"/>
      <c r="W456" s="1"/>
      <c r="X456" s="1"/>
      <c r="Y456" s="1"/>
      <c r="Z456" s="1"/>
    </row>
    <row r="457">
      <c r="A457" s="1" t="str">
        <f>IFERROR(__xludf.DUMMYFUNCTION("""COMPUTED_VALUE"""),"Doublet of Debauchery")</f>
        <v>Doublet of Debauchery</v>
      </c>
      <c r="B457" s="1" t="str">
        <f>IFERROR(__xludf.DUMMYFUNCTION("""COMPUTED_VALUE"""),"Quest Item")</f>
        <v>Quest Item</v>
      </c>
      <c r="C457" s="1"/>
      <c r="D457" s="1" t="str">
        <f>IFERROR(__xludf.DUMMYFUNCTION("""COMPUTED_VALUE"""),"Torso")</f>
        <v>Torso</v>
      </c>
      <c r="E457" s="1">
        <f>IFERROR(__xludf.DUMMYFUNCTION("""COMPUTED_VALUE"""),200.0)</f>
        <v>200</v>
      </c>
      <c r="F457" s="1" t="str">
        <f>IFERROR(__xludf.DUMMYFUNCTION("""COMPUTED_VALUE"""),"DEF: +20000, Light DEF: +20000, Order DEF: +20000, Celestial DEF: +10000 (Roguish Guise Set) ++X2 Money Stolen Via the Sword of Bad Luck. +1 Evasion When Fighting Guards. +-Cannot be duplicated +-Pirate/Marauder Only")</f>
        <v>DEF: +20000, Light DEF: +20000, Order DEF: +20000, Celestial DEF: +10000 (Roguish Guise Set) ++X2 Money Stolen Via the Sword of Bad Luck. +1 Evasion When Fighting Guards. +-Cannot be duplicated +-Pirate/Marauder Only</v>
      </c>
      <c r="G457" s="1">
        <f>IFERROR(__xludf.DUMMYFUNCTION("""COMPUTED_VALUE"""),9.73E7)</f>
        <v>97300000</v>
      </c>
      <c r="H457" s="1"/>
      <c r="I457" s="1"/>
      <c r="J457" s="1"/>
      <c r="K457" s="1"/>
      <c r="L457" s="1"/>
      <c r="M457" s="1"/>
      <c r="N457" s="1"/>
      <c r="O457" s="1"/>
      <c r="P457" s="1"/>
      <c r="Q457" s="1"/>
      <c r="R457" s="1"/>
      <c r="S457" s="1"/>
      <c r="T457" s="1"/>
      <c r="U457" s="1"/>
      <c r="V457" s="1"/>
      <c r="W457" s="1"/>
      <c r="X457" s="1"/>
      <c r="Y457" s="1"/>
      <c r="Z457" s="1"/>
    </row>
    <row r="458">
      <c r="A458" s="1" t="str">
        <f>IFERROR(__xludf.DUMMYFUNCTION("""COMPUTED_VALUE"""),"Leather Boots of Softstep")</f>
        <v>Leather Boots of Softstep</v>
      </c>
      <c r="B458" s="1" t="str">
        <f>IFERROR(__xludf.DUMMYFUNCTION("""COMPUTED_VALUE"""),"Quest Item")</f>
        <v>Quest Item</v>
      </c>
      <c r="C458" s="1"/>
      <c r="D458" s="1" t="str">
        <f>IFERROR(__xludf.DUMMYFUNCTION("""COMPUTED_VALUE"""),"Feet")</f>
        <v>Feet</v>
      </c>
      <c r="E458" s="1">
        <f>IFERROR(__xludf.DUMMYFUNCTION("""COMPUTED_VALUE"""),200.0)</f>
        <v>200</v>
      </c>
      <c r="F458" s="1"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8" s="1">
        <f>IFERROR(__xludf.DUMMYFUNCTION("""COMPUTED_VALUE"""),3.16E7)</f>
        <v>31600000</v>
      </c>
      <c r="H458" s="1"/>
      <c r="I458" s="1"/>
      <c r="J458" s="1"/>
      <c r="K458" s="1"/>
      <c r="L458" s="1"/>
      <c r="M458" s="1"/>
      <c r="N458" s="1"/>
      <c r="O458" s="1"/>
      <c r="P458" s="1"/>
      <c r="Q458" s="1"/>
      <c r="R458" s="1"/>
      <c r="S458" s="1"/>
      <c r="T458" s="1"/>
      <c r="U458" s="1"/>
      <c r="V458" s="1"/>
      <c r="W458" s="1"/>
      <c r="X458" s="1"/>
      <c r="Y458" s="1"/>
      <c r="Z458" s="1"/>
    </row>
    <row r="459">
      <c r="A459" s="1" t="str">
        <f>IFERROR(__xludf.DUMMYFUNCTION("""COMPUTED_VALUE"""),"Tights of Fabulous Thievery")</f>
        <v>Tights of Fabulous Thievery</v>
      </c>
      <c r="B459" s="1" t="str">
        <f>IFERROR(__xludf.DUMMYFUNCTION("""COMPUTED_VALUE"""),"Quest Item")</f>
        <v>Quest Item</v>
      </c>
      <c r="C459" s="1"/>
      <c r="D459" s="1" t="str">
        <f>IFERROR(__xludf.DUMMYFUNCTION("""COMPUTED_VALUE"""),"Legs")</f>
        <v>Legs</v>
      </c>
      <c r="E459" s="1">
        <f>IFERROR(__xludf.DUMMYFUNCTION("""COMPUTED_VALUE"""),200.0)</f>
        <v>200</v>
      </c>
      <c r="F459" s="1"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9" s="1">
        <f>IFERROR(__xludf.DUMMYFUNCTION("""COMPUTED_VALUE"""),3.16E7)</f>
        <v>31600000</v>
      </c>
      <c r="H459" s="1"/>
      <c r="I459" s="1"/>
      <c r="J459" s="1"/>
      <c r="K459" s="1"/>
      <c r="L459" s="1"/>
      <c r="M459" s="1"/>
      <c r="N459" s="1"/>
      <c r="O459" s="1"/>
      <c r="P459" s="1"/>
      <c r="Q459" s="1"/>
      <c r="R459" s="1"/>
      <c r="S459" s="1"/>
      <c r="T459" s="1"/>
      <c r="U459" s="1"/>
      <c r="V459" s="1"/>
      <c r="W459" s="1"/>
      <c r="X459" s="1"/>
      <c r="Y459" s="1"/>
      <c r="Z459" s="1"/>
    </row>
    <row r="460">
      <c r="A460" s="1" t="str">
        <f>IFERROR(__xludf.DUMMYFUNCTION("""COMPUTED_VALUE"""),"Fingerless Glove of Anonymity")</f>
        <v>Fingerless Glove of Anonymity</v>
      </c>
      <c r="B460" s="1" t="str">
        <f>IFERROR(__xludf.DUMMYFUNCTION("""COMPUTED_VALUE"""),"Quest Item")</f>
        <v>Quest Item</v>
      </c>
      <c r="C460" s="1" t="str">
        <f>IFERROR(__xludf.DUMMYFUNCTION("""COMPUTED_VALUE"""),"Claw")</f>
        <v>Claw</v>
      </c>
      <c r="D460" s="1" t="str">
        <f>IFERROR(__xludf.DUMMYFUNCTION("""COMPUTED_VALUE"""),"Hand")</f>
        <v>Hand</v>
      </c>
      <c r="E460" s="1">
        <f>IFERROR(__xludf.DUMMYFUNCTION("""COMPUTED_VALUE"""),200.0)</f>
        <v>200</v>
      </c>
      <c r="F460" s="1" t="str">
        <f>IFERROR(__xludf.DUMMYFUNCTION("""COMPUTED_VALUE"""),"DMG: +10000, Light DMG: +10000, Order DMG: +10000, Celestial DMG: +10000 (Roguish Guise Set) ++X2 Money Stolen Via the Sword of Bad Luck. +1 Evasion When Fighting Guards. ++5% Chance to not gain a bounty when committing a crime (Cannot be Increased) ++20%"&amp;" chance to remove enemy from battle +-Cannot be duplicated +-Pirate/Marauder Only")</f>
        <v>DMG: +10000, Light DMG: +10000, Order DMG: +10000, Celestial DMG: +10000 (Roguish Guise Set) ++X2 Money Stolen Via the Sword of Bad Luck. +1 Evasion When Fighting Guards. ++5% Chance to not gain a bounty when committing a crime (Cannot be Increased) ++20% chance to remove enemy from battle +-Cannot be duplicated +-Pirate/Marauder Only</v>
      </c>
      <c r="G460" s="1">
        <f>IFERROR(__xludf.DUMMYFUNCTION("""COMPUTED_VALUE"""),3.16E7)</f>
        <v>31600000</v>
      </c>
      <c r="H460" s="1"/>
      <c r="I460" s="1"/>
      <c r="J460" s="1"/>
      <c r="K460" s="1"/>
      <c r="L460" s="1"/>
      <c r="M460" s="1"/>
      <c r="N460" s="1"/>
      <c r="O460" s="1"/>
      <c r="P460" s="1"/>
      <c r="Q460" s="1"/>
      <c r="R460" s="1"/>
      <c r="S460" s="1"/>
      <c r="T460" s="1"/>
      <c r="U460" s="1"/>
      <c r="V460" s="1"/>
      <c r="W460" s="1"/>
      <c r="X460" s="1"/>
      <c r="Y460" s="1"/>
      <c r="Z460" s="1"/>
    </row>
    <row r="461">
      <c r="A461" s="1" t="str">
        <f>IFERROR(__xludf.DUMMYFUNCTION("""COMPUTED_VALUE"""),"Bracers of Dastardly Deflection")</f>
        <v>Bracers of Dastardly Deflection</v>
      </c>
      <c r="B461" s="1" t="str">
        <f>IFERROR(__xludf.DUMMYFUNCTION("""COMPUTED_VALUE"""),"Quest Item")</f>
        <v>Quest Item</v>
      </c>
      <c r="C461" s="1"/>
      <c r="D461" s="1" t="str">
        <f>IFERROR(__xludf.DUMMYFUNCTION("""COMPUTED_VALUE"""),"Arms")</f>
        <v>Arms</v>
      </c>
      <c r="E461" s="1">
        <f>IFERROR(__xludf.DUMMYFUNCTION("""COMPUTED_VALUE"""),200.0)</f>
        <v>200</v>
      </c>
      <c r="F461" s="1"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61" s="1">
        <f>IFERROR(__xludf.DUMMYFUNCTION("""COMPUTED_VALUE"""),3.16E7)</f>
        <v>31600000</v>
      </c>
      <c r="H461" s="1"/>
      <c r="I461" s="1"/>
      <c r="J461" s="1"/>
      <c r="K461" s="1"/>
      <c r="L461" s="1"/>
      <c r="M461" s="1"/>
      <c r="N461" s="1"/>
      <c r="O461" s="1"/>
      <c r="P461" s="1"/>
      <c r="Q461" s="1"/>
      <c r="R461" s="1"/>
      <c r="S461" s="1"/>
      <c r="T461" s="1"/>
      <c r="U461" s="1"/>
      <c r="V461" s="1"/>
      <c r="W461" s="1"/>
      <c r="X461" s="1"/>
      <c r="Y461" s="1"/>
      <c r="Z461" s="1"/>
    </row>
    <row r="462">
      <c r="A462" s="1" t="str">
        <f>IFERROR(__xludf.DUMMYFUNCTION("""COMPUTED_VALUE"""),"Amulet of the Goddess of Theft")</f>
        <v>Amulet of the Goddess of Theft</v>
      </c>
      <c r="B462" s="1" t="str">
        <f>IFERROR(__xludf.DUMMYFUNCTION("""COMPUTED_VALUE"""),"Quest Item")</f>
        <v>Quest Item</v>
      </c>
      <c r="C462" s="1"/>
      <c r="D462" s="1" t="str">
        <f>IFERROR(__xludf.DUMMYFUNCTION("""COMPUTED_VALUE"""),"Neck")</f>
        <v>Neck</v>
      </c>
      <c r="E462" s="1">
        <f>IFERROR(__xludf.DUMMYFUNCTION("""COMPUTED_VALUE"""),1.0)</f>
        <v>1</v>
      </c>
      <c r="F462" s="1" t="str">
        <f>IFERROR(__xludf.DUMMYFUNCTION("""COMPUTED_VALUE""")," (Roguish Guise Set) ++X2 Money Stolen Via the Sword of Bad Luck. +5 Evasion +-Cannot be forged +-Cannot be duplicated +-Pirate/Marauder Only")</f>
        <v> (Roguish Guise Set) ++X2 Money Stolen Via the Sword of Bad Luck. +5 Evasion +-Cannot be forged +-Cannot be duplicated +-Pirate/Marauder Only</v>
      </c>
      <c r="G462" s="1">
        <f>IFERROR(__xludf.DUMMYFUNCTION("""COMPUTED_VALUE"""),0.0)</f>
        <v>0</v>
      </c>
      <c r="H462" s="1"/>
      <c r="I462" s="1"/>
      <c r="J462" s="1"/>
      <c r="K462" s="1"/>
      <c r="L462" s="1"/>
      <c r="M462" s="1"/>
      <c r="N462" s="1"/>
      <c r="O462" s="1"/>
      <c r="P462" s="1"/>
      <c r="Q462" s="1"/>
      <c r="R462" s="1"/>
      <c r="S462" s="1"/>
      <c r="T462" s="1"/>
      <c r="U462" s="1"/>
      <c r="V462" s="1"/>
      <c r="W462" s="1"/>
      <c r="X462" s="1"/>
      <c r="Y462" s="1"/>
      <c r="Z462" s="1"/>
    </row>
    <row r="463">
      <c r="A463" s="1" t="str">
        <f>IFERROR(__xludf.DUMMYFUNCTION("""COMPUTED_VALUE"""),"Flute of The Majestic Forest")</f>
        <v>Flute of The Majestic Forest</v>
      </c>
      <c r="B463" s="1"/>
      <c r="C463" s="1" t="str">
        <f>IFERROR(__xludf.DUMMYFUNCTION("""COMPUTED_VALUE"""),"Instrument")</f>
        <v>Instrument</v>
      </c>
      <c r="D463" s="1" t="str">
        <f>IFERROR(__xludf.DUMMYFUNCTION("""COMPUTED_VALUE"""),"Hand")</f>
        <v>Hand</v>
      </c>
      <c r="E463" s="1">
        <f>IFERROR(__xludf.DUMMYFUNCTION("""COMPUTED_VALUE"""),300.0)</f>
        <v>300</v>
      </c>
      <c r="F463" s="1" t="str">
        <f>IFERROR(__xludf.DUMMYFUNCTION("""COMPUTED_VALUE"""),"DMG: +5000, Nature DMG: +5000, Acoustic DMG: +5000 ++X2 Additional Nature damage while equipped. ++Song of The Forest - Summons a nature mob determined by the DM/GM to assist you in battle. +-Cannot be duplicated. +-Only Bards can equip.")</f>
        <v>DMG: +5000, Nature DMG: +5000, Acoustic DMG: +5000 ++X2 Additional Nature damage while equipped. ++Song of The Forest - Summons a nature mob determined by the DM/GM to assist you in battle. +-Cannot be duplicated. +-Only Bards can equip.</v>
      </c>
      <c r="G463" s="1">
        <f>IFERROR(__xludf.DUMMYFUNCTION("""COMPUTED_VALUE"""),4350000.0)</f>
        <v>4350000</v>
      </c>
      <c r="H463" s="1"/>
      <c r="I463" s="1"/>
      <c r="J463" s="1"/>
      <c r="K463" s="1"/>
      <c r="L463" s="1"/>
      <c r="M463" s="1"/>
      <c r="N463" s="1"/>
      <c r="O463" s="1"/>
      <c r="P463" s="1"/>
      <c r="Q463" s="1"/>
      <c r="R463" s="1"/>
      <c r="S463" s="1"/>
      <c r="T463" s="1"/>
      <c r="U463" s="1"/>
      <c r="V463" s="1"/>
      <c r="W463" s="1"/>
      <c r="X463" s="1"/>
      <c r="Y463" s="1"/>
      <c r="Z463" s="1"/>
    </row>
    <row r="464">
      <c r="A464" s="1" t="str">
        <f>IFERROR(__xludf.DUMMYFUNCTION("""COMPUTED_VALUE"""),"Heatmore Tribal Drums")</f>
        <v>Heatmore Tribal Drums</v>
      </c>
      <c r="B464" s="1"/>
      <c r="C464" s="1" t="str">
        <f>IFERROR(__xludf.DUMMYFUNCTION("""COMPUTED_VALUE"""),"Instrument")</f>
        <v>Instrument</v>
      </c>
      <c r="D464" s="1" t="str">
        <f>IFERROR(__xludf.DUMMYFUNCTION("""COMPUTED_VALUE"""),"Hand")</f>
        <v>Hand</v>
      </c>
      <c r="E464" s="1">
        <f>IFERROR(__xludf.DUMMYFUNCTION("""COMPUTED_VALUE"""),600.0)</f>
        <v>600</v>
      </c>
      <c r="F464" s="1" t="str">
        <f>IFERROR(__xludf.DUMMYFUNCTION("""COMPUTED_VALUE"""),"DMG: +10000, Fire DMG: +10000, Acoustic DMG: +10000 ++X2 Additional Fire damage while equipped. ++Tribal Chant 25% chance to call Master Sawoogo to aid you in battle. +-Cannot be duplicated. +-Only Bards can equip.")</f>
        <v>DMG: +10000, Fire DMG: +10000, Acoustic DMG: +10000 ++X2 Additional Fire damage while equipped. ++Tribal Chant 25% chance to call Master Sawoogo to aid you in battle. +-Cannot be duplicated. +-Only Bards can equip.</v>
      </c>
      <c r="G464" s="1">
        <f>IFERROR(__xludf.DUMMYFUNCTION("""COMPUTED_VALUE"""),1.77E7)</f>
        <v>17700000</v>
      </c>
      <c r="H464" s="1"/>
      <c r="I464" s="1"/>
      <c r="J464" s="1"/>
      <c r="K464" s="1"/>
      <c r="L464" s="1"/>
      <c r="M464" s="1"/>
      <c r="N464" s="1"/>
      <c r="O464" s="1"/>
      <c r="P464" s="1"/>
      <c r="Q464" s="1"/>
      <c r="R464" s="1"/>
      <c r="S464" s="1"/>
      <c r="T464" s="1"/>
      <c r="U464" s="1"/>
      <c r="V464" s="1"/>
      <c r="W464" s="1"/>
      <c r="X464" s="1"/>
      <c r="Y464" s="1"/>
      <c r="Z464" s="1"/>
    </row>
    <row r="465">
      <c r="A465" s="1" t="str">
        <f>IFERROR(__xludf.DUMMYFUNCTION("""COMPUTED_VALUE"""),"Heatmore Tribal Maracas")</f>
        <v>Heatmore Tribal Maracas</v>
      </c>
      <c r="B465" s="1"/>
      <c r="C465" s="1" t="str">
        <f>IFERROR(__xludf.DUMMYFUNCTION("""COMPUTED_VALUE"""),"Instrument")</f>
        <v>Instrument</v>
      </c>
      <c r="D465" s="1" t="str">
        <f>IFERROR(__xludf.DUMMYFUNCTION("""COMPUTED_VALUE"""),"Hand")</f>
        <v>Hand</v>
      </c>
      <c r="E465" s="1">
        <f>IFERROR(__xludf.DUMMYFUNCTION("""COMPUTED_VALUE"""),900.0)</f>
        <v>900</v>
      </c>
      <c r="F465" s="1" t="str">
        <f>IFERROR(__xludf.DUMMYFUNCTION("""COMPUTED_VALUE"""),"DMG: +15000, Fire DMG: +15000, Acoustic DMG: +15000 ++X4 additional Fire and Acoustic damage while equipped. +-Cannot be duplicated. +-Only Bards can equip.")</f>
        <v>DMG: +15000, Fire DMG: +15000, Acoustic DMG: +15000 ++X4 additional Fire and Acoustic damage while equipped. +-Cannot be duplicated. +-Only Bards can equip.</v>
      </c>
      <c r="G465" s="1">
        <f>IFERROR(__xludf.DUMMYFUNCTION("""COMPUTED_VALUE"""),4.005E7)</f>
        <v>40050000</v>
      </c>
      <c r="H465" s="1"/>
      <c r="I465" s="1"/>
      <c r="J465" s="1"/>
      <c r="K465" s="1"/>
      <c r="L465" s="1"/>
      <c r="M465" s="1"/>
      <c r="N465" s="1"/>
      <c r="O465" s="1"/>
      <c r="P465" s="1"/>
      <c r="Q465" s="1"/>
      <c r="R465" s="1"/>
      <c r="S465" s="1"/>
      <c r="T465" s="1"/>
      <c r="U465" s="1"/>
      <c r="V465" s="1"/>
      <c r="W465" s="1"/>
      <c r="X465" s="1"/>
      <c r="Y465" s="1"/>
      <c r="Z465" s="1"/>
    </row>
    <row r="466">
      <c r="A466" s="1" t="str">
        <f>IFERROR(__xludf.DUMMYFUNCTION("""COMPUTED_VALUE"""),"Mask of Creeping Darkness")</f>
        <v>Mask of Creeping Darkness</v>
      </c>
      <c r="B466" s="1" t="str">
        <f>IFERROR(__xludf.DUMMYFUNCTION("""COMPUTED_VALUE"""),"Quest Item")</f>
        <v>Quest Item</v>
      </c>
      <c r="C466" s="1"/>
      <c r="D466" s="1" t="str">
        <f>IFERROR(__xludf.DUMMYFUNCTION("""COMPUTED_VALUE"""),"Head")</f>
        <v>Head</v>
      </c>
      <c r="E466" s="1">
        <f>IFERROR(__xludf.DUMMYFUNCTION("""COMPUTED_VALUE"""),200.0)</f>
        <v>200</v>
      </c>
      <c r="F466" s="1" t="str">
        <f>IFERROR(__xludf.DUMMYFUNCTION("""COMPUTED_VALUE"""),"DEF: +25000, Light DEF: +25000, Order DEF: +25000, Celestial DEF: +20000 ++X2 Damage whilst invulnerable breaking invulnerability upon being used. +-Cannot be Duplicated. +-Ninja Only")</f>
        <v>DEF: +25000, Light DEF: +25000, Order DEF: +25000, Celestial DEF: +20000 ++X2 Damage whilst invulnerable breaking invulnerability upon being used. +-Cannot be Duplicated. +-Ninja Only</v>
      </c>
      <c r="G466" s="1">
        <f>IFERROR(__xludf.DUMMYFUNCTION("""COMPUTED_VALUE"""),1.7955E8)</f>
        <v>179550000</v>
      </c>
      <c r="H466" s="1"/>
      <c r="I466" s="1"/>
      <c r="J466" s="1"/>
      <c r="K466" s="1"/>
      <c r="L466" s="1"/>
      <c r="M466" s="1"/>
      <c r="N466" s="1"/>
      <c r="O466" s="1"/>
      <c r="P466" s="1"/>
      <c r="Q466" s="1"/>
      <c r="R466" s="1"/>
      <c r="S466" s="1"/>
      <c r="T466" s="1"/>
      <c r="U466" s="1"/>
      <c r="V466" s="1"/>
      <c r="W466" s="1"/>
      <c r="X466" s="1"/>
      <c r="Y466" s="1"/>
      <c r="Z466" s="1"/>
    </row>
    <row r="467">
      <c r="A467" s="1" t="str">
        <f>IFERROR(__xludf.DUMMYFUNCTION("""COMPUTED_VALUE"""),"Chest of Evershifting Darkness")</f>
        <v>Chest of Evershifting Darkness</v>
      </c>
      <c r="B467" s="1" t="str">
        <f>IFERROR(__xludf.DUMMYFUNCTION("""COMPUTED_VALUE"""),"Quest Item")</f>
        <v>Quest Item</v>
      </c>
      <c r="C467" s="1"/>
      <c r="D467" s="1" t="str">
        <f>IFERROR(__xludf.DUMMYFUNCTION("""COMPUTED_VALUE"""),"Torso")</f>
        <v>Torso</v>
      </c>
      <c r="E467" s="1">
        <f>IFERROR(__xludf.DUMMYFUNCTION("""COMPUTED_VALUE"""),200.0)</f>
        <v>200</v>
      </c>
      <c r="F467" s="1" t="str">
        <f>IFERROR(__xludf.DUMMYFUNCTION("""COMPUTED_VALUE"""),"DEF: +25000, Light DEF: +25000, Order DEF: +25000, Celestial DEF: +30000 (Shuttering Shadows Set) ++X4 Damage whilst invulnerable breaking invulnerability upon being used. +-Cannot be Duplicated. +-Ninja Only")</f>
        <v>DEF: +25000, Light DEF: +25000, Order DEF: +25000, Celestial DEF: +30000 (Shuttering Shadows Set) ++X4 Damage whilst invulnerable breaking invulnerability upon being used. +-Cannot be Duplicated. +-Ninja Only</v>
      </c>
      <c r="G467" s="1">
        <f>IFERROR(__xludf.DUMMYFUNCTION("""COMPUTED_VALUE"""),2.1945E8)</f>
        <v>219450000</v>
      </c>
      <c r="H467" s="1"/>
      <c r="I467" s="1"/>
      <c r="J467" s="1"/>
      <c r="K467" s="1"/>
      <c r="L467" s="1"/>
      <c r="M467" s="1"/>
      <c r="N467" s="1"/>
      <c r="O467" s="1"/>
      <c r="P467" s="1"/>
      <c r="Q467" s="1"/>
      <c r="R467" s="1"/>
      <c r="S467" s="1"/>
      <c r="T467" s="1"/>
      <c r="U467" s="1"/>
      <c r="V467" s="1"/>
      <c r="W467" s="1"/>
      <c r="X467" s="1"/>
      <c r="Y467" s="1"/>
      <c r="Z467" s="1"/>
    </row>
    <row r="468">
      <c r="A468" s="1" t="str">
        <f>IFERROR(__xludf.DUMMYFUNCTION("""COMPUTED_VALUE"""),"Leather Boots of EDGINESS")</f>
        <v>Leather Boots of EDGINESS</v>
      </c>
      <c r="B468" s="1" t="str">
        <f>IFERROR(__xludf.DUMMYFUNCTION("""COMPUTED_VALUE"""),"Quest Item")</f>
        <v>Quest Item</v>
      </c>
      <c r="C468" s="1"/>
      <c r="D468" s="1" t="str">
        <f>IFERROR(__xludf.DUMMYFUNCTION("""COMPUTED_VALUE"""),"Feet")</f>
        <v>Feet</v>
      </c>
      <c r="E468" s="1">
        <f>IFERROR(__xludf.DUMMYFUNCTION("""COMPUTED_VALUE"""),200.0)</f>
        <v>200</v>
      </c>
      <c r="F468" s="1" t="str">
        <f>IFERROR(__xludf.DUMMYFUNCTION("""COMPUTED_VALUE"""),"DEF: +25000, Light DEF: +25000, Order DEF: +25000, Celestial DEF: +20000 (Shuttering Shadows Set) ++X2 Damage whilst invulnerable breaking invulnerability upon being used. +-Cannot be Duplicated. +-Ninja Only")</f>
        <v>DEF: +25000, Light DEF: +25000, Order DEF: +25000, Celestial DEF: +20000 (Shuttering Shadows Set) ++X2 Damage whilst invulnerable breaking invulnerability upon being used. +-Cannot be Duplicated. +-Ninja Only</v>
      </c>
      <c r="G468" s="1">
        <f>IFERROR(__xludf.DUMMYFUNCTION("""COMPUTED_VALUE"""),1.7955E8)</f>
        <v>179550000</v>
      </c>
      <c r="H468" s="1"/>
      <c r="I468" s="1"/>
      <c r="J468" s="1"/>
      <c r="K468" s="1"/>
      <c r="L468" s="1"/>
      <c r="M468" s="1"/>
      <c r="N468" s="1"/>
      <c r="O468" s="1"/>
      <c r="P468" s="1"/>
      <c r="Q468" s="1"/>
      <c r="R468" s="1"/>
      <c r="S468" s="1"/>
      <c r="T468" s="1"/>
      <c r="U468" s="1"/>
      <c r="V468" s="1"/>
      <c r="W468" s="1"/>
      <c r="X468" s="1"/>
      <c r="Y468" s="1"/>
      <c r="Z468" s="1"/>
    </row>
    <row r="469">
      <c r="A469" s="1" t="str">
        <f>IFERROR(__xludf.DUMMYFUNCTION("""COMPUTED_VALUE"""),"Silken Gloves of Dexterity")</f>
        <v>Silken Gloves of Dexterity</v>
      </c>
      <c r="B469" s="1" t="str">
        <f>IFERROR(__xludf.DUMMYFUNCTION("""COMPUTED_VALUE"""),"Quest Item")</f>
        <v>Quest Item</v>
      </c>
      <c r="C469" s="1"/>
      <c r="D469" s="1" t="str">
        <f>IFERROR(__xludf.DUMMYFUNCTION("""COMPUTED_VALUE"""),"Arms")</f>
        <v>Arms</v>
      </c>
      <c r="E469" s="1">
        <f>IFERROR(__xludf.DUMMYFUNCTION("""COMPUTED_VALUE"""),200.0)</f>
        <v>200</v>
      </c>
      <c r="F469" s="1" t="str">
        <f>IFERROR(__xludf.DUMMYFUNCTION("""COMPUTED_VALUE"""),"DEF: +25000, Light DEF: +25000, Order DEF: +25000, Celestial DEF: +20000 (Shuttering Shadows Set) ++gain +5 to attack rolls whilst invulnerable. ++the Knife attribute is 3X as likely to activate. +-Cannot be forged +-Cannot be duplicated +-Ninja Only")</f>
        <v>DEF: +25000, Light DEF: +25000, Order DEF: +25000, Celestial DEF: +20000 (Shuttering Shadows Set) ++gain +5 to attack rolls whilst invulnerable. ++the Knife attribute is 3X as likely to activate. +-Cannot be forged +-Cannot be duplicated +-Ninja Only</v>
      </c>
      <c r="G469" s="1">
        <f>IFERROR(__xludf.DUMMYFUNCTION("""COMPUTED_VALUE"""),1.7955E8)</f>
        <v>179550000</v>
      </c>
      <c r="H469" s="1"/>
      <c r="I469" s="1"/>
      <c r="J469" s="1"/>
      <c r="K469" s="1"/>
      <c r="L469" s="1"/>
      <c r="M469" s="1"/>
      <c r="N469" s="1"/>
      <c r="O469" s="1"/>
      <c r="P469" s="1"/>
      <c r="Q469" s="1"/>
      <c r="R469" s="1"/>
      <c r="S469" s="1"/>
      <c r="T469" s="1"/>
      <c r="U469" s="1"/>
      <c r="V469" s="1"/>
      <c r="W469" s="1"/>
      <c r="X469" s="1"/>
      <c r="Y469" s="1"/>
      <c r="Z469" s="1"/>
    </row>
    <row r="470">
      <c r="A470" s="1" t="str">
        <f>IFERROR(__xludf.DUMMYFUNCTION("""COMPUTED_VALUE"""),"Leggings of Swift Death")</f>
        <v>Leggings of Swift Death</v>
      </c>
      <c r="B470" s="1" t="str">
        <f>IFERROR(__xludf.DUMMYFUNCTION("""COMPUTED_VALUE"""),"Quest Item")</f>
        <v>Quest Item</v>
      </c>
      <c r="C470" s="1"/>
      <c r="D470" s="1" t="str">
        <f>IFERROR(__xludf.DUMMYFUNCTION("""COMPUTED_VALUE"""),"Legs")</f>
        <v>Legs</v>
      </c>
      <c r="E470" s="1">
        <f>IFERROR(__xludf.DUMMYFUNCTION("""COMPUTED_VALUE"""),200.0)</f>
        <v>200</v>
      </c>
      <c r="F470" s="1" t="str">
        <f>IFERROR(__xludf.DUMMYFUNCTION("""COMPUTED_VALUE"""),"DEF: +25000, Light DEF: +25000, Order DEF: +25000, Celestial DEF: +20000 (Shuttering Shadows Set) ++X2 Damage whilst invulnerable breaking invulnerability upon being used, +-Cannot be Duplicated, +-Ninja Only")</f>
        <v>DEF: +25000, Light DEF: +25000, Order DEF: +25000, Celestial DEF: +20000 (Shuttering Shadows Set) ++X2 Damage whilst invulnerable breaking invulnerability upon being used, +-Cannot be Duplicated, +-Ninja Only</v>
      </c>
      <c r="G470" s="1">
        <f>IFERROR(__xludf.DUMMYFUNCTION("""COMPUTED_VALUE"""),1.7955E8)</f>
        <v>179550000</v>
      </c>
      <c r="H470" s="1"/>
      <c r="I470" s="1"/>
      <c r="J470" s="1"/>
      <c r="K470" s="1"/>
      <c r="L470" s="1"/>
      <c r="M470" s="1"/>
      <c r="N470" s="1"/>
      <c r="O470" s="1"/>
      <c r="P470" s="1"/>
      <c r="Q470" s="1"/>
      <c r="R470" s="1"/>
      <c r="S470" s="1"/>
      <c r="T470" s="1"/>
      <c r="U470" s="1"/>
      <c r="V470" s="1"/>
      <c r="W470" s="1"/>
      <c r="X470" s="1"/>
      <c r="Y470" s="1"/>
      <c r="Z470" s="1"/>
    </row>
    <row r="471">
      <c r="A471" s="1" t="str">
        <f>IFERROR(__xludf.DUMMYFUNCTION("""COMPUTED_VALUE"""),"Cape of Illusion")</f>
        <v>Cape of Illusion</v>
      </c>
      <c r="B471" s="1" t="str">
        <f>IFERROR(__xludf.DUMMYFUNCTION("""COMPUTED_VALUE"""),"Quest Item")</f>
        <v>Quest Item</v>
      </c>
      <c r="C471" s="1"/>
      <c r="D471" s="1" t="str">
        <f>IFERROR(__xludf.DUMMYFUNCTION("""COMPUTED_VALUE"""),"Shoulders")</f>
        <v>Shoulders</v>
      </c>
      <c r="E471" s="1">
        <f>IFERROR(__xludf.DUMMYFUNCTION("""COMPUTED_VALUE"""),200.0)</f>
        <v>200</v>
      </c>
      <c r="F471" s="1" t="str">
        <f>IFERROR(__xludf.DUMMYFUNCTION("""COMPUTED_VALUE"""),"DEF: +25000, Light DEF: +25000, Order DEF: +25000, Celestial DEF: +20000 (Shuttering Shadows Set) ++X2 Damage whilst invulnerable breaking invulnerability upon being used, 50% chance to become unaffected by an Instant death effect. ++Conceal: upon enterin"&amp;"g combat you are invulnerable for 1 round or until you attack +-Cannot be forged +-Cannot be duplicated +-Ninja Only")</f>
        <v>DEF: +25000, Light DEF: +25000, Order DEF: +25000, Celestial DEF: +20000 (Shuttering Shadows Set) ++X2 Damage whilst invulnerable breaking invulnerability upon being used, 50% chance to become unaffected by an Instant death effect. ++Conceal: upon entering combat you are invulnerable for 1 round or until you attack +-Cannot be forged +-Cannot be duplicated +-Ninja Only</v>
      </c>
      <c r="G471" s="1">
        <f>IFERROR(__xludf.DUMMYFUNCTION("""COMPUTED_VALUE"""),1.7955E8)</f>
        <v>179550000</v>
      </c>
      <c r="H471" s="1"/>
      <c r="I471" s="1"/>
      <c r="J471" s="1"/>
      <c r="K471" s="1"/>
      <c r="L471" s="1"/>
      <c r="M471" s="1"/>
      <c r="N471" s="1"/>
      <c r="O471" s="1"/>
      <c r="P471" s="1"/>
      <c r="Q471" s="1"/>
      <c r="R471" s="1"/>
      <c r="S471" s="1"/>
      <c r="T471" s="1"/>
      <c r="U471" s="1"/>
      <c r="V471" s="1"/>
      <c r="W471" s="1"/>
      <c r="X471" s="1"/>
      <c r="Y471" s="1"/>
      <c r="Z471" s="1"/>
    </row>
    <row r="472">
      <c r="A472" s="1" t="str">
        <f>IFERROR(__xludf.DUMMYFUNCTION("""COMPUTED_VALUE"""),"Assassin's Kiss")</f>
        <v>Assassin's Kiss</v>
      </c>
      <c r="B472" s="1" t="str">
        <f>IFERROR(__xludf.DUMMYFUNCTION("""COMPUTED_VALUE"""),"Quest Item")</f>
        <v>Quest Item</v>
      </c>
      <c r="C472" s="1" t="str">
        <f>IFERROR(__xludf.DUMMYFUNCTION("""COMPUTED_VALUE"""),"Knife")</f>
        <v>Knife</v>
      </c>
      <c r="D472" s="1" t="str">
        <f>IFERROR(__xludf.DUMMYFUNCTION("""COMPUTED_VALUE"""),"Hand")</f>
        <v>Hand</v>
      </c>
      <c r="E472" s="1">
        <f>IFERROR(__xludf.DUMMYFUNCTION("""COMPUTED_VALUE"""),200.0)</f>
        <v>200</v>
      </c>
      <c r="F472" s="1" t="str">
        <f>IFERROR(__xludf.DUMMYFUNCTION("""COMPUTED_VALUE"""),"DMG: +50000, Dark DMG: +25000, Chaos DMG: +25000, Celestial DMG: +10000 (Shuttering Shadows Set) ++X4 Damage whilst invulnerable breaking invulnerability upon being used. ++When equipped with the Night's Edge attack with both weapons at the same time. +-C"&amp;"annot be Duplicated Must be used in conjunction with the Night's Edge or any weapon the Night's Edge is forged into, +-Ninja Only")</f>
        <v>DMG: +50000, Dark DMG: +25000, Chaos DMG: +25000, Celestial DMG: +10000 (Shuttering Shadows Set) ++X4 Damage whilst invulnerable breaking invulnerability upon being used. ++When equipped with the Night's Edge attack with both weapons at the same time. +-Cannot be Duplicated Must be used in conjunction with the Night's Edge or any weapon the Night's Edge is forged into, +-Ninja Only</v>
      </c>
      <c r="G472" s="1">
        <f>IFERROR(__xludf.DUMMYFUNCTION("""COMPUTED_VALUE"""),2.409E8)</f>
        <v>240900000</v>
      </c>
      <c r="H472" s="1"/>
      <c r="I472" s="1"/>
      <c r="J472" s="1"/>
      <c r="K472" s="1"/>
      <c r="L472" s="1"/>
      <c r="M472" s="1"/>
      <c r="N472" s="1"/>
      <c r="O472" s="1"/>
      <c r="P472" s="1"/>
      <c r="Q472" s="1"/>
      <c r="R472" s="1"/>
      <c r="S472" s="1"/>
      <c r="T472" s="1"/>
      <c r="U472" s="1"/>
      <c r="V472" s="1"/>
      <c r="W472" s="1"/>
      <c r="X472" s="1"/>
      <c r="Y472" s="1"/>
      <c r="Z472" s="1"/>
    </row>
    <row r="473">
      <c r="A473" s="1" t="str">
        <f>IFERROR(__xludf.DUMMYFUNCTION("""COMPUTED_VALUE"""),"Night's Edge")</f>
        <v>Night's Edge</v>
      </c>
      <c r="B473" s="1" t="str">
        <f>IFERROR(__xludf.DUMMYFUNCTION("""COMPUTED_VALUE"""),"Quest Item")</f>
        <v>Quest Item</v>
      </c>
      <c r="C473" s="1" t="str">
        <f>IFERROR(__xludf.DUMMYFUNCTION("""COMPUTED_VALUE"""),"Knife")</f>
        <v>Knife</v>
      </c>
      <c r="D473" s="1" t="str">
        <f>IFERROR(__xludf.DUMMYFUNCTION("""COMPUTED_VALUE"""),"Hand")</f>
        <v>Hand</v>
      </c>
      <c r="E473" s="1">
        <f>IFERROR(__xludf.DUMMYFUNCTION("""COMPUTED_VALUE"""),200.0)</f>
        <v>200</v>
      </c>
      <c r="F473" s="1" t="str">
        <f>IFERROR(__xludf.DUMMYFUNCTION("""COMPUTED_VALUE"""),"DMG: +50000, Dark DMG: +25000, Chaos DMG: +25000, Celestial DMG: +10000 (Shuttering Shadows Set) ++X4 Damage whilst invulnerable breaking invulnerability upon being used, When equipped with the Assassin's Kiss, attack with both weapons at the same time. +"&amp;"-Cannot be Duplicated, +-Must be Equipped with the Assassin's Kiss +-Ninja Only")</f>
        <v>DMG: +50000, Dark DMG: +25000, Chaos DMG: +25000, Celestial DMG: +10000 (Shuttering Shadows Set) ++X4 Damage whilst invulnerable breaking invulnerability upon being used, When equipped with the Assassin's Kiss, attack with both weapons at the same time. +-Cannot be Duplicated, +-Must be Equipped with the Assassin's Kiss +-Ninja Only</v>
      </c>
      <c r="G473" s="1">
        <f>IFERROR(__xludf.DUMMYFUNCTION("""COMPUTED_VALUE"""),2.409E8)</f>
        <v>240900000</v>
      </c>
      <c r="H473" s="1"/>
      <c r="I473" s="1"/>
      <c r="J473" s="1"/>
      <c r="K473" s="1"/>
      <c r="L473" s="1"/>
      <c r="M473" s="1"/>
      <c r="N473" s="1"/>
      <c r="O473" s="1"/>
      <c r="P473" s="1"/>
      <c r="Q473" s="1"/>
      <c r="R473" s="1"/>
      <c r="S473" s="1"/>
      <c r="T473" s="1"/>
      <c r="U473" s="1"/>
      <c r="V473" s="1"/>
      <c r="W473" s="1"/>
      <c r="X473" s="1"/>
      <c r="Y473" s="1"/>
      <c r="Z473" s="1"/>
    </row>
    <row r="474">
      <c r="A474" s="1" t="str">
        <f>IFERROR(__xludf.DUMMYFUNCTION("""COMPUTED_VALUE"""),"Ancient Draconian Deity Necklace")</f>
        <v>Ancient Draconian Deity Necklace</v>
      </c>
      <c r="B474" s="1"/>
      <c r="C474" s="1"/>
      <c r="D474" s="1" t="str">
        <f>IFERROR(__xludf.DUMMYFUNCTION("""COMPUTED_VALUE"""),"Neck")</f>
        <v>Neck</v>
      </c>
      <c r="E474" s="1">
        <f>IFERROR(__xludf.DUMMYFUNCTION("""COMPUTED_VALUE"""),1.0)</f>
        <v>1</v>
      </c>
      <c r="F474" s="1" t="str">
        <f>IFERROR(__xludf.DUMMYFUNCTION("""COMPUTED_VALUE""")," ++5 to all d20 rolls, +-Cannot be duplicated.")</f>
        <v> ++5 to all d20 rolls, +-Cannot be duplicated.</v>
      </c>
      <c r="G474" s="1">
        <f>IFERROR(__xludf.DUMMYFUNCTION("""COMPUTED_VALUE"""),0.0)</f>
        <v>0</v>
      </c>
      <c r="H474" s="1"/>
      <c r="I474" s="1"/>
      <c r="J474" s="1"/>
      <c r="K474" s="1"/>
      <c r="L474" s="1"/>
      <c r="M474" s="1"/>
      <c r="N474" s="1"/>
      <c r="O474" s="1"/>
      <c r="P474" s="1"/>
      <c r="Q474" s="1"/>
      <c r="R474" s="1"/>
      <c r="S474" s="1"/>
      <c r="T474" s="1"/>
      <c r="U474" s="1"/>
      <c r="V474" s="1"/>
      <c r="W474" s="1"/>
      <c r="X474" s="1"/>
      <c r="Y474" s="1"/>
      <c r="Z474" s="1"/>
    </row>
    <row r="475">
      <c r="A475" s="1" t="str">
        <f>IFERROR(__xludf.DUMMYFUNCTION("""COMPUTED_VALUE"""),"Gungnir")</f>
        <v>Gungnir</v>
      </c>
      <c r="B475" s="1"/>
      <c r="C475" s="1" t="str">
        <f>IFERROR(__xludf.DUMMYFUNCTION("""COMPUTED_VALUE"""),"Spear")</f>
        <v>Spear</v>
      </c>
      <c r="D475" s="1" t="str">
        <f>IFERROR(__xludf.DUMMYFUNCTION("""COMPUTED_VALUE"""),"Hand")</f>
        <v>Hand</v>
      </c>
      <c r="E475" s="1">
        <f>IFERROR(__xludf.DUMMYFUNCTION("""COMPUTED_VALUE"""),1.0)</f>
        <v>1</v>
      </c>
      <c r="F475" s="1" t="str">
        <f>IFERROR(__xludf.DUMMYFUNCTION("""COMPUTED_VALUE"""),"")</f>
        <v/>
      </c>
      <c r="G475" s="1">
        <f>IFERROR(__xludf.DUMMYFUNCTION("""COMPUTED_VALUE"""),0.0)</f>
        <v>0</v>
      </c>
      <c r="H475" s="1"/>
      <c r="I475" s="1"/>
      <c r="J475" s="1"/>
      <c r="K475" s="1"/>
      <c r="L475" s="1"/>
      <c r="M475" s="1"/>
      <c r="N475" s="1"/>
      <c r="O475" s="1"/>
      <c r="P475" s="1"/>
      <c r="Q475" s="1"/>
      <c r="R475" s="1"/>
      <c r="S475" s="1"/>
      <c r="T475" s="1"/>
      <c r="U475" s="1"/>
      <c r="V475" s="1"/>
      <c r="W475" s="1"/>
      <c r="X475" s="1"/>
      <c r="Y475" s="1"/>
      <c r="Z475" s="1"/>
    </row>
    <row r="476">
      <c r="A476" s="1" t="str">
        <f>IFERROR(__xludf.DUMMYFUNCTION("""COMPUTED_VALUE"""),"Gaia's Rock Hammer")</f>
        <v>Gaia's Rock Hammer</v>
      </c>
      <c r="B476" s="1" t="str">
        <f>IFERROR(__xludf.DUMMYFUNCTION("""COMPUTED_VALUE"""),"Quest Item")</f>
        <v>Quest Item</v>
      </c>
      <c r="C476" s="1" t="str">
        <f>IFERROR(__xludf.DUMMYFUNCTION("""COMPUTED_VALUE"""),"Club")</f>
        <v>Club</v>
      </c>
      <c r="D476" s="1" t="str">
        <f>IFERROR(__xludf.DUMMYFUNCTION("""COMPUTED_VALUE"""),"Hand")</f>
        <v>Hand</v>
      </c>
      <c r="E476" s="1">
        <f>IFERROR(__xludf.DUMMYFUNCTION("""COMPUTED_VALUE"""),200.0)</f>
        <v>200</v>
      </c>
      <c r="F476" s="1" t="str">
        <f>IFERROR(__xludf.DUMMYFUNCTION("""COMPUTED_VALUE"""),"DMG: +25000, Earth DMG: +100000, Nature DMG: +15000, Celestial DMG: +25000 ++X4 Earth damage. Gaia's Slumber: ++50% chance to put target to sleep. +-Cannot be duplicated, +-You can only acquire one of these")</f>
        <v>DMG: +25000, Earth DMG: +100000, Nature DMG: +15000, Celestial DMG: +25000 ++X4 Earth damage. Gaia's Slumber: ++50% chance to put target to sleep. +-Cannot be duplicated, +-You can only acquire one of these</v>
      </c>
      <c r="G476" s="1">
        <f>IFERROR(__xludf.DUMMYFUNCTION("""COMPUTED_VALUE"""),5.4285E8)</f>
        <v>542850000</v>
      </c>
      <c r="H476" s="1"/>
      <c r="I476" s="1"/>
      <c r="J476" s="1"/>
      <c r="K476" s="1"/>
      <c r="L476" s="1"/>
      <c r="M476" s="1"/>
      <c r="N476" s="1"/>
      <c r="O476" s="1"/>
      <c r="P476" s="1"/>
      <c r="Q476" s="1"/>
      <c r="R476" s="1"/>
      <c r="S476" s="1"/>
      <c r="T476" s="1"/>
      <c r="U476" s="1"/>
      <c r="V476" s="1"/>
      <c r="W476" s="1"/>
      <c r="X476" s="1"/>
      <c r="Y476" s="1"/>
      <c r="Z476" s="1"/>
    </row>
    <row r="477">
      <c r="A477" s="1" t="str">
        <f>IFERROR(__xludf.DUMMYFUNCTION("""COMPUTED_VALUE"""),"Bahamut's Claw")</f>
        <v>Bahamut's Claw</v>
      </c>
      <c r="B477" s="1" t="str">
        <f>IFERROR(__xludf.DUMMYFUNCTION("""COMPUTED_VALUE"""),"Mob Exclusive")</f>
        <v>Mob Exclusive</v>
      </c>
      <c r="C477" s="1" t="str">
        <f>IFERROR(__xludf.DUMMYFUNCTION("""COMPUTED_VALUE"""),"Claw")</f>
        <v>Claw</v>
      </c>
      <c r="D477" s="1" t="str">
        <f>IFERROR(__xludf.DUMMYFUNCTION("""COMPUTED_VALUE"""),"Hand")</f>
        <v>Hand</v>
      </c>
      <c r="E477" s="1">
        <f>IFERROR(__xludf.DUMMYFUNCTION("""COMPUTED_VALUE"""),200.0)</f>
        <v>200</v>
      </c>
      <c r="F477" s="1" t="str">
        <f>IFERROR(__xludf.DUMMYFUNCTION("""COMPUTED_VALUE"""),"DMG: +250000, Delta DMG: +250000, Celestial DMG: +250000 +-Cannot resist or be immune to this attack. ++Bahamut's Bloodlust: Heals Bahamut by 2X damage dealt with this weapon. 50% chance to remove any hit enemy from battle")</f>
        <v>DMG: +250000, Delta DMG: +250000, Celestial DMG: +250000 +-Cannot resist or be immune to this attack. ++Bahamut's Bloodlust: Heals Bahamut by 2X damage dealt with this weapon. 50% chance to remove any hit enemy from battle</v>
      </c>
      <c r="G477" s="1">
        <f>IFERROR(__xludf.DUMMYFUNCTION("""COMPUTED_VALUE"""),1.12425E10)</f>
        <v>11242500000</v>
      </c>
      <c r="H477" s="1"/>
      <c r="I477" s="1"/>
      <c r="J477" s="1"/>
      <c r="K477" s="1"/>
      <c r="L477" s="1"/>
      <c r="M477" s="1"/>
      <c r="N477" s="1"/>
      <c r="O477" s="1"/>
      <c r="P477" s="1"/>
      <c r="Q477" s="1"/>
      <c r="R477" s="1"/>
      <c r="S477" s="1"/>
      <c r="T477" s="1"/>
      <c r="U477" s="1"/>
      <c r="V477" s="1"/>
      <c r="W477" s="1"/>
      <c r="X477" s="1"/>
      <c r="Y477" s="1"/>
      <c r="Z477" s="1"/>
    </row>
    <row r="478">
      <c r="A478" s="1" t="str">
        <f>IFERROR(__xludf.DUMMYFUNCTION("""COMPUTED_VALUE"""),"Chronos' Staff of Time")</f>
        <v>Chronos' Staff of Time</v>
      </c>
      <c r="B478" s="1"/>
      <c r="C478" s="1" t="str">
        <f>IFERROR(__xludf.DUMMYFUNCTION("""COMPUTED_VALUE"""),"Staff")</f>
        <v>Staff</v>
      </c>
      <c r="D478" s="1" t="str">
        <f>IFERROR(__xludf.DUMMYFUNCTION("""COMPUTED_VALUE"""),"Hand")</f>
        <v>Hand</v>
      </c>
      <c r="E478" s="1">
        <f>IFERROR(__xludf.DUMMYFUNCTION("""COMPUTED_VALUE"""),1.0)</f>
        <v>1</v>
      </c>
      <c r="F478" s="1" t="str">
        <f>IFERROR(__xludf.DUMMYFUNCTION("""COMPUTED_VALUE"""),"")</f>
        <v/>
      </c>
      <c r="G478" s="1">
        <f>IFERROR(__xludf.DUMMYFUNCTION("""COMPUTED_VALUE"""),0.0)</f>
        <v>0</v>
      </c>
      <c r="H478" s="1"/>
      <c r="I478" s="1"/>
      <c r="J478" s="1"/>
      <c r="K478" s="1"/>
      <c r="L478" s="1"/>
      <c r="M478" s="1"/>
      <c r="N478" s="1"/>
      <c r="O478" s="1"/>
      <c r="P478" s="1"/>
      <c r="Q478" s="1"/>
      <c r="R478" s="1"/>
      <c r="S478" s="1"/>
      <c r="T478" s="1"/>
      <c r="U478" s="1"/>
      <c r="V478" s="1"/>
      <c r="W478" s="1"/>
      <c r="X478" s="1"/>
      <c r="Y478" s="1"/>
      <c r="Z478" s="1"/>
    </row>
    <row r="479">
      <c r="A479" s="1" t="str">
        <f>IFERROR(__xludf.DUMMYFUNCTION("""COMPUTED_VALUE"""),"Scimitar")</f>
        <v>Scimitar</v>
      </c>
      <c r="B479" s="1"/>
      <c r="C479" s="1" t="str">
        <f>IFERROR(__xludf.DUMMYFUNCTION("""COMPUTED_VALUE"""),"Sword")</f>
        <v>Sword</v>
      </c>
      <c r="D479" s="1" t="str">
        <f>IFERROR(__xludf.DUMMYFUNCTION("""COMPUTED_VALUE"""),"Hand")</f>
        <v>Hand</v>
      </c>
      <c r="E479" s="1">
        <f>IFERROR(__xludf.DUMMYFUNCTION("""COMPUTED_VALUE"""),300.0)</f>
        <v>300</v>
      </c>
      <c r="F479" s="1" t="str">
        <f>IFERROR(__xludf.DUMMYFUNCTION("""COMPUTED_VALUE"""),"DMG: +10000, Fire DMG: +5000")</f>
        <v>DMG: +10000, Fire DMG: +5000</v>
      </c>
      <c r="G479" s="1">
        <f>IFERROR(__xludf.DUMMYFUNCTION("""COMPUTED_VALUE"""),4350000.0)</f>
        <v>4350000</v>
      </c>
      <c r="H479" s="1"/>
      <c r="I479" s="1"/>
      <c r="J479" s="1"/>
      <c r="K479" s="1"/>
      <c r="L479" s="1"/>
      <c r="M479" s="1"/>
      <c r="N479" s="1"/>
      <c r="O479" s="1"/>
      <c r="P479" s="1"/>
      <c r="Q479" s="1"/>
      <c r="R479" s="1"/>
      <c r="S479" s="1"/>
      <c r="T479" s="1"/>
      <c r="U479" s="1"/>
      <c r="V479" s="1"/>
      <c r="W479" s="1"/>
      <c r="X479" s="1"/>
      <c r="Y479" s="1"/>
      <c r="Z479" s="1"/>
    </row>
    <row r="480">
      <c r="A480" s="1" t="str">
        <f>IFERROR(__xludf.DUMMYFUNCTION("""COMPUTED_VALUE"""),"Gaia's Helmet of Earthen Fortitude")</f>
        <v>Gaia's Helmet of Earthen Fortitude</v>
      </c>
      <c r="B480" s="1" t="str">
        <f>IFERROR(__xludf.DUMMYFUNCTION("""COMPUTED_VALUE"""),"Mob Exclusive")</f>
        <v>Mob Exclusive</v>
      </c>
      <c r="C480" s="1"/>
      <c r="D480" s="1" t="str">
        <f>IFERROR(__xludf.DUMMYFUNCTION("""COMPUTED_VALUE"""),"Head")</f>
        <v>Head</v>
      </c>
      <c r="E480" s="1">
        <f>IFERROR(__xludf.DUMMYFUNCTION("""COMPUTED_VALUE"""),200.0)</f>
        <v>200</v>
      </c>
      <c r="F480" s="1" t="str">
        <f>IFERROR(__xludf.DUMMYFUNCTION("""COMPUTED_VALUE"""),"DEF: +50000, Fire DEF: +35000, Celestial DEF: +50000 ++X2 Earth Damage for self. ++X2 Defense for self. ++Godly Authority: 50% chance to possess one enemy once per battle.")</f>
        <v>DEF: +50000, Fire DEF: +35000, Celestial DEF: +50000 ++X2 Earth Damage for self. ++X2 Defense for self. ++Godly Authority: 50% chance to possess one enemy once per battle.</v>
      </c>
      <c r="G480" s="1">
        <f>IFERROR(__xludf.DUMMYFUNCTION("""COMPUTED_VALUE"""),3.6315E8)</f>
        <v>363150000</v>
      </c>
      <c r="H480" s="1"/>
      <c r="I480" s="1"/>
      <c r="J480" s="1"/>
      <c r="K480" s="1"/>
      <c r="L480" s="1"/>
      <c r="M480" s="1"/>
      <c r="N480" s="1"/>
      <c r="O480" s="1"/>
      <c r="P480" s="1"/>
      <c r="Q480" s="1"/>
      <c r="R480" s="1"/>
      <c r="S480" s="1"/>
      <c r="T480" s="1"/>
      <c r="U480" s="1"/>
      <c r="V480" s="1"/>
      <c r="W480" s="1"/>
      <c r="X480" s="1"/>
      <c r="Y480" s="1"/>
      <c r="Z480" s="1"/>
    </row>
    <row r="481">
      <c r="A481" s="1" t="str">
        <f>IFERROR(__xludf.DUMMYFUNCTION("""COMPUTED_VALUE"""),"Gaia's Pendant")</f>
        <v>Gaia's Pendant</v>
      </c>
      <c r="B481" s="1" t="str">
        <f>IFERROR(__xludf.DUMMYFUNCTION("""COMPUTED_VALUE"""),"Mob Exclusive")</f>
        <v>Mob Exclusive</v>
      </c>
      <c r="C481" s="1"/>
      <c r="D481" s="1" t="str">
        <f>IFERROR(__xludf.DUMMYFUNCTION("""COMPUTED_VALUE"""),"Neck")</f>
        <v>Neck</v>
      </c>
      <c r="E481" s="1">
        <f>IFERROR(__xludf.DUMMYFUNCTION("""COMPUTED_VALUE"""),1.0)</f>
        <v>1</v>
      </c>
      <c r="F481" s="1" t="str">
        <f>IFERROR(__xludf.DUMMYFUNCTION("""COMPUTED_VALUE""")," ++Revives entire party upon death of the wearer. +-one use per battle")</f>
        <v> ++Revives entire party upon death of the wearer. +-one use per battle</v>
      </c>
      <c r="G481" s="1">
        <f>IFERROR(__xludf.DUMMYFUNCTION("""COMPUTED_VALUE"""),0.0)</f>
        <v>0</v>
      </c>
      <c r="H481" s="1"/>
      <c r="I481" s="1"/>
      <c r="J481" s="1"/>
      <c r="K481" s="1"/>
      <c r="L481" s="1"/>
      <c r="M481" s="1"/>
      <c r="N481" s="1"/>
      <c r="O481" s="1"/>
      <c r="P481" s="1"/>
      <c r="Q481" s="1"/>
      <c r="R481" s="1"/>
      <c r="S481" s="1"/>
      <c r="T481" s="1"/>
      <c r="U481" s="1"/>
      <c r="V481" s="1"/>
      <c r="W481" s="1"/>
      <c r="X481" s="1"/>
      <c r="Y481" s="1"/>
      <c r="Z481" s="1"/>
    </row>
    <row r="482">
      <c r="A482" s="1" t="str">
        <f>IFERROR(__xludf.DUMMYFUNCTION("""COMPUTED_VALUE"""),"Gaia's Sandals of Earthen Fortitude")</f>
        <v>Gaia's Sandals of Earthen Fortitude</v>
      </c>
      <c r="B482" s="1" t="str">
        <f>IFERROR(__xludf.DUMMYFUNCTION("""COMPUTED_VALUE"""),"Mob Exclusive")</f>
        <v>Mob Exclusive</v>
      </c>
      <c r="C482" s="1"/>
      <c r="D482" s="1" t="str">
        <f>IFERROR(__xludf.DUMMYFUNCTION("""COMPUTED_VALUE"""),"Feet")</f>
        <v>Feet</v>
      </c>
      <c r="E482" s="1">
        <f>IFERROR(__xludf.DUMMYFUNCTION("""COMPUTED_VALUE"""),200.0)</f>
        <v>200</v>
      </c>
      <c r="F482" s="1" t="str">
        <f>IFERROR(__xludf.DUMMYFUNCTION("""COMPUTED_VALUE"""),"DEF: +50000, Fire DEF: +35000, Celestial DEF: +50000 ++X2 Earth Damage for self. ++X2 Defense for self")</f>
        <v>DEF: +50000, Fire DEF: +35000, Celestial DEF: +50000 ++X2 Earth Damage for self. ++X2 Defense for self</v>
      </c>
      <c r="G482" s="1">
        <f>IFERROR(__xludf.DUMMYFUNCTION("""COMPUTED_VALUE"""),3.6315E8)</f>
        <v>363150000</v>
      </c>
      <c r="H482" s="1"/>
      <c r="I482" s="1"/>
      <c r="J482" s="1"/>
      <c r="K482" s="1"/>
      <c r="L482" s="1"/>
      <c r="M482" s="1"/>
      <c r="N482" s="1"/>
      <c r="O482" s="1"/>
      <c r="P482" s="1"/>
      <c r="Q482" s="1"/>
      <c r="R482" s="1"/>
      <c r="S482" s="1"/>
      <c r="T482" s="1"/>
      <c r="U482" s="1"/>
      <c r="V482" s="1"/>
      <c r="W482" s="1"/>
      <c r="X482" s="1"/>
      <c r="Y482" s="1"/>
      <c r="Z482" s="1"/>
    </row>
    <row r="483">
      <c r="A483" s="1" t="str">
        <f>IFERROR(__xludf.DUMMYFUNCTION("""COMPUTED_VALUE"""),"Gaia's Gloves")</f>
        <v>Gaia's Gloves</v>
      </c>
      <c r="B483" s="1" t="str">
        <f>IFERROR(__xludf.DUMMYFUNCTION("""COMPUTED_VALUE"""),"Mob Exclusive")</f>
        <v>Mob Exclusive</v>
      </c>
      <c r="C483" s="1"/>
      <c r="D483" s="1" t="str">
        <f>IFERROR(__xludf.DUMMYFUNCTION("""COMPUTED_VALUE"""),"Arms")</f>
        <v>Arms</v>
      </c>
      <c r="E483" s="1">
        <f>IFERROR(__xludf.DUMMYFUNCTION("""COMPUTED_VALUE"""),200.0)</f>
        <v>200</v>
      </c>
      <c r="F483" s="1" t="str">
        <f>IFERROR(__xludf.DUMMYFUNCTION("""COMPUTED_VALUE"""),"DEF: +50000, Fire DEF: +35000, Celestial DEF: +50000 ++X2 Earth Damage for self. ++X2 Defense for self")</f>
        <v>DEF: +50000, Fire DEF: +35000, Celestial DEF: +50000 ++X2 Earth Damage for self. ++X2 Defense for self</v>
      </c>
      <c r="G483" s="1">
        <f>IFERROR(__xludf.DUMMYFUNCTION("""COMPUTED_VALUE"""),3.6315E8)</f>
        <v>363150000</v>
      </c>
      <c r="H483" s="1"/>
      <c r="I483" s="1"/>
      <c r="J483" s="1"/>
      <c r="K483" s="1"/>
      <c r="L483" s="1"/>
      <c r="M483" s="1"/>
      <c r="N483" s="1"/>
      <c r="O483" s="1"/>
      <c r="P483" s="1"/>
      <c r="Q483" s="1"/>
      <c r="R483" s="1"/>
      <c r="S483" s="1"/>
      <c r="T483" s="1"/>
      <c r="U483" s="1"/>
      <c r="V483" s="1"/>
      <c r="W483" s="1"/>
      <c r="X483" s="1"/>
      <c r="Y483" s="1"/>
      <c r="Z483" s="1"/>
    </row>
    <row r="484">
      <c r="A484" s="1" t="str">
        <f>IFERROR(__xludf.DUMMYFUNCTION("""COMPUTED_VALUE"""),"Gaia's Gaiters")</f>
        <v>Gaia's Gaiters</v>
      </c>
      <c r="B484" s="1" t="str">
        <f>IFERROR(__xludf.DUMMYFUNCTION("""COMPUTED_VALUE"""),"Mob Exclusive")</f>
        <v>Mob Exclusive</v>
      </c>
      <c r="C484" s="1"/>
      <c r="D484" s="1" t="str">
        <f>IFERROR(__xludf.DUMMYFUNCTION("""COMPUTED_VALUE"""),"Legs")</f>
        <v>Legs</v>
      </c>
      <c r="E484" s="1">
        <f>IFERROR(__xludf.DUMMYFUNCTION("""COMPUTED_VALUE"""),200.0)</f>
        <v>200</v>
      </c>
      <c r="F484" s="1" t="str">
        <f>IFERROR(__xludf.DUMMYFUNCTION("""COMPUTED_VALUE"""),"DEF: +50000, Fire DEF: +35000, Celestial DEF: +50000 ++X2 Earth Damage for self. ++X2 Defense for self")</f>
        <v>DEF: +50000, Fire DEF: +35000, Celestial DEF: +50000 ++X2 Earth Damage for self. ++X2 Defense for self</v>
      </c>
      <c r="G484" s="1">
        <f>IFERROR(__xludf.DUMMYFUNCTION("""COMPUTED_VALUE"""),3.6315E8)</f>
        <v>363150000</v>
      </c>
      <c r="H484" s="1"/>
      <c r="I484" s="1"/>
      <c r="J484" s="1"/>
      <c r="K484" s="1"/>
      <c r="L484" s="1"/>
      <c r="M484" s="1"/>
      <c r="N484" s="1"/>
      <c r="O484" s="1"/>
      <c r="P484" s="1"/>
      <c r="Q484" s="1"/>
      <c r="R484" s="1"/>
      <c r="S484" s="1"/>
      <c r="T484" s="1"/>
      <c r="U484" s="1"/>
      <c r="V484" s="1"/>
      <c r="W484" s="1"/>
      <c r="X484" s="1"/>
      <c r="Y484" s="1"/>
      <c r="Z484" s="1"/>
    </row>
    <row r="485">
      <c r="A485" s="1" t="str">
        <f>IFERROR(__xludf.DUMMYFUNCTION("""COMPUTED_VALUE"""),"Gaia's Pauldrons")</f>
        <v>Gaia's Pauldrons</v>
      </c>
      <c r="B485" s="1" t="str">
        <f>IFERROR(__xludf.DUMMYFUNCTION("""COMPUTED_VALUE"""),"Mob Exclusive")</f>
        <v>Mob Exclusive</v>
      </c>
      <c r="C485" s="1"/>
      <c r="D485" s="1" t="str">
        <f>IFERROR(__xludf.DUMMYFUNCTION("""COMPUTED_VALUE"""),"Shoulders")</f>
        <v>Shoulders</v>
      </c>
      <c r="E485" s="1">
        <f>IFERROR(__xludf.DUMMYFUNCTION("""COMPUTED_VALUE"""),200.0)</f>
        <v>200</v>
      </c>
      <c r="F485" s="1" t="str">
        <f>IFERROR(__xludf.DUMMYFUNCTION("""COMPUTED_VALUE"""),"DEF: +50000, Fire DEF: +35000, Celestial DEF: +50000 ++X2 Earth Damage for self. ++X2 Defense for self")</f>
        <v>DEF: +50000, Fire DEF: +35000, Celestial DEF: +50000 ++X2 Earth Damage for self. ++X2 Defense for self</v>
      </c>
      <c r="G485" s="1">
        <f>IFERROR(__xludf.DUMMYFUNCTION("""COMPUTED_VALUE"""),3.6315E8)</f>
        <v>363150000</v>
      </c>
      <c r="H485" s="1"/>
      <c r="I485" s="1"/>
      <c r="J485" s="1"/>
      <c r="K485" s="1"/>
      <c r="L485" s="1"/>
      <c r="M485" s="1"/>
      <c r="N485" s="1"/>
      <c r="O485" s="1"/>
      <c r="P485" s="1"/>
      <c r="Q485" s="1"/>
      <c r="R485" s="1"/>
      <c r="S485" s="1"/>
      <c r="T485" s="1"/>
      <c r="U485" s="1"/>
      <c r="V485" s="1"/>
      <c r="W485" s="1"/>
      <c r="X485" s="1"/>
      <c r="Y485" s="1"/>
      <c r="Z485" s="1"/>
    </row>
    <row r="486">
      <c r="A486" s="1" t="str">
        <f>IFERROR(__xludf.DUMMYFUNCTION("""COMPUTED_VALUE"""),"Gaia's Chestpiece")</f>
        <v>Gaia's Chestpiece</v>
      </c>
      <c r="B486" s="1" t="str">
        <f>IFERROR(__xludf.DUMMYFUNCTION("""COMPUTED_VALUE"""),"Mob Exclusive")</f>
        <v>Mob Exclusive</v>
      </c>
      <c r="C486" s="1"/>
      <c r="D486" s="1" t="str">
        <f>IFERROR(__xludf.DUMMYFUNCTION("""COMPUTED_VALUE"""),"Torso")</f>
        <v>Torso</v>
      </c>
      <c r="E486" s="1">
        <f>IFERROR(__xludf.DUMMYFUNCTION("""COMPUTED_VALUE"""),200.0)</f>
        <v>200</v>
      </c>
      <c r="F486" s="1" t="str">
        <f>IFERROR(__xludf.DUMMYFUNCTION("""COMPUTED_VALUE"""),"DEF: +100000, Fire DEF: +70000, Celestial DEF: +100000 ++X2 Earth Damage for self. ++X2 Defense for self")</f>
        <v>DEF: +100000, Fire DEF: +70000, Celestial DEF: +100000 ++X2 Earth Damage for self. ++X2 Defense for self</v>
      </c>
      <c r="G486" s="1">
        <f>IFERROR(__xludf.DUMMYFUNCTION("""COMPUTED_VALUE"""),1.4553E9)</f>
        <v>1455300000</v>
      </c>
      <c r="H486" s="1"/>
      <c r="I486" s="1"/>
      <c r="J486" s="1"/>
      <c r="K486" s="1"/>
      <c r="L486" s="1"/>
      <c r="M486" s="1"/>
      <c r="N486" s="1"/>
      <c r="O486" s="1"/>
      <c r="P486" s="1"/>
      <c r="Q486" s="1"/>
      <c r="R486" s="1"/>
      <c r="S486" s="1"/>
      <c r="T486" s="1"/>
      <c r="U486" s="1"/>
      <c r="V486" s="1"/>
      <c r="W486" s="1"/>
      <c r="X486" s="1"/>
      <c r="Y486" s="1"/>
      <c r="Z486" s="1"/>
    </row>
    <row r="487">
      <c r="A487" s="1" t="str">
        <f>IFERROR(__xludf.DUMMYFUNCTION("""COMPUTED_VALUE"""),"Gaia's Ring")</f>
        <v>Gaia's Ring</v>
      </c>
      <c r="B487" s="1" t="str">
        <f>IFERROR(__xludf.DUMMYFUNCTION("""COMPUTED_VALUE"""),"Mob Exclusive")</f>
        <v>Mob Exclusive</v>
      </c>
      <c r="C487" s="1"/>
      <c r="D487" s="1" t="str">
        <f>IFERROR(__xludf.DUMMYFUNCTION("""COMPUTED_VALUE"""),"Ring")</f>
        <v>Ring</v>
      </c>
      <c r="E487" s="1">
        <f>IFERROR(__xludf.DUMMYFUNCTION("""COMPUTED_VALUE"""),1.0)</f>
        <v>1</v>
      </c>
      <c r="F487" s="1" t="str">
        <f>IFERROR(__xludf.DUMMYFUNCTION("""COMPUTED_VALUE""")," ++X4 defense for self and allies, 50 sp")</f>
        <v> ++X4 defense for self and allies, 50 sp</v>
      </c>
      <c r="G487" s="1">
        <f>IFERROR(__xludf.DUMMYFUNCTION("""COMPUTED_VALUE"""),0.0)</f>
        <v>0</v>
      </c>
      <c r="H487" s="1"/>
      <c r="I487" s="1"/>
      <c r="J487" s="1"/>
      <c r="K487" s="1"/>
      <c r="L487" s="1"/>
      <c r="M487" s="1"/>
      <c r="N487" s="1"/>
      <c r="O487" s="1"/>
      <c r="P487" s="1"/>
      <c r="Q487" s="1"/>
      <c r="R487" s="1"/>
      <c r="S487" s="1"/>
      <c r="T487" s="1"/>
      <c r="U487" s="1"/>
      <c r="V487" s="1"/>
      <c r="W487" s="1"/>
      <c r="X487" s="1"/>
      <c r="Y487" s="1"/>
      <c r="Z487" s="1"/>
    </row>
    <row r="488">
      <c r="A488" s="1" t="str">
        <f>IFERROR(__xludf.DUMMYFUNCTION("""COMPUTED_VALUE"""),"Paladin of Gaia's Bucket helm of Tenacity")</f>
        <v>Paladin of Gaia's Bucket helm of Tenacity</v>
      </c>
      <c r="B488" s="1" t="str">
        <f>IFERROR(__xludf.DUMMYFUNCTION("""COMPUTED_VALUE"""),"Quest Item")</f>
        <v>Quest Item</v>
      </c>
      <c r="C488" s="1"/>
      <c r="D488" s="1" t="str">
        <f>IFERROR(__xludf.DUMMYFUNCTION("""COMPUTED_VALUE"""),"Head")</f>
        <v>Head</v>
      </c>
      <c r="E488" s="1">
        <f>IFERROR(__xludf.DUMMYFUNCTION("""COMPUTED_VALUE"""),200.0)</f>
        <v>200</v>
      </c>
      <c r="F488" s="1" t="str">
        <f>IFERROR(__xludf.DUMMYFUNCTION("""COMPUTED_VALUE"""),"DEF: +20000, Fire DEF: +5000, Earth DEF: +35000, Celestial DEF: +20000 ++Gaia's Tenacity II: 10% Chance to revive after death +-Cannot be forged +-Cannot be duplicated +-(Paladin or Knight Class Only)")</f>
        <v>DEF: +20000, Fire DEF: +5000, Earth DEF: +35000, Celestial DEF: +20000 ++Gaia's Tenacity II: 10% Chance to revive after death +-Cannot be forged +-Cannot be duplicated +-(Paladin or Knight Class Only)</v>
      </c>
      <c r="G488" s="1">
        <f>IFERROR(__xludf.DUMMYFUNCTION("""COMPUTED_VALUE"""),1.272E8)</f>
        <v>127200000</v>
      </c>
      <c r="H488" s="1"/>
      <c r="I488" s="1"/>
      <c r="J488" s="1"/>
      <c r="K488" s="1"/>
      <c r="L488" s="1"/>
      <c r="M488" s="1"/>
      <c r="N488" s="1"/>
      <c r="O488" s="1"/>
      <c r="P488" s="1"/>
      <c r="Q488" s="1"/>
      <c r="R488" s="1"/>
      <c r="S488" s="1"/>
      <c r="T488" s="1"/>
      <c r="U488" s="1"/>
      <c r="V488" s="1"/>
      <c r="W488" s="1"/>
      <c r="X488" s="1"/>
      <c r="Y488" s="1"/>
      <c r="Z488" s="1"/>
    </row>
    <row r="489">
      <c r="A489" s="1" t="str">
        <f>IFERROR(__xludf.DUMMYFUNCTION("""COMPUTED_VALUE"""),"Paladin of Gaia's Stone Pauldrons")</f>
        <v>Paladin of Gaia's Stone Pauldrons</v>
      </c>
      <c r="B489" s="1" t="str">
        <f>IFERROR(__xludf.DUMMYFUNCTION("""COMPUTED_VALUE"""),"Quest Item")</f>
        <v>Quest Item</v>
      </c>
      <c r="C489" s="1"/>
      <c r="D489" s="1" t="str">
        <f>IFERROR(__xludf.DUMMYFUNCTION("""COMPUTED_VALUE"""),"Shoulders")</f>
        <v>Shoulders</v>
      </c>
      <c r="E489" s="1">
        <f>IFERROR(__xludf.DUMMYFUNCTION("""COMPUTED_VALUE"""),200.0)</f>
        <v>200</v>
      </c>
      <c r="F489" s="1" t="str">
        <f>IFERROR(__xludf.DUMMYFUNCTION("""COMPUTED_VALUE"""),"DEF: +20000, Fire DEF: +5000, Earth DEF: +35000, Celestial DEF: +20000 ++Blessing of Stone I: 2X Earth Damage +-(Paladin or Knight Class Only)")</f>
        <v>DEF: +20000, Fire DEF: +5000, Earth DEF: +35000, Celestial DEF: +20000 ++Blessing of Stone I: 2X Earth Damage +-(Paladin or Knight Class Only)</v>
      </c>
      <c r="G489" s="1">
        <f>IFERROR(__xludf.DUMMYFUNCTION("""COMPUTED_VALUE"""),1.272E8)</f>
        <v>127200000</v>
      </c>
      <c r="H489" s="1"/>
      <c r="I489" s="1"/>
      <c r="J489" s="1"/>
      <c r="K489" s="1"/>
      <c r="L489" s="1"/>
      <c r="M489" s="1"/>
      <c r="N489" s="1"/>
      <c r="O489" s="1"/>
      <c r="P489" s="1"/>
      <c r="Q489" s="1"/>
      <c r="R489" s="1"/>
      <c r="S489" s="1"/>
      <c r="T489" s="1"/>
      <c r="U489" s="1"/>
      <c r="V489" s="1"/>
      <c r="W489" s="1"/>
      <c r="X489" s="1"/>
      <c r="Y489" s="1"/>
      <c r="Z489" s="1"/>
    </row>
    <row r="490">
      <c r="A490" s="1" t="str">
        <f>IFERROR(__xludf.DUMMYFUNCTION("""COMPUTED_VALUE"""),"Paladin of Gaia's Emblazoned Chestpiece")</f>
        <v>Paladin of Gaia's Emblazoned Chestpiece</v>
      </c>
      <c r="B490" s="1" t="str">
        <f>IFERROR(__xludf.DUMMYFUNCTION("""COMPUTED_VALUE"""),"Quest Item")</f>
        <v>Quest Item</v>
      </c>
      <c r="C490" s="1"/>
      <c r="D490" s="1" t="str">
        <f>IFERROR(__xludf.DUMMYFUNCTION("""COMPUTED_VALUE"""),"Torso")</f>
        <v>Torso</v>
      </c>
      <c r="E490" s="1">
        <f>IFERROR(__xludf.DUMMYFUNCTION("""COMPUTED_VALUE"""),200.0)</f>
        <v>200</v>
      </c>
      <c r="F490" s="1" t="str">
        <f>IFERROR(__xludf.DUMMYFUNCTION("""COMPUTED_VALUE"""),"DEF: +50000, Fire DEF: +20000, Earth DEF: +70000, Celestial DEF: +50000 ++X2 defense for self and allies +-Paladin or Knight Class Only +-Can only equip one")</f>
        <v>DEF: +50000, Fire DEF: +20000, Earth DEF: +70000, Celestial DEF: +50000 ++X2 defense for self and allies +-Paladin or Knight Class Only +-Can only equip one</v>
      </c>
      <c r="G490" s="1">
        <f>IFERROR(__xludf.DUMMYFUNCTION("""COMPUTED_VALUE"""),7.201E8)</f>
        <v>720100000</v>
      </c>
      <c r="H490" s="1"/>
      <c r="I490" s="1"/>
      <c r="J490" s="1"/>
      <c r="K490" s="1"/>
      <c r="L490" s="1"/>
      <c r="M490" s="1"/>
      <c r="N490" s="1"/>
      <c r="O490" s="1"/>
      <c r="P490" s="1"/>
      <c r="Q490" s="1"/>
      <c r="R490" s="1"/>
      <c r="S490" s="1"/>
      <c r="T490" s="1"/>
      <c r="U490" s="1"/>
      <c r="V490" s="1"/>
      <c r="W490" s="1"/>
      <c r="X490" s="1"/>
      <c r="Y490" s="1"/>
      <c r="Z490" s="1"/>
    </row>
    <row r="491">
      <c r="A491" s="1" t="str">
        <f>IFERROR(__xludf.DUMMYFUNCTION("""COMPUTED_VALUE"""),"Paladin of Gaia's Vambraces")</f>
        <v>Paladin of Gaia's Vambraces</v>
      </c>
      <c r="B491" s="1" t="str">
        <f>IFERROR(__xludf.DUMMYFUNCTION("""COMPUTED_VALUE"""),"Quest Item")</f>
        <v>Quest Item</v>
      </c>
      <c r="C491" s="1"/>
      <c r="D491" s="1" t="str">
        <f>IFERROR(__xludf.DUMMYFUNCTION("""COMPUTED_VALUE"""),"Arms")</f>
        <v>Arms</v>
      </c>
      <c r="E491" s="1">
        <f>IFERROR(__xludf.DUMMYFUNCTION("""COMPUTED_VALUE"""),200.0)</f>
        <v>200</v>
      </c>
      <c r="F491" s="1" t="str">
        <f>IFERROR(__xludf.DUMMYFUNCTION("""COMPUTED_VALUE"""),"DEF: +20000, Fire DEF: +5000, Earth DEF: +35000, Celestial DEF: +20000 ++X2 defense for self and allies +-Paladin or Knight Class Only +-Can only equip one")</f>
        <v>DEF: +20000, Fire DEF: +5000, Earth DEF: +35000, Celestial DEF: +20000 ++X2 defense for self and allies +-Paladin or Knight Class Only +-Can only equip one</v>
      </c>
      <c r="G491" s="1">
        <f>IFERROR(__xludf.DUMMYFUNCTION("""COMPUTED_VALUE"""),1.272E8)</f>
        <v>127200000</v>
      </c>
      <c r="H491" s="1"/>
      <c r="I491" s="1"/>
      <c r="J491" s="1"/>
      <c r="K491" s="1"/>
      <c r="L491" s="1"/>
      <c r="M491" s="1"/>
      <c r="N491" s="1"/>
      <c r="O491" s="1"/>
      <c r="P491" s="1"/>
      <c r="Q491" s="1"/>
      <c r="R491" s="1"/>
      <c r="S491" s="1"/>
      <c r="T491" s="1"/>
      <c r="U491" s="1"/>
      <c r="V491" s="1"/>
      <c r="W491" s="1"/>
      <c r="X491" s="1"/>
      <c r="Y491" s="1"/>
      <c r="Z491" s="1"/>
    </row>
    <row r="492">
      <c r="A492" s="1" t="str">
        <f>IFERROR(__xludf.DUMMYFUNCTION("""COMPUTED_VALUE"""),"Paladin of Gaia's Plate Chausses")</f>
        <v>Paladin of Gaia's Plate Chausses</v>
      </c>
      <c r="B492" s="1" t="str">
        <f>IFERROR(__xludf.DUMMYFUNCTION("""COMPUTED_VALUE"""),"Quest Item")</f>
        <v>Quest Item</v>
      </c>
      <c r="C492" s="1"/>
      <c r="D492" s="1" t="str">
        <f>IFERROR(__xludf.DUMMYFUNCTION("""COMPUTED_VALUE"""),"Legs")</f>
        <v>Legs</v>
      </c>
      <c r="E492" s="1">
        <f>IFERROR(__xludf.DUMMYFUNCTION("""COMPUTED_VALUE"""),200.0)</f>
        <v>200</v>
      </c>
      <c r="F492" s="1" t="str">
        <f>IFERROR(__xludf.DUMMYFUNCTION("""COMPUTED_VALUE"""),"DEF: +20000, Fire DEF: +5000, Earth DEF: +35000, Celestial DEF: +20000 ++Blessing of Stone I: 2X Earth Damage +-Paladin or Knight Class Only +-Can only equip one")</f>
        <v>DEF: +20000, Fire DEF: +5000, Earth DEF: +35000, Celestial DEF: +20000 ++Blessing of Stone I: 2X Earth Damage +-Paladin or Knight Class Only +-Can only equip one</v>
      </c>
      <c r="G492" s="1">
        <f>IFERROR(__xludf.DUMMYFUNCTION("""COMPUTED_VALUE"""),1.272E8)</f>
        <v>127200000</v>
      </c>
      <c r="H492" s="1"/>
      <c r="I492" s="1"/>
      <c r="J492" s="1"/>
      <c r="K492" s="1"/>
      <c r="L492" s="1"/>
      <c r="M492" s="1"/>
      <c r="N492" s="1"/>
      <c r="O492" s="1"/>
      <c r="P492" s="1"/>
      <c r="Q492" s="1"/>
      <c r="R492" s="1"/>
      <c r="S492" s="1"/>
      <c r="T492" s="1"/>
      <c r="U492" s="1"/>
      <c r="V492" s="1"/>
      <c r="W492" s="1"/>
      <c r="X492" s="1"/>
      <c r="Y492" s="1"/>
      <c r="Z492" s="1"/>
    </row>
    <row r="493">
      <c r="A493" s="1" t="str">
        <f>IFERROR(__xludf.DUMMYFUNCTION("""COMPUTED_VALUE"""),"Paladin of Gaia's Sabatons")</f>
        <v>Paladin of Gaia's Sabatons</v>
      </c>
      <c r="B493" s="1" t="str">
        <f>IFERROR(__xludf.DUMMYFUNCTION("""COMPUTED_VALUE"""),"Quest Item")</f>
        <v>Quest Item</v>
      </c>
      <c r="C493" s="1"/>
      <c r="D493" s="1" t="str">
        <f>IFERROR(__xludf.DUMMYFUNCTION("""COMPUTED_VALUE"""),"Feet")</f>
        <v>Feet</v>
      </c>
      <c r="E493" s="1">
        <f>IFERROR(__xludf.DUMMYFUNCTION("""COMPUTED_VALUE"""),200.0)</f>
        <v>200</v>
      </c>
      <c r="F493" s="1" t="str">
        <f>IFERROR(__xludf.DUMMYFUNCTION("""COMPUTED_VALUE"""),"DEF: +20000, Fire DEF: +5000, Earth DEF: +35000, Celestial DEF: +20000 ++Blessing of Stone I: 2X Earth Damage +-Paladin or Knight Class Only +-Can only equip one")</f>
        <v>DEF: +20000, Fire DEF: +5000, Earth DEF: +35000, Celestial DEF: +20000 ++Blessing of Stone I: 2X Earth Damage +-Paladin or Knight Class Only +-Can only equip one</v>
      </c>
      <c r="G493" s="1">
        <f>IFERROR(__xludf.DUMMYFUNCTION("""COMPUTED_VALUE"""),1.272E8)</f>
        <v>127200000</v>
      </c>
      <c r="H493" s="1"/>
      <c r="I493" s="1"/>
      <c r="J493" s="1"/>
      <c r="K493" s="1"/>
      <c r="L493" s="1"/>
      <c r="M493" s="1"/>
      <c r="N493" s="1"/>
      <c r="O493" s="1"/>
      <c r="P493" s="1"/>
      <c r="Q493" s="1"/>
      <c r="R493" s="1"/>
      <c r="S493" s="1"/>
      <c r="T493" s="1"/>
      <c r="U493" s="1"/>
      <c r="V493" s="1"/>
      <c r="W493" s="1"/>
      <c r="X493" s="1"/>
      <c r="Y493" s="1"/>
      <c r="Z493" s="1"/>
    </row>
    <row r="494">
      <c r="A494" s="1" t="str">
        <f>IFERROR(__xludf.DUMMYFUNCTION("""COMPUTED_VALUE"""),"Paladin of Gaia's Ruby Ring")</f>
        <v>Paladin of Gaia's Ruby Ring</v>
      </c>
      <c r="B494" s="1" t="str">
        <f>IFERROR(__xludf.DUMMYFUNCTION("""COMPUTED_VALUE"""),"Quest Item")</f>
        <v>Quest Item</v>
      </c>
      <c r="C494" s="1"/>
      <c r="D494" s="1" t="str">
        <f>IFERROR(__xludf.DUMMYFUNCTION("""COMPUTED_VALUE"""),"Ring")</f>
        <v>Ring</v>
      </c>
      <c r="E494" s="1">
        <f>IFERROR(__xludf.DUMMYFUNCTION("""COMPUTED_VALUE"""),1.0)</f>
        <v>1</v>
      </c>
      <c r="F494" s="1" t="str">
        <f>IFERROR(__xludf.DUMMYFUNCTION("""COMPUTED_VALUE""")," ++Blessing of Stone II: 4X Earth Damage 
++Gaia's Tenacity I: 5% chance to revive after death +-Paladin or Knight Class Only +-Cannot be forged +-Cannot be duplicated +-Can only equip one")</f>
        <v> ++Blessing of Stone II: 4X Earth Damage 
++Gaia's Tenacity I: 5% chance to revive after death +-Paladin or Knight Class Only +-Cannot be forged +-Cannot be duplicated +-Can only equip one</v>
      </c>
      <c r="G494" s="1">
        <f>IFERROR(__xludf.DUMMYFUNCTION("""COMPUTED_VALUE"""),0.0)</f>
        <v>0</v>
      </c>
      <c r="H494" s="1"/>
      <c r="I494" s="1"/>
      <c r="J494" s="1"/>
      <c r="K494" s="1"/>
      <c r="L494" s="1"/>
      <c r="M494" s="1"/>
      <c r="N494" s="1"/>
      <c r="O494" s="1"/>
      <c r="P494" s="1"/>
      <c r="Q494" s="1"/>
      <c r="R494" s="1"/>
      <c r="S494" s="1"/>
      <c r="T494" s="1"/>
      <c r="U494" s="1"/>
      <c r="V494" s="1"/>
      <c r="W494" s="1"/>
      <c r="X494" s="1"/>
      <c r="Y494" s="1"/>
      <c r="Z494" s="1"/>
    </row>
    <row r="495">
      <c r="A495" s="1" t="str">
        <f>IFERROR(__xludf.DUMMYFUNCTION("""COMPUTED_VALUE"""),"Paladin of Gaia's Emerald Pendant")</f>
        <v>Paladin of Gaia's Emerald Pendant</v>
      </c>
      <c r="B495" s="1" t="str">
        <f>IFERROR(__xludf.DUMMYFUNCTION("""COMPUTED_VALUE"""),"Quest Item")</f>
        <v>Quest Item</v>
      </c>
      <c r="C495" s="1"/>
      <c r="D495" s="1" t="str">
        <f>IFERROR(__xludf.DUMMYFUNCTION("""COMPUTED_VALUE"""),"Neck")</f>
        <v>Neck</v>
      </c>
      <c r="E495" s="1">
        <f>IFERROR(__xludf.DUMMYFUNCTION("""COMPUTED_VALUE"""),1.0)</f>
        <v>1</v>
      </c>
      <c r="F495" s="1" t="str">
        <f>IFERROR(__xludf.DUMMYFUNCTION("""COMPUTED_VALUE""")," ++Blessing of Stone II: 4X Earth Damage 
++Gaia's Blessing I: 4X defense for self and allies 100 sp (Once per battle) +-(Paladin or Knight Class Only)")</f>
        <v> ++Blessing of Stone II: 4X Earth Damage 
++Gaia's Blessing I: 4X defense for self and allies 100 sp (Once per battle) +-(Paladin or Knight Class Only)</v>
      </c>
      <c r="G495" s="1">
        <f>IFERROR(__xludf.DUMMYFUNCTION("""COMPUTED_VALUE"""),0.0)</f>
        <v>0</v>
      </c>
      <c r="H495" s="1"/>
      <c r="I495" s="1"/>
      <c r="J495" s="1"/>
      <c r="K495" s="1"/>
      <c r="L495" s="1"/>
      <c r="M495" s="1"/>
      <c r="N495" s="1"/>
      <c r="O495" s="1"/>
      <c r="P495" s="1"/>
      <c r="Q495" s="1"/>
      <c r="R495" s="1"/>
      <c r="S495" s="1"/>
      <c r="T495" s="1"/>
      <c r="U495" s="1"/>
      <c r="V495" s="1"/>
      <c r="W495" s="1"/>
      <c r="X495" s="1"/>
      <c r="Y495" s="1"/>
      <c r="Z495" s="1"/>
    </row>
    <row r="496">
      <c r="A496" s="1" t="str">
        <f>IFERROR(__xludf.DUMMYFUNCTION("""COMPUTED_VALUE"""),"The Blacksmith's Forged Battleaxe ")</f>
        <v>The Blacksmith's Forged Battleaxe </v>
      </c>
      <c r="B496" s="1" t="str">
        <f>IFERROR(__xludf.DUMMYFUNCTION("""COMPUTED_VALUE"""),"Mob Exclusive")</f>
        <v>Mob Exclusive</v>
      </c>
      <c r="C496" s="1" t="str">
        <f>IFERROR(__xludf.DUMMYFUNCTION("""COMPUTED_VALUE"""),"Axe")</f>
        <v>Axe</v>
      </c>
      <c r="D496" s="1" t="str">
        <f>IFERROR(__xludf.DUMMYFUNCTION("""COMPUTED_VALUE"""),"Hand")</f>
        <v>Hand</v>
      </c>
      <c r="E496" s="1">
        <f>IFERROR(__xludf.DUMMYFUNCTION("""COMPUTED_VALUE"""),200.0)</f>
        <v>200</v>
      </c>
      <c r="F496" s="1" t="str">
        <f>IFERROR(__xludf.DUMMYFUNCTION("""COMPUTED_VALUE"""),"DMG: +100000, Fire DMG: +100000, Celestial DMG: +50000 (Hephaestus' Set) ++Forged Fury: Attacks with this weapon hit all enemies (all enemies can roll to evade). ++X2 Weapon damage")</f>
        <v>DMG: +100000, Fire DMG: +100000, Celestial DMG: +50000 (Hephaestus' Set) ++Forged Fury: Attacks with this weapon hit all enemies (all enemies can roll to evade). ++X2 Weapon damage</v>
      </c>
      <c r="G496" s="1">
        <f>IFERROR(__xludf.DUMMYFUNCTION("""COMPUTED_VALUE"""),1.2475E9)</f>
        <v>1247500000</v>
      </c>
      <c r="H496" s="1"/>
      <c r="I496" s="1"/>
      <c r="J496" s="1"/>
      <c r="K496" s="1"/>
      <c r="L496" s="1"/>
      <c r="M496" s="1"/>
      <c r="N496" s="1"/>
      <c r="O496" s="1"/>
      <c r="P496" s="1"/>
      <c r="Q496" s="1"/>
      <c r="R496" s="1"/>
      <c r="S496" s="1"/>
      <c r="T496" s="1"/>
      <c r="U496" s="1"/>
      <c r="V496" s="1"/>
      <c r="W496" s="1"/>
      <c r="X496" s="1"/>
      <c r="Y496" s="1"/>
      <c r="Z496" s="1"/>
    </row>
    <row r="497">
      <c r="A497" s="1" t="str">
        <f>IFERROR(__xludf.DUMMYFUNCTION("""COMPUTED_VALUE"""),"The Blacksmith's Forged Sword")</f>
        <v>The Blacksmith's Forged Sword</v>
      </c>
      <c r="B497" s="1" t="str">
        <f>IFERROR(__xludf.DUMMYFUNCTION("""COMPUTED_VALUE"""),"Mob Exclusive")</f>
        <v>Mob Exclusive</v>
      </c>
      <c r="C497" s="1" t="str">
        <f>IFERROR(__xludf.DUMMYFUNCTION("""COMPUTED_VALUE"""),"Sword")</f>
        <v>Sword</v>
      </c>
      <c r="D497" s="1" t="str">
        <f>IFERROR(__xludf.DUMMYFUNCTION("""COMPUTED_VALUE"""),"Hand")</f>
        <v>Hand</v>
      </c>
      <c r="E497" s="1">
        <f>IFERROR(__xludf.DUMMYFUNCTION("""COMPUTED_VALUE"""),200.0)</f>
        <v>200</v>
      </c>
      <c r="F497" s="1" t="str">
        <f>IFERROR(__xludf.DUMMYFUNCTION("""COMPUTED_VALUE"""),"DMG: +100000, Fire DMG: +100000, Celestial DMG: +50000 (Hephaestus' Set) ++Elemental Gem Slash: This weapon will have a 25% chance each to cast the following powers when attacking with this weapon; Molten Ruby Spikes, Searing Sapphire Strike, Energizing E"&amp;"merald Pulse.")</f>
        <v>DMG: +100000, Fire DMG: +100000, Celestial DMG: +50000 (Hephaestus' Set) ++Elemental Gem Slash: This weapon will have a 25% chance each to cast the following powers when attacking with this weapon; Molten Ruby Spikes, Searing Sapphire Strike, Energizing Emerald Pulse.</v>
      </c>
      <c r="G497" s="1">
        <f>IFERROR(__xludf.DUMMYFUNCTION("""COMPUTED_VALUE"""),1.2475E9)</f>
        <v>1247500000</v>
      </c>
      <c r="H497" s="1"/>
      <c r="I497" s="1"/>
      <c r="J497" s="1"/>
      <c r="K497" s="1"/>
      <c r="L497" s="1"/>
      <c r="M497" s="1"/>
      <c r="N497" s="1"/>
      <c r="O497" s="1"/>
      <c r="P497" s="1"/>
      <c r="Q497" s="1"/>
      <c r="R497" s="1"/>
      <c r="S497" s="1"/>
      <c r="T497" s="1"/>
      <c r="U497" s="1"/>
      <c r="V497" s="1"/>
      <c r="W497" s="1"/>
      <c r="X497" s="1"/>
      <c r="Y497" s="1"/>
      <c r="Z497" s="1"/>
    </row>
    <row r="498">
      <c r="A498" s="1" t="str">
        <f>IFERROR(__xludf.DUMMYFUNCTION("""COMPUTED_VALUE"""),"The Blacksmith's Forged Helmet")</f>
        <v>The Blacksmith's Forged Helmet</v>
      </c>
      <c r="B498" s="1" t="str">
        <f>IFERROR(__xludf.DUMMYFUNCTION("""COMPUTED_VALUE"""),"Mob Exclusive")</f>
        <v>Mob Exclusive</v>
      </c>
      <c r="C498" s="1"/>
      <c r="D498" s="1" t="str">
        <f>IFERROR(__xludf.DUMMYFUNCTION("""COMPUTED_VALUE"""),"Head")</f>
        <v>Head</v>
      </c>
      <c r="E498" s="1">
        <f>IFERROR(__xludf.DUMMYFUNCTION("""COMPUTED_VALUE"""),4000.0)</f>
        <v>4000</v>
      </c>
      <c r="F498" s="1" t="str">
        <f>IFERROR(__xludf.DUMMYFUNCTION("""COMPUTED_VALUE"""),"DEF: +200000 (Hephaestus' Set) ++Immune to freezing. ++Hephaestus' Fury: shoot an eye ray causing 10,000 damage (you cannot dodge this). ++X2 defense for self")</f>
        <v>DEF: +200000 (Hephaestus' Set) ++Immune to freezing. ++Hephaestus' Fury: shoot an eye ray causing 10,000 damage (you cannot dodge this). ++X2 defense for self</v>
      </c>
      <c r="G498" s="1">
        <f>IFERROR(__xludf.DUMMYFUNCTION("""COMPUTED_VALUE"""),7.98E8)</f>
        <v>798000000</v>
      </c>
      <c r="H498" s="1"/>
      <c r="I498" s="1"/>
      <c r="J498" s="1"/>
      <c r="K498" s="1"/>
      <c r="L498" s="1"/>
      <c r="M498" s="1"/>
      <c r="N498" s="1"/>
      <c r="O498" s="1"/>
      <c r="P498" s="1"/>
      <c r="Q498" s="1"/>
      <c r="R498" s="1"/>
      <c r="S498" s="1"/>
      <c r="T498" s="1"/>
      <c r="U498" s="1"/>
      <c r="V498" s="1"/>
      <c r="W498" s="1"/>
      <c r="X498" s="1"/>
      <c r="Y498" s="1"/>
      <c r="Z498" s="1"/>
    </row>
    <row r="499">
      <c r="A499" s="1" t="str">
        <f>IFERROR(__xludf.DUMMYFUNCTION("""COMPUTED_VALUE"""),"The Blacksmith's Forged Pauldrons")</f>
        <v>The Blacksmith's Forged Pauldrons</v>
      </c>
      <c r="B499" s="1" t="str">
        <f>IFERROR(__xludf.DUMMYFUNCTION("""COMPUTED_VALUE"""),"Mob Exclusive")</f>
        <v>Mob Exclusive</v>
      </c>
      <c r="C499" s="1"/>
      <c r="D499" s="1" t="str">
        <f>IFERROR(__xludf.DUMMYFUNCTION("""COMPUTED_VALUE"""),"Shoulders")</f>
        <v>Shoulders</v>
      </c>
      <c r="E499" s="1">
        <f>IFERROR(__xludf.DUMMYFUNCTION("""COMPUTED_VALUE"""),4000.0)</f>
        <v>4000</v>
      </c>
      <c r="F499" s="1" t="str">
        <f>IFERROR(__xludf.DUMMYFUNCTION("""COMPUTED_VALUE"""),"DEF: +200000 (Hephaestus' Set) ++Immune to Celestial. ++When Equipped you are invulnerable to damage unless you attack. ++When you battle with any undead you can deal X2 damage")</f>
        <v>DEF: +200000 (Hephaestus' Set) ++Immune to Celestial. ++When Equipped you are invulnerable to damage unless you attack. ++When you battle with any undead you can deal X2 damage</v>
      </c>
      <c r="G499" s="1">
        <f>IFERROR(__xludf.DUMMYFUNCTION("""COMPUTED_VALUE"""),7.98E8)</f>
        <v>798000000</v>
      </c>
      <c r="H499" s="1"/>
      <c r="I499" s="1"/>
      <c r="J499" s="1"/>
      <c r="K499" s="1"/>
      <c r="L499" s="1"/>
      <c r="M499" s="1"/>
      <c r="N499" s="1"/>
      <c r="O499" s="1"/>
      <c r="P499" s="1"/>
      <c r="Q499" s="1"/>
      <c r="R499" s="1"/>
      <c r="S499" s="1"/>
      <c r="T499" s="1"/>
      <c r="U499" s="1"/>
      <c r="V499" s="1"/>
      <c r="W499" s="1"/>
      <c r="X499" s="1"/>
      <c r="Y499" s="1"/>
      <c r="Z499" s="1"/>
    </row>
    <row r="500">
      <c r="A500" s="1" t="str">
        <f>IFERROR(__xludf.DUMMYFUNCTION("""COMPUTED_VALUE"""),"The Blacksmith's Forged Vambraces")</f>
        <v>The Blacksmith's Forged Vambraces</v>
      </c>
      <c r="B500" s="1" t="str">
        <f>IFERROR(__xludf.DUMMYFUNCTION("""COMPUTED_VALUE"""),"Mob Exclusive")</f>
        <v>Mob Exclusive</v>
      </c>
      <c r="C500" s="1"/>
      <c r="D500" s="1" t="str">
        <f>IFERROR(__xludf.DUMMYFUNCTION("""COMPUTED_VALUE"""),"Arms")</f>
        <v>Arms</v>
      </c>
      <c r="E500" s="1">
        <f>IFERROR(__xludf.DUMMYFUNCTION("""COMPUTED_VALUE"""),4000.0)</f>
        <v>4000</v>
      </c>
      <c r="F500" s="1" t="str">
        <f>IFERROR(__xludf.DUMMYFUNCTION("""COMPUTED_VALUE"""),"DEF: +200000 (Hephaestus' Set) ++Immune to Chaos and Dark. ++Upon taking fire damage instead heal by 5X that fire damage. ++Take 2X water Damage")</f>
        <v>DEF: +200000 (Hephaestus' Set) ++Immune to Chaos and Dark. ++Upon taking fire damage instead heal by 5X that fire damage. ++Take 2X water Damage</v>
      </c>
      <c r="G500" s="1">
        <f>IFERROR(__xludf.DUMMYFUNCTION("""COMPUTED_VALUE"""),7.98E8)</f>
        <v>798000000</v>
      </c>
      <c r="H500" s="1"/>
      <c r="I500" s="1"/>
      <c r="J500" s="1"/>
      <c r="K500" s="1"/>
      <c r="L500" s="1"/>
      <c r="M500" s="1"/>
      <c r="N500" s="1"/>
      <c r="O500" s="1"/>
      <c r="P500" s="1"/>
      <c r="Q500" s="1"/>
      <c r="R500" s="1"/>
      <c r="S500" s="1"/>
      <c r="T500" s="1"/>
      <c r="U500" s="1"/>
      <c r="V500" s="1"/>
      <c r="W500" s="1"/>
      <c r="X500" s="1"/>
      <c r="Y500" s="1"/>
      <c r="Z500" s="1"/>
    </row>
    <row r="501">
      <c r="A501" s="1" t="str">
        <f>IFERROR(__xludf.DUMMYFUNCTION("""COMPUTED_VALUE"""),"The Blacksmith's Forged Greaves")</f>
        <v>The Blacksmith's Forged Greaves</v>
      </c>
      <c r="B501" s="1" t="str">
        <f>IFERROR(__xludf.DUMMYFUNCTION("""COMPUTED_VALUE"""),"Mob Exclusive")</f>
        <v>Mob Exclusive</v>
      </c>
      <c r="C501" s="1"/>
      <c r="D501" s="1" t="str">
        <f>IFERROR(__xludf.DUMMYFUNCTION("""COMPUTED_VALUE"""),"Legs")</f>
        <v>Legs</v>
      </c>
      <c r="E501" s="1">
        <f>IFERROR(__xludf.DUMMYFUNCTION("""COMPUTED_VALUE"""),4000.0)</f>
        <v>4000</v>
      </c>
      <c r="F501" s="1" t="str">
        <f>IFERROR(__xludf.DUMMYFUNCTION("""COMPUTED_VALUE"""),"DEF: +200000 (Hephaestus' Set) ++When attacking with a weapon you have a 25% chance of attacking again with the same weapon. ++Increases all types of Damage by X2. ++Hephaetus's Undying Rage: Upon being killed or removed from battle revive with full healt"&amp;"h (once per battle)")</f>
        <v>DEF: +200000 (Hephaestus' Set) ++When attacking with a weapon you have a 25% chance of attacking again with the same weapon. ++Increases all types of Damage by X2. ++Hephaetus's Undying Rage: Upon being killed or removed from battle revive with full health (once per battle)</v>
      </c>
      <c r="G501" s="1">
        <f>IFERROR(__xludf.DUMMYFUNCTION("""COMPUTED_VALUE"""),7.98E8)</f>
        <v>798000000</v>
      </c>
      <c r="H501" s="1"/>
      <c r="I501" s="1"/>
      <c r="J501" s="1"/>
      <c r="K501" s="1"/>
      <c r="L501" s="1"/>
      <c r="M501" s="1"/>
      <c r="N501" s="1"/>
      <c r="O501" s="1"/>
      <c r="P501" s="1"/>
      <c r="Q501" s="1"/>
      <c r="R501" s="1"/>
      <c r="S501" s="1"/>
      <c r="T501" s="1"/>
      <c r="U501" s="1"/>
      <c r="V501" s="1"/>
      <c r="W501" s="1"/>
      <c r="X501" s="1"/>
      <c r="Y501" s="1"/>
      <c r="Z501" s="1"/>
    </row>
    <row r="502">
      <c r="A502" s="1" t="str">
        <f>IFERROR(__xludf.DUMMYFUNCTION("""COMPUTED_VALUE"""),"The Blacksmith's Forged Sabatons")</f>
        <v>The Blacksmith's Forged Sabatons</v>
      </c>
      <c r="B502" s="1" t="str">
        <f>IFERROR(__xludf.DUMMYFUNCTION("""COMPUTED_VALUE"""),"Mob Exclusive")</f>
        <v>Mob Exclusive</v>
      </c>
      <c r="C502" s="1"/>
      <c r="D502" s="1" t="str">
        <f>IFERROR(__xludf.DUMMYFUNCTION("""COMPUTED_VALUE"""),"Feet")</f>
        <v>Feet</v>
      </c>
      <c r="E502" s="1">
        <f>IFERROR(__xludf.DUMMYFUNCTION("""COMPUTED_VALUE"""),4000.0)</f>
        <v>4000</v>
      </c>
      <c r="F502" s="1" t="str">
        <f>IFERROR(__xludf.DUMMYFUNCTION("""COMPUTED_VALUE"""),"DEF: +200000 (Hephaestus' Set) ++At the start of your turn roll a d20 unaffected by roll bonuses 1-10 no effect 11-20 you act twice on your turn (does not stack with chaincast). ++Heavy Stomp: Causes enemies to be stunned for 1 round with a fail/succeed r"&amp;"oll (cooldown: 3 rounds). ++all weapons deal X2 Damage")</f>
        <v>DEF: +200000 (Hephaestus' Set) ++At the start of your turn roll a d20 unaffected by roll bonuses 1-10 no effect 11-20 you act twice on your turn (does not stack with chaincast). ++Heavy Stomp: Causes enemies to be stunned for 1 round with a fail/succeed roll (cooldown: 3 rounds). ++all weapons deal X2 Damage</v>
      </c>
      <c r="G502" s="1">
        <f>IFERROR(__xludf.DUMMYFUNCTION("""COMPUTED_VALUE"""),7.98E8)</f>
        <v>798000000</v>
      </c>
      <c r="H502" s="1"/>
      <c r="I502" s="1"/>
      <c r="J502" s="1"/>
      <c r="K502" s="1"/>
      <c r="L502" s="1"/>
      <c r="M502" s="1"/>
      <c r="N502" s="1"/>
      <c r="O502" s="1"/>
      <c r="P502" s="1"/>
      <c r="Q502" s="1"/>
      <c r="R502" s="1"/>
      <c r="S502" s="1"/>
      <c r="T502" s="1"/>
      <c r="U502" s="1"/>
      <c r="V502" s="1"/>
      <c r="W502" s="1"/>
      <c r="X502" s="1"/>
      <c r="Y502" s="1"/>
      <c r="Z502" s="1"/>
    </row>
    <row r="503">
      <c r="A503" s="1" t="str">
        <f>IFERROR(__xludf.DUMMYFUNCTION("""COMPUTED_VALUE"""),"The Blacksmith's Forged Cuirasses")</f>
        <v>The Blacksmith's Forged Cuirasses</v>
      </c>
      <c r="B503" s="1" t="str">
        <f>IFERROR(__xludf.DUMMYFUNCTION("""COMPUTED_VALUE"""),"Mob Exclusive")</f>
        <v>Mob Exclusive</v>
      </c>
      <c r="C503" s="1"/>
      <c r="D503" s="1" t="str">
        <f>IFERROR(__xludf.DUMMYFUNCTION("""COMPUTED_VALUE"""),"Torso")</f>
        <v>Torso</v>
      </c>
      <c r="E503" s="1">
        <f>IFERROR(__xludf.DUMMYFUNCTION("""COMPUTED_VALUE"""),4000.0)</f>
        <v>4000</v>
      </c>
      <c r="F503" s="1" t="str">
        <f>IFERROR(__xludf.DUMMYFUNCTION("""COMPUTED_VALUE"""),"DEF: +200000 (Hephaestus' Set) ++10 to all d20 rolls. ++50% to all percentage based abilities. ++Upon taking damage 25% chance to blind the one that hits you giving them blindness 3")</f>
        <v>DEF: +200000 (Hephaestus' Set) ++10 to all d20 rolls. ++50% to all percentage based abilities. ++Upon taking damage 25% chance to blind the one that hits you giving them blindness 3</v>
      </c>
      <c r="G503" s="1">
        <f>IFERROR(__xludf.DUMMYFUNCTION("""COMPUTED_VALUE"""),7.98E8)</f>
        <v>798000000</v>
      </c>
      <c r="H503" s="1"/>
      <c r="I503" s="1"/>
      <c r="J503" s="1"/>
      <c r="K503" s="1"/>
      <c r="L503" s="1"/>
      <c r="M503" s="1"/>
      <c r="N503" s="1"/>
      <c r="O503" s="1"/>
      <c r="P503" s="1"/>
      <c r="Q503" s="1"/>
      <c r="R503" s="1"/>
      <c r="S503" s="1"/>
      <c r="T503" s="1"/>
      <c r="U503" s="1"/>
      <c r="V503" s="1"/>
      <c r="W503" s="1"/>
      <c r="X503" s="1"/>
      <c r="Y503" s="1"/>
      <c r="Z503" s="1"/>
    </row>
    <row r="504">
      <c r="A504" s="1" t="str">
        <f>IFERROR(__xludf.DUMMYFUNCTION("""COMPUTED_VALUE"""),"The Blacksmith's Forged Ring")</f>
        <v>The Blacksmith's Forged Ring</v>
      </c>
      <c r="B504" s="1" t="str">
        <f>IFERROR(__xludf.DUMMYFUNCTION("""COMPUTED_VALUE"""),"Mob Exclusive")</f>
        <v>Mob Exclusive</v>
      </c>
      <c r="C504" s="1"/>
      <c r="D504" s="1" t="str">
        <f>IFERROR(__xludf.DUMMYFUNCTION("""COMPUTED_VALUE"""),"Ring")</f>
        <v>Ring</v>
      </c>
      <c r="E504" s="1">
        <f>IFERROR(__xludf.DUMMYFUNCTION("""COMPUTED_VALUE"""),1.0)</f>
        <v>1</v>
      </c>
      <c r="F504" s="1" t="str">
        <f>IFERROR(__xludf.DUMMYFUNCTION("""COMPUTED_VALUE""")," (Hephaestus' Set) ++Increase all types of damage by X2. ++Causes instant death with a fail/succeed roll. ++Inflict half the damage you take back to the enemy that dealt it for the first 3 rounds of battle.")</f>
        <v> (Hephaestus' Set) ++Increase all types of damage by X2. ++Causes instant death with a fail/succeed roll. ++Inflict half the damage you take back to the enemy that dealt it for the first 3 rounds of battle.</v>
      </c>
      <c r="G504" s="1">
        <f>IFERROR(__xludf.DUMMYFUNCTION("""COMPUTED_VALUE"""),0.0)</f>
        <v>0</v>
      </c>
      <c r="H504" s="1"/>
      <c r="I504" s="1"/>
      <c r="J504" s="1"/>
      <c r="K504" s="1"/>
      <c r="L504" s="1"/>
      <c r="M504" s="1"/>
      <c r="N504" s="1"/>
      <c r="O504" s="1"/>
      <c r="P504" s="1"/>
      <c r="Q504" s="1"/>
      <c r="R504" s="1"/>
      <c r="S504" s="1"/>
      <c r="T504" s="1"/>
      <c r="U504" s="1"/>
      <c r="V504" s="1"/>
      <c r="W504" s="1"/>
      <c r="X504" s="1"/>
      <c r="Y504" s="1"/>
      <c r="Z504" s="1"/>
    </row>
    <row r="505">
      <c r="A505" s="1" t="str">
        <f>IFERROR(__xludf.DUMMYFUNCTION("""COMPUTED_VALUE"""),"The Blacksmith's Forged Pendant")</f>
        <v>The Blacksmith's Forged Pendant</v>
      </c>
      <c r="B505" s="1" t="str">
        <f>IFERROR(__xludf.DUMMYFUNCTION("""COMPUTED_VALUE"""),"Mob Exclusive")</f>
        <v>Mob Exclusive</v>
      </c>
      <c r="C505" s="1"/>
      <c r="D505" s="1" t="str">
        <f>IFERROR(__xludf.DUMMYFUNCTION("""COMPUTED_VALUE"""),"Neck")</f>
        <v>Neck</v>
      </c>
      <c r="E505" s="1">
        <f>IFERROR(__xludf.DUMMYFUNCTION("""COMPUTED_VALUE"""),1.0)</f>
        <v>1</v>
      </c>
      <c r="F505" s="1" t="str">
        <f>IFERROR(__xludf.DUMMYFUNCTION("""COMPUTED_VALUE""")," (Hephaestus' Set) ++Forged items now deal double in damage for the wearer. ++If you kill an enemy with a weapon your HP and SP will fully be restored. ++Enemies deduct 2 from their rolls when targeting you")</f>
        <v> (Hephaestus' Set) ++Forged items now deal double in damage for the wearer. ++If you kill an enemy with a weapon your HP and SP will fully be restored. ++Enemies deduct 2 from their rolls when targeting you</v>
      </c>
      <c r="G505" s="1">
        <f>IFERROR(__xludf.DUMMYFUNCTION("""COMPUTED_VALUE"""),0.0)</f>
        <v>0</v>
      </c>
      <c r="H505" s="1"/>
      <c r="I505" s="1"/>
      <c r="J505" s="1"/>
      <c r="K505" s="1"/>
      <c r="L505" s="1"/>
      <c r="M505" s="1"/>
      <c r="N505" s="1"/>
      <c r="O505" s="1"/>
      <c r="P505" s="1"/>
      <c r="Q505" s="1"/>
      <c r="R505" s="1"/>
      <c r="S505" s="1"/>
      <c r="T505" s="1"/>
      <c r="U505" s="1"/>
      <c r="V505" s="1"/>
      <c r="W505" s="1"/>
      <c r="X505" s="1"/>
      <c r="Y505" s="1"/>
      <c r="Z505" s="1"/>
    </row>
    <row r="506">
      <c r="A506" s="1" t="str">
        <f>IFERROR(__xludf.DUMMYFUNCTION("""COMPUTED_VALUE"""),"The Blacksmith's Ring of Green Hatred")</f>
        <v>The Blacksmith's Ring of Green Hatred</v>
      </c>
      <c r="B506" s="1" t="str">
        <f>IFERROR(__xludf.DUMMYFUNCTION("""COMPUTED_VALUE"""),"Mob Exclusive")</f>
        <v>Mob Exclusive</v>
      </c>
      <c r="C506" s="1"/>
      <c r="D506" s="1" t="str">
        <f>IFERROR(__xludf.DUMMYFUNCTION("""COMPUTED_VALUE"""),"Ring")</f>
        <v>Ring</v>
      </c>
      <c r="E506" s="1">
        <f>IFERROR(__xludf.DUMMYFUNCTION("""COMPUTED_VALUE"""),1.0)</f>
        <v>1</v>
      </c>
      <c r="F506" s="1" t="str">
        <f>IFERROR(__xludf.DUMMYFUNCTION("""COMPUTED_VALUE""")," (Hephaestus' Set) ++All attacks deal X10 damage against any enemies with the starting town of Forest View.")</f>
        <v> (Hephaestus' Set) ++All attacks deal X10 damage against any enemies with the starting town of Forest View.</v>
      </c>
      <c r="G506" s="1">
        <f>IFERROR(__xludf.DUMMYFUNCTION("""COMPUTED_VALUE"""),0.0)</f>
        <v>0</v>
      </c>
      <c r="H506" s="1"/>
      <c r="I506" s="1"/>
      <c r="J506" s="1"/>
      <c r="K506" s="1"/>
      <c r="L506" s="1"/>
      <c r="M506" s="1"/>
      <c r="N506" s="1"/>
      <c r="O506" s="1"/>
      <c r="P506" s="1"/>
      <c r="Q506" s="1"/>
      <c r="R506" s="1"/>
      <c r="S506" s="1"/>
      <c r="T506" s="1"/>
      <c r="U506" s="1"/>
      <c r="V506" s="1"/>
      <c r="W506" s="1"/>
      <c r="X506" s="1"/>
      <c r="Y506" s="1"/>
      <c r="Z506" s="1"/>
    </row>
    <row r="507">
      <c r="A507" s="1" t="str">
        <f>IFERROR(__xludf.DUMMYFUNCTION("""COMPUTED_VALUE"""),"Ring o' Strength and Fire")</f>
        <v>Ring o' Strength and Fire</v>
      </c>
      <c r="B507" s="1"/>
      <c r="C507" s="1"/>
      <c r="D507" s="1" t="str">
        <f>IFERROR(__xludf.DUMMYFUNCTION("""COMPUTED_VALUE"""),"Ring")</f>
        <v>Ring</v>
      </c>
      <c r="E507" s="1">
        <f>IFERROR(__xludf.DUMMYFUNCTION("""COMPUTED_VALUE"""),1.0)</f>
        <v>1</v>
      </c>
      <c r="F507" s="1" t="str">
        <f>IFERROR(__xludf.DUMMYFUNCTION("""COMPUTED_VALUE""")," ++Grants immunity to fire. ++Grants X2 damage. +-Can only equip one +-Cannot be duplicated")</f>
        <v> ++Grants immunity to fire. ++Grants X2 damage. +-Can only equip one +-Cannot be duplicated</v>
      </c>
      <c r="G507" s="1">
        <f>IFERROR(__xludf.DUMMYFUNCTION("""COMPUTED_VALUE"""),0.0)</f>
        <v>0</v>
      </c>
      <c r="H507" s="1"/>
      <c r="I507" s="1"/>
      <c r="J507" s="1"/>
      <c r="K507" s="1"/>
      <c r="L507" s="1"/>
      <c r="M507" s="1"/>
      <c r="N507" s="1"/>
      <c r="O507" s="1"/>
      <c r="P507" s="1"/>
      <c r="Q507" s="1"/>
      <c r="R507" s="1"/>
      <c r="S507" s="1"/>
      <c r="T507" s="1"/>
      <c r="U507" s="1"/>
      <c r="V507" s="1"/>
      <c r="W507" s="1"/>
      <c r="X507" s="1"/>
      <c r="Y507" s="1"/>
      <c r="Z507" s="1"/>
    </row>
    <row r="508">
      <c r="A508" s="1" t="str">
        <f>IFERROR(__xludf.DUMMYFUNCTION("""COMPUTED_VALUE"""),"Ring o' Fortitude and Earth")</f>
        <v>Ring o' Fortitude and Earth</v>
      </c>
      <c r="B508" s="1"/>
      <c r="C508" s="1"/>
      <c r="D508" s="1" t="str">
        <f>IFERROR(__xludf.DUMMYFUNCTION("""COMPUTED_VALUE"""),"Ring")</f>
        <v>Ring</v>
      </c>
      <c r="E508" s="1">
        <f>IFERROR(__xludf.DUMMYFUNCTION("""COMPUTED_VALUE"""),1.0)</f>
        <v>1</v>
      </c>
      <c r="F508" s="1" t="str">
        <f>IFERROR(__xludf.DUMMYFUNCTION("""COMPUTED_VALUE""")," ++Grants immunity to Earth. ++Grants X2 Defense. +-Can only equip one +-Cannot be duplicated")</f>
        <v> ++Grants immunity to Earth. ++Grants X2 Defense. +-Can only equip one +-Cannot be duplicated</v>
      </c>
      <c r="G508" s="1">
        <f>IFERROR(__xludf.DUMMYFUNCTION("""COMPUTED_VALUE"""),0.0)</f>
        <v>0</v>
      </c>
      <c r="H508" s="1"/>
      <c r="I508" s="1"/>
      <c r="J508" s="1"/>
      <c r="K508" s="1"/>
      <c r="L508" s="1"/>
      <c r="M508" s="1"/>
      <c r="N508" s="1"/>
      <c r="O508" s="1"/>
      <c r="P508" s="1"/>
      <c r="Q508" s="1"/>
      <c r="R508" s="1"/>
      <c r="S508" s="1"/>
      <c r="T508" s="1"/>
      <c r="U508" s="1"/>
      <c r="V508" s="1"/>
      <c r="W508" s="1"/>
      <c r="X508" s="1"/>
      <c r="Y508" s="1"/>
      <c r="Z508" s="1"/>
    </row>
    <row r="509">
      <c r="A509" s="1" t="str">
        <f>IFERROR(__xludf.DUMMYFUNCTION("""COMPUTED_VALUE"""),"Ring o' Agility and Water")</f>
        <v>Ring o' Agility and Water</v>
      </c>
      <c r="B509" s="1"/>
      <c r="C509" s="1"/>
      <c r="D509" s="1" t="str">
        <f>IFERROR(__xludf.DUMMYFUNCTION("""COMPUTED_VALUE"""),"Ring")</f>
        <v>Ring</v>
      </c>
      <c r="E509" s="1">
        <f>IFERROR(__xludf.DUMMYFUNCTION("""COMPUTED_VALUE"""),1.0)</f>
        <v>1</v>
      </c>
      <c r="F509" s="1" t="str">
        <f>IFERROR(__xludf.DUMMYFUNCTION("""COMPUTED_VALUE""")," ++Grants Immunity to Water. ++Grants +5 to evasion. +-Can only equip one +-Cannot be duplicated")</f>
        <v> ++Grants Immunity to Water. ++Grants +5 to evasion. +-Can only equip one +-Cannot be duplicated</v>
      </c>
      <c r="G509" s="1">
        <f>IFERROR(__xludf.DUMMYFUNCTION("""COMPUTED_VALUE"""),0.0)</f>
        <v>0</v>
      </c>
      <c r="H509" s="1"/>
      <c r="I509" s="1"/>
      <c r="J509" s="1"/>
      <c r="K509" s="1"/>
      <c r="L509" s="1"/>
      <c r="M509" s="1"/>
      <c r="N509" s="1"/>
      <c r="O509" s="1"/>
      <c r="P509" s="1"/>
      <c r="Q509" s="1"/>
      <c r="R509" s="1"/>
      <c r="S509" s="1"/>
      <c r="T509" s="1"/>
      <c r="U509" s="1"/>
      <c r="V509" s="1"/>
      <c r="W509" s="1"/>
      <c r="X509" s="1"/>
      <c r="Y509" s="1"/>
      <c r="Z509" s="1"/>
    </row>
    <row r="510">
      <c r="A510" s="1" t="str">
        <f>IFERROR(__xludf.DUMMYFUNCTION("""COMPUTED_VALUE"""),"Ring o' Power and Delta")</f>
        <v>Ring o' Power and Delta</v>
      </c>
      <c r="B510" s="1"/>
      <c r="C510" s="1"/>
      <c r="D510" s="1" t="str">
        <f>IFERROR(__xludf.DUMMYFUNCTION("""COMPUTED_VALUE"""),"Ring")</f>
        <v>Ring</v>
      </c>
      <c r="E510" s="1">
        <f>IFERROR(__xludf.DUMMYFUNCTION("""COMPUTED_VALUE"""),1.0)</f>
        <v>1</v>
      </c>
      <c r="F510" s="1" t="str">
        <f>IFERROR(__xludf.DUMMYFUNCTION("""COMPUTED_VALUE""")," ++Grants X4 Delta damage. ++Take Half delta damage. +-Can only equip one +-Cannot be duplicated")</f>
        <v> ++Grants X4 Delta damage. ++Take Half delta damage. +-Can only equip one +-Cannot be duplicated</v>
      </c>
      <c r="G510" s="1">
        <f>IFERROR(__xludf.DUMMYFUNCTION("""COMPUTED_VALUE"""),0.0)</f>
        <v>0</v>
      </c>
      <c r="H510" s="1"/>
      <c r="I510" s="1"/>
      <c r="J510" s="1"/>
      <c r="K510" s="1"/>
      <c r="L510" s="1"/>
      <c r="M510" s="1"/>
      <c r="N510" s="1"/>
      <c r="O510" s="1"/>
      <c r="P510" s="1"/>
      <c r="Q510" s="1"/>
      <c r="R510" s="1"/>
      <c r="S510" s="1"/>
      <c r="T510" s="1"/>
      <c r="U510" s="1"/>
      <c r="V510" s="1"/>
      <c r="W510" s="1"/>
      <c r="X510" s="1"/>
      <c r="Y510" s="1"/>
      <c r="Z510" s="1"/>
    </row>
    <row r="511">
      <c r="A511" s="1" t="str">
        <f>IFERROR(__xludf.DUMMYFUNCTION("""COMPUTED_VALUE"""),"Ring o' Courage and Order")</f>
        <v>Ring o' Courage and Order</v>
      </c>
      <c r="B511" s="1"/>
      <c r="C511" s="1"/>
      <c r="D511" s="1" t="str">
        <f>IFERROR(__xludf.DUMMYFUNCTION("""COMPUTED_VALUE"""),"Ring")</f>
        <v>Ring</v>
      </c>
      <c r="E511" s="1">
        <f>IFERROR(__xludf.DUMMYFUNCTION("""COMPUTED_VALUE"""),1.0)</f>
        <v>1</v>
      </c>
      <c r="F511" s="1" t="str">
        <f>IFERROR(__xludf.DUMMYFUNCTION("""COMPUTED_VALUE""")," ++Grants Immunity to Order. ++Enemies halve their rolls when fleeing. +-Can only equip one +-Cannot be duplicated")</f>
        <v> ++Grants Immunity to Order. ++Enemies halve their rolls when fleeing. +-Can only equip one +-Cannot be duplicated</v>
      </c>
      <c r="G511" s="1">
        <f>IFERROR(__xludf.DUMMYFUNCTION("""COMPUTED_VALUE"""),0.0)</f>
        <v>0</v>
      </c>
      <c r="H511" s="1"/>
      <c r="I511" s="1"/>
      <c r="J511" s="1"/>
      <c r="K511" s="1"/>
      <c r="L511" s="1"/>
      <c r="M511" s="1"/>
      <c r="N511" s="1"/>
      <c r="O511" s="1"/>
      <c r="P511" s="1"/>
      <c r="Q511" s="1"/>
      <c r="R511" s="1"/>
      <c r="S511" s="1"/>
      <c r="T511" s="1"/>
      <c r="U511" s="1"/>
      <c r="V511" s="1"/>
      <c r="W511" s="1"/>
      <c r="X511" s="1"/>
      <c r="Y511" s="1"/>
      <c r="Z511" s="1"/>
    </row>
    <row r="512">
      <c r="A512" s="1" t="str">
        <f>IFERROR(__xludf.DUMMYFUNCTION("""COMPUTED_VALUE"""),"Ring o' Resilience and Physicality")</f>
        <v>Ring o' Resilience and Physicality</v>
      </c>
      <c r="B512" s="1"/>
      <c r="C512" s="1"/>
      <c r="D512" s="1" t="str">
        <f>IFERROR(__xludf.DUMMYFUNCTION("""COMPUTED_VALUE"""),"Ring")</f>
        <v>Ring</v>
      </c>
      <c r="E512" s="1">
        <f>IFERROR(__xludf.DUMMYFUNCTION("""COMPUTED_VALUE"""),1.0)</f>
        <v>1</v>
      </c>
      <c r="F512" s="1" t="str">
        <f>IFERROR(__xludf.DUMMYFUNCTION("""COMPUTED_VALUE""")," ++Grants Immunity to Natural attacks. ++Grants +5 Mobility. +-Can only equip one +-Cannot be duplicated")</f>
        <v> ++Grants Immunity to Natural attacks. ++Grants +5 Mobility. +-Can only equip one +-Cannot be duplicated</v>
      </c>
      <c r="G512" s="1">
        <f>IFERROR(__xludf.DUMMYFUNCTION("""COMPUTED_VALUE"""),0.0)</f>
        <v>0</v>
      </c>
      <c r="H512" s="1"/>
      <c r="I512" s="1"/>
      <c r="J512" s="1"/>
      <c r="K512" s="1"/>
      <c r="L512" s="1"/>
      <c r="M512" s="1"/>
      <c r="N512" s="1"/>
      <c r="O512" s="1"/>
      <c r="P512" s="1"/>
      <c r="Q512" s="1"/>
      <c r="R512" s="1"/>
      <c r="S512" s="1"/>
      <c r="T512" s="1"/>
      <c r="U512" s="1"/>
      <c r="V512" s="1"/>
      <c r="W512" s="1"/>
      <c r="X512" s="1"/>
      <c r="Y512" s="1"/>
      <c r="Z512" s="1"/>
    </row>
    <row r="513">
      <c r="A513" s="1" t="str">
        <f>IFERROR(__xludf.DUMMYFUNCTION("""COMPUTED_VALUE"""),"Ring o' Insanity and Chaos")</f>
        <v>Ring o' Insanity and Chaos</v>
      </c>
      <c r="B513" s="1"/>
      <c r="C513" s="1"/>
      <c r="D513" s="1" t="str">
        <f>IFERROR(__xludf.DUMMYFUNCTION("""COMPUTED_VALUE"""),"Ring")</f>
        <v>Ring</v>
      </c>
      <c r="E513" s="1">
        <f>IFERROR(__xludf.DUMMYFUNCTION("""COMPUTED_VALUE"""),1.0)</f>
        <v>1</v>
      </c>
      <c r="F513" s="1" t="str">
        <f>IFERROR(__xludf.DUMMYFUNCTION("""COMPUTED_VALUE""")," ++Grants Immunity to Chaos. +5 to Intimidation. +-Can only equip one +-Cannot be duplicated")</f>
        <v> ++Grants Immunity to Chaos. +5 to Intimidation. +-Can only equip one +-Cannot be duplicated</v>
      </c>
      <c r="G513" s="1">
        <f>IFERROR(__xludf.DUMMYFUNCTION("""COMPUTED_VALUE"""),0.0)</f>
        <v>0</v>
      </c>
      <c r="H513" s="1"/>
      <c r="I513" s="1"/>
      <c r="J513" s="1"/>
      <c r="K513" s="1"/>
      <c r="L513" s="1"/>
      <c r="M513" s="1"/>
      <c r="N513" s="1"/>
      <c r="O513" s="1"/>
      <c r="P513" s="1"/>
      <c r="Q513" s="1"/>
      <c r="R513" s="1"/>
      <c r="S513" s="1"/>
      <c r="T513" s="1"/>
      <c r="U513" s="1"/>
      <c r="V513" s="1"/>
      <c r="W513" s="1"/>
      <c r="X513" s="1"/>
      <c r="Y513" s="1"/>
      <c r="Z513" s="1"/>
    </row>
    <row r="514">
      <c r="A514" s="1" t="str">
        <f>IFERROR(__xludf.DUMMYFUNCTION("""COMPUTED_VALUE"""),"Ring o' Debonair and Light")</f>
        <v>Ring o' Debonair and Light</v>
      </c>
      <c r="B514" s="1"/>
      <c r="C514" s="1"/>
      <c r="D514" s="1" t="str">
        <f>IFERROR(__xludf.DUMMYFUNCTION("""COMPUTED_VALUE"""),"Ring")</f>
        <v>Ring</v>
      </c>
      <c r="E514" s="1">
        <f>IFERROR(__xludf.DUMMYFUNCTION("""COMPUTED_VALUE"""),1.0)</f>
        <v>1</v>
      </c>
      <c r="F514" s="1" t="str">
        <f>IFERROR(__xludf.DUMMYFUNCTION("""COMPUTED_VALUE""")," ++Grants Immunity to Light. +5 to Charisma. +-Can only equip one +-Cannot be duplicated")</f>
        <v> ++Grants Immunity to Light. +5 to Charisma. +-Can only equip one +-Cannot be duplicated</v>
      </c>
      <c r="G514" s="1">
        <f>IFERROR(__xludf.DUMMYFUNCTION("""COMPUTED_VALUE"""),0.0)</f>
        <v>0</v>
      </c>
      <c r="H514" s="1"/>
      <c r="I514" s="1"/>
      <c r="J514" s="1"/>
      <c r="K514" s="1"/>
      <c r="L514" s="1"/>
      <c r="M514" s="1"/>
      <c r="N514" s="1"/>
      <c r="O514" s="1"/>
      <c r="P514" s="1"/>
      <c r="Q514" s="1"/>
      <c r="R514" s="1"/>
      <c r="S514" s="1"/>
      <c r="T514" s="1"/>
      <c r="U514" s="1"/>
      <c r="V514" s="1"/>
      <c r="W514" s="1"/>
      <c r="X514" s="1"/>
      <c r="Y514" s="1"/>
      <c r="Z514" s="1"/>
    </row>
    <row r="515">
      <c r="A515" s="1" t="str">
        <f>IFERROR(__xludf.DUMMYFUNCTION("""COMPUTED_VALUE"""),"Ring o' Spite and Blood")</f>
        <v>Ring o' Spite and Blood</v>
      </c>
      <c r="B515" s="1"/>
      <c r="C515" s="1"/>
      <c r="D515" s="1" t="str">
        <f>IFERROR(__xludf.DUMMYFUNCTION("""COMPUTED_VALUE"""),"Ring")</f>
        <v>Ring</v>
      </c>
      <c r="E515" s="1">
        <f>IFERROR(__xludf.DUMMYFUNCTION("""COMPUTED_VALUE"""),1.0)</f>
        <v>1</v>
      </c>
      <c r="F515" s="1" t="str">
        <f>IFERROR(__xludf.DUMMYFUNCTION("""COMPUTED_VALUE""")," ++Grants Immunity to Blood. ++X4 Blood damage, ++Deal X4 damage to any enemy who attempted to attack you. +-Can only equip one +-Cannot be duplicated")</f>
        <v> ++Grants Immunity to Blood. ++X4 Blood damage, ++Deal X4 damage to any enemy who attempted to attack you. +-Can only equip one +-Cannot be duplicated</v>
      </c>
      <c r="G515" s="1">
        <f>IFERROR(__xludf.DUMMYFUNCTION("""COMPUTED_VALUE"""),0.0)</f>
        <v>0</v>
      </c>
      <c r="H515" s="1"/>
      <c r="I515" s="1"/>
      <c r="J515" s="1"/>
      <c r="K515" s="1"/>
      <c r="L515" s="1"/>
      <c r="M515" s="1"/>
      <c r="N515" s="1"/>
      <c r="O515" s="1"/>
      <c r="P515" s="1"/>
      <c r="Q515" s="1"/>
      <c r="R515" s="1"/>
      <c r="S515" s="1"/>
      <c r="T515" s="1"/>
      <c r="U515" s="1"/>
      <c r="V515" s="1"/>
      <c r="W515" s="1"/>
      <c r="X515" s="1"/>
      <c r="Y515" s="1"/>
      <c r="Z515" s="1"/>
    </row>
    <row r="516">
      <c r="A516" s="1" t="str">
        <f>IFERROR(__xludf.DUMMYFUNCTION("""COMPUTED_VALUE"""),"Ring o' Neurodivergence and Spirit")</f>
        <v>Ring o' Neurodivergence and Spirit</v>
      </c>
      <c r="B516" s="1"/>
      <c r="C516" s="1"/>
      <c r="D516" s="1" t="str">
        <f>IFERROR(__xludf.DUMMYFUNCTION("""COMPUTED_VALUE"""),"Ring")</f>
        <v>Ring</v>
      </c>
      <c r="E516" s="1">
        <f>IFERROR(__xludf.DUMMYFUNCTION("""COMPUTED_VALUE"""),1.0)</f>
        <v>1</v>
      </c>
      <c r="F516" s="1" t="str">
        <f>IFERROR(__xludf.DUMMYFUNCTION("""COMPUTED_VALUE""")," ++Grants Immunity to Spirit. ++As an action you can Create a clone of yourself who has the same stats as yourself once per battle, 200 sp. +-Can only equip one +-Cannot be duplicated")</f>
        <v> ++Grants Immunity to Spirit. ++As an action you can Create a clone of yourself who has the same stats as yourself once per battle, 200 sp. +-Can only equip one +-Cannot be duplicated</v>
      </c>
      <c r="G516" s="1">
        <f>IFERROR(__xludf.DUMMYFUNCTION("""COMPUTED_VALUE"""),0.0)</f>
        <v>0</v>
      </c>
      <c r="H516" s="1"/>
      <c r="I516" s="1"/>
      <c r="J516" s="1"/>
      <c r="K516" s="1"/>
      <c r="L516" s="1"/>
      <c r="M516" s="1"/>
      <c r="N516" s="1"/>
      <c r="O516" s="1"/>
      <c r="P516" s="1"/>
      <c r="Q516" s="1"/>
      <c r="R516" s="1"/>
      <c r="S516" s="1"/>
      <c r="T516" s="1"/>
      <c r="U516" s="1"/>
      <c r="V516" s="1"/>
      <c r="W516" s="1"/>
      <c r="X516" s="1"/>
      <c r="Y516" s="1"/>
      <c r="Z516" s="1"/>
    </row>
    <row r="517">
      <c r="A517" s="1" t="str">
        <f>IFERROR(__xludf.DUMMYFUNCTION("""COMPUTED_VALUE"""),"Ring o' Impassivity and Storm")</f>
        <v>Ring o' Impassivity and Storm</v>
      </c>
      <c r="B517" s="1"/>
      <c r="C517" s="1"/>
      <c r="D517" s="1" t="str">
        <f>IFERROR(__xludf.DUMMYFUNCTION("""COMPUTED_VALUE"""),"Ring")</f>
        <v>Ring</v>
      </c>
      <c r="E517" s="1">
        <f>IFERROR(__xludf.DUMMYFUNCTION("""COMPUTED_VALUE"""),1.0)</f>
        <v>1</v>
      </c>
      <c r="F517" s="1" t="str">
        <f>IFERROR(__xludf.DUMMYFUNCTION("""COMPUTED_VALUE""")," ++Grants Immunity to Storm. ++20% chance to be unaffected by magic that affects you including your own. +-Can only equip one +-Cannot be duplicated")</f>
        <v> ++Grants Immunity to Storm. ++20% chance to be unaffected by magic that affects you including your own. +-Can only equip one +-Cannot be duplicated</v>
      </c>
      <c r="G517" s="1">
        <f>IFERROR(__xludf.DUMMYFUNCTION("""COMPUTED_VALUE"""),0.0)</f>
        <v>0</v>
      </c>
      <c r="H517" s="1"/>
      <c r="I517" s="1"/>
      <c r="J517" s="1"/>
      <c r="K517" s="1"/>
      <c r="L517" s="1"/>
      <c r="M517" s="1"/>
      <c r="N517" s="1"/>
      <c r="O517" s="1"/>
      <c r="P517" s="1"/>
      <c r="Q517" s="1"/>
      <c r="R517" s="1"/>
      <c r="S517" s="1"/>
      <c r="T517" s="1"/>
      <c r="U517" s="1"/>
      <c r="V517" s="1"/>
      <c r="W517" s="1"/>
      <c r="X517" s="1"/>
      <c r="Y517" s="1"/>
      <c r="Z517" s="1"/>
    </row>
    <row r="518">
      <c r="A518" s="1" t="str">
        <f>IFERROR(__xludf.DUMMYFUNCTION("""COMPUTED_VALUE"""),"Ring o' Rigidity and Stasis")</f>
        <v>Ring o' Rigidity and Stasis</v>
      </c>
      <c r="B518" s="1"/>
      <c r="C518" s="1"/>
      <c r="D518" s="1" t="str">
        <f>IFERROR(__xludf.DUMMYFUNCTION("""COMPUTED_VALUE"""),"Ring")</f>
        <v>Ring</v>
      </c>
      <c r="E518" s="1">
        <f>IFERROR(__xludf.DUMMYFUNCTION("""COMPUTED_VALUE"""),1.0)</f>
        <v>1</v>
      </c>
      <c r="F518" s="1" t="str">
        <f>IFERROR(__xludf.DUMMYFUNCTION("""COMPUTED_VALUE""")," ++You take half Damage from both Chaos and Light. ++Grants a 30% chance to be unaffected by status affects. +-Can only equip one +-Cannot be duplicated")</f>
        <v> ++You take half Damage from both Chaos and Light. ++Grants a 30% chance to be unaffected by status affects. +-Can only equip one +-Cannot be duplicated</v>
      </c>
      <c r="G518" s="1">
        <f>IFERROR(__xludf.DUMMYFUNCTION("""COMPUTED_VALUE"""),0.0)</f>
        <v>0</v>
      </c>
      <c r="H518" s="1"/>
      <c r="I518" s="1"/>
      <c r="J518" s="1"/>
      <c r="K518" s="1"/>
      <c r="L518" s="1"/>
      <c r="M518" s="1"/>
      <c r="N518" s="1"/>
      <c r="O518" s="1"/>
      <c r="P518" s="1"/>
      <c r="Q518" s="1"/>
      <c r="R518" s="1"/>
      <c r="S518" s="1"/>
      <c r="T518" s="1"/>
      <c r="U518" s="1"/>
      <c r="V518" s="1"/>
      <c r="W518" s="1"/>
      <c r="X518" s="1"/>
      <c r="Y518" s="1"/>
      <c r="Z518" s="1"/>
    </row>
    <row r="519">
      <c r="A519" s="1" t="str">
        <f>IFERROR(__xludf.DUMMYFUNCTION("""COMPUTED_VALUE"""),"Ring o' Loyalty and Celestial")</f>
        <v>Ring o' Loyalty and Celestial</v>
      </c>
      <c r="B519" s="1"/>
      <c r="C519" s="1"/>
      <c r="D519" s="1" t="str">
        <f>IFERROR(__xludf.DUMMYFUNCTION("""COMPUTED_VALUE"""),"Ring")</f>
        <v>Ring</v>
      </c>
      <c r="E519" s="1">
        <f>IFERROR(__xludf.DUMMYFUNCTION("""COMPUTED_VALUE"""),1.0)</f>
        <v>1</v>
      </c>
      <c r="F519" s="1" t="str">
        <f>IFERROR(__xludf.DUMMYFUNCTION("""COMPUTED_VALUE""")," ++Grants X6 Celestial damage. Take half damage from celestial. +-Can only equip one +-Cannot be duplicated")</f>
        <v> ++Grants X6 Celestial damage. Take half damage from celestial. +-Can only equip one +-Cannot be duplicated</v>
      </c>
      <c r="G519" s="1">
        <f>IFERROR(__xludf.DUMMYFUNCTION("""COMPUTED_VALUE"""),0.0)</f>
        <v>0</v>
      </c>
      <c r="H519" s="1"/>
      <c r="I519" s="1"/>
      <c r="J519" s="1"/>
      <c r="K519" s="1"/>
      <c r="L519" s="1"/>
      <c r="M519" s="1"/>
      <c r="N519" s="1"/>
      <c r="O519" s="1"/>
      <c r="P519" s="1"/>
      <c r="Q519" s="1"/>
      <c r="R519" s="1"/>
      <c r="S519" s="1"/>
      <c r="T519" s="1"/>
      <c r="U519" s="1"/>
      <c r="V519" s="1"/>
      <c r="W519" s="1"/>
      <c r="X519" s="1"/>
      <c r="Y519" s="1"/>
      <c r="Z519" s="1"/>
    </row>
    <row r="520">
      <c r="A520" s="1" t="str">
        <f>IFERROR(__xludf.DUMMYFUNCTION("""COMPUTED_VALUE"""),"Ring o' Arrogance and Twilight")</f>
        <v>Ring o' Arrogance and Twilight</v>
      </c>
      <c r="B520" s="1"/>
      <c r="C520" s="1"/>
      <c r="D520" s="1" t="str">
        <f>IFERROR(__xludf.DUMMYFUNCTION("""COMPUTED_VALUE"""),"Ring")</f>
        <v>Ring</v>
      </c>
      <c r="E520" s="1">
        <f>IFERROR(__xludf.DUMMYFUNCTION("""COMPUTED_VALUE"""),1.0)</f>
        <v>1</v>
      </c>
      <c r="F520" s="1" t="str">
        <f>IFERROR(__xludf.DUMMYFUNCTION("""COMPUTED_VALUE""")," ++You take Half Damage from both Light and Dark. Grants immunity to Instant Death. +-Can only equip one +-Cannot be duplicated")</f>
        <v> ++You take Half Damage from both Light and Dark. Grants immunity to Instant Death. +-Can only equip one +-Cannot be duplicated</v>
      </c>
      <c r="G520" s="1">
        <f>IFERROR(__xludf.DUMMYFUNCTION("""COMPUTED_VALUE"""),0.0)</f>
        <v>0</v>
      </c>
      <c r="H520" s="1"/>
      <c r="I520" s="1"/>
      <c r="J520" s="1"/>
      <c r="K520" s="1"/>
      <c r="L520" s="1"/>
      <c r="M520" s="1"/>
      <c r="N520" s="1"/>
      <c r="O520" s="1"/>
      <c r="P520" s="1"/>
      <c r="Q520" s="1"/>
      <c r="R520" s="1"/>
      <c r="S520" s="1"/>
      <c r="T520" s="1"/>
      <c r="U520" s="1"/>
      <c r="V520" s="1"/>
      <c r="W520" s="1"/>
      <c r="X520" s="1"/>
      <c r="Y520" s="1"/>
      <c r="Z520" s="1"/>
    </row>
    <row r="521">
      <c r="A521" s="1" t="str">
        <f>IFERROR(__xludf.DUMMYFUNCTION("""COMPUTED_VALUE"""),"Ring o' Grace and Astral")</f>
        <v>Ring o' Grace and Astral</v>
      </c>
      <c r="B521" s="1"/>
      <c r="C521" s="1"/>
      <c r="D521" s="1" t="str">
        <f>IFERROR(__xludf.DUMMYFUNCTION("""COMPUTED_VALUE"""),"Ring")</f>
        <v>Ring</v>
      </c>
      <c r="E521" s="1">
        <f>IFERROR(__xludf.DUMMYFUNCTION("""COMPUTED_VALUE"""),1.0)</f>
        <v>1</v>
      </c>
      <c r="F521" s="1" t="str">
        <f>IFERROR(__xludf.DUMMYFUNCTION("""COMPUTED_VALUE""")," ++Grants Immunity to Astral. ++You roll twice when rolling to evade and take the higher result. +-Can only equip one +-Cannot be duplicated")</f>
        <v> ++Grants Immunity to Astral. ++You roll twice when rolling to evade and take the higher result. +-Can only equip one +-Cannot be duplicated</v>
      </c>
      <c r="G521" s="1">
        <f>IFERROR(__xludf.DUMMYFUNCTION("""COMPUTED_VALUE"""),0.0)</f>
        <v>0</v>
      </c>
      <c r="H521" s="1"/>
      <c r="I521" s="1"/>
      <c r="J521" s="1"/>
      <c r="K521" s="1"/>
      <c r="L521" s="1"/>
      <c r="M521" s="1"/>
      <c r="N521" s="1"/>
      <c r="O521" s="1"/>
      <c r="P521" s="1"/>
      <c r="Q521" s="1"/>
      <c r="R521" s="1"/>
      <c r="S521" s="1"/>
      <c r="T521" s="1"/>
      <c r="U521" s="1"/>
      <c r="V521" s="1"/>
      <c r="W521" s="1"/>
      <c r="X521" s="1"/>
      <c r="Y521" s="1"/>
      <c r="Z521" s="1"/>
    </row>
    <row r="522">
      <c r="A522" s="1" t="str">
        <f>IFERROR(__xludf.DUMMYFUNCTION("""COMPUTED_VALUE"""),"Ring o' Villainy and Voodoo")</f>
        <v>Ring o' Villainy and Voodoo</v>
      </c>
      <c r="B522" s="1"/>
      <c r="C522" s="1"/>
      <c r="D522" s="1" t="str">
        <f>IFERROR(__xludf.DUMMYFUNCTION("""COMPUTED_VALUE"""),"Ring")</f>
        <v>Ring</v>
      </c>
      <c r="E522" s="1">
        <f>IFERROR(__xludf.DUMMYFUNCTION("""COMPUTED_VALUE"""),1.0)</f>
        <v>1</v>
      </c>
      <c r="F522" s="1" t="str">
        <f>IFERROR(__xludf.DUMMYFUNCTION("""COMPUTED_VALUE""")," ++Grants Immunity to Voodoo. ++You automatically succeed at using confiscate and get a ++2 to any roll related to committing a crime. X4 Voodoo damage. +-Can only equip one +-Cannot be duplicated. +-Cannot become a Spira guard if you wear this.")</f>
        <v> ++Grants Immunity to Voodoo. ++You automatically succeed at using confiscate and get a ++2 to any roll related to committing a crime. X4 Voodoo damage. +-Can only equip one +-Cannot be duplicated. +-Cannot become a Spira guard if you wear this.</v>
      </c>
      <c r="G522" s="1">
        <f>IFERROR(__xludf.DUMMYFUNCTION("""COMPUTED_VALUE"""),0.0)</f>
        <v>0</v>
      </c>
      <c r="H522" s="1"/>
      <c r="I522" s="1"/>
      <c r="J522" s="1"/>
      <c r="K522" s="1"/>
      <c r="L522" s="1"/>
      <c r="M522" s="1"/>
      <c r="N522" s="1"/>
      <c r="O522" s="1"/>
      <c r="P522" s="1"/>
      <c r="Q522" s="1"/>
      <c r="R522" s="1"/>
      <c r="S522" s="1"/>
      <c r="T522" s="1"/>
      <c r="U522" s="1"/>
      <c r="V522" s="1"/>
      <c r="W522" s="1"/>
      <c r="X522" s="1"/>
      <c r="Y522" s="1"/>
      <c r="Z522" s="1"/>
    </row>
    <row r="523">
      <c r="A523" s="1" t="str">
        <f>IFERROR(__xludf.DUMMYFUNCTION("""COMPUTED_VALUE"""),"The Bow of The Verdant Forest")</f>
        <v>The Bow of The Verdant Forest</v>
      </c>
      <c r="B523" s="1" t="str">
        <f>IFERROR(__xludf.DUMMYFUNCTION("""COMPUTED_VALUE"""),"Quest Item")</f>
        <v>Quest Item</v>
      </c>
      <c r="C523" s="1"/>
      <c r="D523" s="1" t="str">
        <f>IFERROR(__xludf.DUMMYFUNCTION("""COMPUTED_VALUE"""),"Hand")</f>
        <v>Hand</v>
      </c>
      <c r="E523" s="1">
        <f>IFERROR(__xludf.DUMMYFUNCTION("""COMPUTED_VALUE"""),200.0)</f>
        <v>200</v>
      </c>
      <c r="F523" s="1" t="str">
        <f>IFERROR(__xludf.DUMMYFUNCTION("""COMPUTED_VALUE"""),"DMG: +20000, Chaos DMG: +20000, Nature DMG: +20000, Celestial DMG: +5000 (Forest Paladin Set) ++X2 Nature damage. ++Verdant Shot: Fire a shot dealing your total defense as Nature damage 1000sp. +-Archer, Hunter, and Paladin of The Forest Class only.")</f>
        <v>DMG: +20000, Chaos DMG: +20000, Nature DMG: +20000, Celestial DMG: +5000 (Forest Paladin Set) ++X2 Nature damage. ++Verdant Shot: Fire a shot dealing your total defense as Nature damage 1000sp. +-Archer, Hunter, and Paladin of The Forest Class only.</v>
      </c>
      <c r="G523" s="1">
        <f>IFERROR(__xludf.DUMMYFUNCTION("""COMPUTED_VALUE"""),8.385E7)</f>
        <v>83850000</v>
      </c>
      <c r="H523" s="1"/>
      <c r="I523" s="1"/>
      <c r="J523" s="1"/>
      <c r="K523" s="1"/>
      <c r="L523" s="1"/>
      <c r="M523" s="1"/>
      <c r="N523" s="1"/>
      <c r="O523" s="1"/>
      <c r="P523" s="1"/>
      <c r="Q523" s="1"/>
      <c r="R523" s="1"/>
      <c r="S523" s="1"/>
      <c r="T523" s="1"/>
      <c r="U523" s="1"/>
      <c r="V523" s="1"/>
      <c r="W523" s="1"/>
      <c r="X523" s="1"/>
      <c r="Y523" s="1"/>
      <c r="Z523" s="1"/>
    </row>
    <row r="524">
      <c r="A524" s="1" t="str">
        <f>IFERROR(__xludf.DUMMYFUNCTION("""COMPUTED_VALUE"""),"Enchanted Wooden Buckler of The Verdant Forest")</f>
        <v>Enchanted Wooden Buckler of The Verdant Forest</v>
      </c>
      <c r="B524" s="1" t="str">
        <f>IFERROR(__xludf.DUMMYFUNCTION("""COMPUTED_VALUE"""),"Quest Item")</f>
        <v>Quest Item</v>
      </c>
      <c r="C524" s="1"/>
      <c r="D524" s="1" t="str">
        <f>IFERROR(__xludf.DUMMYFUNCTION("""COMPUTED_VALUE"""),"Hand")</f>
        <v>Hand</v>
      </c>
      <c r="E524" s="1">
        <f>IFERROR(__xludf.DUMMYFUNCTION("""COMPUTED_VALUE"""),200.0)</f>
        <v>200</v>
      </c>
      <c r="F524" s="1" t="str">
        <f>IFERROR(__xludf.DUMMYFUNCTION("""COMPUTED_VALUE"""),"DEF: +50000, Water DEF: +25000, Order DEF: +25000, Celestial DEF: +25000 (Forest Paladin Set) ++Counted as a weapon for the purpose of the parry ability. ++Nature's Law: When Fighting in a Natural Environment your total defense is doubled. +-Archer, Hunte"&amp;"r, and Paladin of The Forest Class only.")</f>
        <v>DEF: +50000, Water DEF: +25000, Order DEF: +25000, Celestial DEF: +25000 (Forest Paladin Set) ++Counted as a weapon for the purpose of the parry ability. ++Nature's Law: When Fighting in a Natural Environment your total defense is doubled. +-Archer, Hunter, and Paladin of The Forest Class only.</v>
      </c>
      <c r="G524" s="1">
        <f>IFERROR(__xludf.DUMMYFUNCTION("""COMPUTED_VALUE"""),3.1125E8)</f>
        <v>311250000</v>
      </c>
      <c r="H524" s="1"/>
      <c r="I524" s="1"/>
      <c r="J524" s="1"/>
      <c r="K524" s="1"/>
      <c r="L524" s="1"/>
      <c r="M524" s="1"/>
      <c r="N524" s="1"/>
      <c r="O524" s="1"/>
      <c r="P524" s="1"/>
      <c r="Q524" s="1"/>
      <c r="R524" s="1"/>
      <c r="S524" s="1"/>
      <c r="T524" s="1"/>
      <c r="U524" s="1"/>
      <c r="V524" s="1"/>
      <c r="W524" s="1"/>
      <c r="X524" s="1"/>
      <c r="Y524" s="1"/>
      <c r="Z524" s="1"/>
    </row>
    <row r="525">
      <c r="A525" s="1" t="str">
        <f>IFERROR(__xludf.DUMMYFUNCTION("""COMPUTED_VALUE"""),"Cowl of the Eagle's Sight")</f>
        <v>Cowl of the Eagle's Sight</v>
      </c>
      <c r="B525" s="1" t="str">
        <f>IFERROR(__xludf.DUMMYFUNCTION("""COMPUTED_VALUE"""),"Quest Item")</f>
        <v>Quest Item</v>
      </c>
      <c r="C525" s="1"/>
      <c r="D525" s="1" t="str">
        <f>IFERROR(__xludf.DUMMYFUNCTION("""COMPUTED_VALUE"""),"Head")</f>
        <v>Head</v>
      </c>
      <c r="E525" s="1">
        <f>IFERROR(__xludf.DUMMYFUNCTION("""COMPUTED_VALUE"""),200.0)</f>
        <v>200</v>
      </c>
      <c r="F525" s="1" t="str">
        <f>IFERROR(__xludf.DUMMYFUNCTION("""COMPUTED_VALUE"""),"DEF: +20000, Water DEF: +10000, Order DEF: +10000, Celestial DEF: +10000 (Forest Paladin Set) ++Blessing of The Greens I: X2 Nature damage. ++Eagle Eyed: When in a forest you gain Truesight for the first round of battle. +-Archer, Hunter, and Paladin of T"&amp;"he Forest Class only.")</f>
        <v>DEF: +20000, Water DEF: +10000, Order DEF: +10000, Celestial DEF: +10000 (Forest Paladin Set) ++Blessing of The Greens I: X2 Nature damage. ++Eagle Eyed: When in a forest you gain Truesight for the first round of battle. +-Archer, Hunter, and Paladin of The Forest Class only.</v>
      </c>
      <c r="G525" s="1">
        <f>IFERROR(__xludf.DUMMYFUNCTION("""COMPUTED_VALUE"""),4.95E7)</f>
        <v>49500000</v>
      </c>
      <c r="H525" s="1"/>
      <c r="I525" s="1"/>
      <c r="J525" s="1"/>
      <c r="K525" s="1"/>
      <c r="L525" s="1"/>
      <c r="M525" s="1"/>
      <c r="N525" s="1"/>
      <c r="O525" s="1"/>
      <c r="P525" s="1"/>
      <c r="Q525" s="1"/>
      <c r="R525" s="1"/>
      <c r="S525" s="1"/>
      <c r="T525" s="1"/>
      <c r="U525" s="1"/>
      <c r="V525" s="1"/>
      <c r="W525" s="1"/>
      <c r="X525" s="1"/>
      <c r="Y525" s="1"/>
      <c r="Z525" s="1"/>
    </row>
    <row r="526">
      <c r="A526" s="1" t="str">
        <f>IFERROR(__xludf.DUMMYFUNCTION("""COMPUTED_VALUE"""),"Ailettes of the Forest's Splendor")</f>
        <v>Ailettes of the Forest's Splendor</v>
      </c>
      <c r="B526" s="1" t="str">
        <f>IFERROR(__xludf.DUMMYFUNCTION("""COMPUTED_VALUE"""),"Quest Item")</f>
        <v>Quest Item</v>
      </c>
      <c r="C526" s="1"/>
      <c r="D526" s="1" t="str">
        <f>IFERROR(__xludf.DUMMYFUNCTION("""COMPUTED_VALUE"""),"Shoulders")</f>
        <v>Shoulders</v>
      </c>
      <c r="E526" s="1">
        <f>IFERROR(__xludf.DUMMYFUNCTION("""COMPUTED_VALUE"""),200.0)</f>
        <v>200</v>
      </c>
      <c r="F526" s="1" t="str">
        <f>IFERROR(__xludf.DUMMYFUNCTION("""COMPUTED_VALUE"""),"DEF: +20000, Water DEF: +10000, Order DEF: +10000, Celestial DEF: +10000 (Forest Paladin Set) ++Blessing of The Quiver I: X2 Bow damage. +-Archer, Hunter, and Paladin of The Forest Class only.")</f>
        <v>DEF: +20000, Water DEF: +10000, Order DEF: +10000, Celestial DEF: +10000 (Forest Paladin Set) ++Blessing of The Quiver I: X2 Bow damage. +-Archer, Hunter, and Paladin of The Forest Class only.</v>
      </c>
      <c r="G526" s="1">
        <f>IFERROR(__xludf.DUMMYFUNCTION("""COMPUTED_VALUE"""),4.95E7)</f>
        <v>49500000</v>
      </c>
      <c r="H526" s="1"/>
      <c r="I526" s="1"/>
      <c r="J526" s="1"/>
      <c r="K526" s="1"/>
      <c r="L526" s="1"/>
      <c r="M526" s="1"/>
      <c r="N526" s="1"/>
      <c r="O526" s="1"/>
      <c r="P526" s="1"/>
      <c r="Q526" s="1"/>
      <c r="R526" s="1"/>
      <c r="S526" s="1"/>
      <c r="T526" s="1"/>
      <c r="U526" s="1"/>
      <c r="V526" s="1"/>
      <c r="W526" s="1"/>
      <c r="X526" s="1"/>
      <c r="Y526" s="1"/>
      <c r="Z526" s="1"/>
    </row>
    <row r="527">
      <c r="A527" s="1" t="str">
        <f>IFERROR(__xludf.DUMMYFUNCTION("""COMPUTED_VALUE"""),"Bracer of Trueshot")</f>
        <v>Bracer of Trueshot</v>
      </c>
      <c r="B527" s="1" t="str">
        <f>IFERROR(__xludf.DUMMYFUNCTION("""COMPUTED_VALUE"""),"Quest Item")</f>
        <v>Quest Item</v>
      </c>
      <c r="C527" s="1"/>
      <c r="D527" s="1" t="str">
        <f>IFERROR(__xludf.DUMMYFUNCTION("""COMPUTED_VALUE"""),"Arms")</f>
        <v>Arms</v>
      </c>
      <c r="E527" s="1">
        <f>IFERROR(__xludf.DUMMYFUNCTION("""COMPUTED_VALUE"""),200.0)</f>
        <v>200</v>
      </c>
      <c r="F527" s="1" t="str">
        <f>IFERROR(__xludf.DUMMYFUNCTION("""COMPUTED_VALUE"""),"DEF: +20000, Water DEF: +10000, Order DEF: +10000, Celestial DEF: +10000 (Forest Paladin Set) ++Blessing of The Forest's Quiver: X2 Nature and Bow damage. ++Deadly Aim: Upon killing an enemy with a bow you double your next attack roll with a bow. +-Archer"&amp;", Hunter, and Paladin of The Forest Class only.")</f>
        <v>DEF: +20000, Water DEF: +10000, Order DEF: +10000, Celestial DEF: +10000 (Forest Paladin Set) ++Blessing of The Forest's Quiver: X2 Nature and Bow damage. ++Deadly Aim: Upon killing an enemy with a bow you double your next attack roll with a bow. +-Archer, Hunter, and Paladin of The Forest Class only.</v>
      </c>
      <c r="G527" s="1">
        <f>IFERROR(__xludf.DUMMYFUNCTION("""COMPUTED_VALUE"""),4.95E7)</f>
        <v>49500000</v>
      </c>
      <c r="H527" s="1"/>
      <c r="I527" s="1"/>
      <c r="J527" s="1"/>
      <c r="K527" s="1"/>
      <c r="L527" s="1"/>
      <c r="M527" s="1"/>
      <c r="N527" s="1"/>
      <c r="O527" s="1"/>
      <c r="P527" s="1"/>
      <c r="Q527" s="1"/>
      <c r="R527" s="1"/>
      <c r="S527" s="1"/>
      <c r="T527" s="1"/>
      <c r="U527" s="1"/>
      <c r="V527" s="1"/>
      <c r="W527" s="1"/>
      <c r="X527" s="1"/>
      <c r="Y527" s="1"/>
      <c r="Z527" s="1"/>
    </row>
    <row r="528">
      <c r="A528" s="1" t="str">
        <f>IFERROR(__xludf.DUMMYFUNCTION("""COMPUTED_VALUE"""),"Leather Cuirass of Barkskin")</f>
        <v>Leather Cuirass of Barkskin</v>
      </c>
      <c r="B528" s="1" t="str">
        <f>IFERROR(__xludf.DUMMYFUNCTION("""COMPUTED_VALUE"""),"Quest Item")</f>
        <v>Quest Item</v>
      </c>
      <c r="C528" s="1"/>
      <c r="D528" s="1" t="str">
        <f>IFERROR(__xludf.DUMMYFUNCTION("""COMPUTED_VALUE"""),"Torso")</f>
        <v>Torso</v>
      </c>
      <c r="E528" s="1">
        <f>IFERROR(__xludf.DUMMYFUNCTION("""COMPUTED_VALUE"""),200.0)</f>
        <v>200</v>
      </c>
      <c r="F528" s="1" t="str">
        <f>IFERROR(__xludf.DUMMYFUNCTION("""COMPUTED_VALUE"""),"DEF: +30000, Water DEF: +15000, Order DEF: +15000, Celestial DEF: +15000 (Forest Paladin Set) ++Blessing of The Greens I: X2 Nature damage. ++Barkskin: X2 defense for self. 50 sp. +-Archer, Hunter, and Paladin of The Forest Class only.")</f>
        <v>DEF: +30000, Water DEF: +15000, Order DEF: +15000, Celestial DEF: +15000 (Forest Paladin Set) ++Blessing of The Greens I: X2 Nature damage. ++Barkskin: X2 defense for self. 50 sp. +-Archer, Hunter, and Paladin of The Forest Class only.</v>
      </c>
      <c r="G528" s="1">
        <f>IFERROR(__xludf.DUMMYFUNCTION("""COMPUTED_VALUE"""),1.1175E8)</f>
        <v>111750000</v>
      </c>
      <c r="H528" s="1"/>
      <c r="I528" s="1"/>
      <c r="J528" s="1"/>
      <c r="K528" s="1"/>
      <c r="L528" s="1"/>
      <c r="M528" s="1"/>
      <c r="N528" s="1"/>
      <c r="O528" s="1"/>
      <c r="P528" s="1"/>
      <c r="Q528" s="1"/>
      <c r="R528" s="1"/>
      <c r="S528" s="1"/>
      <c r="T528" s="1"/>
      <c r="U528" s="1"/>
      <c r="V528" s="1"/>
      <c r="W528" s="1"/>
      <c r="X528" s="1"/>
      <c r="Y528" s="1"/>
      <c r="Z528" s="1"/>
    </row>
    <row r="529">
      <c r="A529" s="1" t="str">
        <f>IFERROR(__xludf.DUMMYFUNCTION("""COMPUTED_VALUE"""),"Greaves of The Verdant Forest")</f>
        <v>Greaves of The Verdant Forest</v>
      </c>
      <c r="B529" s="1" t="str">
        <f>IFERROR(__xludf.DUMMYFUNCTION("""COMPUTED_VALUE"""),"Quest Item")</f>
        <v>Quest Item</v>
      </c>
      <c r="C529" s="1"/>
      <c r="D529" s="1" t="str">
        <f>IFERROR(__xludf.DUMMYFUNCTION("""COMPUTED_VALUE"""),"Legs")</f>
        <v>Legs</v>
      </c>
      <c r="E529" s="1">
        <f>IFERROR(__xludf.DUMMYFUNCTION("""COMPUTED_VALUE"""),200.0)</f>
        <v>200</v>
      </c>
      <c r="F529" s="1" t="str">
        <f>IFERROR(__xludf.DUMMYFUNCTION("""COMPUTED_VALUE"""),"DEF: +20000, Water DEF: +10000, Order DEF: +10000, Celestial DEF: +10000 (Forest Paladin Set) ++Blessing of The Quiver I: X2 Bow damage. +-Archer, Hunter, and Paladin of The Forest Class only.")</f>
        <v>DEF: +20000, Water DEF: +10000, Order DEF: +10000, Celestial DEF: +10000 (Forest Paladin Set) ++Blessing of The Quiver I: X2 Bow damage. +-Archer, Hunter, and Paladin of The Forest Class only.</v>
      </c>
      <c r="G529" s="1">
        <f>IFERROR(__xludf.DUMMYFUNCTION("""COMPUTED_VALUE"""),4.95E7)</f>
        <v>49500000</v>
      </c>
      <c r="H529" s="1"/>
      <c r="I529" s="1"/>
      <c r="J529" s="1"/>
      <c r="K529" s="1"/>
      <c r="L529" s="1"/>
      <c r="M529" s="1"/>
      <c r="N529" s="1"/>
      <c r="O529" s="1"/>
      <c r="P529" s="1"/>
      <c r="Q529" s="1"/>
      <c r="R529" s="1"/>
      <c r="S529" s="1"/>
      <c r="T529" s="1"/>
      <c r="U529" s="1"/>
      <c r="V529" s="1"/>
      <c r="W529" s="1"/>
      <c r="X529" s="1"/>
      <c r="Y529" s="1"/>
      <c r="Z529" s="1"/>
    </row>
    <row r="530">
      <c r="A530" s="1" t="str">
        <f>IFERROR(__xludf.DUMMYFUNCTION("""COMPUTED_VALUE"""),"Boots of The Verdant Forest")</f>
        <v>Boots of The Verdant Forest</v>
      </c>
      <c r="B530" s="1" t="str">
        <f>IFERROR(__xludf.DUMMYFUNCTION("""COMPUTED_VALUE"""),"Quest Item")</f>
        <v>Quest Item</v>
      </c>
      <c r="C530" s="1"/>
      <c r="D530" s="1" t="str">
        <f>IFERROR(__xludf.DUMMYFUNCTION("""COMPUTED_VALUE"""),"Feet")</f>
        <v>Feet</v>
      </c>
      <c r="E530" s="1">
        <f>IFERROR(__xludf.DUMMYFUNCTION("""COMPUTED_VALUE"""),200.0)</f>
        <v>200</v>
      </c>
      <c r="F530" s="1" t="str">
        <f>IFERROR(__xludf.DUMMYFUNCTION("""COMPUTED_VALUE"""),"DEF: +20000, Water DEF: +10000, Order DEF: +10000, Celestial DEF: +10000 (Forest Paladin Set) Blessing of The Greens I: X2 Nature damage. Deal X4 Nature damage for the first bow attack you make under the effect of haste +-Archer, Hunter, and Paladin of Th"&amp;"e Forest Class only.")</f>
        <v>DEF: +20000, Water DEF: +10000, Order DEF: +10000, Celestial DEF: +10000 (Forest Paladin Set) Blessing of The Greens I: X2 Nature damage. Deal X4 Nature damage for the first bow attack you make under the effect of haste +-Archer, Hunter, and Paladin of The Forest Class only.</v>
      </c>
      <c r="G530" s="1">
        <f>IFERROR(__xludf.DUMMYFUNCTION("""COMPUTED_VALUE"""),4.95E7)</f>
        <v>49500000</v>
      </c>
      <c r="H530" s="1"/>
      <c r="I530" s="1"/>
      <c r="J530" s="1"/>
      <c r="K530" s="1"/>
      <c r="L530" s="1"/>
      <c r="M530" s="1"/>
      <c r="N530" s="1"/>
      <c r="O530" s="1"/>
      <c r="P530" s="1"/>
      <c r="Q530" s="1"/>
      <c r="R530" s="1"/>
      <c r="S530" s="1"/>
      <c r="T530" s="1"/>
      <c r="U530" s="1"/>
      <c r="V530" s="1"/>
      <c r="W530" s="1"/>
      <c r="X530" s="1"/>
      <c r="Y530" s="1"/>
      <c r="Z530" s="1"/>
    </row>
    <row r="531">
      <c r="A531" s="1" t="str">
        <f>IFERROR(__xludf.DUMMYFUNCTION("""COMPUTED_VALUE"""),"Emerald Ring of The Forest")</f>
        <v>Emerald Ring of The Forest</v>
      </c>
      <c r="B531" s="1" t="str">
        <f>IFERROR(__xludf.DUMMYFUNCTION("""COMPUTED_VALUE"""),"Quest Item")</f>
        <v>Quest Item</v>
      </c>
      <c r="C531" s="1"/>
      <c r="D531" s="1" t="str">
        <f>IFERROR(__xludf.DUMMYFUNCTION("""COMPUTED_VALUE"""),"Ring")</f>
        <v>Ring</v>
      </c>
      <c r="E531" s="1">
        <f>IFERROR(__xludf.DUMMYFUNCTION("""COMPUTED_VALUE"""),1.0)</f>
        <v>1</v>
      </c>
      <c r="F531" s="1" t="str">
        <f>IFERROR(__xludf.DUMMYFUNCTION("""COMPUTED_VALUE""")," (Forest Paladin Set) ++Regrowth: Heals target by 5000 and grants them Invigorated 5, 75sp. ++X4 outgoing healing +-Archer, Hunter, and Paladin of The Forest Class only.")</f>
        <v> (Forest Paladin Set) ++Regrowth: Heals target by 5000 and grants them Invigorated 5, 75sp. ++X4 outgoing healing +-Archer, Hunter, and Paladin of The Forest Class only.</v>
      </c>
      <c r="G531" s="1">
        <f>IFERROR(__xludf.DUMMYFUNCTION("""COMPUTED_VALUE"""),0.0)</f>
        <v>0</v>
      </c>
      <c r="H531" s="1"/>
      <c r="I531" s="1"/>
      <c r="J531" s="1"/>
      <c r="K531" s="1"/>
      <c r="L531" s="1"/>
      <c r="M531" s="1"/>
      <c r="N531" s="1"/>
      <c r="O531" s="1"/>
      <c r="P531" s="1"/>
      <c r="Q531" s="1"/>
      <c r="R531" s="1"/>
      <c r="S531" s="1"/>
      <c r="T531" s="1"/>
      <c r="U531" s="1"/>
      <c r="V531" s="1"/>
      <c r="W531" s="1"/>
      <c r="X531" s="1"/>
      <c r="Y531" s="1"/>
      <c r="Z531" s="1"/>
    </row>
    <row r="532">
      <c r="A532" s="1" t="str">
        <f>IFERROR(__xludf.DUMMYFUNCTION("""COMPUTED_VALUE"""),"Emerald Amulet of The Forest")</f>
        <v>Emerald Amulet of The Forest</v>
      </c>
      <c r="B532" s="1" t="str">
        <f>IFERROR(__xludf.DUMMYFUNCTION("""COMPUTED_VALUE"""),"Quest Item")</f>
        <v>Quest Item</v>
      </c>
      <c r="C532" s="1"/>
      <c r="D532" s="1" t="str">
        <f>IFERROR(__xludf.DUMMYFUNCTION("""COMPUTED_VALUE"""),"Neck")</f>
        <v>Neck</v>
      </c>
      <c r="E532" s="1">
        <f>IFERROR(__xludf.DUMMYFUNCTION("""COMPUTED_VALUE"""),1.0)</f>
        <v>1</v>
      </c>
      <c r="F532" s="1" t="str">
        <f>IFERROR(__xludf.DUMMYFUNCTION("""COMPUTED_VALUE""")," (Forest Paladin Set) ++Artemis' Godly Grace: Grants all allies Invigorated 5, Haste 3, Truesight 3, and 4X defense and Nature Damage, can only be casted once per battle, 500 sp +-Archer, Hunter, and Paladin of The Forest Class only.")</f>
        <v> (Forest Paladin Set) ++Artemis' Godly Grace: Grants all allies Invigorated 5, Haste 3, Truesight 3, and 4X defense and Nature Damage, can only be casted once per battle, 500 sp +-Archer, Hunter, and Paladin of The Forest Class only.</v>
      </c>
      <c r="G532" s="1">
        <f>IFERROR(__xludf.DUMMYFUNCTION("""COMPUTED_VALUE"""),0.0)</f>
        <v>0</v>
      </c>
      <c r="H532" s="1"/>
      <c r="I532" s="1"/>
      <c r="J532" s="1"/>
      <c r="K532" s="1"/>
      <c r="L532" s="1"/>
      <c r="M532" s="1"/>
      <c r="N532" s="1"/>
      <c r="O532" s="1"/>
      <c r="P532" s="1"/>
      <c r="Q532" s="1"/>
      <c r="R532" s="1"/>
      <c r="S532" s="1"/>
      <c r="T532" s="1"/>
      <c r="U532" s="1"/>
      <c r="V532" s="1"/>
      <c r="W532" s="1"/>
      <c r="X532" s="1"/>
      <c r="Y532" s="1"/>
      <c r="Z532" s="1"/>
    </row>
    <row r="533">
      <c r="A533" s="1" t="str">
        <f>IFERROR(__xludf.DUMMYFUNCTION("""COMPUTED_VALUE"""),"Artemis' Crown of The Forest")</f>
        <v>Artemis' Crown of The Forest</v>
      </c>
      <c r="B533" s="1" t="str">
        <f>IFERROR(__xludf.DUMMYFUNCTION("""COMPUTED_VALUE"""),"Mob Exclusive. The crown that was gifted to Aranyani upon her ascension to godhood")</f>
        <v>Mob Exclusive. The crown that was gifted to Aranyani upon her ascension to godhood</v>
      </c>
      <c r="C533" s="1"/>
      <c r="D533" s="1" t="str">
        <f>IFERROR(__xludf.DUMMYFUNCTION("""COMPUTED_VALUE"""),"Head")</f>
        <v>Head</v>
      </c>
      <c r="E533" s="1">
        <f>IFERROR(__xludf.DUMMYFUNCTION("""COMPUTED_VALUE"""),2000.0)</f>
        <v>2000</v>
      </c>
      <c r="F533" s="1" t="str">
        <f>IFERROR(__xludf.DUMMYFUNCTION("""COMPUTED_VALUE"""),"DEF: +50000, Water DEF: +25000, Order DEF: +25000 ++Blessing of the Forest's Quiver II: X4 Nature and Bow damage. ++Eagle Eyed: When in a forest you gain Truesight for the first round of battle. ++Goddess's Cold Stare: 15% chance to Freeze all enemies (no"&amp;"t affected by modifiers) 1000SP. +-can only be equipped by Artemis.")</f>
        <v>DEF: +50000, Water DEF: +25000, Order DEF: +25000 ++Blessing of the Forest's Quiver II: X4 Nature and Bow damage. ++Eagle Eyed: When in a forest you gain Truesight for the first round of battle. ++Goddess's Cold Stare: 15% chance to Freeze all enemies (not affected by modifiers) 1000SP. +-can only be equipped by Artemis.</v>
      </c>
      <c r="G533" s="1">
        <f>IFERROR(__xludf.DUMMYFUNCTION("""COMPUTED_VALUE"""),1.99E8)</f>
        <v>199000000</v>
      </c>
      <c r="H533" s="1"/>
      <c r="I533" s="1"/>
      <c r="J533" s="1"/>
      <c r="K533" s="1"/>
      <c r="L533" s="1"/>
      <c r="M533" s="1"/>
      <c r="N533" s="1"/>
      <c r="O533" s="1"/>
      <c r="P533" s="1"/>
      <c r="Q533" s="1"/>
      <c r="R533" s="1"/>
      <c r="S533" s="1"/>
      <c r="T533" s="1"/>
      <c r="U533" s="1"/>
      <c r="V533" s="1"/>
      <c r="W533" s="1"/>
      <c r="X533" s="1"/>
      <c r="Y533" s="1"/>
      <c r="Z533" s="1"/>
    </row>
    <row r="534">
      <c r="A534" s="1" t="str">
        <f>IFERROR(__xludf.DUMMYFUNCTION("""COMPUTED_VALUE"""),"Artemis' Bow of Divine Wrath")</f>
        <v>Artemis' Bow of Divine Wrath</v>
      </c>
      <c r="B534" s="1" t="str">
        <f>IFERROR(__xludf.DUMMYFUNCTION("""COMPUTED_VALUE"""),"Mob Exclusive.")</f>
        <v>Mob Exclusive.</v>
      </c>
      <c r="C534" s="1" t="str">
        <f>IFERROR(__xludf.DUMMYFUNCTION("""COMPUTED_VALUE"""),"Bow")</f>
        <v>Bow</v>
      </c>
      <c r="D534" s="1" t="str">
        <f>IFERROR(__xludf.DUMMYFUNCTION("""COMPUTED_VALUE"""),"Hand")</f>
        <v>Hand</v>
      </c>
      <c r="E534" s="1">
        <f>IFERROR(__xludf.DUMMYFUNCTION("""COMPUTED_VALUE"""),12000.0)</f>
        <v>12000</v>
      </c>
      <c r="F534" s="1" t="str">
        <f>IFERROR(__xludf.DUMMYFUNCTION("""COMPUTED_VALUE"""),"DMG: +200000, Chaos DMG: +200000, Nature DMG: +200000 ++Marked: When affected by Truesight you can mark a single target as per the effect ""Marked"" for 1 round. 20 sp. ++The target cannot resist or be immune to this weapon attack  +-can only be equipped "&amp;"by Artemis")</f>
        <v>DMG: +200000, Chaos DMG: +200000, Nature DMG: +200000 ++Marked: When affected by Truesight you can mark a single target as per the effect "Marked" for 1 round. 20 sp. ++The target cannot resist or be immune to this weapon attack  +-can only be equipped by Artemis</v>
      </c>
      <c r="G534" s="1">
        <f>IFERROR(__xludf.DUMMYFUNCTION("""COMPUTED_VALUE"""),7.194E9)</f>
        <v>7194000000</v>
      </c>
      <c r="H534" s="1"/>
      <c r="I534" s="1"/>
      <c r="J534" s="1"/>
      <c r="K534" s="1"/>
      <c r="L534" s="1"/>
      <c r="M534" s="1"/>
      <c r="N534" s="1"/>
      <c r="O534" s="1"/>
      <c r="P534" s="1"/>
      <c r="Q534" s="1"/>
      <c r="R534" s="1"/>
      <c r="S534" s="1"/>
      <c r="T534" s="1"/>
      <c r="U534" s="1"/>
      <c r="V534" s="1"/>
      <c r="W534" s="1"/>
      <c r="X534" s="1"/>
      <c r="Y534" s="1"/>
      <c r="Z534" s="1"/>
    </row>
    <row r="535">
      <c r="A535" s="1" t="str">
        <f>IFERROR(__xludf.DUMMYFUNCTION("""COMPUTED_VALUE"""),"Artemis' Shield of Divine Grace")</f>
        <v>Artemis' Shield of Divine Grace</v>
      </c>
      <c r="B535" s="1" t="str">
        <f>IFERROR(__xludf.DUMMYFUNCTION("""COMPUTED_VALUE"""),"Mob Exclusive")</f>
        <v>Mob Exclusive</v>
      </c>
      <c r="C535" s="1" t="str">
        <f>IFERROR(__xludf.DUMMYFUNCTION("""COMPUTED_VALUE"""),"Buckler")</f>
        <v>Buckler</v>
      </c>
      <c r="D535" s="1" t="str">
        <f>IFERROR(__xludf.DUMMYFUNCTION("""COMPUTED_VALUE"""),"Hand")</f>
        <v>Hand</v>
      </c>
      <c r="E535" s="1">
        <f>IFERROR(__xludf.DUMMYFUNCTION("""COMPUTED_VALUE"""),6000.0)</f>
        <v>6000</v>
      </c>
      <c r="F535" s="1" t="str">
        <f>IFERROR(__xludf.DUMMYFUNCTION("""COMPUTED_VALUE"""),"DEF: +150000, Water DEF: +75000, Order DEF: +75000 ++Living Shield: When hit by a weapon attack 50% chance to inflict slowness 3 and disarm 3, +-can only be equipped by Artemis.")</f>
        <v>DEF: +150000, Water DEF: +75000, Order DEF: +75000 ++Living Shield: When hit by a weapon attack 50% chance to inflict slowness 3 and disarm 3, +-can only be equipped by Artemis.</v>
      </c>
      <c r="G535" s="1">
        <f>IFERROR(__xludf.DUMMYFUNCTION("""COMPUTED_VALUE"""),1.797E9)</f>
        <v>1797000000</v>
      </c>
      <c r="H535" s="1"/>
      <c r="I535" s="1"/>
      <c r="J535" s="1"/>
      <c r="K535" s="1"/>
      <c r="L535" s="1"/>
      <c r="M535" s="1"/>
      <c r="N535" s="1"/>
      <c r="O535" s="1"/>
      <c r="P535" s="1"/>
      <c r="Q535" s="1"/>
      <c r="R535" s="1"/>
      <c r="S535" s="1"/>
      <c r="T535" s="1"/>
      <c r="U535" s="1"/>
      <c r="V535" s="1"/>
      <c r="W535" s="1"/>
      <c r="X535" s="1"/>
      <c r="Y535" s="1"/>
      <c r="Z535" s="1"/>
    </row>
    <row r="536">
      <c r="A536" s="1" t="str">
        <f>IFERROR(__xludf.DUMMYFUNCTION("""COMPUTED_VALUE"""),"Artemis' Divine Quiver")</f>
        <v>Artemis' Divine Quiver</v>
      </c>
      <c r="B536" s="1" t="str">
        <f>IFERROR(__xludf.DUMMYFUNCTION("""COMPUTED_VALUE"""),"Mob Exclusive")</f>
        <v>Mob Exclusive</v>
      </c>
      <c r="C536" s="1"/>
      <c r="D536" s="1" t="str">
        <f>IFERROR(__xludf.DUMMYFUNCTION("""COMPUTED_VALUE"""),"Shoulders")</f>
        <v>Shoulders</v>
      </c>
      <c r="E536" s="1">
        <f>IFERROR(__xludf.DUMMYFUNCTION("""COMPUTED_VALUE"""),1.0)</f>
        <v>1</v>
      </c>
      <c r="F536" s="1" t="str">
        <f>IFERROR(__xludf.DUMMYFUNCTION("""COMPUTED_VALUE""")," ++Blessing of the Forest's Quiver II: X4 Nature and Bow damage. ++Godspeed: Wearer Gets 2 actions every round. ++Quick Shot: Attack twice with your bow 10000 sp. +-can only be equipped by Artemis.")</f>
        <v> ++Blessing of the Forest's Quiver II: X4 Nature and Bow damage. ++Godspeed: Wearer Gets 2 actions every round. ++Quick Shot: Attack twice with your bow 10000 sp. +-can only be equipped by Artemis.</v>
      </c>
      <c r="G536" s="1">
        <f>IFERROR(__xludf.DUMMYFUNCTION("""COMPUTED_VALUE"""),0.0)</f>
        <v>0</v>
      </c>
      <c r="H536" s="1"/>
      <c r="I536" s="1"/>
      <c r="J536" s="1"/>
      <c r="K536" s="1"/>
      <c r="L536" s="1"/>
      <c r="M536" s="1"/>
      <c r="N536" s="1"/>
      <c r="O536" s="1"/>
      <c r="P536" s="1"/>
      <c r="Q536" s="1"/>
      <c r="R536" s="1"/>
      <c r="S536" s="1"/>
      <c r="T536" s="1"/>
      <c r="U536" s="1"/>
      <c r="V536" s="1"/>
      <c r="W536" s="1"/>
      <c r="X536" s="1"/>
      <c r="Y536" s="1"/>
      <c r="Z536" s="1"/>
    </row>
    <row r="537">
      <c r="A537" s="1" t="str">
        <f>IFERROR(__xludf.DUMMYFUNCTION("""COMPUTED_VALUE"""),"Artemis' Toga of Divine Beauty")</f>
        <v>Artemis' Toga of Divine Beauty</v>
      </c>
      <c r="B537" s="1" t="str">
        <f>IFERROR(__xludf.DUMMYFUNCTION("""COMPUTED_VALUE"""),"Mob Exclusive")</f>
        <v>Mob Exclusive</v>
      </c>
      <c r="C537" s="1"/>
      <c r="D537" s="1" t="str">
        <f>IFERROR(__xludf.DUMMYFUNCTION("""COMPUTED_VALUE"""),"Torso")</f>
        <v>Torso</v>
      </c>
      <c r="E537" s="1">
        <f>IFERROR(__xludf.DUMMYFUNCTION("""COMPUTED_VALUE"""),4000.0)</f>
        <v>4000</v>
      </c>
      <c r="F537" s="1" t="str">
        <f>IFERROR(__xludf.DUMMYFUNCTION("""COMPUTED_VALUE"""),"DEF: +100000, Water DEF: +50000, Order DEF: +50000 ++Blessing of the Forest's Quiver II: X4 Nature and Bow damage. ++Godly Charm: 10% chance at the start of battle to force an enemy to fight for you +-can only be equipped by Artemis.")</f>
        <v>DEF: +100000, Water DEF: +50000, Order DEF: +50000 ++Blessing of the Forest's Quiver II: X4 Nature and Bow damage. ++Godly Charm: 10% chance at the start of battle to force an enemy to fight for you +-can only be equipped by Artemis.</v>
      </c>
      <c r="G537" s="1">
        <f>IFERROR(__xludf.DUMMYFUNCTION("""COMPUTED_VALUE"""),7.98E8)</f>
        <v>798000000</v>
      </c>
      <c r="H537" s="1"/>
      <c r="I537" s="1"/>
      <c r="J537" s="1"/>
      <c r="K537" s="1"/>
      <c r="L537" s="1"/>
      <c r="M537" s="1"/>
      <c r="N537" s="1"/>
      <c r="O537" s="1"/>
      <c r="P537" s="1"/>
      <c r="Q537" s="1"/>
      <c r="R537" s="1"/>
      <c r="S537" s="1"/>
      <c r="T537" s="1"/>
      <c r="U537" s="1"/>
      <c r="V537" s="1"/>
      <c r="W537" s="1"/>
      <c r="X537" s="1"/>
      <c r="Y537" s="1"/>
      <c r="Z537" s="1"/>
    </row>
    <row r="538">
      <c r="A538" s="1" t="str">
        <f>IFERROR(__xludf.DUMMYFUNCTION("""COMPUTED_VALUE"""),"Artemis' Bracer of The Archer Goddess")</f>
        <v>Artemis' Bracer of The Archer Goddess</v>
      </c>
      <c r="B538" s="1" t="str">
        <f>IFERROR(__xludf.DUMMYFUNCTION("""COMPUTED_VALUE"""),"Mob Exclusive")</f>
        <v>Mob Exclusive</v>
      </c>
      <c r="C538" s="1"/>
      <c r="D538" s="1" t="str">
        <f>IFERROR(__xludf.DUMMYFUNCTION("""COMPUTED_VALUE"""),"Arms")</f>
        <v>Arms</v>
      </c>
      <c r="E538" s="1">
        <f>IFERROR(__xludf.DUMMYFUNCTION("""COMPUTED_VALUE"""),2000.0)</f>
        <v>2000</v>
      </c>
      <c r="F538" s="1" t="str">
        <f>IFERROR(__xludf.DUMMYFUNCTION("""COMPUTED_VALUE"""),"DEF: +50000, Water DEF: +25000, Order DEF: +25000 ++Blessing of the Forest's Quiver II: X4 Nature and Bow damage. ++Godly Archery: When you hit an enemy with your bow you gain the effects of Haste +-can only be equipped by Artemis.")</f>
        <v>DEF: +50000, Water DEF: +25000, Order DEF: +25000 ++Blessing of the Forest's Quiver II: X4 Nature and Bow damage. ++Godly Archery: When you hit an enemy with your bow you gain the effects of Haste +-can only be equipped by Artemis.</v>
      </c>
      <c r="G538" s="1">
        <f>IFERROR(__xludf.DUMMYFUNCTION("""COMPUTED_VALUE"""),1.99E8)</f>
        <v>199000000</v>
      </c>
      <c r="H538" s="1"/>
      <c r="I538" s="1"/>
      <c r="J538" s="1"/>
      <c r="K538" s="1"/>
      <c r="L538" s="1"/>
      <c r="M538" s="1"/>
      <c r="N538" s="1"/>
      <c r="O538" s="1"/>
      <c r="P538" s="1"/>
      <c r="Q538" s="1"/>
      <c r="R538" s="1"/>
      <c r="S538" s="1"/>
      <c r="T538" s="1"/>
      <c r="U538" s="1"/>
      <c r="V538" s="1"/>
      <c r="W538" s="1"/>
      <c r="X538" s="1"/>
      <c r="Y538" s="1"/>
      <c r="Z538" s="1"/>
    </row>
    <row r="539">
      <c r="A539" s="1" t="str">
        <f>IFERROR(__xludf.DUMMYFUNCTION("""COMPUTED_VALUE"""),"Artemis' Leggings of Divine Agility")</f>
        <v>Artemis' Leggings of Divine Agility</v>
      </c>
      <c r="B539" s="1" t="str">
        <f>IFERROR(__xludf.DUMMYFUNCTION("""COMPUTED_VALUE"""),"Mob Exclusive")</f>
        <v>Mob Exclusive</v>
      </c>
      <c r="C539" s="1"/>
      <c r="D539" s="1" t="str">
        <f>IFERROR(__xludf.DUMMYFUNCTION("""COMPUTED_VALUE"""),"Legs")</f>
        <v>Legs</v>
      </c>
      <c r="E539" s="1">
        <f>IFERROR(__xludf.DUMMYFUNCTION("""COMPUTED_VALUE"""),2000.0)</f>
        <v>2000</v>
      </c>
      <c r="F539" s="1" t="str">
        <f>IFERROR(__xludf.DUMMYFUNCTION("""COMPUTED_VALUE"""),"DEF: +50000, Water DEF: +25000, Order DEF: +25000 ++Blessing of The Greens II: X4 Nature Damage +-can only be equipped by Artemis")</f>
        <v>DEF: +50000, Water DEF: +25000, Order DEF: +25000 ++Blessing of The Greens II: X4 Nature Damage +-can only be equipped by Artemis</v>
      </c>
      <c r="G539" s="1">
        <f>IFERROR(__xludf.DUMMYFUNCTION("""COMPUTED_VALUE"""),1.99E8)</f>
        <v>199000000</v>
      </c>
      <c r="H539" s="1"/>
      <c r="I539" s="1"/>
      <c r="J539" s="1"/>
      <c r="K539" s="1"/>
      <c r="L539" s="1"/>
      <c r="M539" s="1"/>
      <c r="N539" s="1"/>
      <c r="O539" s="1"/>
      <c r="P539" s="1"/>
      <c r="Q539" s="1"/>
      <c r="R539" s="1"/>
      <c r="S539" s="1"/>
      <c r="T539" s="1"/>
      <c r="U539" s="1"/>
      <c r="V539" s="1"/>
      <c r="W539" s="1"/>
      <c r="X539" s="1"/>
      <c r="Y539" s="1"/>
      <c r="Z539" s="1"/>
    </row>
    <row r="540">
      <c r="A540" s="1" t="str">
        <f>IFERROR(__xludf.DUMMYFUNCTION("""COMPUTED_VALUE"""),"Artemis' Sandals of Divine Speed")</f>
        <v>Artemis' Sandals of Divine Speed</v>
      </c>
      <c r="B540" s="1" t="str">
        <f>IFERROR(__xludf.DUMMYFUNCTION("""COMPUTED_VALUE"""),"Mob Exclusive")</f>
        <v>Mob Exclusive</v>
      </c>
      <c r="C540" s="1"/>
      <c r="D540" s="1" t="str">
        <f>IFERROR(__xludf.DUMMYFUNCTION("""COMPUTED_VALUE"""),"Feet")</f>
        <v>Feet</v>
      </c>
      <c r="E540" s="1">
        <f>IFERROR(__xludf.DUMMYFUNCTION("""COMPUTED_VALUE"""),2000.0)</f>
        <v>2000</v>
      </c>
      <c r="F540" s="1" t="str">
        <f>IFERROR(__xludf.DUMMYFUNCTION("""COMPUTED_VALUE"""),"DEF: +50000, Water DEF: +25000, Order DEF: +25000 ++Blessing of Speed: when affected by haste you gain an extra action. +-can only be equipped by Artemis.")</f>
        <v>DEF: +50000, Water DEF: +25000, Order DEF: +25000 ++Blessing of Speed: when affected by haste you gain an extra action. +-can only be equipped by Artemis.</v>
      </c>
      <c r="G540" s="1">
        <f>IFERROR(__xludf.DUMMYFUNCTION("""COMPUTED_VALUE"""),1.99E8)</f>
        <v>199000000</v>
      </c>
      <c r="H540" s="1"/>
      <c r="I540" s="1"/>
      <c r="J540" s="1"/>
      <c r="K540" s="1"/>
      <c r="L540" s="1"/>
      <c r="M540" s="1"/>
      <c r="N540" s="1"/>
      <c r="O540" s="1"/>
      <c r="P540" s="1"/>
      <c r="Q540" s="1"/>
      <c r="R540" s="1"/>
      <c r="S540" s="1"/>
      <c r="T540" s="1"/>
      <c r="U540" s="1"/>
      <c r="V540" s="1"/>
      <c r="W540" s="1"/>
      <c r="X540" s="1"/>
      <c r="Y540" s="1"/>
      <c r="Z540" s="1"/>
    </row>
    <row r="541">
      <c r="A541" s="1" t="str">
        <f>IFERROR(__xludf.DUMMYFUNCTION("""COMPUTED_VALUE"""),"Artemis' Ring")</f>
        <v>Artemis' Ring</v>
      </c>
      <c r="B541" s="1" t="str">
        <f>IFERROR(__xludf.DUMMYFUNCTION("""COMPUTED_VALUE"""),"Mob Exclusive")</f>
        <v>Mob Exclusive</v>
      </c>
      <c r="C541" s="1"/>
      <c r="D541" s="1" t="str">
        <f>IFERROR(__xludf.DUMMYFUNCTION("""COMPUTED_VALUE"""),"Ring")</f>
        <v>Ring</v>
      </c>
      <c r="E541" s="1">
        <f>IFERROR(__xludf.DUMMYFUNCTION("""COMPUTED_VALUE"""),1.0)</f>
        <v>1</v>
      </c>
      <c r="F541" s="1" t="str">
        <f>IFERROR(__xludf.DUMMYFUNCTION("""COMPUTED_VALUE""")," ++10% chance to revive after dying once. +-can only be equipped by Artemis.")</f>
        <v> ++10% chance to revive after dying once. +-can only be equipped by Artemis.</v>
      </c>
      <c r="G541" s="1">
        <f>IFERROR(__xludf.DUMMYFUNCTION("""COMPUTED_VALUE"""),0.0)</f>
        <v>0</v>
      </c>
      <c r="H541" s="1"/>
      <c r="I541" s="1"/>
      <c r="J541" s="1"/>
      <c r="K541" s="1"/>
      <c r="L541" s="1"/>
      <c r="M541" s="1"/>
      <c r="N541" s="1"/>
      <c r="O541" s="1"/>
      <c r="P541" s="1"/>
      <c r="Q541" s="1"/>
      <c r="R541" s="1"/>
      <c r="S541" s="1"/>
      <c r="T541" s="1"/>
      <c r="U541" s="1"/>
      <c r="V541" s="1"/>
      <c r="W541" s="1"/>
      <c r="X541" s="1"/>
      <c r="Y541" s="1"/>
      <c r="Z541" s="1"/>
    </row>
    <row r="542">
      <c r="A542" s="1" t="str">
        <f>IFERROR(__xludf.DUMMYFUNCTION("""COMPUTED_VALUE"""),"Artemis' Fang Necklace")</f>
        <v>Artemis' Fang Necklace</v>
      </c>
      <c r="B542" s="1" t="str">
        <f>IFERROR(__xludf.DUMMYFUNCTION("""COMPUTED_VALUE"""),"Mob Exclusive")</f>
        <v>Mob Exclusive</v>
      </c>
      <c r="C542" s="1"/>
      <c r="D542" s="1" t="str">
        <f>IFERROR(__xludf.DUMMYFUNCTION("""COMPUTED_VALUE"""),"Neck")</f>
        <v>Neck</v>
      </c>
      <c r="E542" s="1">
        <f>IFERROR(__xludf.DUMMYFUNCTION("""COMPUTED_VALUE"""),1.0)</f>
        <v>1</v>
      </c>
      <c r="F542" s="1" t="str">
        <f>IFERROR(__xludf.DUMMYFUNCTION("""COMPUTED_VALUE""")," Upon killing an enemy you emit a sharp aura with a 10% chance of instant death to all enemies. +-can only be equipped by Artemis.")</f>
        <v> Upon killing an enemy you emit a sharp aura with a 10% chance of instant death to all enemies. +-can only be equipped by Artemis.</v>
      </c>
      <c r="G542" s="1">
        <f>IFERROR(__xludf.DUMMYFUNCTION("""COMPUTED_VALUE"""),0.0)</f>
        <v>0</v>
      </c>
      <c r="H542" s="1"/>
      <c r="I542" s="1"/>
      <c r="J542" s="1"/>
      <c r="K542" s="1"/>
      <c r="L542" s="1"/>
      <c r="M542" s="1"/>
      <c r="N542" s="1"/>
      <c r="O542" s="1"/>
      <c r="P542" s="1"/>
      <c r="Q542" s="1"/>
      <c r="R542" s="1"/>
      <c r="S542" s="1"/>
      <c r="T542" s="1"/>
      <c r="U542" s="1"/>
      <c r="V542" s="1"/>
      <c r="W542" s="1"/>
      <c r="X542" s="1"/>
      <c r="Y542" s="1"/>
      <c r="Z542" s="1"/>
    </row>
    <row r="543">
      <c r="A543" s="1" t="str">
        <f>IFERROR(__xludf.DUMMYFUNCTION("""COMPUTED_VALUE"""),"Forged Paladin's Helm")</f>
        <v>Forged Paladin's Helm</v>
      </c>
      <c r="B543" s="1" t="str">
        <f>IFERROR(__xludf.DUMMYFUNCTION("""COMPUTED_VALUE"""),"Quest Item")</f>
        <v>Quest Item</v>
      </c>
      <c r="C543" s="1"/>
      <c r="D543" s="1" t="str">
        <f>IFERROR(__xludf.DUMMYFUNCTION("""COMPUTED_VALUE"""),"Head")</f>
        <v>Head</v>
      </c>
      <c r="E543" s="1">
        <f>IFERROR(__xludf.DUMMYFUNCTION("""COMPUTED_VALUE"""),200.0)</f>
        <v>200</v>
      </c>
      <c r="F543" s="1" t="str">
        <f>IFERROR(__xludf.DUMMYFUNCTION("""COMPUTED_VALUE"""),"DEF: +25000, Fire DEF: +10000, Water DEF: +5000, Nature DEF: +25000, Celestial DEF: +10000 ++X2 Firearm damage. ++Weakness Detection: When attacking an enemy with fire vulnerability roll twice and take the higher roll for all attacks against that enemy. +"&amp;"-Forged Paladin Class Only.")</f>
        <v>DEF: +25000, Fire DEF: +10000, Water DEF: +5000, Nature DEF: +25000, Celestial DEF: +10000 ++X2 Firearm damage. ++Weakness Detection: When attacking an enemy with fire vulnerability roll twice and take the higher roll for all attacks against that enemy. +-Forged Paladin Class Only.</v>
      </c>
      <c r="G543" s="1">
        <f>IFERROR(__xludf.DUMMYFUNCTION("""COMPUTED_VALUE"""),1.1175E8)</f>
        <v>111750000</v>
      </c>
      <c r="H543" s="1"/>
      <c r="I543" s="1"/>
      <c r="J543" s="1"/>
      <c r="K543" s="1"/>
      <c r="L543" s="1"/>
      <c r="M543" s="1"/>
      <c r="N543" s="1"/>
      <c r="O543" s="1"/>
      <c r="P543" s="1"/>
      <c r="Q543" s="1"/>
      <c r="R543" s="1"/>
      <c r="S543" s="1"/>
      <c r="T543" s="1"/>
      <c r="U543" s="1"/>
      <c r="V543" s="1"/>
      <c r="W543" s="1"/>
      <c r="X543" s="1"/>
      <c r="Y543" s="1"/>
      <c r="Z543" s="1"/>
    </row>
    <row r="544">
      <c r="A544" s="1" t="str">
        <f>IFERROR(__xludf.DUMMYFUNCTION("""COMPUTED_VALUE"""),"Forged Paladin's Pauldrons")</f>
        <v>Forged Paladin's Pauldrons</v>
      </c>
      <c r="B544" s="1" t="str">
        <f>IFERROR(__xludf.DUMMYFUNCTION("""COMPUTED_VALUE"""),"Quest Item")</f>
        <v>Quest Item</v>
      </c>
      <c r="C544" s="1"/>
      <c r="D544" s="1" t="str">
        <f>IFERROR(__xludf.DUMMYFUNCTION("""COMPUTED_VALUE"""),"Shoulders")</f>
        <v>Shoulders</v>
      </c>
      <c r="E544" s="1">
        <f>IFERROR(__xludf.DUMMYFUNCTION("""COMPUTED_VALUE"""),200.0)</f>
        <v>200</v>
      </c>
      <c r="F544" s="1" t="str">
        <f>IFERROR(__xludf.DUMMYFUNCTION("""COMPUTED_VALUE"""),"DEF: +25000, Fire DEF: +10000, Water DEF: +5000, Nature DEF: +25000, Celestial DEF: +10000 ++When hit with a non-natural attack inflict the attacker with Burn 1000 for 3 rounds +-Forged Paladin Class Only.")</f>
        <v>DEF: +25000, Fire DEF: +10000, Water DEF: +5000, Nature DEF: +25000, Celestial DEF: +10000 ++When hit with a non-natural attack inflict the attacker with Burn 1000 for 3 rounds +-Forged Paladin Class Only.</v>
      </c>
      <c r="G544" s="1">
        <f>IFERROR(__xludf.DUMMYFUNCTION("""COMPUTED_VALUE"""),1.1175E8)</f>
        <v>111750000</v>
      </c>
      <c r="H544" s="1"/>
      <c r="I544" s="1"/>
      <c r="J544" s="1"/>
      <c r="K544" s="1"/>
      <c r="L544" s="1"/>
      <c r="M544" s="1"/>
      <c r="N544" s="1"/>
      <c r="O544" s="1"/>
      <c r="P544" s="1"/>
      <c r="Q544" s="1"/>
      <c r="R544" s="1"/>
      <c r="S544" s="1"/>
      <c r="T544" s="1"/>
      <c r="U544" s="1"/>
      <c r="V544" s="1"/>
      <c r="W544" s="1"/>
      <c r="X544" s="1"/>
      <c r="Y544" s="1"/>
      <c r="Z544" s="1"/>
    </row>
    <row r="545">
      <c r="A545" s="1" t="str">
        <f>IFERROR(__xludf.DUMMYFUNCTION("""COMPUTED_VALUE"""),"Forged Paladin's Plate")</f>
        <v>Forged Paladin's Plate</v>
      </c>
      <c r="B545" s="1" t="str">
        <f>IFERROR(__xludf.DUMMYFUNCTION("""COMPUTED_VALUE"""),"Quest Item")</f>
        <v>Quest Item</v>
      </c>
      <c r="C545" s="1"/>
      <c r="D545" s="1" t="str">
        <f>IFERROR(__xludf.DUMMYFUNCTION("""COMPUTED_VALUE"""),"Torso")</f>
        <v>Torso</v>
      </c>
      <c r="E545" s="1">
        <f>IFERROR(__xludf.DUMMYFUNCTION("""COMPUTED_VALUE"""),200.0)</f>
        <v>200</v>
      </c>
      <c r="F545" s="1" t="str">
        <f>IFERROR(__xludf.DUMMYFUNCTION("""COMPUTED_VALUE"""),"DEF: +35000, Fire DEF: +15000, Water DEF: +5000, Nature DEF: +30000, Celestial DEF: +15000 ++X4 Fire damage. ++fire immunity +-Forged Paladin Class Only.")</f>
        <v>DEF: +35000, Fire DEF: +15000, Water DEF: +5000, Nature DEF: +30000, Celestial DEF: +15000 ++X4 Fire damage. ++fire immunity +-Forged Paladin Class Only.</v>
      </c>
      <c r="G545" s="1">
        <f>IFERROR(__xludf.DUMMYFUNCTION("""COMPUTED_VALUE"""),1.99E8)</f>
        <v>199000000</v>
      </c>
      <c r="H545" s="1"/>
      <c r="I545" s="1"/>
      <c r="J545" s="1"/>
      <c r="K545" s="1"/>
      <c r="L545" s="1"/>
      <c r="M545" s="1"/>
      <c r="N545" s="1"/>
      <c r="O545" s="1"/>
      <c r="P545" s="1"/>
      <c r="Q545" s="1"/>
      <c r="R545" s="1"/>
      <c r="S545" s="1"/>
      <c r="T545" s="1"/>
      <c r="U545" s="1"/>
      <c r="V545" s="1"/>
      <c r="W545" s="1"/>
      <c r="X545" s="1"/>
      <c r="Y545" s="1"/>
      <c r="Z545" s="1"/>
    </row>
    <row r="546">
      <c r="A546" s="1" t="str">
        <f>IFERROR(__xludf.DUMMYFUNCTION("""COMPUTED_VALUE"""),"Forged Paladin's Vambraces")</f>
        <v>Forged Paladin's Vambraces</v>
      </c>
      <c r="B546" s="1" t="str">
        <f>IFERROR(__xludf.DUMMYFUNCTION("""COMPUTED_VALUE"""),"Quest Item")</f>
        <v>Quest Item</v>
      </c>
      <c r="C546" s="1"/>
      <c r="D546" s="1" t="str">
        <f>IFERROR(__xludf.DUMMYFUNCTION("""COMPUTED_VALUE"""),"Arms")</f>
        <v>Arms</v>
      </c>
      <c r="E546" s="1">
        <f>IFERROR(__xludf.DUMMYFUNCTION("""COMPUTED_VALUE"""),200.0)</f>
        <v>200</v>
      </c>
      <c r="F546" s="1" t="str">
        <f>IFERROR(__xludf.DUMMYFUNCTION("""COMPUTED_VALUE"""),"DEF: +25000, Fire DEF: +10000, Water DEF: +5000, Nature DEF: +25000, Celestial DEF: +10000 ++When attacking with a firearm deal X4 damage. ++The target cannot resist or be immune to fire damage dealt by firearms. +-Forged Paladin Class Only.")</f>
        <v>DEF: +25000, Fire DEF: +10000, Water DEF: +5000, Nature DEF: +25000, Celestial DEF: +10000 ++When attacking with a firearm deal X4 damage. ++The target cannot resist or be immune to fire damage dealt by firearms. +-Forged Paladin Class Only.</v>
      </c>
      <c r="G546" s="1">
        <f>IFERROR(__xludf.DUMMYFUNCTION("""COMPUTED_VALUE"""),1.1175E8)</f>
        <v>111750000</v>
      </c>
      <c r="H546" s="1"/>
      <c r="I546" s="1"/>
      <c r="J546" s="1"/>
      <c r="K546" s="1"/>
      <c r="L546" s="1"/>
      <c r="M546" s="1"/>
      <c r="N546" s="1"/>
      <c r="O546" s="1"/>
      <c r="P546" s="1"/>
      <c r="Q546" s="1"/>
      <c r="R546" s="1"/>
      <c r="S546" s="1"/>
      <c r="T546" s="1"/>
      <c r="U546" s="1"/>
      <c r="V546" s="1"/>
      <c r="W546" s="1"/>
      <c r="X546" s="1"/>
      <c r="Y546" s="1"/>
      <c r="Z546" s="1"/>
    </row>
    <row r="547">
      <c r="A547" s="1" t="str">
        <f>IFERROR(__xludf.DUMMYFUNCTION("""COMPUTED_VALUE"""),"Forged Firearm")</f>
        <v>Forged Firearm</v>
      </c>
      <c r="B547" s="1" t="str">
        <f>IFERROR(__xludf.DUMMYFUNCTION("""COMPUTED_VALUE"""),"Quest Item")</f>
        <v>Quest Item</v>
      </c>
      <c r="C547" s="1" t="str">
        <f>IFERROR(__xludf.DUMMYFUNCTION("""COMPUTED_VALUE"""),"Firearm")</f>
        <v>Firearm</v>
      </c>
      <c r="D547" s="1" t="str">
        <f>IFERROR(__xludf.DUMMYFUNCTION("""COMPUTED_VALUE"""),"Hand")</f>
        <v>Hand</v>
      </c>
      <c r="E547" s="1">
        <f>IFERROR(__xludf.DUMMYFUNCTION("""COMPUTED_VALUE"""),200.0)</f>
        <v>200</v>
      </c>
      <c r="F547" s="1" t="str">
        <f>IFERROR(__xludf.DUMMYFUNCTION("""COMPUTED_VALUE"""),"DMG: +50000, Fire DMG: +25000, Celestial DMG: +25000 ++X2 Firearm Damage. ++When equipped with the rest of the Forged Paladin gear deal X6 damage with this weapon. +-Forged Paladin Class Only.")</f>
        <v>DMG: +50000, Fire DMG: +25000, Celestial DMG: +25000 ++X2 Firearm Damage. ++When equipped with the rest of the Forged Paladin gear deal X6 damage with this weapon. +-Forged Paladin Class Only.</v>
      </c>
      <c r="G547" s="1">
        <f>IFERROR(__xludf.DUMMYFUNCTION("""COMPUTED_VALUE"""),1.99E8)</f>
        <v>199000000</v>
      </c>
      <c r="H547" s="1"/>
      <c r="I547" s="1"/>
      <c r="J547" s="1"/>
      <c r="K547" s="1"/>
      <c r="L547" s="1"/>
      <c r="M547" s="1"/>
      <c r="N547" s="1"/>
      <c r="O547" s="1"/>
      <c r="P547" s="1"/>
      <c r="Q547" s="1"/>
      <c r="R547" s="1"/>
      <c r="S547" s="1"/>
      <c r="T547" s="1"/>
      <c r="U547" s="1"/>
      <c r="V547" s="1"/>
      <c r="W547" s="1"/>
      <c r="X547" s="1"/>
      <c r="Y547" s="1"/>
      <c r="Z547" s="1"/>
    </row>
    <row r="548">
      <c r="A548" s="1" t="str">
        <f>IFERROR(__xludf.DUMMYFUNCTION("""COMPUTED_VALUE"""),"Forged Towershield")</f>
        <v>Forged Towershield</v>
      </c>
      <c r="B548" s="1" t="str">
        <f>IFERROR(__xludf.DUMMYFUNCTION("""COMPUTED_VALUE"""),"Quest Item")</f>
        <v>Quest Item</v>
      </c>
      <c r="C548" s="1" t="str">
        <f>IFERROR(__xludf.DUMMYFUNCTION("""COMPUTED_VALUE"""),"Towershield")</f>
        <v>Towershield</v>
      </c>
      <c r="D548" s="1" t="str">
        <f>IFERROR(__xludf.DUMMYFUNCTION("""COMPUTED_VALUE"""),"Hand")</f>
        <v>Hand</v>
      </c>
      <c r="E548" s="1">
        <f>IFERROR(__xludf.DUMMYFUNCTION("""COMPUTED_VALUE"""),200.0)</f>
        <v>200</v>
      </c>
      <c r="F548" s="1" t="str">
        <f>IFERROR(__xludf.DUMMYFUNCTION("""COMPUTED_VALUE"""),"DEF: +50000, Fire DEF: +25000, Water DEF: +15000, Nature DEF: +50000, Celestial DEF: +25000 ++X2 defense. ++When equipped with the rest of the Forged Paladin gear gain X6 defense. +-Forged Paladin Class Only.")</f>
        <v>DEF: +50000, Fire DEF: +25000, Water DEF: +15000, Nature DEF: +50000, Celestial DEF: +25000 ++X2 defense. ++When equipped with the rest of the Forged Paladin gear gain X6 defense. +-Forged Paladin Class Only.</v>
      </c>
      <c r="G548" s="1">
        <f>IFERROR(__xludf.DUMMYFUNCTION("""COMPUTED_VALUE"""),5.4285E8)</f>
        <v>542850000</v>
      </c>
      <c r="H548" s="1"/>
      <c r="I548" s="1"/>
      <c r="J548" s="1"/>
      <c r="K548" s="1"/>
      <c r="L548" s="1"/>
      <c r="M548" s="1"/>
      <c r="N548" s="1"/>
      <c r="O548" s="1"/>
      <c r="P548" s="1"/>
      <c r="Q548" s="1"/>
      <c r="R548" s="1"/>
      <c r="S548" s="1"/>
      <c r="T548" s="1"/>
      <c r="U548" s="1"/>
      <c r="V548" s="1"/>
      <c r="W548" s="1"/>
      <c r="X548" s="1"/>
      <c r="Y548" s="1"/>
      <c r="Z548" s="1"/>
    </row>
    <row r="549">
      <c r="A549" s="1" t="str">
        <f>IFERROR(__xludf.DUMMYFUNCTION("""COMPUTED_VALUE"""),"Forged Leg guard")</f>
        <v>Forged Leg guard</v>
      </c>
      <c r="B549" s="1" t="str">
        <f>IFERROR(__xludf.DUMMYFUNCTION("""COMPUTED_VALUE"""),"Quest Item")</f>
        <v>Quest Item</v>
      </c>
      <c r="C549" s="1"/>
      <c r="D549" s="1" t="str">
        <f>IFERROR(__xludf.DUMMYFUNCTION("""COMPUTED_VALUE"""),"Legs")</f>
        <v>Legs</v>
      </c>
      <c r="E549" s="1">
        <f>IFERROR(__xludf.DUMMYFUNCTION("""COMPUTED_VALUE"""),200.0)</f>
        <v>200</v>
      </c>
      <c r="F549" s="1" t="str">
        <f>IFERROR(__xludf.DUMMYFUNCTION("""COMPUTED_VALUE"""),"DEF: +25000, Fire DEF: +10000, Water DEF: +5000, Nature DEF: +25000, Celestial DEF: +10000 ++When affected by Burn, Heal by the damage instead. +-Forged Paladin Class Only.")</f>
        <v>DEF: +25000, Fire DEF: +10000, Water DEF: +5000, Nature DEF: +25000, Celestial DEF: +10000 ++When affected by Burn, Heal by the damage instead. +-Forged Paladin Class Only.</v>
      </c>
      <c r="G549" s="1">
        <f>IFERROR(__xludf.DUMMYFUNCTION("""COMPUTED_VALUE"""),1.1175E8)</f>
        <v>111750000</v>
      </c>
      <c r="H549" s="1"/>
      <c r="I549" s="1"/>
      <c r="J549" s="1"/>
      <c r="K549" s="1"/>
      <c r="L549" s="1"/>
      <c r="M549" s="1"/>
      <c r="N549" s="1"/>
      <c r="O549" s="1"/>
      <c r="P549" s="1"/>
      <c r="Q549" s="1"/>
      <c r="R549" s="1"/>
      <c r="S549" s="1"/>
      <c r="T549" s="1"/>
      <c r="U549" s="1"/>
      <c r="V549" s="1"/>
      <c r="W549" s="1"/>
      <c r="X549" s="1"/>
      <c r="Y549" s="1"/>
      <c r="Z549" s="1"/>
    </row>
    <row r="550">
      <c r="A550" s="1" t="str">
        <f>IFERROR(__xludf.DUMMYFUNCTION("""COMPUTED_VALUE"""),"Forged Sabatons")</f>
        <v>Forged Sabatons</v>
      </c>
      <c r="B550" s="1" t="str">
        <f>IFERROR(__xludf.DUMMYFUNCTION("""COMPUTED_VALUE"""),"Quest Item")</f>
        <v>Quest Item</v>
      </c>
      <c r="C550" s="1"/>
      <c r="D550" s="1" t="str">
        <f>IFERROR(__xludf.DUMMYFUNCTION("""COMPUTED_VALUE"""),"Feet")</f>
        <v>Feet</v>
      </c>
      <c r="E550" s="1">
        <f>IFERROR(__xludf.DUMMYFUNCTION("""COMPUTED_VALUE"""),200.0)</f>
        <v>200</v>
      </c>
      <c r="F550" s="1" t="str">
        <f>IFERROR(__xludf.DUMMYFUNCTION("""COMPUTED_VALUE"""),"DEF: +25000, Fire DEF: +10000, Water DEF: +5000, Nature DEF: +25000, Celestial DEF: +10000 ++When attacking with a fire spell add ++5 to roll. +-Forged Paladin Class Only.")</f>
        <v>DEF: +25000, Fire DEF: +10000, Water DEF: +5000, Nature DEF: +25000, Celestial DEF: +10000 ++When attacking with a fire spell add ++5 to roll. +-Forged Paladin Class Only.</v>
      </c>
      <c r="G550" s="1">
        <f>IFERROR(__xludf.DUMMYFUNCTION("""COMPUTED_VALUE"""),1.1175E8)</f>
        <v>111750000</v>
      </c>
      <c r="H550" s="1"/>
      <c r="I550" s="1"/>
      <c r="J550" s="1"/>
      <c r="K550" s="1"/>
      <c r="L550" s="1"/>
      <c r="M550" s="1"/>
      <c r="N550" s="1"/>
      <c r="O550" s="1"/>
      <c r="P550" s="1"/>
      <c r="Q550" s="1"/>
      <c r="R550" s="1"/>
      <c r="S550" s="1"/>
      <c r="T550" s="1"/>
      <c r="U550" s="1"/>
      <c r="V550" s="1"/>
      <c r="W550" s="1"/>
      <c r="X550" s="1"/>
      <c r="Y550" s="1"/>
      <c r="Z550" s="1"/>
    </row>
    <row r="551">
      <c r="A551" s="1" t="str">
        <f>IFERROR(__xludf.DUMMYFUNCTION("""COMPUTED_VALUE"""),"Scrap Ring")</f>
        <v>Scrap Ring</v>
      </c>
      <c r="B551" s="1" t="str">
        <f>IFERROR(__xludf.DUMMYFUNCTION("""COMPUTED_VALUE"""),"Quest Item")</f>
        <v>Quest Item</v>
      </c>
      <c r="C551" s="1"/>
      <c r="D551" s="1" t="str">
        <f>IFERROR(__xludf.DUMMYFUNCTION("""COMPUTED_VALUE"""),"Ring")</f>
        <v>Ring</v>
      </c>
      <c r="E551" s="1">
        <f>IFERROR(__xludf.DUMMYFUNCTION("""COMPUTED_VALUE"""),1.0)</f>
        <v>1</v>
      </c>
      <c r="F551" s="1" t="str">
        <f>IFERROR(__xludf.DUMMYFUNCTION("""COMPUTED_VALUE""")," ++When you attack an enemy with a firearm, inflict Marked 3. +-Forged Paladin Class Only.")</f>
        <v> ++When you attack an enemy with a firearm, inflict Marked 3. +-Forged Paladin Class Only.</v>
      </c>
      <c r="G551" s="1">
        <f>IFERROR(__xludf.DUMMYFUNCTION("""COMPUTED_VALUE"""),0.0)</f>
        <v>0</v>
      </c>
      <c r="H551" s="1"/>
      <c r="I551" s="1"/>
      <c r="J551" s="1"/>
      <c r="K551" s="1"/>
      <c r="L551" s="1"/>
      <c r="M551" s="1"/>
      <c r="N551" s="1"/>
      <c r="O551" s="1"/>
      <c r="P551" s="1"/>
      <c r="Q551" s="1"/>
      <c r="R551" s="1"/>
      <c r="S551" s="1"/>
      <c r="T551" s="1"/>
      <c r="U551" s="1"/>
      <c r="V551" s="1"/>
      <c r="W551" s="1"/>
      <c r="X551" s="1"/>
      <c r="Y551" s="1"/>
      <c r="Z551" s="1"/>
    </row>
    <row r="552">
      <c r="A552" s="1" t="str">
        <f>IFERROR(__xludf.DUMMYFUNCTION("""COMPUTED_VALUE"""),"Scrap Gorget")</f>
        <v>Scrap Gorget</v>
      </c>
      <c r="B552" s="1" t="str">
        <f>IFERROR(__xludf.DUMMYFUNCTION("""COMPUTED_VALUE"""),"Quest Item")</f>
        <v>Quest Item</v>
      </c>
      <c r="C552" s="1"/>
      <c r="D552" s="1" t="str">
        <f>IFERROR(__xludf.DUMMYFUNCTION("""COMPUTED_VALUE"""),"Neck")</f>
        <v>Neck</v>
      </c>
      <c r="E552" s="1">
        <f>IFERROR(__xludf.DUMMYFUNCTION("""COMPUTED_VALUE"""),1.0)</f>
        <v>1</v>
      </c>
      <c r="F552" s="1" t="str">
        <f>IFERROR(__xludf.DUMMYFUNCTION("""COMPUTED_VALUE""")," ++When being attacked with any form of firearm deal half damage back to the enemy that attacked you. +-Forged Paladin Class Only.")</f>
        <v> ++When being attacked with any form of firearm deal half damage back to the enemy that attacked you. +-Forged Paladin Class Only.</v>
      </c>
      <c r="G552" s="1">
        <f>IFERROR(__xludf.DUMMYFUNCTION("""COMPUTED_VALUE"""),0.0)</f>
        <v>0</v>
      </c>
      <c r="H552" s="1"/>
      <c r="I552" s="1"/>
      <c r="J552" s="1"/>
      <c r="K552" s="1"/>
      <c r="L552" s="1"/>
      <c r="M552" s="1"/>
      <c r="N552" s="1"/>
      <c r="O552" s="1"/>
      <c r="P552" s="1"/>
      <c r="Q552" s="1"/>
      <c r="R552" s="1"/>
      <c r="S552" s="1"/>
      <c r="T552" s="1"/>
      <c r="U552" s="1"/>
      <c r="V552" s="1"/>
      <c r="W552" s="1"/>
      <c r="X552" s="1"/>
      <c r="Y552" s="1"/>
      <c r="Z552" s="1"/>
    </row>
    <row r="553">
      <c r="A553" s="1" t="str">
        <f>IFERROR(__xludf.DUMMYFUNCTION("""COMPUTED_VALUE"""),"Minstrel's Cap")</f>
        <v>Minstrel's Cap</v>
      </c>
      <c r="B553" s="1" t="str">
        <f>IFERROR(__xludf.DUMMYFUNCTION("""COMPUTED_VALUE"""),"Quest Item")</f>
        <v>Quest Item</v>
      </c>
      <c r="C553" s="1"/>
      <c r="D553" s="1" t="str">
        <f>IFERROR(__xludf.DUMMYFUNCTION("""COMPUTED_VALUE"""),"Head")</f>
        <v>Head</v>
      </c>
      <c r="E553" s="1">
        <f>IFERROR(__xludf.DUMMYFUNCTION("""COMPUTED_VALUE"""),400.0)</f>
        <v>400</v>
      </c>
      <c r="F553" s="1" t="str">
        <f>IFERROR(__xludf.DUMMYFUNCTION("""COMPUTED_VALUE"""),"DEF: +20000 ++20,000 ACC and ATK. ++Upon reaching 5 stacks of Disoriented inflict Marked 3 on all enemies. +-Paladin of The Party and Bard Class only.")</f>
        <v>DEF: +20000 ++20,000 ACC and ATK. ++Upon reaching 5 stacks of Disoriented inflict Marked 3 on all enemies. +-Paladin of The Party and Bard Class only.</v>
      </c>
      <c r="G553" s="1">
        <f>IFERROR(__xludf.DUMMYFUNCTION("""COMPUTED_VALUE"""),7800000.0)</f>
        <v>7800000</v>
      </c>
      <c r="H553" s="1"/>
      <c r="I553" s="1"/>
      <c r="J553" s="1"/>
      <c r="K553" s="1"/>
      <c r="L553" s="1"/>
      <c r="M553" s="1"/>
      <c r="N553" s="1"/>
      <c r="O553" s="1"/>
      <c r="P553" s="1"/>
      <c r="Q553" s="1"/>
      <c r="R553" s="1"/>
      <c r="S553" s="1"/>
      <c r="T553" s="1"/>
      <c r="U553" s="1"/>
      <c r="V553" s="1"/>
      <c r="W553" s="1"/>
      <c r="X553" s="1"/>
      <c r="Y553" s="1"/>
      <c r="Z553" s="1"/>
    </row>
    <row r="554">
      <c r="A554" s="1" t="str">
        <f>IFERROR(__xludf.DUMMYFUNCTION("""COMPUTED_VALUE"""),"Minstrel's Cape")</f>
        <v>Minstrel's Cape</v>
      </c>
      <c r="B554" s="1" t="str">
        <f>IFERROR(__xludf.DUMMYFUNCTION("""COMPUTED_VALUE"""),"Quest Item")</f>
        <v>Quest Item</v>
      </c>
      <c r="C554" s="1"/>
      <c r="D554" s="1" t="str">
        <f>IFERROR(__xludf.DUMMYFUNCTION("""COMPUTED_VALUE"""),"Shoulders")</f>
        <v>Shoulders</v>
      </c>
      <c r="E554" s="1">
        <f>IFERROR(__xludf.DUMMYFUNCTION("""COMPUTED_VALUE"""),400.0)</f>
        <v>400</v>
      </c>
      <c r="F554" s="1" t="str">
        <f>IFERROR(__xludf.DUMMYFUNCTION("""COMPUTED_VALUE"""),"DEF: +20000 ++ 20,000 ACC and ATK. ++When casting any form of buffing spell, double the effects for the rest of the round. +-Paladin of The Party and Bard Class only.")</f>
        <v>DEF: +20000 ++ 20,000 ACC and ATK. ++When casting any form of buffing spell, double the effects for the rest of the round. +-Paladin of The Party and Bard Class only.</v>
      </c>
      <c r="G554" s="1">
        <f>IFERROR(__xludf.DUMMYFUNCTION("""COMPUTED_VALUE"""),7800000.0)</f>
        <v>7800000</v>
      </c>
      <c r="H554" s="1"/>
      <c r="I554" s="1"/>
      <c r="J554" s="1"/>
      <c r="K554" s="1"/>
      <c r="L554" s="1"/>
      <c r="M554" s="1"/>
      <c r="N554" s="1"/>
      <c r="O554" s="1"/>
      <c r="P554" s="1"/>
      <c r="Q554" s="1"/>
      <c r="R554" s="1"/>
      <c r="S554" s="1"/>
      <c r="T554" s="1"/>
      <c r="U554" s="1"/>
      <c r="V554" s="1"/>
      <c r="W554" s="1"/>
      <c r="X554" s="1"/>
      <c r="Y554" s="1"/>
      <c r="Z554" s="1"/>
    </row>
    <row r="555">
      <c r="A555" s="1" t="str">
        <f>IFERROR(__xludf.DUMMYFUNCTION("""COMPUTED_VALUE"""),"Minstrel's Doublet")</f>
        <v>Minstrel's Doublet</v>
      </c>
      <c r="B555" s="1" t="str">
        <f>IFERROR(__xludf.DUMMYFUNCTION("""COMPUTED_VALUE"""),"Quest Item")</f>
        <v>Quest Item</v>
      </c>
      <c r="C555" s="1"/>
      <c r="D555" s="1" t="str">
        <f>IFERROR(__xludf.DUMMYFUNCTION("""COMPUTED_VALUE"""),"Torso")</f>
        <v>Torso</v>
      </c>
      <c r="E555" s="1">
        <f>IFERROR(__xludf.DUMMYFUNCTION("""COMPUTED_VALUE"""),800.0)</f>
        <v>800</v>
      </c>
      <c r="F555" s="1" t="str">
        <f>IFERROR(__xludf.DUMMYFUNCTION("""COMPUTED_VALUE"""),"DEF: +40000 ++20,000 ACC and ATK. ++Upon surpassing 3 stacks of Disoriented you gain Invigorated until you drop below 3 stacks of Disoriented. +-Paladin of The Party and Bard Class only.")</f>
        <v>DEF: +40000 ++20,000 ACC and ATK. ++Upon surpassing 3 stacks of Disoriented you gain Invigorated until you drop below 3 stacks of Disoriented. +-Paladin of The Party and Bard Class only.</v>
      </c>
      <c r="G555" s="1">
        <f>IFERROR(__xludf.DUMMYFUNCTION("""COMPUTED_VALUE"""),3.16E7)</f>
        <v>31600000</v>
      </c>
      <c r="H555" s="1"/>
      <c r="I555" s="1"/>
      <c r="J555" s="1"/>
      <c r="K555" s="1"/>
      <c r="L555" s="1"/>
      <c r="M555" s="1"/>
      <c r="N555" s="1"/>
      <c r="O555" s="1"/>
      <c r="P555" s="1"/>
      <c r="Q555" s="1"/>
      <c r="R555" s="1"/>
      <c r="S555" s="1"/>
      <c r="T555" s="1"/>
      <c r="U555" s="1"/>
      <c r="V555" s="1"/>
      <c r="W555" s="1"/>
      <c r="X555" s="1"/>
      <c r="Y555" s="1"/>
      <c r="Z555" s="1"/>
    </row>
    <row r="556">
      <c r="A556" s="1" t="str">
        <f>IFERROR(__xludf.DUMMYFUNCTION("""COMPUTED_VALUE"""),"Minstrel's Cuffs")</f>
        <v>Minstrel's Cuffs</v>
      </c>
      <c r="B556" s="1" t="str">
        <f>IFERROR(__xludf.DUMMYFUNCTION("""COMPUTED_VALUE"""),"Quest Item")</f>
        <v>Quest Item</v>
      </c>
      <c r="C556" s="1"/>
      <c r="D556" s="1" t="str">
        <f>IFERROR(__xludf.DUMMYFUNCTION("""COMPUTED_VALUE"""),"Arms")</f>
        <v>Arms</v>
      </c>
      <c r="E556" s="1">
        <f>IFERROR(__xludf.DUMMYFUNCTION("""COMPUTED_VALUE"""),400.0)</f>
        <v>400</v>
      </c>
      <c r="F556" s="1" t="str">
        <f>IFERROR(__xludf.DUMMYFUNCTION("""COMPUTED_VALUE"""),"DEF: +20000 ++20,000 ACC and ATK. ++When using the entire Minstrel set you Double the DEF, ACC, and ATK of all allies. +-Paladin of The Party and Bard Class only.")</f>
        <v>DEF: +20000 ++20,000 ACC and ATK. ++When using the entire Minstrel set you Double the DEF, ACC, and ATK of all allies. +-Paladin of The Party and Bard Class only.</v>
      </c>
      <c r="G556" s="1">
        <f>IFERROR(__xludf.DUMMYFUNCTION("""COMPUTED_VALUE"""),7800000.0)</f>
        <v>7800000</v>
      </c>
      <c r="H556" s="1"/>
      <c r="I556" s="1"/>
      <c r="J556" s="1"/>
      <c r="K556" s="1"/>
      <c r="L556" s="1"/>
      <c r="M556" s="1"/>
      <c r="N556" s="1"/>
      <c r="O556" s="1"/>
      <c r="P556" s="1"/>
      <c r="Q556" s="1"/>
      <c r="R556" s="1"/>
      <c r="S556" s="1"/>
      <c r="T556" s="1"/>
      <c r="U556" s="1"/>
      <c r="V556" s="1"/>
      <c r="W556" s="1"/>
      <c r="X556" s="1"/>
      <c r="Y556" s="1"/>
      <c r="Z556" s="1"/>
    </row>
    <row r="557">
      <c r="A557" s="1" t="str">
        <f>IFERROR(__xludf.DUMMYFUNCTION("""COMPUTED_VALUE"""),"Heavenly Lute")</f>
        <v>Heavenly Lute</v>
      </c>
      <c r="B557" s="1" t="str">
        <f>IFERROR(__xludf.DUMMYFUNCTION("""COMPUTED_VALUE"""),"Quest Item")</f>
        <v>Quest Item</v>
      </c>
      <c r="C557" s="1" t="str">
        <f>IFERROR(__xludf.DUMMYFUNCTION("""COMPUTED_VALUE"""),"Instrument")</f>
        <v>Instrument</v>
      </c>
      <c r="D557" s="1" t="str">
        <f>IFERROR(__xludf.DUMMYFUNCTION("""COMPUTED_VALUE"""),"Hand")</f>
        <v>Hand</v>
      </c>
      <c r="E557" s="1">
        <f>IFERROR(__xludf.DUMMYFUNCTION("""COMPUTED_VALUE"""),900.0)</f>
        <v>900</v>
      </c>
      <c r="F557" s="1" t="str">
        <f>IFERROR(__xludf.DUMMYFUNCTION("""COMPUTED_VALUE"""),"DMG: +20000, Acoustic DMG: +25000 ++When attacking an enemy with this weapon gain 1 stack of Disoriented. ++May The Show Go On!: Expend all stacks of Disoriented dealing X*15000 Acoustic Damage for every stack of Disoriented expended,100 sp. +-Paladin of "&amp;"The Party and Bard Class only.")</f>
        <v>DMG: +20000, Acoustic DMG: +25000 ++When attacking an enemy with this weapon gain 1 stack of Disoriented. ++May The Show Go On!: Expend all stacks of Disoriented dealing X*15000 Acoustic Damage for every stack of Disoriented expended,100 sp. +-Paladin of The Party and Bard Class only.</v>
      </c>
      <c r="G557" s="1">
        <f>IFERROR(__xludf.DUMMYFUNCTION("""COMPUTED_VALUE"""),4.005E7)</f>
        <v>40050000</v>
      </c>
      <c r="H557" s="1"/>
      <c r="I557" s="1"/>
      <c r="J557" s="1"/>
      <c r="K557" s="1"/>
      <c r="L557" s="1"/>
      <c r="M557" s="1"/>
      <c r="N557" s="1"/>
      <c r="O557" s="1"/>
      <c r="P557" s="1"/>
      <c r="Q557" s="1"/>
      <c r="R557" s="1"/>
      <c r="S557" s="1"/>
      <c r="T557" s="1"/>
      <c r="U557" s="1"/>
      <c r="V557" s="1"/>
      <c r="W557" s="1"/>
      <c r="X557" s="1"/>
      <c r="Y557" s="1"/>
      <c r="Z557" s="1"/>
    </row>
    <row r="558">
      <c r="A558" s="1" t="str">
        <f>IFERROR(__xludf.DUMMYFUNCTION("""COMPUTED_VALUE"""),"Wine Stained Buckler With Portable Alcoholism")</f>
        <v>Wine Stained Buckler With Portable Alcoholism</v>
      </c>
      <c r="B558" s="1" t="str">
        <f>IFERROR(__xludf.DUMMYFUNCTION("""COMPUTED_VALUE"""),"Quest Item")</f>
        <v>Quest Item</v>
      </c>
      <c r="C558" s="1" t="str">
        <f>IFERROR(__xludf.DUMMYFUNCTION("""COMPUTED_VALUE"""),"Buckler")</f>
        <v>Buckler</v>
      </c>
      <c r="D558" s="1" t="str">
        <f>IFERROR(__xludf.DUMMYFUNCTION("""COMPUTED_VALUE"""),"Hand")</f>
        <v>Hand</v>
      </c>
      <c r="E558" s="1">
        <f>IFERROR(__xludf.DUMMYFUNCTION("""COMPUTED_VALUE"""),1500.0)</f>
        <v>1500</v>
      </c>
      <c r="F558" s="1" t="str">
        <f>IFERROR(__xludf.DUMMYFUNCTION("""COMPUTED_VALUE"""),"DEF: +50000, Acoustic DEF: +25000 ++Free Wine for All!: When hitting an enemy with this Buckler inflict 3 stacks of Disoriented on that enemy. +-That all you got?: When hit by any attack take 2 stacks of Disoriented. +-Paladin of The Party and Bard Class "&amp;"only.")</f>
        <v>DEF: +50000, Acoustic DEF: +25000 ++Free Wine for All!: When hitting an enemy with this Buckler inflict 3 stacks of Disoriented on that enemy. +-That all you got?: When hit by any attack take 2 stacks of Disoriented. +-Paladin of The Party and Bard Class only.</v>
      </c>
      <c r="G558" s="1">
        <f>IFERROR(__xludf.DUMMYFUNCTION("""COMPUTED_VALUE"""),1.1175E8)</f>
        <v>111750000</v>
      </c>
      <c r="H558" s="1"/>
      <c r="I558" s="1"/>
      <c r="J558" s="1"/>
      <c r="K558" s="1"/>
      <c r="L558" s="1"/>
      <c r="M558" s="1"/>
      <c r="N558" s="1"/>
      <c r="O558" s="1"/>
      <c r="P558" s="1"/>
      <c r="Q558" s="1"/>
      <c r="R558" s="1"/>
      <c r="S558" s="1"/>
      <c r="T558" s="1"/>
      <c r="U558" s="1"/>
      <c r="V558" s="1"/>
      <c r="W558" s="1"/>
      <c r="X558" s="1"/>
      <c r="Y558" s="1"/>
      <c r="Z558" s="1"/>
    </row>
    <row r="559">
      <c r="A559" s="1" t="str">
        <f>IFERROR(__xludf.DUMMYFUNCTION("""COMPUTED_VALUE"""),"Minstrel's Tights")</f>
        <v>Minstrel's Tights</v>
      </c>
      <c r="B559" s="1" t="str">
        <f>IFERROR(__xludf.DUMMYFUNCTION("""COMPUTED_VALUE"""),"Quest Item")</f>
        <v>Quest Item</v>
      </c>
      <c r="C559" s="1"/>
      <c r="D559" s="1" t="str">
        <f>IFERROR(__xludf.DUMMYFUNCTION("""COMPUTED_VALUE"""),"Legs")</f>
        <v>Legs</v>
      </c>
      <c r="E559" s="1">
        <f>IFERROR(__xludf.DUMMYFUNCTION("""COMPUTED_VALUE"""),400.0)</f>
        <v>400</v>
      </c>
      <c r="F559" s="1" t="str">
        <f>IFERROR(__xludf.DUMMYFUNCTION("""COMPUTED_VALUE"""),"DEF: +20000 ++20,000 ACC and ATK. ++X2 Acoustic Damage +-Paladin of The Party and Bard Class only.")</f>
        <v>DEF: +20000 ++20,000 ACC and ATK. ++X2 Acoustic Damage +-Paladin of The Party and Bard Class only.</v>
      </c>
      <c r="G559" s="1">
        <f>IFERROR(__xludf.DUMMYFUNCTION("""COMPUTED_VALUE"""),7800000.0)</f>
        <v>7800000</v>
      </c>
      <c r="H559" s="1"/>
      <c r="I559" s="1"/>
      <c r="J559" s="1"/>
      <c r="K559" s="1"/>
      <c r="L559" s="1"/>
      <c r="M559" s="1"/>
      <c r="N559" s="1"/>
      <c r="O559" s="1"/>
      <c r="P559" s="1"/>
      <c r="Q559" s="1"/>
      <c r="R559" s="1"/>
      <c r="S559" s="1"/>
      <c r="T559" s="1"/>
      <c r="U559" s="1"/>
      <c r="V559" s="1"/>
      <c r="W559" s="1"/>
      <c r="X559" s="1"/>
      <c r="Y559" s="1"/>
      <c r="Z559" s="1"/>
    </row>
    <row r="560">
      <c r="A560" s="1" t="str">
        <f>IFERROR(__xludf.DUMMYFUNCTION("""COMPUTED_VALUE"""),"Minstrel's Boots")</f>
        <v>Minstrel's Boots</v>
      </c>
      <c r="B560" s="1" t="str">
        <f>IFERROR(__xludf.DUMMYFUNCTION("""COMPUTED_VALUE"""),"Quest Item")</f>
        <v>Quest Item</v>
      </c>
      <c r="C560" s="1"/>
      <c r="D560" s="1" t="str">
        <f>IFERROR(__xludf.DUMMYFUNCTION("""COMPUTED_VALUE"""),"Feet")</f>
        <v>Feet</v>
      </c>
      <c r="E560" s="1">
        <f>IFERROR(__xludf.DUMMYFUNCTION("""COMPUTED_VALUE"""),400.0)</f>
        <v>400</v>
      </c>
      <c r="F560" s="1" t="str">
        <f>IFERROR(__xludf.DUMMYFUNCTION("""COMPUTED_VALUE"""),"DEF: +20000 ++20,000 ACC and ATK. ++Never Ending Dance of The Divine: Upon reaching 5 stacks of Disoriented inflict Haste 3 to all allies +-Paladin of The Party and Bard Class only.")</f>
        <v>DEF: +20000 ++20,000 ACC and ATK. ++Never Ending Dance of The Divine: Upon reaching 5 stacks of Disoriented inflict Haste 3 to all allies +-Paladin of The Party and Bard Class only.</v>
      </c>
      <c r="G560" s="1">
        <f>IFERROR(__xludf.DUMMYFUNCTION("""COMPUTED_VALUE"""),7800000.0)</f>
        <v>7800000</v>
      </c>
      <c r="H560" s="1"/>
      <c r="I560" s="1"/>
      <c r="J560" s="1"/>
      <c r="K560" s="1"/>
      <c r="L560" s="1"/>
      <c r="M560" s="1"/>
      <c r="N560" s="1"/>
      <c r="O560" s="1"/>
      <c r="P560" s="1"/>
      <c r="Q560" s="1"/>
      <c r="R560" s="1"/>
      <c r="S560" s="1"/>
      <c r="T560" s="1"/>
      <c r="U560" s="1"/>
      <c r="V560" s="1"/>
      <c r="W560" s="1"/>
      <c r="X560" s="1"/>
      <c r="Y560" s="1"/>
      <c r="Z560" s="1"/>
    </row>
    <row r="561">
      <c r="A561" s="1" t="str">
        <f>IFERROR(__xludf.DUMMYFUNCTION("""COMPUTED_VALUE"""),"Brass Ring of Blackout Drunkenness")</f>
        <v>Brass Ring of Blackout Drunkenness</v>
      </c>
      <c r="B561" s="1" t="str">
        <f>IFERROR(__xludf.DUMMYFUNCTION("""COMPUTED_VALUE"""),"Quest Item")</f>
        <v>Quest Item</v>
      </c>
      <c r="C561" s="1"/>
      <c r="D561" s="1" t="str">
        <f>IFERROR(__xludf.DUMMYFUNCTION("""COMPUTED_VALUE"""),"Ring")</f>
        <v>Ring</v>
      </c>
      <c r="E561" s="1">
        <f>IFERROR(__xludf.DUMMYFUNCTION("""COMPUTED_VALUE"""),1.0)</f>
        <v>1</v>
      </c>
      <c r="F561" s="1" t="str">
        <f>IFERROR(__xludf.DUMMYFUNCTION("""COMPUTED_VALUE""")," ++Upon Reaching 10 stacks of Disoriented remove a random enemy from battle whilst also being removed from battle yourself. +-Paladin of The Party and Bard Class only.")</f>
        <v> ++Upon Reaching 10 stacks of Disoriented remove a random enemy from battle whilst also being removed from battle yourself. +-Paladin of The Party and Bard Class only.</v>
      </c>
      <c r="G561" s="1">
        <f>IFERROR(__xludf.DUMMYFUNCTION("""COMPUTED_VALUE"""),0.0)</f>
        <v>0</v>
      </c>
      <c r="H561" s="1"/>
      <c r="I561" s="1"/>
      <c r="J561" s="1"/>
      <c r="K561" s="1"/>
      <c r="L561" s="1"/>
      <c r="M561" s="1"/>
      <c r="N561" s="1"/>
      <c r="O561" s="1"/>
      <c r="P561" s="1"/>
      <c r="Q561" s="1"/>
      <c r="R561" s="1"/>
      <c r="S561" s="1"/>
      <c r="T561" s="1"/>
      <c r="U561" s="1"/>
      <c r="V561" s="1"/>
      <c r="W561" s="1"/>
      <c r="X561" s="1"/>
      <c r="Y561" s="1"/>
      <c r="Z561" s="1"/>
    </row>
    <row r="562">
      <c r="A562" s="1" t="str">
        <f>IFERROR(__xludf.DUMMYFUNCTION("""COMPUTED_VALUE"""),"Wreath of The Party's Fervor")</f>
        <v>Wreath of The Party's Fervor</v>
      </c>
      <c r="B562" s="1" t="str">
        <f>IFERROR(__xludf.DUMMYFUNCTION("""COMPUTED_VALUE"""),"Quest Item")</f>
        <v>Quest Item</v>
      </c>
      <c r="C562" s="1"/>
      <c r="D562" s="1" t="str">
        <f>IFERROR(__xludf.DUMMYFUNCTION("""COMPUTED_VALUE"""),"Neck")</f>
        <v>Neck</v>
      </c>
      <c r="E562" s="1">
        <f>IFERROR(__xludf.DUMMYFUNCTION("""COMPUTED_VALUE"""),1.0)</f>
        <v>1</v>
      </c>
      <c r="F562" s="1" t="str">
        <f>IFERROR(__xludf.DUMMYFUNCTION("""COMPUTED_VALUE""")," ++When dealing Acoustic damage to any enemy there is a 5% chance for that enemy to be pacified for 3 rounds +-Paladin of The Party and Bard Class only.")</f>
        <v> ++When dealing Acoustic damage to any enemy there is a 5% chance for that enemy to be pacified for 3 rounds +-Paladin of The Party and Bard Class only.</v>
      </c>
      <c r="G562" s="1">
        <f>IFERROR(__xludf.DUMMYFUNCTION("""COMPUTED_VALUE"""),0.0)</f>
        <v>0</v>
      </c>
      <c r="H562" s="1"/>
      <c r="I562" s="1"/>
      <c r="J562" s="1"/>
      <c r="K562" s="1"/>
      <c r="L562" s="1"/>
      <c r="M562" s="1"/>
      <c r="N562" s="1"/>
      <c r="O562" s="1"/>
      <c r="P562" s="1"/>
      <c r="Q562" s="1"/>
      <c r="R562" s="1"/>
      <c r="S562" s="1"/>
      <c r="T562" s="1"/>
      <c r="U562" s="1"/>
      <c r="V562" s="1"/>
      <c r="W562" s="1"/>
      <c r="X562" s="1"/>
      <c r="Y562" s="1"/>
      <c r="Z562" s="1"/>
    </row>
    <row r="563">
      <c r="A563" s="1" t="str">
        <f>IFERROR(__xludf.DUMMYFUNCTION("""COMPUTED_VALUE"""),"Pauldrons of Tritonoch")</f>
        <v>Pauldrons of Tritonoch</v>
      </c>
      <c r="B563" s="1"/>
      <c r="C563" s="1"/>
      <c r="D563" s="1" t="str">
        <f>IFERROR(__xludf.DUMMYFUNCTION("""COMPUTED_VALUE"""),"Shoulders")</f>
        <v>Shoulders</v>
      </c>
      <c r="E563" s="1">
        <f>IFERROR(__xludf.DUMMYFUNCTION("""COMPUTED_VALUE"""),800.0)</f>
        <v>800</v>
      </c>
      <c r="F563" s="1" t="str">
        <f>IFERROR(__xludf.DUMMYFUNCTION("""COMPUTED_VALUE"""),"DEF: +20000, Water DEF: +20000 ++Waves of Entitlement - x5 additional Water damage")</f>
        <v>DEF: +20000, Water DEF: +20000 ++Waves of Entitlement - x5 additional Water damage</v>
      </c>
      <c r="G563" s="1">
        <f>IFERROR(__xludf.DUMMYFUNCTION("""COMPUTED_VALUE"""),3.16E7)</f>
        <v>31600000</v>
      </c>
      <c r="H563" s="1"/>
      <c r="I563" s="1"/>
      <c r="J563" s="1"/>
      <c r="K563" s="1"/>
      <c r="L563" s="1"/>
      <c r="M563" s="1"/>
      <c r="N563" s="1"/>
      <c r="O563" s="1"/>
      <c r="P563" s="1"/>
      <c r="Q563" s="1"/>
      <c r="R563" s="1"/>
      <c r="S563" s="1"/>
      <c r="T563" s="1"/>
      <c r="U563" s="1"/>
      <c r="V563" s="1"/>
      <c r="W563" s="1"/>
      <c r="X563" s="1"/>
      <c r="Y563" s="1"/>
      <c r="Z563" s="1"/>
    </row>
    <row r="564">
      <c r="A564" s="1" t="str">
        <f>IFERROR(__xludf.DUMMYFUNCTION("""COMPUTED_VALUE"""),"Chestplate of Tritonoch")</f>
        <v>Chestplate of Tritonoch</v>
      </c>
      <c r="B564" s="1"/>
      <c r="C564" s="1"/>
      <c r="D564" s="1" t="str">
        <f>IFERROR(__xludf.DUMMYFUNCTION("""COMPUTED_VALUE"""),"Torso")</f>
        <v>Torso</v>
      </c>
      <c r="E564" s="1">
        <f>IFERROR(__xludf.DUMMYFUNCTION("""COMPUTED_VALUE"""),800.0)</f>
        <v>800</v>
      </c>
      <c r="F564" s="1" t="str">
        <f>IFERROR(__xludf.DUMMYFUNCTION("""COMPUTED_VALUE"""),"DEF: +20000, Water DEF: +20000 ++Waves of Entitlement - x5 additional Water damage")</f>
        <v>DEF: +20000, Water DEF: +20000 ++Waves of Entitlement - x5 additional Water damage</v>
      </c>
      <c r="G564" s="1">
        <f>IFERROR(__xludf.DUMMYFUNCTION("""COMPUTED_VALUE"""),3.16E7)</f>
        <v>31600000</v>
      </c>
      <c r="H564" s="1"/>
      <c r="I564" s="1"/>
      <c r="J564" s="1"/>
      <c r="K564" s="1"/>
      <c r="L564" s="1"/>
      <c r="M564" s="1"/>
      <c r="N564" s="1"/>
      <c r="O564" s="1"/>
      <c r="P564" s="1"/>
      <c r="Q564" s="1"/>
      <c r="R564" s="1"/>
      <c r="S564" s="1"/>
      <c r="T564" s="1"/>
      <c r="U564" s="1"/>
      <c r="V564" s="1"/>
      <c r="W564" s="1"/>
      <c r="X564" s="1"/>
      <c r="Y564" s="1"/>
      <c r="Z564" s="1"/>
    </row>
    <row r="565">
      <c r="A565" s="1" t="str">
        <f>IFERROR(__xludf.DUMMYFUNCTION("""COMPUTED_VALUE"""),"Vambraces of Tritonoch")</f>
        <v>Vambraces of Tritonoch</v>
      </c>
      <c r="B565" s="1"/>
      <c r="C565" s="1"/>
      <c r="D565" s="1" t="str">
        <f>IFERROR(__xludf.DUMMYFUNCTION("""COMPUTED_VALUE"""),"Arms")</f>
        <v>Arms</v>
      </c>
      <c r="E565" s="1">
        <f>IFERROR(__xludf.DUMMYFUNCTION("""COMPUTED_VALUE"""),800.0)</f>
        <v>800</v>
      </c>
      <c r="F565" s="1" t="str">
        <f>IFERROR(__xludf.DUMMYFUNCTION("""COMPUTED_VALUE"""),"DEF: +20000, Water DEF: +20000 ++Waves of Entitlement - x5 additional Water damage")</f>
        <v>DEF: +20000, Water DEF: +20000 ++Waves of Entitlement - x5 additional Water damage</v>
      </c>
      <c r="G565" s="1">
        <f>IFERROR(__xludf.DUMMYFUNCTION("""COMPUTED_VALUE"""),3.16E7)</f>
        <v>31600000</v>
      </c>
      <c r="H565" s="1"/>
      <c r="I565" s="1"/>
      <c r="J565" s="1"/>
      <c r="K565" s="1"/>
      <c r="L565" s="1"/>
      <c r="M565" s="1"/>
      <c r="N565" s="1"/>
      <c r="O565" s="1"/>
      <c r="P565" s="1"/>
      <c r="Q565" s="1"/>
      <c r="R565" s="1"/>
      <c r="S565" s="1"/>
      <c r="T565" s="1"/>
      <c r="U565" s="1"/>
      <c r="V565" s="1"/>
      <c r="W565" s="1"/>
      <c r="X565" s="1"/>
      <c r="Y565" s="1"/>
      <c r="Z565" s="1"/>
    </row>
    <row r="566">
      <c r="A566" s="1" t="str">
        <f>IFERROR(__xludf.DUMMYFUNCTION("""COMPUTED_VALUE"""),"Trident of Tritonoch")</f>
        <v>Trident of Tritonoch</v>
      </c>
      <c r="B566" s="1"/>
      <c r="C566" s="1" t="str">
        <f>IFERROR(__xludf.DUMMYFUNCTION("""COMPUTED_VALUE"""),"Spear")</f>
        <v>Spear</v>
      </c>
      <c r="D566" s="1" t="str">
        <f>IFERROR(__xludf.DUMMYFUNCTION("""COMPUTED_VALUE"""),"Hand")</f>
        <v>Hand</v>
      </c>
      <c r="E566" s="1">
        <f>IFERROR(__xludf.DUMMYFUNCTION("""COMPUTED_VALUE"""),200.0)</f>
        <v>200</v>
      </c>
      <c r="F566" s="1" t="str">
        <f>IFERROR(__xludf.DUMMYFUNCTION("""COMPUTED_VALUE"""),"DMG: +20000, Water DMG: +20000, Celestial DMG: +20000 ++Waves of Entitlement II - x10 additional Water damage. 20% chance of Slowness 3 to the target. +-Cannot be duplicated")</f>
        <v>DMG: +20000, Water DMG: +20000, Celestial DMG: +20000 ++Waves of Entitlement II - x10 additional Water damage. 20% chance of Slowness 3 to the target. +-Cannot be duplicated</v>
      </c>
      <c r="G566" s="1">
        <f>IFERROR(__xludf.DUMMYFUNCTION("""COMPUTED_VALUE"""),7.14E7)</f>
        <v>71400000</v>
      </c>
      <c r="H566" s="1"/>
      <c r="I566" s="1"/>
      <c r="J566" s="1"/>
      <c r="K566" s="1"/>
      <c r="L566" s="1"/>
      <c r="M566" s="1"/>
      <c r="N566" s="1"/>
      <c r="O566" s="1"/>
      <c r="P566" s="1"/>
      <c r="Q566" s="1"/>
      <c r="R566" s="1"/>
      <c r="S566" s="1"/>
      <c r="T566" s="1"/>
      <c r="U566" s="1"/>
      <c r="V566" s="1"/>
      <c r="W566" s="1"/>
      <c r="X566" s="1"/>
      <c r="Y566" s="1"/>
      <c r="Z566" s="1"/>
    </row>
    <row r="567">
      <c r="A567" s="1" t="str">
        <f>IFERROR(__xludf.DUMMYFUNCTION("""COMPUTED_VALUE"""),"Boots of Tritonoch")</f>
        <v>Boots of Tritonoch</v>
      </c>
      <c r="B567" s="1"/>
      <c r="C567" s="1"/>
      <c r="D567" s="1" t="str">
        <f>IFERROR(__xludf.DUMMYFUNCTION("""COMPUTED_VALUE"""),"Feet")</f>
        <v>Feet</v>
      </c>
      <c r="E567" s="1">
        <f>IFERROR(__xludf.DUMMYFUNCTION("""COMPUTED_VALUE"""),800.0)</f>
        <v>800</v>
      </c>
      <c r="F567" s="1" t="str">
        <f>IFERROR(__xludf.DUMMYFUNCTION("""COMPUTED_VALUE"""),"DEF: +20000, Water DEF: +20000 ++Waves of Entitlement - x5 additional Water damage")</f>
        <v>DEF: +20000, Water DEF: +20000 ++Waves of Entitlement - x5 additional Water damage</v>
      </c>
      <c r="G567" s="1">
        <f>IFERROR(__xludf.DUMMYFUNCTION("""COMPUTED_VALUE"""),3.16E7)</f>
        <v>31600000</v>
      </c>
      <c r="H567" s="1"/>
      <c r="I567" s="1"/>
      <c r="J567" s="1"/>
      <c r="K567" s="1"/>
      <c r="L567" s="1"/>
      <c r="M567" s="1"/>
      <c r="N567" s="1"/>
      <c r="O567" s="1"/>
      <c r="P567" s="1"/>
      <c r="Q567" s="1"/>
      <c r="R567" s="1"/>
      <c r="S567" s="1"/>
      <c r="T567" s="1"/>
      <c r="U567" s="1"/>
      <c r="V567" s="1"/>
      <c r="W567" s="1"/>
      <c r="X567" s="1"/>
      <c r="Y567" s="1"/>
      <c r="Z567" s="1"/>
    </row>
    <row r="568">
      <c r="A568" s="1" t="str">
        <f>IFERROR(__xludf.DUMMYFUNCTION("""COMPUTED_VALUE"""),"Steel Bandit Dagger")</f>
        <v>Steel Bandit Dagger</v>
      </c>
      <c r="B568" s="1"/>
      <c r="C568" s="1" t="str">
        <f>IFERROR(__xludf.DUMMYFUNCTION("""COMPUTED_VALUE"""),"Knife")</f>
        <v>Knife</v>
      </c>
      <c r="D568" s="1" t="str">
        <f>IFERROR(__xludf.DUMMYFUNCTION("""COMPUTED_VALUE"""),"Hand")</f>
        <v>Hand</v>
      </c>
      <c r="E568" s="1">
        <f>IFERROR(__xludf.DUMMYFUNCTION("""COMPUTED_VALUE"""),1000.0)</f>
        <v>1000</v>
      </c>
      <c r="F568" s="1" t="str">
        <f>IFERROR(__xludf.DUMMYFUNCTION("""COMPUTED_VALUE"""),"DMG: +50000 ++10% chance to steal gilders upon hitting an enemy guilders stolen are equivalent to 1,000*d20")</f>
        <v>DMG: +50000 ++10% chance to steal gilders upon hitting an enemy guilders stolen are equivalent to 1,000*d20</v>
      </c>
      <c r="G568" s="1">
        <f>IFERROR(__xludf.DUMMYFUNCTION("""COMPUTED_VALUE"""),4.95E7)</f>
        <v>49500000</v>
      </c>
      <c r="H568" s="1"/>
      <c r="I568" s="1"/>
      <c r="J568" s="1"/>
      <c r="K568" s="1"/>
      <c r="L568" s="1"/>
      <c r="M568" s="1"/>
      <c r="N568" s="1"/>
      <c r="O568" s="1"/>
      <c r="P568" s="1"/>
      <c r="Q568" s="1"/>
      <c r="R568" s="1"/>
      <c r="S568" s="1"/>
      <c r="T568" s="1"/>
      <c r="U568" s="1"/>
      <c r="V568" s="1"/>
      <c r="W568" s="1"/>
      <c r="X568" s="1"/>
      <c r="Y568" s="1"/>
      <c r="Z568" s="1"/>
    </row>
    <row r="569">
      <c r="A569" s="1" t="str">
        <f>IFERROR(__xludf.DUMMYFUNCTION("""COMPUTED_VALUE"""),"Bandit Hide Helm")</f>
        <v>Bandit Hide Helm</v>
      </c>
      <c r="B569" s="1"/>
      <c r="C569" s="1"/>
      <c r="D569" s="1" t="str">
        <f>IFERROR(__xludf.DUMMYFUNCTION("""COMPUTED_VALUE"""),"Head")</f>
        <v>Head</v>
      </c>
      <c r="E569" s="1">
        <f>IFERROR(__xludf.DUMMYFUNCTION("""COMPUTED_VALUE"""),1000.0)</f>
        <v>1000</v>
      </c>
      <c r="F569" s="1" t="str">
        <f>IFERROR(__xludf.DUMMYFUNCTION("""COMPUTED_VALUE"""),"DEF: +50000")</f>
        <v>DEF: +50000</v>
      </c>
      <c r="G569" s="1">
        <f>IFERROR(__xludf.DUMMYFUNCTION("""COMPUTED_VALUE"""),4.95E7)</f>
        <v>49500000</v>
      </c>
      <c r="H569" s="1"/>
      <c r="I569" s="1"/>
      <c r="J569" s="1"/>
      <c r="K569" s="1"/>
      <c r="L569" s="1"/>
      <c r="M569" s="1"/>
      <c r="N569" s="1"/>
      <c r="O569" s="1"/>
      <c r="P569" s="1"/>
      <c r="Q569" s="1"/>
      <c r="R569" s="1"/>
      <c r="S569" s="1"/>
      <c r="T569" s="1"/>
      <c r="U569" s="1"/>
      <c r="V569" s="1"/>
      <c r="W569" s="1"/>
      <c r="X569" s="1"/>
      <c r="Y569" s="1"/>
      <c r="Z569" s="1"/>
    </row>
    <row r="570">
      <c r="A570" s="1" t="str">
        <f>IFERROR(__xludf.DUMMYFUNCTION("""COMPUTED_VALUE"""),"Bandit Hide Padding")</f>
        <v>Bandit Hide Padding</v>
      </c>
      <c r="B570" s="1"/>
      <c r="C570" s="1"/>
      <c r="D570" s="1" t="str">
        <f>IFERROR(__xludf.DUMMYFUNCTION("""COMPUTED_VALUE"""),"Shoulders")</f>
        <v>Shoulders</v>
      </c>
      <c r="E570" s="1">
        <f>IFERROR(__xludf.DUMMYFUNCTION("""COMPUTED_VALUE"""),1000.0)</f>
        <v>1000</v>
      </c>
      <c r="F570" s="1" t="str">
        <f>IFERROR(__xludf.DUMMYFUNCTION("""COMPUTED_VALUE"""),"DEF: +50000")</f>
        <v>DEF: +50000</v>
      </c>
      <c r="G570" s="1">
        <f>IFERROR(__xludf.DUMMYFUNCTION("""COMPUTED_VALUE"""),4.95E7)</f>
        <v>49500000</v>
      </c>
      <c r="H570" s="1"/>
      <c r="I570" s="1"/>
      <c r="J570" s="1"/>
      <c r="K570" s="1"/>
      <c r="L570" s="1"/>
      <c r="M570" s="1"/>
      <c r="N570" s="1"/>
      <c r="O570" s="1"/>
      <c r="P570" s="1"/>
      <c r="Q570" s="1"/>
      <c r="R570" s="1"/>
      <c r="S570" s="1"/>
      <c r="T570" s="1"/>
      <c r="U570" s="1"/>
      <c r="V570" s="1"/>
      <c r="W570" s="1"/>
      <c r="X570" s="1"/>
      <c r="Y570" s="1"/>
      <c r="Z570" s="1"/>
    </row>
    <row r="571">
      <c r="A571" s="1" t="str">
        <f>IFERROR(__xludf.DUMMYFUNCTION("""COMPUTED_VALUE"""),"Bandit Hide Chestplate")</f>
        <v>Bandit Hide Chestplate</v>
      </c>
      <c r="B571" s="1"/>
      <c r="C571" s="1"/>
      <c r="D571" s="1" t="str">
        <f>IFERROR(__xludf.DUMMYFUNCTION("""COMPUTED_VALUE"""),"Torso")</f>
        <v>Torso</v>
      </c>
      <c r="E571" s="1">
        <f>IFERROR(__xludf.DUMMYFUNCTION("""COMPUTED_VALUE"""),1000.0)</f>
        <v>1000</v>
      </c>
      <c r="F571" s="1" t="str">
        <f>IFERROR(__xludf.DUMMYFUNCTION("""COMPUTED_VALUE"""),"DEF: +50000 ++X2 damage with Knives")</f>
        <v>DEF: +50000 ++X2 damage with Knives</v>
      </c>
      <c r="G571" s="1">
        <f>IFERROR(__xludf.DUMMYFUNCTION("""COMPUTED_VALUE"""),4.95E7)</f>
        <v>49500000</v>
      </c>
      <c r="H571" s="1"/>
      <c r="I571" s="1"/>
      <c r="J571" s="1"/>
      <c r="K571" s="1"/>
      <c r="L571" s="1"/>
      <c r="M571" s="1"/>
      <c r="N571" s="1"/>
      <c r="O571" s="1"/>
      <c r="P571" s="1"/>
      <c r="Q571" s="1"/>
      <c r="R571" s="1"/>
      <c r="S571" s="1"/>
      <c r="T571" s="1"/>
      <c r="U571" s="1"/>
      <c r="V571" s="1"/>
      <c r="W571" s="1"/>
      <c r="X571" s="1"/>
      <c r="Y571" s="1"/>
      <c r="Z571" s="1"/>
    </row>
    <row r="572">
      <c r="A572" s="1" t="str">
        <f>IFERROR(__xludf.DUMMYFUNCTION("""COMPUTED_VALUE"""),"Bandit Hide Vambraces")</f>
        <v>Bandit Hide Vambraces</v>
      </c>
      <c r="B572" s="1"/>
      <c r="C572" s="1"/>
      <c r="D572" s="1" t="str">
        <f>IFERROR(__xludf.DUMMYFUNCTION("""COMPUTED_VALUE"""),"Arms")</f>
        <v>Arms</v>
      </c>
      <c r="E572" s="1">
        <f>IFERROR(__xludf.DUMMYFUNCTION("""COMPUTED_VALUE"""),1000.0)</f>
        <v>1000</v>
      </c>
      <c r="F572" s="1" t="str">
        <f>IFERROR(__xludf.DUMMYFUNCTION("""COMPUTED_VALUE"""),"DEF: +50000")</f>
        <v>DEF: +50000</v>
      </c>
      <c r="G572" s="1">
        <f>IFERROR(__xludf.DUMMYFUNCTION("""COMPUTED_VALUE"""),4.95E7)</f>
        <v>49500000</v>
      </c>
      <c r="H572" s="1"/>
      <c r="I572" s="1"/>
      <c r="J572" s="1"/>
      <c r="K572" s="1"/>
      <c r="L572" s="1"/>
      <c r="M572" s="1"/>
      <c r="N572" s="1"/>
      <c r="O572" s="1"/>
      <c r="P572" s="1"/>
      <c r="Q572" s="1"/>
      <c r="R572" s="1"/>
      <c r="S572" s="1"/>
      <c r="T572" s="1"/>
      <c r="U572" s="1"/>
      <c r="V572" s="1"/>
      <c r="W572" s="1"/>
      <c r="X572" s="1"/>
      <c r="Y572" s="1"/>
      <c r="Z572" s="1"/>
    </row>
    <row r="573">
      <c r="A573" s="1" t="str">
        <f>IFERROR(__xludf.DUMMYFUNCTION("""COMPUTED_VALUE"""),"Bandit Hide Greaves")</f>
        <v>Bandit Hide Greaves</v>
      </c>
      <c r="B573" s="1"/>
      <c r="C573" s="1"/>
      <c r="D573" s="1" t="str">
        <f>IFERROR(__xludf.DUMMYFUNCTION("""COMPUTED_VALUE"""),"Legs")</f>
        <v>Legs</v>
      </c>
      <c r="E573" s="1">
        <f>IFERROR(__xludf.DUMMYFUNCTION("""COMPUTED_VALUE"""),1000.0)</f>
        <v>1000</v>
      </c>
      <c r="F573" s="1" t="str">
        <f>IFERROR(__xludf.DUMMYFUNCTION("""COMPUTED_VALUE"""),"DEF: +50000")</f>
        <v>DEF: +50000</v>
      </c>
      <c r="G573" s="1">
        <f>IFERROR(__xludf.DUMMYFUNCTION("""COMPUTED_VALUE"""),4.95E7)</f>
        <v>49500000</v>
      </c>
      <c r="H573" s="1"/>
      <c r="I573" s="1"/>
      <c r="J573" s="1"/>
      <c r="K573" s="1"/>
      <c r="L573" s="1"/>
      <c r="M573" s="1"/>
      <c r="N573" s="1"/>
      <c r="O573" s="1"/>
      <c r="P573" s="1"/>
      <c r="Q573" s="1"/>
      <c r="R573" s="1"/>
      <c r="S573" s="1"/>
      <c r="T573" s="1"/>
      <c r="U573" s="1"/>
      <c r="V573" s="1"/>
      <c r="W573" s="1"/>
      <c r="X573" s="1"/>
      <c r="Y573" s="1"/>
      <c r="Z573" s="1"/>
    </row>
    <row r="574">
      <c r="A574" s="1" t="str">
        <f>IFERROR(__xludf.DUMMYFUNCTION("""COMPUTED_VALUE"""),"Bandit Hide Boots")</f>
        <v>Bandit Hide Boots</v>
      </c>
      <c r="B574" s="1"/>
      <c r="C574" s="1"/>
      <c r="D574" s="1" t="str">
        <f>IFERROR(__xludf.DUMMYFUNCTION("""COMPUTED_VALUE"""),"Feet")</f>
        <v>Feet</v>
      </c>
      <c r="E574" s="1">
        <f>IFERROR(__xludf.DUMMYFUNCTION("""COMPUTED_VALUE"""),1000.0)</f>
        <v>1000</v>
      </c>
      <c r="F574" s="1" t="str">
        <f>IFERROR(__xludf.DUMMYFUNCTION("""COMPUTED_VALUE"""),"DEF: +50000  ++5 to all confiscate, pickpocket, or take rolls")</f>
        <v>DEF: +50000  ++5 to all confiscate, pickpocket, or take rolls</v>
      </c>
      <c r="G574" s="1">
        <f>IFERROR(__xludf.DUMMYFUNCTION("""COMPUTED_VALUE"""),4.95E7)</f>
        <v>49500000</v>
      </c>
      <c r="H574" s="1"/>
      <c r="I574" s="1"/>
      <c r="J574" s="1"/>
      <c r="K574" s="1"/>
      <c r="L574" s="1"/>
      <c r="M574" s="1"/>
      <c r="N574" s="1"/>
      <c r="O574" s="1"/>
      <c r="P574" s="1"/>
      <c r="Q574" s="1"/>
      <c r="R574" s="1"/>
      <c r="S574" s="1"/>
      <c r="T574" s="1"/>
      <c r="U574" s="1"/>
      <c r="V574" s="1"/>
      <c r="W574" s="1"/>
      <c r="X574" s="1"/>
      <c r="Y574" s="1"/>
      <c r="Z574" s="1"/>
    </row>
    <row r="575">
      <c r="A575" s="1" t="str">
        <f>IFERROR(__xludf.DUMMYFUNCTION("""COMPUTED_VALUE"""),"Nunchucks")</f>
        <v>Nunchucks</v>
      </c>
      <c r="B575" s="1"/>
      <c r="C575" s="1" t="str">
        <f>IFERROR(__xludf.DUMMYFUNCTION("""COMPUTED_VALUE"""),"Club")</f>
        <v>Club</v>
      </c>
      <c r="D575" s="1" t="str">
        <f>IFERROR(__xludf.DUMMYFUNCTION("""COMPUTED_VALUE"""),"Hand")</f>
        <v>Hand</v>
      </c>
      <c r="E575" s="1">
        <f>IFERROR(__xludf.DUMMYFUNCTION("""COMPUTED_VALUE"""),3000.0)</f>
        <v>3000</v>
      </c>
      <c r="F575" s="1" t="str">
        <f>IFERROR(__xludf.DUMMYFUNCTION("""COMPUTED_VALUE"""),"DMG: +150000 ++10% chance to disarm your enemy when hitting them")</f>
        <v>DMG: +150000 ++10% chance to disarm your enemy when hitting them</v>
      </c>
      <c r="G575" s="1">
        <f>IFERROR(__xludf.DUMMYFUNCTION("""COMPUTED_VALUE"""),4.485E8)</f>
        <v>448500000</v>
      </c>
      <c r="H575" s="1"/>
      <c r="I575" s="1"/>
      <c r="J575" s="1"/>
      <c r="K575" s="1"/>
      <c r="L575" s="1"/>
      <c r="M575" s="1"/>
      <c r="N575" s="1"/>
      <c r="O575" s="1"/>
      <c r="P575" s="1"/>
      <c r="Q575" s="1"/>
      <c r="R575" s="1"/>
      <c r="S575" s="1"/>
      <c r="T575" s="1"/>
      <c r="U575" s="1"/>
      <c r="V575" s="1"/>
      <c r="W575" s="1"/>
      <c r="X575" s="1"/>
      <c r="Y575" s="1"/>
      <c r="Z575" s="1"/>
    </row>
    <row r="576">
      <c r="A576" s="1" t="str">
        <f>IFERROR(__xludf.DUMMYFUNCTION("""COMPUTED_VALUE"""),"Shuriken (Enhanced)")</f>
        <v>Shuriken (Enhanced)</v>
      </c>
      <c r="B576" s="1" t="str">
        <f>IFERROR(__xludf.DUMMYFUNCTION("""COMPUTED_VALUE"""),"the tantamount Ninja weapon, requires a level of dexterity you probably don't possess")</f>
        <v>the tantamount Ninja weapon, requires a level of dexterity you probably don't possess</v>
      </c>
      <c r="C576" s="1" t="str">
        <f>IFERROR(__xludf.DUMMYFUNCTION("""COMPUTED_VALUE"""),"Boomerang")</f>
        <v>Boomerang</v>
      </c>
      <c r="D576" s="1" t="str">
        <f>IFERROR(__xludf.DUMMYFUNCTION("""COMPUTED_VALUE"""),"Hand")</f>
        <v>Hand</v>
      </c>
      <c r="E576" s="1">
        <f>IFERROR(__xludf.DUMMYFUNCTION("""COMPUTED_VALUE"""),1500.0)</f>
        <v>1500</v>
      </c>
      <c r="F576" s="1" t="str">
        <f>IFERROR(__xludf.DUMMYFUNCTION("""COMPUTED_VALUE"""),"DMG: +50000, Blood DMG: +25000 ++Returns when thrown, can throw up to 4 in one attack (roll 1d4 to determine)")</f>
        <v>DMG: +50000, Blood DMG: +25000 ++Returns when thrown, can throw up to 4 in one attack (roll 1d4 to determine)</v>
      </c>
      <c r="G576" s="1">
        <f>IFERROR(__xludf.DUMMYFUNCTION("""COMPUTED_VALUE"""),1.1175E8)</f>
        <v>111750000</v>
      </c>
      <c r="H576" s="1"/>
      <c r="I576" s="1"/>
      <c r="J576" s="1"/>
      <c r="K576" s="1"/>
      <c r="L576" s="1"/>
      <c r="M576" s="1"/>
      <c r="N576" s="1"/>
      <c r="O576" s="1"/>
      <c r="P576" s="1"/>
      <c r="Q576" s="1"/>
      <c r="R576" s="1"/>
      <c r="S576" s="1"/>
      <c r="T576" s="1"/>
      <c r="U576" s="1"/>
      <c r="V576" s="1"/>
      <c r="W576" s="1"/>
      <c r="X576" s="1"/>
      <c r="Y576" s="1"/>
      <c r="Z576" s="1"/>
    </row>
    <row r="577">
      <c r="A577" s="1" t="str">
        <f>IFERROR(__xludf.DUMMYFUNCTION("""COMPUTED_VALUE"""),"Poison Dart Gun")</f>
        <v>Poison Dart Gun</v>
      </c>
      <c r="B577" s="1" t="str">
        <f>IFERROR(__xludf.DUMMYFUNCTION("""COMPUTED_VALUE"""),"Poisoners first, and most trusty weapon. Nearly as old as the poison masters themselves these weapons have been part of the ")</f>
        <v>Poisoners first, and most trusty weapon. Nearly as old as the poison masters themselves these weapons have been part of the </v>
      </c>
      <c r="C577" s="1" t="str">
        <f>IFERROR(__xludf.DUMMYFUNCTION("""COMPUTED_VALUE"""),"Firearm")</f>
        <v>Firearm</v>
      </c>
      <c r="D577" s="1" t="str">
        <f>IFERROR(__xludf.DUMMYFUNCTION("""COMPUTED_VALUE"""),"Hand")</f>
        <v>Hand</v>
      </c>
      <c r="E577" s="1">
        <f>IFERROR(__xludf.DUMMYFUNCTION("""COMPUTED_VALUE"""),2000.0)</f>
        <v>2000</v>
      </c>
      <c r="F577" s="1" t="str">
        <f>IFERROR(__xludf.DUMMYFUNCTION("""COMPUTED_VALUE"""),"DMG: +75000, Voodoo DMG: +25000 ++Inflicts Poison 2500 for 2 rounds. ++Uses darts as ammo")</f>
        <v>DMG: +75000, Voodoo DMG: +25000 ++Inflicts Poison 2500 for 2 rounds. ++Uses darts as ammo</v>
      </c>
      <c r="G577" s="1">
        <f>IFERROR(__xludf.DUMMYFUNCTION("""COMPUTED_VALUE"""),1.99E8)</f>
        <v>199000000</v>
      </c>
      <c r="H577" s="1"/>
      <c r="I577" s="1"/>
      <c r="J577" s="1"/>
      <c r="K577" s="1"/>
      <c r="L577" s="1"/>
      <c r="M577" s="1"/>
      <c r="N577" s="1"/>
      <c r="O577" s="1"/>
      <c r="P577" s="1"/>
      <c r="Q577" s="1"/>
      <c r="R577" s="1"/>
      <c r="S577" s="1"/>
      <c r="T577" s="1"/>
      <c r="U577" s="1"/>
      <c r="V577" s="1"/>
      <c r="W577" s="1"/>
      <c r="X577" s="1"/>
      <c r="Y577" s="1"/>
      <c r="Z577" s="1"/>
    </row>
    <row r="578">
      <c r="A578" s="1" t="str">
        <f>IFERROR(__xludf.DUMMYFUNCTION("""COMPUTED_VALUE"""),"Poison Tipped Needle")</f>
        <v>Poison Tipped Needle</v>
      </c>
      <c r="B578" s="1" t="str">
        <f>IFERROR(__xludf.DUMMYFUNCTION("""COMPUTED_VALUE"""),"A needle dipped in master Wushang's thousand poisons or some other Wuxia novel esque bullshit")</f>
        <v>A needle dipped in master Wushang's thousand poisons or some other Wuxia novel esque bullshit</v>
      </c>
      <c r="C578" s="1" t="str">
        <f>IFERROR(__xludf.DUMMYFUNCTION("""COMPUTED_VALUE"""),"Knife")</f>
        <v>Knife</v>
      </c>
      <c r="D578" s="1" t="str">
        <f>IFERROR(__xludf.DUMMYFUNCTION("""COMPUTED_VALUE"""),"Hand")</f>
        <v>Hand</v>
      </c>
      <c r="E578" s="1">
        <f>IFERROR(__xludf.DUMMYFUNCTION("""COMPUTED_VALUE"""),2000.0)</f>
        <v>2000</v>
      </c>
      <c r="F578" s="1" t="str">
        <f>IFERROR(__xludf.DUMMYFUNCTION("""COMPUTED_VALUE"""),"DMG: +75000, Voodoo DMG: +25000 ++When rolling a Natural 19 or 20 deals X3 Damage. ++Inflicts Poison 100")</f>
        <v>DMG: +75000, Voodoo DMG: +25000 ++When rolling a Natural 19 or 20 deals X3 Damage. ++Inflicts Poison 100</v>
      </c>
      <c r="G578" s="1">
        <f>IFERROR(__xludf.DUMMYFUNCTION("""COMPUTED_VALUE"""),1.99E8)</f>
        <v>199000000</v>
      </c>
      <c r="H578" s="1"/>
      <c r="I578" s="1"/>
      <c r="J578" s="1"/>
      <c r="K578" s="1"/>
      <c r="L578" s="1"/>
      <c r="M578" s="1"/>
      <c r="N578" s="1"/>
      <c r="O578" s="1"/>
      <c r="P578" s="1"/>
      <c r="Q578" s="1"/>
      <c r="R578" s="1"/>
      <c r="S578" s="1"/>
      <c r="T578" s="1"/>
      <c r="U578" s="1"/>
      <c r="V578" s="1"/>
      <c r="W578" s="1"/>
      <c r="X578" s="1"/>
      <c r="Y578" s="1"/>
      <c r="Z578" s="1"/>
    </row>
    <row r="579">
      <c r="A579" s="1" t="str">
        <f>IFERROR(__xludf.DUMMYFUNCTION("""COMPUTED_VALUE"""),"Katana (Enhanced)")</f>
        <v>Katana (Enhanced)</v>
      </c>
      <c r="B579" s="1" t="str">
        <f>IFERROR(__xludf.DUMMYFUNCTION("""COMPUTED_VALUE"""),"The sword of weebs and actual samurai alike, surprisingly yes, weebs do exist in Spira")</f>
        <v>The sword of weebs and actual samurai alike, surprisingly yes, weebs do exist in Spira</v>
      </c>
      <c r="C579" s="1" t="str">
        <f>IFERROR(__xludf.DUMMYFUNCTION("""COMPUTED_VALUE"""),"Sword")</f>
        <v>Sword</v>
      </c>
      <c r="D579" s="1" t="str">
        <f>IFERROR(__xludf.DUMMYFUNCTION("""COMPUTED_VALUE"""),"Hand")</f>
        <v>Hand</v>
      </c>
      <c r="E579" s="1">
        <f>IFERROR(__xludf.DUMMYFUNCTION("""COMPUTED_VALUE"""),2500.0)</f>
        <v>2500</v>
      </c>
      <c r="F579" s="1" t="str">
        <f>IFERROR(__xludf.DUMMYFUNCTION("""COMPUTED_VALUE"""),"DMG: +125000 ++Triples the chance for the sword ability to activate, +-Cannot be Forged")</f>
        <v>DMG: +125000 ++Triples the chance for the sword ability to activate, +-Cannot be Forged</v>
      </c>
      <c r="G579" s="1">
        <f>IFERROR(__xludf.DUMMYFUNCTION("""COMPUTED_VALUE"""),3.1125E8)</f>
        <v>311250000</v>
      </c>
      <c r="H579" s="1"/>
      <c r="I579" s="1"/>
      <c r="J579" s="1"/>
      <c r="K579" s="1"/>
      <c r="L579" s="1"/>
      <c r="M579" s="1"/>
      <c r="N579" s="1"/>
      <c r="O579" s="1"/>
      <c r="P579" s="1"/>
      <c r="Q579" s="1"/>
      <c r="R579" s="1"/>
      <c r="S579" s="1"/>
      <c r="T579" s="1"/>
      <c r="U579" s="1"/>
      <c r="V579" s="1"/>
      <c r="W579" s="1"/>
      <c r="X579" s="1"/>
      <c r="Y579" s="1"/>
      <c r="Z579" s="1"/>
    </row>
    <row r="580">
      <c r="A580" s="1" t="str">
        <f>IFERROR(__xludf.DUMMYFUNCTION("""COMPUTED_VALUE"""),"Ninja Initiate's Cowl")</f>
        <v>Ninja Initiate's Cowl</v>
      </c>
      <c r="B580" s="1" t="str">
        <f>IFERROR(__xludf.DUMMYFUNCTION("""COMPUTED_VALUE"""),"Armor given to newbie Ninja's who have yet to choose a master")</f>
        <v>Armor given to newbie Ninja's who have yet to choose a master</v>
      </c>
      <c r="C580" s="1"/>
      <c r="D580" s="1" t="str">
        <f>IFERROR(__xludf.DUMMYFUNCTION("""COMPUTED_VALUE"""),"Head")</f>
        <v>Head</v>
      </c>
      <c r="E580" s="1">
        <f>IFERROR(__xludf.DUMMYFUNCTION("""COMPUTED_VALUE"""),2500.0)</f>
        <v>2500</v>
      </c>
      <c r="F580" s="1" t="str">
        <f>IFERROR(__xludf.DUMMYFUNCTION("""COMPUTED_VALUE"""),"DEF: +125000 ++X2 damage with Knives")</f>
        <v>DEF: +125000 ++X2 damage with Knives</v>
      </c>
      <c r="G580" s="1">
        <f>IFERROR(__xludf.DUMMYFUNCTION("""COMPUTED_VALUE"""),3.1125E8)</f>
        <v>311250000</v>
      </c>
      <c r="H580" s="1"/>
      <c r="I580" s="1"/>
      <c r="J580" s="1"/>
      <c r="K580" s="1"/>
      <c r="L580" s="1"/>
      <c r="M580" s="1"/>
      <c r="N580" s="1"/>
      <c r="O580" s="1"/>
      <c r="P580" s="1"/>
      <c r="Q580" s="1"/>
      <c r="R580" s="1"/>
      <c r="S580" s="1"/>
      <c r="T580" s="1"/>
      <c r="U580" s="1"/>
      <c r="V580" s="1"/>
      <c r="W580" s="1"/>
      <c r="X580" s="1"/>
      <c r="Y580" s="1"/>
      <c r="Z580" s="1"/>
    </row>
    <row r="581">
      <c r="A581" s="1" t="str">
        <f>IFERROR(__xludf.DUMMYFUNCTION("""COMPUTED_VALUE"""),"Ninja Initiate's Cape")</f>
        <v>Ninja Initiate's Cape</v>
      </c>
      <c r="B581" s="1" t="str">
        <f>IFERROR(__xludf.DUMMYFUNCTION("""COMPUTED_VALUE"""),"Armor given to newbie Ninja's who have yet to choose a master")</f>
        <v>Armor given to newbie Ninja's who have yet to choose a master</v>
      </c>
      <c r="C581" s="1"/>
      <c r="D581" s="1" t="str">
        <f>IFERROR(__xludf.DUMMYFUNCTION("""COMPUTED_VALUE"""),"Shoulders")</f>
        <v>Shoulders</v>
      </c>
      <c r="E581" s="1">
        <f>IFERROR(__xludf.DUMMYFUNCTION("""COMPUTED_VALUE"""),2500.0)</f>
        <v>2500</v>
      </c>
      <c r="F581" s="1" t="str">
        <f>IFERROR(__xludf.DUMMYFUNCTION("""COMPUTED_VALUE"""),"DEF: +125000 ++X2 damage with Knives")</f>
        <v>DEF: +125000 ++X2 damage with Knives</v>
      </c>
      <c r="G581" s="1">
        <f>IFERROR(__xludf.DUMMYFUNCTION("""COMPUTED_VALUE"""),3.1125E8)</f>
        <v>311250000</v>
      </c>
      <c r="H581" s="1"/>
      <c r="I581" s="1"/>
      <c r="J581" s="1"/>
      <c r="K581" s="1"/>
      <c r="L581" s="1"/>
      <c r="M581" s="1"/>
      <c r="N581" s="1"/>
      <c r="O581" s="1"/>
      <c r="P581" s="1"/>
      <c r="Q581" s="1"/>
      <c r="R581" s="1"/>
      <c r="S581" s="1"/>
      <c r="T581" s="1"/>
      <c r="U581" s="1"/>
      <c r="V581" s="1"/>
      <c r="W581" s="1"/>
      <c r="X581" s="1"/>
      <c r="Y581" s="1"/>
      <c r="Z581" s="1"/>
    </row>
    <row r="582">
      <c r="A582" s="1" t="str">
        <f>IFERROR(__xludf.DUMMYFUNCTION("""COMPUTED_VALUE"""),"Ninja Initiate's Vest")</f>
        <v>Ninja Initiate's Vest</v>
      </c>
      <c r="B582" s="1" t="str">
        <f>IFERROR(__xludf.DUMMYFUNCTION("""COMPUTED_VALUE"""),"Armor given to newbie Ninja's who have yet to choose a master")</f>
        <v>Armor given to newbie Ninja's who have yet to choose a master</v>
      </c>
      <c r="C582" s="1"/>
      <c r="D582" s="1" t="str">
        <f>IFERROR(__xludf.DUMMYFUNCTION("""COMPUTED_VALUE"""),"Torso")</f>
        <v>Torso</v>
      </c>
      <c r="E582" s="1">
        <f>IFERROR(__xludf.DUMMYFUNCTION("""COMPUTED_VALUE"""),2500.0)</f>
        <v>2500</v>
      </c>
      <c r="F582" s="1" t="str">
        <f>IFERROR(__xludf.DUMMYFUNCTION("""COMPUTED_VALUE"""),"DEF: +125000 ++X2 damage with Knives")</f>
        <v>DEF: +125000 ++X2 damage with Knives</v>
      </c>
      <c r="G582" s="1">
        <f>IFERROR(__xludf.DUMMYFUNCTION("""COMPUTED_VALUE"""),3.1125E8)</f>
        <v>311250000</v>
      </c>
      <c r="H582" s="1"/>
      <c r="I582" s="1"/>
      <c r="J582" s="1"/>
      <c r="K582" s="1"/>
      <c r="L582" s="1"/>
      <c r="M582" s="1"/>
      <c r="N582" s="1"/>
      <c r="O582" s="1"/>
      <c r="P582" s="1"/>
      <c r="Q582" s="1"/>
      <c r="R582" s="1"/>
      <c r="S582" s="1"/>
      <c r="T582" s="1"/>
      <c r="U582" s="1"/>
      <c r="V582" s="1"/>
      <c r="W582" s="1"/>
      <c r="X582" s="1"/>
      <c r="Y582" s="1"/>
      <c r="Z582" s="1"/>
    </row>
    <row r="583">
      <c r="A583" s="1" t="str">
        <f>IFERROR(__xludf.DUMMYFUNCTION("""COMPUTED_VALUE"""),"Ninja Initiate's Gloves")</f>
        <v>Ninja Initiate's Gloves</v>
      </c>
      <c r="B583" s="1" t="str">
        <f>IFERROR(__xludf.DUMMYFUNCTION("""COMPUTED_VALUE"""),"Armor given to newbie Ninja's who have yet to choose a master")</f>
        <v>Armor given to newbie Ninja's who have yet to choose a master</v>
      </c>
      <c r="C583" s="1"/>
      <c r="D583" s="1" t="str">
        <f>IFERROR(__xludf.DUMMYFUNCTION("""COMPUTED_VALUE"""),"Arms")</f>
        <v>Arms</v>
      </c>
      <c r="E583" s="1">
        <f>IFERROR(__xludf.DUMMYFUNCTION("""COMPUTED_VALUE"""),2500.0)</f>
        <v>2500</v>
      </c>
      <c r="F583" s="1" t="str">
        <f>IFERROR(__xludf.DUMMYFUNCTION("""COMPUTED_VALUE"""),"DEF: +125000 ++X2 damage with Knives")</f>
        <v>DEF: +125000 ++X2 damage with Knives</v>
      </c>
      <c r="G583" s="1">
        <f>IFERROR(__xludf.DUMMYFUNCTION("""COMPUTED_VALUE"""),3.1125E8)</f>
        <v>311250000</v>
      </c>
      <c r="H583" s="1"/>
      <c r="I583" s="1"/>
      <c r="J583" s="1"/>
      <c r="K583" s="1"/>
      <c r="L583" s="1"/>
      <c r="M583" s="1"/>
      <c r="N583" s="1"/>
      <c r="O583" s="1"/>
      <c r="P583" s="1"/>
      <c r="Q583" s="1"/>
      <c r="R583" s="1"/>
      <c r="S583" s="1"/>
      <c r="T583" s="1"/>
      <c r="U583" s="1"/>
      <c r="V583" s="1"/>
      <c r="W583" s="1"/>
      <c r="X583" s="1"/>
      <c r="Y583" s="1"/>
      <c r="Z583" s="1"/>
    </row>
    <row r="584">
      <c r="A584" s="1" t="str">
        <f>IFERROR(__xludf.DUMMYFUNCTION("""COMPUTED_VALUE"""),"Ninja Initiate's Sarouel")</f>
        <v>Ninja Initiate's Sarouel</v>
      </c>
      <c r="B584" s="1" t="str">
        <f>IFERROR(__xludf.DUMMYFUNCTION("""COMPUTED_VALUE"""),"Armor given to newbie Ninja's who have yet to choose a master")</f>
        <v>Armor given to newbie Ninja's who have yet to choose a master</v>
      </c>
      <c r="C584" s="1"/>
      <c r="D584" s="1" t="str">
        <f>IFERROR(__xludf.DUMMYFUNCTION("""COMPUTED_VALUE"""),"Legs")</f>
        <v>Legs</v>
      </c>
      <c r="E584" s="1">
        <f>IFERROR(__xludf.DUMMYFUNCTION("""COMPUTED_VALUE"""),2500.0)</f>
        <v>2500</v>
      </c>
      <c r="F584" s="1" t="str">
        <f>IFERROR(__xludf.DUMMYFUNCTION("""COMPUTED_VALUE"""),"DEF: +125000 ++X2 damage with Knives")</f>
        <v>DEF: +125000 ++X2 damage with Knives</v>
      </c>
      <c r="G584" s="1">
        <f>IFERROR(__xludf.DUMMYFUNCTION("""COMPUTED_VALUE"""),3.1125E8)</f>
        <v>311250000</v>
      </c>
      <c r="H584" s="1"/>
      <c r="I584" s="1"/>
      <c r="J584" s="1"/>
      <c r="K584" s="1"/>
      <c r="L584" s="1"/>
      <c r="M584" s="1"/>
      <c r="N584" s="1"/>
      <c r="O584" s="1"/>
      <c r="P584" s="1"/>
      <c r="Q584" s="1"/>
      <c r="R584" s="1"/>
      <c r="S584" s="1"/>
      <c r="T584" s="1"/>
      <c r="U584" s="1"/>
      <c r="V584" s="1"/>
      <c r="W584" s="1"/>
      <c r="X584" s="1"/>
      <c r="Y584" s="1"/>
      <c r="Z584" s="1"/>
    </row>
    <row r="585">
      <c r="A585" s="1" t="str">
        <f>IFERROR(__xludf.DUMMYFUNCTION("""COMPUTED_VALUE"""),"Ninja Initiate's Sandals")</f>
        <v>Ninja Initiate's Sandals</v>
      </c>
      <c r="B585" s="1" t="str">
        <f>IFERROR(__xludf.DUMMYFUNCTION("""COMPUTED_VALUE"""),"Armor given to newbie Ninja's who have yet to choose a master")</f>
        <v>Armor given to newbie Ninja's who have yet to choose a master</v>
      </c>
      <c r="C585" s="1"/>
      <c r="D585" s="1" t="str">
        <f>IFERROR(__xludf.DUMMYFUNCTION("""COMPUTED_VALUE"""),"Feet")</f>
        <v>Feet</v>
      </c>
      <c r="E585" s="1">
        <f>IFERROR(__xludf.DUMMYFUNCTION("""COMPUTED_VALUE"""),2500.0)</f>
        <v>2500</v>
      </c>
      <c r="F585" s="1" t="str">
        <f>IFERROR(__xludf.DUMMYFUNCTION("""COMPUTED_VALUE"""),"DEF: +125000 ++X2 damage with Knives")</f>
        <v>DEF: +125000 ++X2 damage with Knives</v>
      </c>
      <c r="G585" s="1">
        <f>IFERROR(__xludf.DUMMYFUNCTION("""COMPUTED_VALUE"""),3.1125E8)</f>
        <v>311250000</v>
      </c>
      <c r="H585" s="1"/>
      <c r="I585" s="1"/>
      <c r="J585" s="1"/>
      <c r="K585" s="1"/>
      <c r="L585" s="1"/>
      <c r="M585" s="1"/>
      <c r="N585" s="1"/>
      <c r="O585" s="1"/>
      <c r="P585" s="1"/>
      <c r="Q585" s="1"/>
      <c r="R585" s="1"/>
      <c r="S585" s="1"/>
      <c r="T585" s="1"/>
      <c r="U585" s="1"/>
      <c r="V585" s="1"/>
      <c r="W585" s="1"/>
      <c r="X585" s="1"/>
      <c r="Y585" s="1"/>
      <c r="Z585" s="1"/>
    </row>
    <row r="586">
      <c r="A586" s="1" t="str">
        <f>IFERROR(__xludf.DUMMYFUNCTION("""COMPUTED_VALUE"""),"Sai")</f>
        <v>Sai</v>
      </c>
      <c r="B586" s="1" t="str">
        <f>IFERROR(__xludf.DUMMYFUNCTION("""COMPUTED_VALUE"""),"A weapon designed for redirecting an enemies blade and then striking for their vitals")</f>
        <v>A weapon designed for redirecting an enemies blade and then striking for their vitals</v>
      </c>
      <c r="C586" s="1" t="str">
        <f>IFERROR(__xludf.DUMMYFUNCTION("""COMPUTED_VALUE"""),"Knife")</f>
        <v>Knife</v>
      </c>
      <c r="D586" s="1" t="str">
        <f>IFERROR(__xludf.DUMMYFUNCTION("""COMPUTED_VALUE"""),"Hand")</f>
        <v>Hand</v>
      </c>
      <c r="E586" s="1">
        <f>IFERROR(__xludf.DUMMYFUNCTION("""COMPUTED_VALUE"""),2500.0)</f>
        <v>2500</v>
      </c>
      <c r="F586" s="1" t="str">
        <f>IFERROR(__xludf.DUMMYFUNCTION("""COMPUTED_VALUE"""),"DEF: +125000 ++Defensive Fighting: This weapon uses it's DEF as damage for attacks made with the weapon. ++Dastardly Deflection: 25% chance to parry any weapon attacks targeting the user.")</f>
        <v>DEF: +125000 ++Defensive Fighting: This weapon uses it's DEF as damage for attacks made with the weapon. ++Dastardly Deflection: 25% chance to parry any weapon attacks targeting the user.</v>
      </c>
      <c r="G586" s="1">
        <f>IFERROR(__xludf.DUMMYFUNCTION("""COMPUTED_VALUE"""),3.1125E8)</f>
        <v>311250000</v>
      </c>
      <c r="H586" s="1"/>
      <c r="I586" s="1"/>
      <c r="J586" s="1"/>
      <c r="K586" s="1"/>
      <c r="L586" s="1"/>
      <c r="M586" s="1"/>
      <c r="N586" s="1"/>
      <c r="O586" s="1"/>
      <c r="P586" s="1"/>
      <c r="Q586" s="1"/>
      <c r="R586" s="1"/>
      <c r="S586" s="1"/>
      <c r="T586" s="1"/>
      <c r="U586" s="1"/>
      <c r="V586" s="1"/>
      <c r="W586" s="1"/>
      <c r="X586" s="1"/>
      <c r="Y586" s="1"/>
      <c r="Z586" s="1"/>
    </row>
    <row r="587">
      <c r="A587" s="1" t="str">
        <f>IFERROR(__xludf.DUMMYFUNCTION("""COMPUTED_VALUE"""),"Poison Master's Mask")</f>
        <v>Poison Master's Mask</v>
      </c>
      <c r="B587"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7" s="1"/>
      <c r="D587" s="1" t="str">
        <f>IFERROR(__xludf.DUMMYFUNCTION("""COMPUTED_VALUE"""),"Head")</f>
        <v>Head</v>
      </c>
      <c r="E587" s="1">
        <f>IFERROR(__xludf.DUMMYFUNCTION("""COMPUTED_VALUE"""),2500.0)</f>
        <v>2500</v>
      </c>
      <c r="F587" s="1" t="str">
        <f>IFERROR(__xludf.DUMMYFUNCTION("""COMPUTED_VALUE"""),"DEF: +125000 ++X2 Poison damage")</f>
        <v>DEF: +125000 ++X2 Poison damage</v>
      </c>
      <c r="G587" s="1">
        <f>IFERROR(__xludf.DUMMYFUNCTION("""COMPUTED_VALUE"""),3.1125E8)</f>
        <v>311250000</v>
      </c>
      <c r="H587" s="1"/>
      <c r="I587" s="1"/>
      <c r="J587" s="1"/>
      <c r="K587" s="1"/>
      <c r="L587" s="1"/>
      <c r="M587" s="1"/>
      <c r="N587" s="1"/>
      <c r="O587" s="1"/>
      <c r="P587" s="1"/>
      <c r="Q587" s="1"/>
      <c r="R587" s="1"/>
      <c r="S587" s="1"/>
      <c r="T587" s="1"/>
      <c r="U587" s="1"/>
      <c r="V587" s="1"/>
      <c r="W587" s="1"/>
      <c r="X587" s="1"/>
      <c r="Y587" s="1"/>
      <c r="Z587" s="1"/>
    </row>
    <row r="588">
      <c r="A588" s="1" t="str">
        <f>IFERROR(__xludf.DUMMYFUNCTION("""COMPUTED_VALUE"""),"Poison Master's Cape")</f>
        <v>Poison Master's Cape</v>
      </c>
      <c r="B588"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8" s="1"/>
      <c r="D588" s="1" t="str">
        <f>IFERROR(__xludf.DUMMYFUNCTION("""COMPUTED_VALUE"""),"Shoulders")</f>
        <v>Shoulders</v>
      </c>
      <c r="E588" s="1">
        <f>IFERROR(__xludf.DUMMYFUNCTION("""COMPUTED_VALUE"""),2500.0)</f>
        <v>2500</v>
      </c>
      <c r="F588" s="1" t="str">
        <f>IFERROR(__xludf.DUMMYFUNCTION("""COMPUTED_VALUE"""),"DEF: +125000 ++X2 Poison damage")</f>
        <v>DEF: +125000 ++X2 Poison damage</v>
      </c>
      <c r="G588" s="1">
        <f>IFERROR(__xludf.DUMMYFUNCTION("""COMPUTED_VALUE"""),3.1125E8)</f>
        <v>311250000</v>
      </c>
      <c r="H588" s="1"/>
      <c r="I588" s="1"/>
      <c r="J588" s="1"/>
      <c r="K588" s="1"/>
      <c r="L588" s="1"/>
      <c r="M588" s="1"/>
      <c r="N588" s="1"/>
      <c r="O588" s="1"/>
      <c r="P588" s="1"/>
      <c r="Q588" s="1"/>
      <c r="R588" s="1"/>
      <c r="S588" s="1"/>
      <c r="T588" s="1"/>
      <c r="U588" s="1"/>
      <c r="V588" s="1"/>
      <c r="W588" s="1"/>
      <c r="X588" s="1"/>
      <c r="Y588" s="1"/>
      <c r="Z588" s="1"/>
    </row>
    <row r="589">
      <c r="A589" s="1" t="str">
        <f>IFERROR(__xludf.DUMMYFUNCTION("""COMPUTED_VALUE"""),"Poison Master's Robe")</f>
        <v>Poison Master's Robe</v>
      </c>
      <c r="B589"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9" s="1"/>
      <c r="D589" s="1" t="str">
        <f>IFERROR(__xludf.DUMMYFUNCTION("""COMPUTED_VALUE"""),"Torso")</f>
        <v>Torso</v>
      </c>
      <c r="E589" s="1">
        <f>IFERROR(__xludf.DUMMYFUNCTION("""COMPUTED_VALUE"""),2500.0)</f>
        <v>2500</v>
      </c>
      <c r="F589" s="1" t="str">
        <f>IFERROR(__xludf.DUMMYFUNCTION("""COMPUTED_VALUE"""),"DEF: +125000")</f>
        <v>DEF: +125000</v>
      </c>
      <c r="G589" s="1">
        <f>IFERROR(__xludf.DUMMYFUNCTION("""COMPUTED_VALUE"""),3.1125E8)</f>
        <v>311250000</v>
      </c>
      <c r="H589" s="1"/>
      <c r="I589" s="1"/>
      <c r="J589" s="1"/>
      <c r="K589" s="1"/>
      <c r="L589" s="1"/>
      <c r="M589" s="1"/>
      <c r="N589" s="1"/>
      <c r="O589" s="1"/>
      <c r="P589" s="1"/>
      <c r="Q589" s="1"/>
      <c r="R589" s="1"/>
      <c r="S589" s="1"/>
      <c r="T589" s="1"/>
      <c r="U589" s="1"/>
      <c r="V589" s="1"/>
      <c r="W589" s="1"/>
      <c r="X589" s="1"/>
      <c r="Y589" s="1"/>
      <c r="Z589" s="1"/>
    </row>
    <row r="590">
      <c r="A590" s="1" t="str">
        <f>IFERROR(__xludf.DUMMYFUNCTION("""COMPUTED_VALUE"""),"Poison Master's Heavy Duty Gloves")</f>
        <v>Poison Master's Heavy Duty Gloves</v>
      </c>
      <c r="B590"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0" s="1"/>
      <c r="D590" s="1" t="str">
        <f>IFERROR(__xludf.DUMMYFUNCTION("""COMPUTED_VALUE"""),"Arms")</f>
        <v>Arms</v>
      </c>
      <c r="E590" s="1">
        <f>IFERROR(__xludf.DUMMYFUNCTION("""COMPUTED_VALUE"""),2500.0)</f>
        <v>2500</v>
      </c>
      <c r="F590" s="1" t="str">
        <f>IFERROR(__xludf.DUMMYFUNCTION("""COMPUTED_VALUE"""),"DEF: +125000 ++Poison Immunity")</f>
        <v>DEF: +125000 ++Poison Immunity</v>
      </c>
      <c r="G590" s="1">
        <f>IFERROR(__xludf.DUMMYFUNCTION("""COMPUTED_VALUE"""),3.1125E8)</f>
        <v>311250000</v>
      </c>
      <c r="H590" s="1"/>
      <c r="I590" s="1"/>
      <c r="J590" s="1"/>
      <c r="K590" s="1"/>
      <c r="L590" s="1"/>
      <c r="M590" s="1"/>
      <c r="N590" s="1"/>
      <c r="O590" s="1"/>
      <c r="P590" s="1"/>
      <c r="Q590" s="1"/>
      <c r="R590" s="1"/>
      <c r="S590" s="1"/>
      <c r="T590" s="1"/>
      <c r="U590" s="1"/>
      <c r="V590" s="1"/>
      <c r="W590" s="1"/>
      <c r="X590" s="1"/>
      <c r="Y590" s="1"/>
      <c r="Z590" s="1"/>
    </row>
    <row r="591">
      <c r="A591" s="1" t="str">
        <f>IFERROR(__xludf.DUMMYFUNCTION("""COMPUTED_VALUE"""),"Poison Master's Sarouel")</f>
        <v>Poison Master's Sarouel</v>
      </c>
      <c r="B591"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1" s="1"/>
      <c r="D591" s="1" t="str">
        <f>IFERROR(__xludf.DUMMYFUNCTION("""COMPUTED_VALUE"""),"Legs")</f>
        <v>Legs</v>
      </c>
      <c r="E591" s="1">
        <f>IFERROR(__xludf.DUMMYFUNCTION("""COMPUTED_VALUE"""),2500.0)</f>
        <v>2500</v>
      </c>
      <c r="F591" s="1" t="str">
        <f>IFERROR(__xludf.DUMMYFUNCTION("""COMPUTED_VALUE"""),"DEF: +125000")</f>
        <v>DEF: +125000</v>
      </c>
      <c r="G591" s="1">
        <f>IFERROR(__xludf.DUMMYFUNCTION("""COMPUTED_VALUE"""),3.1125E8)</f>
        <v>311250000</v>
      </c>
      <c r="H591" s="1"/>
      <c r="I591" s="1"/>
      <c r="J591" s="1"/>
      <c r="K591" s="1"/>
      <c r="L591" s="1"/>
      <c r="M591" s="1"/>
      <c r="N591" s="1"/>
      <c r="O591" s="1"/>
      <c r="P591" s="1"/>
      <c r="Q591" s="1"/>
      <c r="R591" s="1"/>
      <c r="S591" s="1"/>
      <c r="T591" s="1"/>
      <c r="U591" s="1"/>
      <c r="V591" s="1"/>
      <c r="W591" s="1"/>
      <c r="X591" s="1"/>
      <c r="Y591" s="1"/>
      <c r="Z591" s="1"/>
    </row>
    <row r="592">
      <c r="A592" s="1" t="str">
        <f>IFERROR(__xludf.DUMMYFUNCTION("""COMPUTED_VALUE"""),"Poison Master's Boots")</f>
        <v>Poison Master's Boots</v>
      </c>
      <c r="B592" s="1"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2" s="1"/>
      <c r="D592" s="1" t="str">
        <f>IFERROR(__xludf.DUMMYFUNCTION("""COMPUTED_VALUE"""),"Feet")</f>
        <v>Feet</v>
      </c>
      <c r="E592" s="1">
        <f>IFERROR(__xludf.DUMMYFUNCTION("""COMPUTED_VALUE"""),2500.0)</f>
        <v>2500</v>
      </c>
      <c r="F592" s="1" t="str">
        <f>IFERROR(__xludf.DUMMYFUNCTION("""COMPUTED_VALUE"""),"DEF: +125000 ++When an enemy is Poisoned gain Haste 3")</f>
        <v>DEF: +125000 ++When an enemy is Poisoned gain Haste 3</v>
      </c>
      <c r="G592" s="1">
        <f>IFERROR(__xludf.DUMMYFUNCTION("""COMPUTED_VALUE"""),3.1125E8)</f>
        <v>311250000</v>
      </c>
      <c r="H592" s="1"/>
      <c r="I592" s="1"/>
      <c r="J592" s="1"/>
      <c r="K592" s="1"/>
      <c r="L592" s="1"/>
      <c r="M592" s="1"/>
      <c r="N592" s="1"/>
      <c r="O592" s="1"/>
      <c r="P592" s="1"/>
      <c r="Q592" s="1"/>
      <c r="R592" s="1"/>
      <c r="S592" s="1"/>
      <c r="T592" s="1"/>
      <c r="U592" s="1"/>
      <c r="V592" s="1"/>
      <c r="W592" s="1"/>
      <c r="X592" s="1"/>
      <c r="Y592" s="1"/>
      <c r="Z592" s="1"/>
    </row>
    <row r="593">
      <c r="A593" s="1" t="str">
        <f>IFERROR(__xludf.DUMMYFUNCTION("""COMPUTED_VALUE"""),"Ambusher's Cowl")</f>
        <v>Ambusher's Cowl</v>
      </c>
      <c r="B593" s="1" t="str">
        <f>IFERROR(__xludf.DUMMYFUNCTION("""COMPUTED_VALUE"""),"The armor of intermediate ninja's who have decided to pursue the art of the ambush to the extreme")</f>
        <v>The armor of intermediate ninja's who have decided to pursue the art of the ambush to the extreme</v>
      </c>
      <c r="C593" s="1"/>
      <c r="D593" s="1" t="str">
        <f>IFERROR(__xludf.DUMMYFUNCTION("""COMPUTED_VALUE"""),"Head")</f>
        <v>Head</v>
      </c>
      <c r="E593" s="1">
        <f>IFERROR(__xludf.DUMMYFUNCTION("""COMPUTED_VALUE"""),2500.0)</f>
        <v>2500</v>
      </c>
      <c r="F593" s="1" t="str">
        <f>IFERROR(__xludf.DUMMYFUNCTION("""COMPUTED_VALUE"""),"DEF: +125000 ++Conceal is Guaranteed to cast if the last action you took was a weapon attack")</f>
        <v>DEF: +125000 ++Conceal is Guaranteed to cast if the last action you took was a weapon attack</v>
      </c>
      <c r="G593" s="1">
        <f>IFERROR(__xludf.DUMMYFUNCTION("""COMPUTED_VALUE"""),3.1125E8)</f>
        <v>311250000</v>
      </c>
      <c r="H593" s="1"/>
      <c r="I593" s="1"/>
      <c r="J593" s="1"/>
      <c r="K593" s="1"/>
      <c r="L593" s="1"/>
      <c r="M593" s="1"/>
      <c r="N593" s="1"/>
      <c r="O593" s="1"/>
      <c r="P593" s="1"/>
      <c r="Q593" s="1"/>
      <c r="R593" s="1"/>
      <c r="S593" s="1"/>
      <c r="T593" s="1"/>
      <c r="U593" s="1"/>
      <c r="V593" s="1"/>
      <c r="W593" s="1"/>
      <c r="X593" s="1"/>
      <c r="Y593" s="1"/>
      <c r="Z593" s="1"/>
    </row>
    <row r="594">
      <c r="A594" s="1" t="str">
        <f>IFERROR(__xludf.DUMMYFUNCTION("""COMPUTED_VALUE"""),"Ambusher's Cape")</f>
        <v>Ambusher's Cape</v>
      </c>
      <c r="B594" s="1" t="str">
        <f>IFERROR(__xludf.DUMMYFUNCTION("""COMPUTED_VALUE"""),"The armor of intermediate ninja's who have decided to pursue the art of the ambush to the extreme")</f>
        <v>The armor of intermediate ninja's who have decided to pursue the art of the ambush to the extreme</v>
      </c>
      <c r="C594" s="1"/>
      <c r="D594" s="1" t="str">
        <f>IFERROR(__xludf.DUMMYFUNCTION("""COMPUTED_VALUE"""),"Shoulders")</f>
        <v>Shoulders</v>
      </c>
      <c r="E594" s="1">
        <f>IFERROR(__xludf.DUMMYFUNCTION("""COMPUTED_VALUE"""),2500.0)</f>
        <v>2500</v>
      </c>
      <c r="F594" s="1" t="str">
        <f>IFERROR(__xludf.DUMMYFUNCTION("""COMPUTED_VALUE"""),"DEF: +125000 ++Conceal: upon entering combat you are invulnerable for 1 round or until you attack")</f>
        <v>DEF: +125000 ++Conceal: upon entering combat you are invulnerable for 1 round or until you attack</v>
      </c>
      <c r="G594" s="1">
        <f>IFERROR(__xludf.DUMMYFUNCTION("""COMPUTED_VALUE"""),3.1125E8)</f>
        <v>311250000</v>
      </c>
      <c r="H594" s="1"/>
      <c r="I594" s="1"/>
      <c r="J594" s="1"/>
      <c r="K594" s="1"/>
      <c r="L594" s="1"/>
      <c r="M594" s="1"/>
      <c r="N594" s="1"/>
      <c r="O594" s="1"/>
      <c r="P594" s="1"/>
      <c r="Q594" s="1"/>
      <c r="R594" s="1"/>
      <c r="S594" s="1"/>
      <c r="T594" s="1"/>
      <c r="U594" s="1"/>
      <c r="V594" s="1"/>
      <c r="W594" s="1"/>
      <c r="X594" s="1"/>
      <c r="Y594" s="1"/>
      <c r="Z594" s="1"/>
    </row>
    <row r="595">
      <c r="A595" s="1" t="str">
        <f>IFERROR(__xludf.DUMMYFUNCTION("""COMPUTED_VALUE"""),"Ambusher's Vest")</f>
        <v>Ambusher's Vest</v>
      </c>
      <c r="B595" s="1" t="str">
        <f>IFERROR(__xludf.DUMMYFUNCTION("""COMPUTED_VALUE"""),"The armor of intermediate ninja's who have decided to pursue the art of the ambush to the extreme")</f>
        <v>The armor of intermediate ninja's who have decided to pursue the art of the ambush to the extreme</v>
      </c>
      <c r="C595" s="1"/>
      <c r="D595" s="1" t="str">
        <f>IFERROR(__xludf.DUMMYFUNCTION("""COMPUTED_VALUE"""),"Torso")</f>
        <v>Torso</v>
      </c>
      <c r="E595" s="1">
        <f>IFERROR(__xludf.DUMMYFUNCTION("""COMPUTED_VALUE"""),2500.0)</f>
        <v>2500</v>
      </c>
      <c r="F595" s="1" t="str">
        <f>IFERROR(__xludf.DUMMYFUNCTION("""COMPUTED_VALUE"""),"DEF: +125000 ++When breaking concealment deal X2 damage")</f>
        <v>DEF: +125000 ++When breaking concealment deal X2 damage</v>
      </c>
      <c r="G595" s="1">
        <f>IFERROR(__xludf.DUMMYFUNCTION("""COMPUTED_VALUE"""),3.1125E8)</f>
        <v>311250000</v>
      </c>
      <c r="H595" s="1"/>
      <c r="I595" s="1"/>
      <c r="J595" s="1"/>
      <c r="K595" s="1"/>
      <c r="L595" s="1"/>
      <c r="M595" s="1"/>
      <c r="N595" s="1"/>
      <c r="O595" s="1"/>
      <c r="P595" s="1"/>
      <c r="Q595" s="1"/>
      <c r="R595" s="1"/>
      <c r="S595" s="1"/>
      <c r="T595" s="1"/>
      <c r="U595" s="1"/>
      <c r="V595" s="1"/>
      <c r="W595" s="1"/>
      <c r="X595" s="1"/>
      <c r="Y595" s="1"/>
      <c r="Z595" s="1"/>
    </row>
    <row r="596">
      <c r="A596" s="1" t="str">
        <f>IFERROR(__xludf.DUMMYFUNCTION("""COMPUTED_VALUE"""),"Ambusher's Gloves")</f>
        <v>Ambusher's Gloves</v>
      </c>
      <c r="B596" s="1" t="str">
        <f>IFERROR(__xludf.DUMMYFUNCTION("""COMPUTED_VALUE"""),"The armor of intermediate ninja's who have decided to pursue the art of the ambush to the extreme")</f>
        <v>The armor of intermediate ninja's who have decided to pursue the art of the ambush to the extreme</v>
      </c>
      <c r="C596" s="1"/>
      <c r="D596" s="1" t="str">
        <f>IFERROR(__xludf.DUMMYFUNCTION("""COMPUTED_VALUE"""),"Arms")</f>
        <v>Arms</v>
      </c>
      <c r="E596" s="1">
        <f>IFERROR(__xludf.DUMMYFUNCTION("""COMPUTED_VALUE"""),2500.0)</f>
        <v>2500</v>
      </c>
      <c r="F596" s="1" t="str">
        <f>IFERROR(__xludf.DUMMYFUNCTION("""COMPUTED_VALUE"""),"DEF: +125000 ++X2 damage with knives, ++Knife ability is 3 times as likely to activate. +-Cannot be forged +-Cannot be duplicated")</f>
        <v>DEF: +125000 ++X2 damage with knives, ++Knife ability is 3 times as likely to activate. +-Cannot be forged +-Cannot be duplicated</v>
      </c>
      <c r="G596" s="1">
        <f>IFERROR(__xludf.DUMMYFUNCTION("""COMPUTED_VALUE"""),3.1125E8)</f>
        <v>311250000</v>
      </c>
      <c r="H596" s="1"/>
      <c r="I596" s="1"/>
      <c r="J596" s="1"/>
      <c r="K596" s="1"/>
      <c r="L596" s="1"/>
      <c r="M596" s="1"/>
      <c r="N596" s="1"/>
      <c r="O596" s="1"/>
      <c r="P596" s="1"/>
      <c r="Q596" s="1"/>
      <c r="R596" s="1"/>
      <c r="S596" s="1"/>
      <c r="T596" s="1"/>
      <c r="U596" s="1"/>
      <c r="V596" s="1"/>
      <c r="W596" s="1"/>
      <c r="X596" s="1"/>
      <c r="Y596" s="1"/>
      <c r="Z596" s="1"/>
    </row>
    <row r="597">
      <c r="A597" s="1" t="str">
        <f>IFERROR(__xludf.DUMMYFUNCTION("""COMPUTED_VALUE"""),"Ambusher's Sarouel")</f>
        <v>Ambusher's Sarouel</v>
      </c>
      <c r="B597" s="1" t="str">
        <f>IFERROR(__xludf.DUMMYFUNCTION("""COMPUTED_VALUE"""),"The armor of intermediate ninja's who have decided to pursue the art of the ambush to the extreme")</f>
        <v>The armor of intermediate ninja's who have decided to pursue the art of the ambush to the extreme</v>
      </c>
      <c r="C597" s="1"/>
      <c r="D597" s="1" t="str">
        <f>IFERROR(__xludf.DUMMYFUNCTION("""COMPUTED_VALUE"""),"Legs")</f>
        <v>Legs</v>
      </c>
      <c r="E597" s="1">
        <f>IFERROR(__xludf.DUMMYFUNCTION("""COMPUTED_VALUE"""),2500.0)</f>
        <v>2500</v>
      </c>
      <c r="F597" s="1" t="str">
        <f>IFERROR(__xludf.DUMMYFUNCTION("""COMPUTED_VALUE"""),"DEF: +125000 ++X2 damage with knives")</f>
        <v>DEF: +125000 ++X2 damage with knives</v>
      </c>
      <c r="G597" s="1">
        <f>IFERROR(__xludf.DUMMYFUNCTION("""COMPUTED_VALUE"""),3.1125E8)</f>
        <v>311250000</v>
      </c>
      <c r="H597" s="1"/>
      <c r="I597" s="1"/>
      <c r="J597" s="1"/>
      <c r="K597" s="1"/>
      <c r="L597" s="1"/>
      <c r="M597" s="1"/>
      <c r="N597" s="1"/>
      <c r="O597" s="1"/>
      <c r="P597" s="1"/>
      <c r="Q597" s="1"/>
      <c r="R597" s="1"/>
      <c r="S597" s="1"/>
      <c r="T597" s="1"/>
      <c r="U597" s="1"/>
      <c r="V597" s="1"/>
      <c r="W597" s="1"/>
      <c r="X597" s="1"/>
      <c r="Y597" s="1"/>
      <c r="Z597" s="1"/>
    </row>
    <row r="598">
      <c r="A598" s="1" t="str">
        <f>IFERROR(__xludf.DUMMYFUNCTION("""COMPUTED_VALUE"""),"Ambusher's Sandals")</f>
        <v>Ambusher's Sandals</v>
      </c>
      <c r="B598" s="1" t="str">
        <f>IFERROR(__xludf.DUMMYFUNCTION("""COMPUTED_VALUE"""),"The armor of intermediate ninja's who have decided to pursue the art of the ambush to the extreme")</f>
        <v>The armor of intermediate ninja's who have decided to pursue the art of the ambush to the extreme</v>
      </c>
      <c r="C598" s="1"/>
      <c r="D598" s="1" t="str">
        <f>IFERROR(__xludf.DUMMYFUNCTION("""COMPUTED_VALUE"""),"Feet")</f>
        <v>Feet</v>
      </c>
      <c r="E598" s="1">
        <f>IFERROR(__xludf.DUMMYFUNCTION("""COMPUTED_VALUE"""),2500.0)</f>
        <v>2500</v>
      </c>
      <c r="F598" s="1" t="str">
        <f>IFERROR(__xludf.DUMMYFUNCTION("""COMPUTED_VALUE"""),"DEF: +125000 ++When breaking concealment gain invigorate 5")</f>
        <v>DEF: +125000 ++When breaking concealment gain invigorate 5</v>
      </c>
      <c r="G598" s="1">
        <f>IFERROR(__xludf.DUMMYFUNCTION("""COMPUTED_VALUE"""),3.1125E8)</f>
        <v>311250000</v>
      </c>
      <c r="H598" s="1"/>
      <c r="I598" s="1"/>
      <c r="J598" s="1"/>
      <c r="K598" s="1"/>
      <c r="L598" s="1"/>
      <c r="M598" s="1"/>
      <c r="N598" s="1"/>
      <c r="O598" s="1"/>
      <c r="P598" s="1"/>
      <c r="Q598" s="1"/>
      <c r="R598" s="1"/>
      <c r="S598" s="1"/>
      <c r="T598" s="1"/>
      <c r="U598" s="1"/>
      <c r="V598" s="1"/>
      <c r="W598" s="1"/>
      <c r="X598" s="1"/>
      <c r="Y598" s="1"/>
      <c r="Z598" s="1"/>
    </row>
    <row r="599">
      <c r="A599" s="1" t="str">
        <f>IFERROR(__xludf.DUMMYFUNCTION("""COMPUTED_VALUE"""),"Blade of Ancestral Blood")</f>
        <v>Blade of Ancestral Blood</v>
      </c>
      <c r="B599" s="1" t="str">
        <f>IFERROR(__xludf.DUMMYFUNCTION("""COMPUTED_VALUE"""),"(Quest Item) This knife holds all the grief of Inugima, the man who turned his back on his clan and lived in grief for his decision until the day he died. The blade is stained red with the blood of Inugima's family and now is stained with his as well. It "&amp;"still seems to hold some special power and you guess it's story probably isn't over yet.")</f>
        <v>(Quest Item) This knife holds all the grief of Inugima, the man who turned his back on his clan and lived in grief for his decision until the day he died. The blade is stained red with the blood of Inugima's family and now is stained with his as well. It still seems to hold some special power and you guess it's story probably isn't over yet.</v>
      </c>
      <c r="C599" s="1" t="str">
        <f>IFERROR(__xludf.DUMMYFUNCTION("""COMPUTED_VALUE"""),"Knife")</f>
        <v>Knife</v>
      </c>
      <c r="D599" s="1" t="str">
        <f>IFERROR(__xludf.DUMMYFUNCTION("""COMPUTED_VALUE"""),"Hand")</f>
        <v>Hand</v>
      </c>
      <c r="E599" s="1">
        <f>IFERROR(__xludf.DUMMYFUNCTION("""COMPUTED_VALUE"""),200.0)</f>
        <v>200</v>
      </c>
      <c r="F599" s="1" t="str">
        <f>IFERROR(__xludf.DUMMYFUNCTION("""COMPUTED_VALUE"""),"DMG: +50000, Chaos DMG: +50000, Voodoo DMG: +50000, Blood DMG: +100000, Celestial DMG: +50000 (Knife) ++The Cursed Knife Forged in Blood: X4 blood damage. ++The Blood of the Backstabbed: When hitting an enemy from concealment you gain a further X4 blood d"&amp;"amage for the rest of battle and Invigorated 3. ++Repentance: Stab yourself and use your blood to attack you enemy dealing 100000 blood damage and 1000 bleed on hit 5000 hp +-Cannot be Duplicated")</f>
        <v>DMG: +50000, Chaos DMG: +50000, Voodoo DMG: +50000, Blood DMG: +100000, Celestial DMG: +50000 (Knife) ++The Cursed Knife Forged in Blood: X4 blood damage. ++The Blood of the Backstabbed: When hitting an enemy from concealment you gain a further X4 blood damage for the rest of battle and Invigorated 3. ++Repentance: Stab yourself and use your blood to attack you enemy dealing 100000 blood damage and 1000 bleed on hit 5000 hp +-Cannot be Duplicated</v>
      </c>
      <c r="G599" s="1">
        <f>IFERROR(__xludf.DUMMYFUNCTION("""COMPUTED_VALUE"""),1.797E9)</f>
        <v>1797000000</v>
      </c>
      <c r="H599" s="1"/>
      <c r="I599" s="1"/>
      <c r="J599" s="1"/>
      <c r="K599" s="1"/>
      <c r="L599" s="1"/>
      <c r="M599" s="1"/>
      <c r="N599" s="1"/>
      <c r="O599" s="1"/>
      <c r="P599" s="1"/>
      <c r="Q599" s="1"/>
      <c r="R599" s="1"/>
      <c r="S599" s="1"/>
      <c r="T599" s="1"/>
      <c r="U599" s="1"/>
      <c r="V599" s="1"/>
      <c r="W599" s="1"/>
      <c r="X599" s="1"/>
      <c r="Y599" s="1"/>
      <c r="Z599" s="1"/>
    </row>
    <row r="600">
      <c r="A600" s="1" t="str">
        <f>IFERROR(__xludf.DUMMYFUNCTION("""COMPUTED_VALUE"""),"Lunaris, Sword of The Moon")</f>
        <v>Lunaris, Sword of The Moon</v>
      </c>
      <c r="B600" s="1" t="str">
        <f>IFERROR(__xludf.DUMMYFUNCTION("""COMPUTED_VALUE"""),"(Quest Item) This blade, Bathed in the light of the fallen moon Goddess holds the power of the moon itself within, it was brought into being when a blade forged in the blood of those betrayed and broken by one they loved was brought to the once beautiful "&amp;"shrine of the betrayed Goddess where it was reformed with the power of the goddess's will and holds within it her wish to protect those around her.")</f>
        <v>(Quest Item) This blade, Bathed in the light of the fallen moon Goddess holds the power of the moon itself within, it was brought into being when a blade forged in the blood of those betrayed and broken by one they loved was brought to the once beautiful shrine of the betrayed Goddess where it was reformed with the power of the goddess's will and holds within it her wish to protect those around her.</v>
      </c>
      <c r="C600" s="1" t="str">
        <f>IFERROR(__xludf.DUMMYFUNCTION("""COMPUTED_VALUE"""),"Sword")</f>
        <v>Sword</v>
      </c>
      <c r="D600" s="1" t="str">
        <f>IFERROR(__xludf.DUMMYFUNCTION("""COMPUTED_VALUE"""),"Hand")</f>
        <v>Hand</v>
      </c>
      <c r="E600" s="1">
        <f>IFERROR(__xludf.DUMMYFUNCTION("""COMPUTED_VALUE"""),200.0)</f>
        <v>200</v>
      </c>
      <c r="F600" s="1" t="str">
        <f>IFERROR(__xludf.DUMMYFUNCTION("""COMPUTED_VALUE"""),"DEF: +200000, Light DEF: +100000, Astral DEF: +200000, Celestial DEF: +100000 (Sword) ++The Blade Blessed By The Stars Above: X6 Astral Damage and this blade uses it's defense as damage. ++To Protect Those You Love: When fighting with at least 2 allies de"&amp;"al X6 further damage with this weapon. ++Forgiveness: Raise your sword into the sky drowning the battlefield in the light of the moon no matter what time it is or where you are. This moonlight protects you and your allies granting you all X2 Defense and N"&amp;"ullifies all Dark and Chaos spells cast on the battlefield regardless of who casts them. +-Cannot be Duplicated")</f>
        <v>DEF: +200000, Light DEF: +100000, Astral DEF: +200000, Celestial DEF: +100000 (Sword) ++The Blade Blessed By The Stars Above: X6 Astral Damage and this blade uses it's defense as damage. ++To Protect Those You Love: When fighting with at least 2 allies deal X6 further damage with this weapon. ++Forgiveness: Raise your sword into the sky drowning the battlefield in the light of the moon no matter what time it is or where you are. This moonlight protects you and your allies granting you all X2 Defense and Nullifies all Dark and Chaos spells cast on the battlefield regardless of who casts them. +-Cannot be Duplicated</v>
      </c>
      <c r="G600" s="1">
        <f>IFERROR(__xludf.DUMMYFUNCTION("""COMPUTED_VALUE"""),7.194E9)</f>
        <v>7194000000</v>
      </c>
      <c r="H600" s="1"/>
      <c r="I600" s="1"/>
      <c r="J600" s="1"/>
      <c r="K600" s="1"/>
      <c r="L600" s="1"/>
      <c r="M600" s="1"/>
      <c r="N600" s="1"/>
      <c r="O600" s="1"/>
      <c r="P600" s="1"/>
      <c r="Q600" s="1"/>
      <c r="R600" s="1"/>
      <c r="S600" s="1"/>
      <c r="T600" s="1"/>
      <c r="U600" s="1"/>
      <c r="V600" s="1"/>
      <c r="W600" s="1"/>
      <c r="X600" s="1"/>
      <c r="Y600" s="1"/>
      <c r="Z600" s="1"/>
    </row>
    <row r="601">
      <c r="A601" s="1" t="str">
        <f>IFERROR(__xludf.DUMMYFUNCTION("""COMPUTED_VALUE"""),"Master Inugima's Cowl")</f>
        <v>Master Inugima's Cowl</v>
      </c>
      <c r="B601" s="1" t="str">
        <f>IFERROR(__xludf.DUMMYFUNCTION("""COMPUTED_VALUE"""),"Mob Exclusive")</f>
        <v>Mob Exclusive</v>
      </c>
      <c r="C601" s="1"/>
      <c r="D601" s="1" t="str">
        <f>IFERROR(__xludf.DUMMYFUNCTION("""COMPUTED_VALUE"""),"Head")</f>
        <v>Head</v>
      </c>
      <c r="E601" s="1">
        <f>IFERROR(__xludf.DUMMYFUNCTION("""COMPUTED_VALUE"""),1.0)</f>
        <v>1</v>
      </c>
      <c r="F601" s="1" t="str">
        <f>IFERROR(__xludf.DUMMYFUNCTION("""COMPUTED_VALUE"""),"")</f>
        <v/>
      </c>
      <c r="G601" s="1">
        <f>IFERROR(__xludf.DUMMYFUNCTION("""COMPUTED_VALUE"""),0.0)</f>
        <v>0</v>
      </c>
      <c r="H601" s="1"/>
      <c r="I601" s="1"/>
      <c r="J601" s="1"/>
      <c r="K601" s="1"/>
      <c r="L601" s="1"/>
      <c r="M601" s="1"/>
      <c r="N601" s="1"/>
      <c r="O601" s="1"/>
      <c r="P601" s="1"/>
      <c r="Q601" s="1"/>
      <c r="R601" s="1"/>
      <c r="S601" s="1"/>
      <c r="T601" s="1"/>
      <c r="U601" s="1"/>
      <c r="V601" s="1"/>
      <c r="W601" s="1"/>
      <c r="X601" s="1"/>
      <c r="Y601" s="1"/>
      <c r="Z601" s="1"/>
    </row>
    <row r="602">
      <c r="A602" s="1" t="str">
        <f>IFERROR(__xludf.DUMMYFUNCTION("""COMPUTED_VALUE"""),"Master Inugima's Cape")</f>
        <v>Master Inugima's Cape</v>
      </c>
      <c r="B602" s="1" t="str">
        <f>IFERROR(__xludf.DUMMYFUNCTION("""COMPUTED_VALUE"""),"Mob Exclusive")</f>
        <v>Mob Exclusive</v>
      </c>
      <c r="C602" s="1"/>
      <c r="D602" s="1" t="str">
        <f>IFERROR(__xludf.DUMMYFUNCTION("""COMPUTED_VALUE"""),"Shoulders")</f>
        <v>Shoulders</v>
      </c>
      <c r="E602" s="1">
        <f>IFERROR(__xludf.DUMMYFUNCTION("""COMPUTED_VALUE"""),1.0)</f>
        <v>1</v>
      </c>
      <c r="F602" s="1" t="str">
        <f>IFERROR(__xludf.DUMMYFUNCTION("""COMPUTED_VALUE"""),"")</f>
        <v/>
      </c>
      <c r="G602" s="1">
        <f>IFERROR(__xludf.DUMMYFUNCTION("""COMPUTED_VALUE"""),0.0)</f>
        <v>0</v>
      </c>
      <c r="H602" s="1"/>
      <c r="I602" s="1"/>
      <c r="J602" s="1"/>
      <c r="K602" s="1"/>
      <c r="L602" s="1"/>
      <c r="M602" s="1"/>
      <c r="N602" s="1"/>
      <c r="O602" s="1"/>
      <c r="P602" s="1"/>
      <c r="Q602" s="1"/>
      <c r="R602" s="1"/>
      <c r="S602" s="1"/>
      <c r="T602" s="1"/>
      <c r="U602" s="1"/>
      <c r="V602" s="1"/>
      <c r="W602" s="1"/>
      <c r="X602" s="1"/>
      <c r="Y602" s="1"/>
      <c r="Z602" s="1"/>
    </row>
    <row r="603">
      <c r="A603" s="1" t="str">
        <f>IFERROR(__xludf.DUMMYFUNCTION("""COMPUTED_VALUE"""),"Master Inugima's Cloak")</f>
        <v>Master Inugima's Cloak</v>
      </c>
      <c r="B603" s="1" t="str">
        <f>IFERROR(__xludf.DUMMYFUNCTION("""COMPUTED_VALUE"""),"Mob Exclusive")</f>
        <v>Mob Exclusive</v>
      </c>
      <c r="C603" s="1"/>
      <c r="D603" s="1" t="str">
        <f>IFERROR(__xludf.DUMMYFUNCTION("""COMPUTED_VALUE"""),"Torso")</f>
        <v>Torso</v>
      </c>
      <c r="E603" s="1">
        <f>IFERROR(__xludf.DUMMYFUNCTION("""COMPUTED_VALUE"""),1.0)</f>
        <v>1</v>
      </c>
      <c r="F603" s="1" t="str">
        <f>IFERROR(__xludf.DUMMYFUNCTION("""COMPUTED_VALUE"""),"")</f>
        <v/>
      </c>
      <c r="G603" s="1">
        <f>IFERROR(__xludf.DUMMYFUNCTION("""COMPUTED_VALUE"""),0.0)</f>
        <v>0</v>
      </c>
      <c r="H603" s="1"/>
      <c r="I603" s="1"/>
      <c r="J603" s="1"/>
      <c r="K603" s="1"/>
      <c r="L603" s="1"/>
      <c r="M603" s="1"/>
      <c r="N603" s="1"/>
      <c r="O603" s="1"/>
      <c r="P603" s="1"/>
      <c r="Q603" s="1"/>
      <c r="R603" s="1"/>
      <c r="S603" s="1"/>
      <c r="T603" s="1"/>
      <c r="U603" s="1"/>
      <c r="V603" s="1"/>
      <c r="W603" s="1"/>
      <c r="X603" s="1"/>
      <c r="Y603" s="1"/>
      <c r="Z603" s="1"/>
    </row>
    <row r="604">
      <c r="A604" s="1" t="str">
        <f>IFERROR(__xludf.DUMMYFUNCTION("""COMPUTED_VALUE"""),"Master Inugima's Gloves")</f>
        <v>Master Inugima's Gloves</v>
      </c>
      <c r="B604" s="1" t="str">
        <f>IFERROR(__xludf.DUMMYFUNCTION("""COMPUTED_VALUE"""),"Mob Exclusive")</f>
        <v>Mob Exclusive</v>
      </c>
      <c r="C604" s="1"/>
      <c r="D604" s="1" t="str">
        <f>IFERROR(__xludf.DUMMYFUNCTION("""COMPUTED_VALUE"""),"Arms")</f>
        <v>Arms</v>
      </c>
      <c r="E604" s="1">
        <f>IFERROR(__xludf.DUMMYFUNCTION("""COMPUTED_VALUE"""),1.0)</f>
        <v>1</v>
      </c>
      <c r="F604" s="1" t="str">
        <f>IFERROR(__xludf.DUMMYFUNCTION("""COMPUTED_VALUE"""),"")</f>
        <v/>
      </c>
      <c r="G604" s="1">
        <f>IFERROR(__xludf.DUMMYFUNCTION("""COMPUTED_VALUE"""),0.0)</f>
        <v>0</v>
      </c>
      <c r="H604" s="1"/>
      <c r="I604" s="1"/>
      <c r="J604" s="1"/>
      <c r="K604" s="1"/>
      <c r="L604" s="1"/>
      <c r="M604" s="1"/>
      <c r="N604" s="1"/>
      <c r="O604" s="1"/>
      <c r="P604" s="1"/>
      <c r="Q604" s="1"/>
      <c r="R604" s="1"/>
      <c r="S604" s="1"/>
      <c r="T604" s="1"/>
      <c r="U604" s="1"/>
      <c r="V604" s="1"/>
      <c r="W604" s="1"/>
      <c r="X604" s="1"/>
      <c r="Y604" s="1"/>
      <c r="Z604" s="1"/>
    </row>
    <row r="605">
      <c r="A605" s="1" t="str">
        <f>IFERROR(__xludf.DUMMYFUNCTION("""COMPUTED_VALUE"""),"Master Inugima's Sarouel")</f>
        <v>Master Inugima's Sarouel</v>
      </c>
      <c r="B605" s="1" t="str">
        <f>IFERROR(__xludf.DUMMYFUNCTION("""COMPUTED_VALUE"""),"Mob Exclusive")</f>
        <v>Mob Exclusive</v>
      </c>
      <c r="C605" s="1"/>
      <c r="D605" s="1" t="str">
        <f>IFERROR(__xludf.DUMMYFUNCTION("""COMPUTED_VALUE"""),"Legs")</f>
        <v>Legs</v>
      </c>
      <c r="E605" s="1">
        <f>IFERROR(__xludf.DUMMYFUNCTION("""COMPUTED_VALUE"""),1.0)</f>
        <v>1</v>
      </c>
      <c r="F605" s="1" t="str">
        <f>IFERROR(__xludf.DUMMYFUNCTION("""COMPUTED_VALUE"""),"")</f>
        <v/>
      </c>
      <c r="G605" s="1">
        <f>IFERROR(__xludf.DUMMYFUNCTION("""COMPUTED_VALUE"""),0.0)</f>
        <v>0</v>
      </c>
      <c r="H605" s="1"/>
      <c r="I605" s="1"/>
      <c r="J605" s="1"/>
      <c r="K605" s="1"/>
      <c r="L605" s="1"/>
      <c r="M605" s="1"/>
      <c r="N605" s="1"/>
      <c r="O605" s="1"/>
      <c r="P605" s="1"/>
      <c r="Q605" s="1"/>
      <c r="R605" s="1"/>
      <c r="S605" s="1"/>
      <c r="T605" s="1"/>
      <c r="U605" s="1"/>
      <c r="V605" s="1"/>
      <c r="W605" s="1"/>
      <c r="X605" s="1"/>
      <c r="Y605" s="1"/>
      <c r="Z605" s="1"/>
    </row>
    <row r="606">
      <c r="A606" s="1" t="str">
        <f>IFERROR(__xludf.DUMMYFUNCTION("""COMPUTED_VALUE"""),"Master Inugima's Boots")</f>
        <v>Master Inugima's Boots</v>
      </c>
      <c r="B606" s="1" t="str">
        <f>IFERROR(__xludf.DUMMYFUNCTION("""COMPUTED_VALUE"""),"Mob Exclusive")</f>
        <v>Mob Exclusive</v>
      </c>
      <c r="C606" s="1"/>
      <c r="D606" s="1" t="str">
        <f>IFERROR(__xludf.DUMMYFUNCTION("""COMPUTED_VALUE"""),"Feet")</f>
        <v>Feet</v>
      </c>
      <c r="E606" s="1">
        <f>IFERROR(__xludf.DUMMYFUNCTION("""COMPUTED_VALUE"""),1.0)</f>
        <v>1</v>
      </c>
      <c r="F606" s="1" t="str">
        <f>IFERROR(__xludf.DUMMYFUNCTION("""COMPUTED_VALUE"""),"")</f>
        <v/>
      </c>
      <c r="G606" s="1">
        <f>IFERROR(__xludf.DUMMYFUNCTION("""COMPUTED_VALUE"""),0.0)</f>
        <v>0</v>
      </c>
      <c r="H606" s="1"/>
      <c r="I606" s="1"/>
      <c r="J606" s="1"/>
      <c r="K606" s="1"/>
      <c r="L606" s="1"/>
      <c r="M606" s="1"/>
      <c r="N606" s="1"/>
      <c r="O606" s="1"/>
      <c r="P606" s="1"/>
      <c r="Q606" s="1"/>
      <c r="R606" s="1"/>
      <c r="S606" s="1"/>
      <c r="T606" s="1"/>
      <c r="U606" s="1"/>
      <c r="V606" s="1"/>
      <c r="W606" s="1"/>
      <c r="X606" s="1"/>
      <c r="Y606" s="1"/>
      <c r="Z606" s="1"/>
    </row>
    <row r="607">
      <c r="A607" s="1" t="str">
        <f>IFERROR(__xludf.DUMMYFUNCTION("""COMPUTED_VALUE"""),"Master Inugima's Ring")</f>
        <v>Master Inugima's Ring</v>
      </c>
      <c r="B607" s="1" t="str">
        <f>IFERROR(__xludf.DUMMYFUNCTION("""COMPUTED_VALUE"""),"Mob Exclusive")</f>
        <v>Mob Exclusive</v>
      </c>
      <c r="C607" s="1"/>
      <c r="D607" s="1" t="str">
        <f>IFERROR(__xludf.DUMMYFUNCTION("""COMPUTED_VALUE"""),"Finger")</f>
        <v>Finger</v>
      </c>
      <c r="E607" s="1">
        <f>IFERROR(__xludf.DUMMYFUNCTION("""COMPUTED_VALUE"""),1.0)</f>
        <v>1</v>
      </c>
      <c r="F607" s="1" t="str">
        <f>IFERROR(__xludf.DUMMYFUNCTION("""COMPUTED_VALUE""")," ++Grants Immunity being unable to act from any sources including sleep, stun, frozen, etc. +-Can only be equipped by Master Inugima Equipping this ring will devour the soul of he who equips it killing them permanently")</f>
        <v> ++Grants Immunity being unable to act from any sources including sleep, stun, frozen, etc. +-Can only be equipped by Master Inugima Equipping this ring will devour the soul of he who equips it killing them permanently</v>
      </c>
      <c r="G607" s="1">
        <f>IFERROR(__xludf.DUMMYFUNCTION("""COMPUTED_VALUE"""),0.0)</f>
        <v>0</v>
      </c>
      <c r="H607" s="1"/>
      <c r="I607" s="1"/>
      <c r="J607" s="1"/>
      <c r="K607" s="1"/>
      <c r="L607" s="1"/>
      <c r="M607" s="1"/>
      <c r="N607" s="1"/>
      <c r="O607" s="1"/>
      <c r="P607" s="1"/>
      <c r="Q607" s="1"/>
      <c r="R607" s="1"/>
      <c r="S607" s="1"/>
      <c r="T607" s="1"/>
      <c r="U607" s="1"/>
      <c r="V607" s="1"/>
      <c r="W607" s="1"/>
      <c r="X607" s="1"/>
      <c r="Y607" s="1"/>
      <c r="Z607" s="1"/>
    </row>
    <row r="608">
      <c r="A608" s="1" t="str">
        <f>IFERROR(__xludf.DUMMYFUNCTION("""COMPUTED_VALUE"""),"Master Inugima's Pendant")</f>
        <v>Master Inugima's Pendant</v>
      </c>
      <c r="B608" s="1" t="str">
        <f>IFERROR(__xludf.DUMMYFUNCTION("""COMPUTED_VALUE"""),"Mob Exclusive")</f>
        <v>Mob Exclusive</v>
      </c>
      <c r="C608" s="1"/>
      <c r="D608" s="1" t="str">
        <f>IFERROR(__xludf.DUMMYFUNCTION("""COMPUTED_VALUE"""),"Neck")</f>
        <v>Neck</v>
      </c>
      <c r="E608" s="1">
        <f>IFERROR(__xludf.DUMMYFUNCTION("""COMPUTED_VALUE"""),1.0)</f>
        <v>1</v>
      </c>
      <c r="F608" s="1" t="str">
        <f>IFERROR(__xludf.DUMMYFUNCTION("""COMPUTED_VALUE"""),"")</f>
        <v/>
      </c>
      <c r="G608" s="1">
        <f>IFERROR(__xludf.DUMMYFUNCTION("""COMPUTED_VALUE"""),0.0)</f>
        <v>0</v>
      </c>
      <c r="H608" s="1"/>
      <c r="I608" s="1"/>
      <c r="J608" s="1"/>
      <c r="K608" s="1"/>
      <c r="L608" s="1"/>
      <c r="M608" s="1"/>
      <c r="N608" s="1"/>
      <c r="O608" s="1"/>
      <c r="P608" s="1"/>
      <c r="Q608" s="1"/>
      <c r="R608" s="1"/>
      <c r="S608" s="1"/>
      <c r="T608" s="1"/>
      <c r="U608" s="1"/>
      <c r="V608" s="1"/>
      <c r="W608" s="1"/>
      <c r="X608" s="1"/>
      <c r="Y608" s="1"/>
      <c r="Z608" s="1"/>
    </row>
    <row r="609">
      <c r="A609" s="1" t="str">
        <f>IFERROR(__xludf.DUMMYFUNCTION("""COMPUTED_VALUE"""),"Amulet of Giving")</f>
        <v>Amulet of Giving</v>
      </c>
      <c r="B609" s="1" t="str">
        <f>IFERROR(__xludf.DUMMYFUNCTION("""COMPUTED_VALUE"""),"Thanksgiving Event Item")</f>
        <v>Thanksgiving Event Item</v>
      </c>
      <c r="C609" s="1"/>
      <c r="D609" s="1" t="str">
        <f>IFERROR(__xludf.DUMMYFUNCTION("""COMPUTED_VALUE"""),"Neck")</f>
        <v>Neck</v>
      </c>
      <c r="E609" s="1">
        <f>IFERROR(__xludf.DUMMYFUNCTION("""COMPUTED_VALUE"""),1.0)</f>
        <v>1</v>
      </c>
      <c r="F609" s="1" t="str">
        <f>IFERROR(__xludf.DUMMYFUNCTION("""COMPUTED_VALUE""")," ++Allows you to give up your next turn turn to give a party member a second turn. +-one use per battle +-Cannot be duplicated.")</f>
        <v> ++Allows you to give up your next turn turn to give a party member a second turn. +-one use per battle +-Cannot be duplicated.</v>
      </c>
      <c r="G609" s="1">
        <f>IFERROR(__xludf.DUMMYFUNCTION("""COMPUTED_VALUE"""),0.0)</f>
        <v>0</v>
      </c>
      <c r="H609" s="1"/>
      <c r="I609" s="1"/>
      <c r="J609" s="1"/>
      <c r="K609" s="1"/>
      <c r="L609" s="1"/>
      <c r="M609" s="1"/>
      <c r="N609" s="1"/>
      <c r="O609" s="1"/>
      <c r="P609" s="1"/>
      <c r="Q609" s="1"/>
      <c r="R609" s="1"/>
      <c r="S609" s="1"/>
      <c r="T609" s="1"/>
      <c r="U609" s="1"/>
      <c r="V609" s="1"/>
      <c r="W609" s="1"/>
      <c r="X609" s="1"/>
      <c r="Y609" s="1"/>
      <c r="Z609" s="1"/>
    </row>
    <row r="610">
      <c r="A610" s="1" t="str">
        <f>IFERROR(__xludf.DUMMYFUNCTION("""COMPUTED_VALUE"""),"Pilgrim's Hat")</f>
        <v>Pilgrim's Hat</v>
      </c>
      <c r="B610" s="1" t="str">
        <f>IFERROR(__xludf.DUMMYFUNCTION("""COMPUTED_VALUE"""),"Thanksgiving Event Item")</f>
        <v>Thanksgiving Event Item</v>
      </c>
      <c r="C610" s="1"/>
      <c r="D610" s="1" t="str">
        <f>IFERROR(__xludf.DUMMYFUNCTION("""COMPUTED_VALUE"""),"Head")</f>
        <v>Head</v>
      </c>
      <c r="E610" s="1">
        <f>IFERROR(__xludf.DUMMYFUNCTION("""COMPUTED_VALUE"""),1.0)</f>
        <v>1</v>
      </c>
      <c r="F610" s="1" t="str">
        <f>IFERROR(__xludf.DUMMYFUNCTION("""COMPUTED_VALUE""")," ++Double the hunger, thirst, and energy you receive when consuming a consumable. +-Cannot be duplicated.")</f>
        <v> ++Double the hunger, thirst, and energy you receive when consuming a consumable. +-Cannot be duplicated.</v>
      </c>
      <c r="G610" s="1">
        <f>IFERROR(__xludf.DUMMYFUNCTION("""COMPUTED_VALUE"""),0.0)</f>
        <v>0</v>
      </c>
      <c r="H610" s="1"/>
      <c r="I610" s="1"/>
      <c r="J610" s="1"/>
      <c r="K610" s="1"/>
      <c r="L610" s="1"/>
      <c r="M610" s="1"/>
      <c r="N610" s="1"/>
      <c r="O610" s="1"/>
      <c r="P610" s="1"/>
      <c r="Q610" s="1"/>
      <c r="R610" s="1"/>
      <c r="S610" s="1"/>
      <c r="T610" s="1"/>
      <c r="U610" s="1"/>
      <c r="V610" s="1"/>
      <c r="W610" s="1"/>
      <c r="X610" s="1"/>
      <c r="Y610" s="1"/>
      <c r="Z610" s="1"/>
    </row>
    <row r="611">
      <c r="A611" s="1" t="str">
        <f>IFERROR(__xludf.DUMMYFUNCTION("""COMPUTED_VALUE"""),"Dragon Flute")</f>
        <v>Dragon Flute</v>
      </c>
      <c r="B611" s="1" t="str">
        <f>IFERROR(__xludf.DUMMYFUNCTION("""COMPUTED_VALUE"""),"A flute carved from dragon bone that exudes an enchanting aura when played. It is said that this flute was given as a gift to the dragonoids to signal peace between them and the dragons.")</f>
        <v>A flute carved from dragon bone that exudes an enchanting aura when played. It is said that this flute was given as a gift to the dragonoids to signal peace between them and the dragons.</v>
      </c>
      <c r="C611" s="1" t="str">
        <f>IFERROR(__xludf.DUMMYFUNCTION("""COMPUTED_VALUE"""),"Instrument")</f>
        <v>Instrument</v>
      </c>
      <c r="D611" s="1" t="str">
        <f>IFERROR(__xludf.DUMMYFUNCTION("""COMPUTED_VALUE"""),"Hand")</f>
        <v>Hand</v>
      </c>
      <c r="E611" s="1">
        <f>IFERROR(__xludf.DUMMYFUNCTION("""COMPUTED_VALUE"""),100.0)</f>
        <v>100</v>
      </c>
      <c r="F611" s="1" t="str">
        <f>IFERROR(__xludf.DUMMYFUNCTION("""COMPUTED_VALUE"""),", Acoustic DMG: +5000 ++Summons 1 of the following dragons with a d4 roll: Fire Dragon, Poison Dragon, Storm Dragon, Ancient Water Dragon, Level determined by dm/gm. +-one use per battle")</f>
        <v>, Acoustic DMG: +5000 ++Summons 1 of the following dragons with a d4 roll: Fire Dragon, Poison Dragon, Storm Dragon, Ancient Water Dragon, Level determined by dm/gm. +-one use per battle</v>
      </c>
      <c r="G611" s="1">
        <f>IFERROR(__xludf.DUMMYFUNCTION("""COMPUTED_VALUE"""),450000.0)</f>
        <v>450000</v>
      </c>
      <c r="H611" s="1"/>
      <c r="I611" s="1"/>
      <c r="J611" s="1"/>
      <c r="K611" s="1"/>
      <c r="L611" s="1"/>
      <c r="M611" s="1"/>
      <c r="N611" s="1"/>
      <c r="O611" s="1"/>
      <c r="P611" s="1"/>
      <c r="Q611" s="1"/>
      <c r="R611" s="1"/>
      <c r="S611" s="1"/>
      <c r="T611" s="1"/>
      <c r="U611" s="1"/>
      <c r="V611" s="1"/>
      <c r="W611" s="1"/>
      <c r="X611" s="1"/>
      <c r="Y611" s="1"/>
      <c r="Z611" s="1"/>
    </row>
    <row r="612">
      <c r="A612" s="1" t="str">
        <f>IFERROR(__xludf.DUMMYFUNCTION("""COMPUTED_VALUE"""),"Harbingers' Helm of the Unrestrained (Spira)")</f>
        <v>Harbingers' Helm of the Unrestrained (Spira)</v>
      </c>
      <c r="B612" s="1" t="str">
        <f>IFERROR(__xludf.DUMMYFUNCTION("""COMPUTED_VALUE"""),"The helmet is made of a dark steel which invades the weares mind, originally takes the appearance of a hood but becomes covers more of the wearers face and becomes more bestial looking as the wearer gives in to their insanity more and more.")</f>
        <v>The helmet is made of a dark steel which invades the weares mind, originally takes the appearance of a hood but becomes covers more of the wearers face and becomes more bestial looking as the wearer gives in to their insanity more and more.</v>
      </c>
      <c r="C612" s="1"/>
      <c r="D612" s="1" t="str">
        <f>IFERROR(__xludf.DUMMYFUNCTION("""COMPUTED_VALUE"""),"Head")</f>
        <v>Head</v>
      </c>
      <c r="E612" s="1">
        <f>IFERROR(__xludf.DUMMYFUNCTION("""COMPUTED_VALUE"""),200.0)</f>
        <v>200</v>
      </c>
      <c r="F612"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++Unbroken will - You become immune to all effects that would prevent you from taking your turn.")</f>
        <v>DEF: +50000, Fire DEF: +10000, Water DEF: +10000, Storm DEF: +10000, Earth DEF: +10000, Light DEF: +10000, Dark DEF: +10000, Spirit DEF: +10000, Order DEF: +10000, Chaos DEF: +10000, Nature DEF: +10000, Voodoo DEF: +10000, Blood DEF: +10000, Zen DEF: +10000, Astral DEF: +10000, Celestial DEF: +10000 ++Unbroken will - You become immune to all effects that would prevent you from taking your turn.</v>
      </c>
      <c r="G612" s="1">
        <f>IFERROR(__xludf.DUMMYFUNCTION("""COMPUTED_VALUE"""),7.98E8)</f>
        <v>798000000</v>
      </c>
      <c r="H612" s="1"/>
      <c r="I612" s="1"/>
      <c r="J612" s="1"/>
      <c r="K612" s="1"/>
      <c r="L612" s="1"/>
      <c r="M612" s="1"/>
      <c r="N612" s="1"/>
      <c r="O612" s="1"/>
      <c r="P612" s="1"/>
      <c r="Q612" s="1"/>
      <c r="R612" s="1"/>
      <c r="S612" s="1"/>
      <c r="T612" s="1"/>
      <c r="U612" s="1"/>
      <c r="V612" s="1"/>
      <c r="W612" s="1"/>
      <c r="X612" s="1"/>
      <c r="Y612" s="1"/>
      <c r="Z612" s="1"/>
    </row>
    <row r="613">
      <c r="A613" s="1" t="str">
        <f>IFERROR(__xludf.DUMMYFUNCTION("""COMPUTED_VALUE"""),"Harbingers' Shifting Pauldrons (Spira)")</f>
        <v>Harbingers' Shifting Pauldrons (Spira)</v>
      </c>
      <c r="B613" s="1" t="str">
        <f>IFERROR(__xludf.DUMMYFUNCTION("""COMPUTED_VALUE"""),"(Quest Item) This knife holds all the grief of Inugima, the man who turned his back on his clan and lived in grief for his descision until the day he died. The blade is stained red with the blood of Inugima's family and now is stained with his as well. It"&amp;" still seems to hold some special power and you guess it's story probably isn't over yet.")</f>
        <v>(Quest Item) This knife holds all the grief of Inugima, the man who turned his back on his clan and lived in grief for his descision until the day he died. The blade is stained red with the blood of Inugima's family and now is stained with his as well. It still seems to hold some special power and you guess it's story probably isn't over yet.</v>
      </c>
      <c r="C613" s="1"/>
      <c r="D613" s="1" t="str">
        <f>IFERROR(__xludf.DUMMYFUNCTION("""COMPUTED_VALUE"""),"Shoulders")</f>
        <v>Shoulders</v>
      </c>
      <c r="E613" s="1">
        <f>IFERROR(__xludf.DUMMYFUNCTION("""COMPUTED_VALUE"""),200.0)</f>
        <v>200</v>
      </c>
      <c r="F613"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++Adrenaline - Upon being hit with any attack gain 1 stack of Insanity.")</f>
        <v>DEF: +50000, Fire DEF: +10000, Water DEF: +10000, Storm DEF: +10000, Earth DEF: +10000, Light DEF: +10000, Dark DEF: +10000, Spirit DEF: +10000, Order DEF: +10000, Chaos DEF: +10000, Nature DEF: +10000, Voodoo DEF: +10000, Blood DEF: +10000, Zen DEF: +10000, Astral DEF: +10000, Celestial DEF: +10000 ++Adrenaline - Upon being hit with any attack gain 1 stack of Insanity.</v>
      </c>
      <c r="G613" s="1">
        <f>IFERROR(__xludf.DUMMYFUNCTION("""COMPUTED_VALUE"""),7.98E8)</f>
        <v>798000000</v>
      </c>
      <c r="H613" s="1"/>
      <c r="I613" s="1"/>
      <c r="J613" s="1"/>
      <c r="K613" s="1"/>
      <c r="L613" s="1"/>
      <c r="M613" s="1"/>
      <c r="N613" s="1"/>
      <c r="O613" s="1"/>
      <c r="P613" s="1"/>
      <c r="Q613" s="1"/>
      <c r="R613" s="1"/>
      <c r="S613" s="1"/>
      <c r="T613" s="1"/>
      <c r="U613" s="1"/>
      <c r="V613" s="1"/>
      <c r="W613" s="1"/>
      <c r="X613" s="1"/>
      <c r="Y613" s="1"/>
      <c r="Z613" s="1"/>
    </row>
    <row r="614">
      <c r="A614" s="1" t="str">
        <f>IFERROR(__xludf.DUMMYFUNCTION("""COMPUTED_VALUE"""),"Harbingers' Emblazoned Chest of The Encroaching Void (Spira)")</f>
        <v>Harbingers' Emblazoned Chest of The Encroaching Void (Spira)</v>
      </c>
      <c r="B614" s="1" t="str">
        <f>IFERROR(__xludf.DUMMYFUNCTION("""COMPUTED_VALUE"""),"The Harbinger's armor is made of a dark steel which drives its wearer progressively further whilst in combat. The armor takes the rage of its wearer and multiplies it tenfold whilst breaking off the subconscious limiters on a wearers strength.")</f>
        <v>The Harbinger's armor is made of a dark steel which drives its wearer progressively further whilst in combat. The armor takes the rage of its wearer and multiplies it tenfold whilst breaking off the subconscious limiters on a wearers strength.</v>
      </c>
      <c r="C614" s="1"/>
      <c r="D614" s="1" t="str">
        <f>IFERROR(__xludf.DUMMYFUNCTION("""COMPUTED_VALUE"""),"Torso")</f>
        <v>Torso</v>
      </c>
      <c r="E614" s="1">
        <f>IFERROR(__xludf.DUMMYFUNCTION("""COMPUTED_VALUE"""),200.0)</f>
        <v>200</v>
      </c>
      <c r="F614"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++Bloodlust - Upon targeting any enemy with an attack gain 2 stacks of insanity")</f>
        <v>DEF: +50000, Fire DEF: +10000, Water DEF: +10000, Storm DEF: +10000, Earth DEF: +10000, Light DEF: +10000, Dark DEF: +10000, Spirit DEF: +10000, Order DEF: +10000, Chaos DEF: +10000, Nature DEF: +10000, Voodoo DEF: +10000, Blood DEF: +10000, Zen DEF: +10000, Astral DEF: +10000, Celestial DEF: +10000 ++Bloodlust - Upon targeting any enemy with an attack gain 2 stacks of insanity</v>
      </c>
      <c r="G614" s="1">
        <f>IFERROR(__xludf.DUMMYFUNCTION("""COMPUTED_VALUE"""),7.98E8)</f>
        <v>798000000</v>
      </c>
      <c r="H614" s="1"/>
      <c r="I614" s="1"/>
      <c r="J614" s="1"/>
      <c r="K614" s="1"/>
      <c r="L614" s="1"/>
      <c r="M614" s="1"/>
      <c r="N614" s="1"/>
      <c r="O614" s="1"/>
      <c r="P614" s="1"/>
      <c r="Q614" s="1"/>
      <c r="R614" s="1"/>
      <c r="S614" s="1"/>
      <c r="T614" s="1"/>
      <c r="U614" s="1"/>
      <c r="V614" s="1"/>
      <c r="W614" s="1"/>
      <c r="X614" s="1"/>
      <c r="Y614" s="1"/>
      <c r="Z614" s="1"/>
    </row>
    <row r="615">
      <c r="A615" s="1" t="str">
        <f>IFERROR(__xludf.DUMMYFUNCTION("""COMPUTED_VALUE"""),"Harbingers' Broken Fettering (Spira)")</f>
        <v>Harbingers' Broken Fettering (Spira)</v>
      </c>
      <c r="B615" s="1" t="str">
        <f>IFERROR(__xludf.DUMMYFUNCTION("""COMPUTED_VALUE"""),"Some have witnessed how the wearers of this mythical armor seem completely unreactive to the pain and it is speculated that the armor itself temporarily cuts off all feelings of pain to keep the wearer fighting.")</f>
        <v>Some have witnessed how the wearers of this mythical armor seem completely unreactive to the pain and it is speculated that the armor itself temporarily cuts off all feelings of pain to keep the wearer fighting.</v>
      </c>
      <c r="C615" s="1"/>
      <c r="D615" s="1" t="str">
        <f>IFERROR(__xludf.DUMMYFUNCTION("""COMPUTED_VALUE"""),"Arms")</f>
        <v>Arms</v>
      </c>
      <c r="E615" s="1">
        <f>IFERROR(__xludf.DUMMYFUNCTION("""COMPUTED_VALUE"""),200.0)</f>
        <v>200</v>
      </c>
      <c r="F615"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++To Break From Your Shackles - You lash out cleaving your way through reality creating a small distortion dealing 500,000 delta damage to all enemies and allies and inflict Shuttering 5, requiring everyone to"&amp;" roll a fail or succeed roll to bind themselves to this plane or have a party member who succeeded use an action to help them, or if they fail 5 times they will be lost to the void forever, consumes 10 stacks of insanity to cast (Permadeath)(considered an"&amp;" instant death effect for purposes of immunity)")</f>
        <v>DEF: +50000, Fire DEF: +10000, Water DEF: +10000, Storm DEF: +10000, Earth DEF: +10000, Light DEF: +10000, Dark DEF: +10000, Spirit DEF: +10000, Order DEF: +10000, Chaos DEF: +10000, Nature DEF: +10000, Voodoo DEF: +10000, Blood DEF: +10000, Zen DEF: +10000, Astral DEF: +10000, Celestial DEF: +10000 ++To Break From Your Shackles - You lash out cleaving your way through reality creating a small distortion dealing 500,000 delta damage to all enemies and allies and inflict Shuttering 5, requiring everyone to roll a fail or succeed roll to bind themselves to this plane or have a party member who succeeded use an action to help them, or if they fail 5 times they will be lost to the void forever, consumes 10 stacks of insanity to cast (Permadeath)(considered an instant death effect for purposes of immunity)</v>
      </c>
      <c r="G615" s="1">
        <f>IFERROR(__xludf.DUMMYFUNCTION("""COMPUTED_VALUE"""),7.98E8)</f>
        <v>798000000</v>
      </c>
      <c r="H615" s="1"/>
      <c r="I615" s="1"/>
      <c r="J615" s="1"/>
      <c r="K615" s="1"/>
      <c r="L615" s="1"/>
      <c r="M615" s="1"/>
      <c r="N615" s="1"/>
      <c r="O615" s="1"/>
      <c r="P615" s="1"/>
      <c r="Q615" s="1"/>
      <c r="R615" s="1"/>
      <c r="S615" s="1"/>
      <c r="T615" s="1"/>
      <c r="U615" s="1"/>
      <c r="V615" s="1"/>
      <c r="W615" s="1"/>
      <c r="X615" s="1"/>
      <c r="Y615" s="1"/>
      <c r="Z615" s="1"/>
    </row>
    <row r="616">
      <c r="A616" s="1" t="str">
        <f>IFERROR(__xludf.DUMMYFUNCTION("""COMPUTED_VALUE"""),"Harbingers' Ethereal Chausses (Spira)")</f>
        <v>Harbingers' Ethereal Chausses (Spira)</v>
      </c>
      <c r="B616" s="1" t="str">
        <f>IFERROR(__xludf.DUMMYFUNCTION("""COMPUTED_VALUE"""),"Even with broken bones the armor will not allow the wearer to stop fighting, spikes will form from the armor piercing into the damaged limbs and letting the wearer continue controller these destroyed limbs via the armor itself.")</f>
        <v>Even with broken bones the armor will not allow the wearer to stop fighting, spikes will form from the armor piercing into the damaged limbs and letting the wearer continue controller these destroyed limbs via the armor itself.</v>
      </c>
      <c r="C616" s="1"/>
      <c r="D616" s="1" t="str">
        <f>IFERROR(__xludf.DUMMYFUNCTION("""COMPUTED_VALUE"""),"Legs")</f>
        <v>Legs</v>
      </c>
      <c r="E616" s="1">
        <f>IFERROR(__xludf.DUMMYFUNCTION("""COMPUTED_VALUE"""),200.0)</f>
        <v>200</v>
      </c>
      <c r="F616"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++Voidal Instinct - 50% chance to avoid all delta attacks and instant death effects
++To the Last Drop of Blood - Grants immunity to slowness.")</f>
        <v>DEF: +50000, Fire DEF: +10000, Water DEF: +10000, Storm DEF: +10000, Earth DEF: +10000, Light DEF: +10000, Dark DEF: +10000, Spirit DEF: +10000, Order DEF: +10000, Chaos DEF: +10000, Nature DEF: +10000, Voodoo DEF: +10000, Blood DEF: +10000, Zen DEF: +10000, Astral DEF: +10000, Celestial DEF: +10000 ++Voidal Instinct - 50% chance to avoid all delta attacks and instant death effects
++To the Last Drop of Blood - Grants immunity to slowness.</v>
      </c>
      <c r="G616" s="1">
        <f>IFERROR(__xludf.DUMMYFUNCTION("""COMPUTED_VALUE"""),7.98E8)</f>
        <v>798000000</v>
      </c>
      <c r="H616" s="1"/>
      <c r="I616" s="1"/>
      <c r="J616" s="1"/>
      <c r="K616" s="1"/>
      <c r="L616" s="1"/>
      <c r="M616" s="1"/>
      <c r="N616" s="1"/>
      <c r="O616" s="1"/>
      <c r="P616" s="1"/>
      <c r="Q616" s="1"/>
      <c r="R616" s="1"/>
      <c r="S616" s="1"/>
      <c r="T616" s="1"/>
      <c r="U616" s="1"/>
      <c r="V616" s="1"/>
      <c r="W616" s="1"/>
      <c r="X616" s="1"/>
      <c r="Y616" s="1"/>
      <c r="Z616" s="1"/>
    </row>
    <row r="617">
      <c r="A617" s="1" t="str">
        <f>IFERROR(__xludf.DUMMYFUNCTION("""COMPUTED_VALUE"""),"Harbingers' Spiked Sabatons (Spira)")</f>
        <v>Harbingers' Spiked Sabatons (Spira)</v>
      </c>
      <c r="B617" s="1"/>
      <c r="C617" s="1"/>
      <c r="D617" s="1" t="str">
        <f>IFERROR(__xludf.DUMMYFUNCTION("""COMPUTED_VALUE"""),"Feet")</f>
        <v>Feet</v>
      </c>
      <c r="E617" s="1">
        <f>IFERROR(__xludf.DUMMYFUNCTION("""COMPUTED_VALUE"""),200.0)</f>
        <v>200</v>
      </c>
      <c r="F617"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++Leg Sweep - Strike at an opponent's legs making a hit or miss attack (adding mobility) on hit you knock the opponent to the ground inflicting them with slowness 3")</f>
        <v>DEF: +50000, Fire DEF: +10000, Water DEF: +10000, Storm DEF: +10000, Earth DEF: +10000, Light DEF: +10000, Dark DEF: +10000, Spirit DEF: +10000, Order DEF: +10000, Chaos DEF: +10000, Nature DEF: +10000, Voodoo DEF: +10000, Blood DEF: +10000, Zen DEF: +10000, Astral DEF: +10000, Celestial DEF: +10000 ++Leg Sweep - Strike at an opponent's legs making a hit or miss attack (adding mobility) on hit you knock the opponent to the ground inflicting them with slowness 3</v>
      </c>
      <c r="G617" s="1">
        <f>IFERROR(__xludf.DUMMYFUNCTION("""COMPUTED_VALUE"""),7.98E8)</f>
        <v>798000000</v>
      </c>
      <c r="H617" s="1"/>
      <c r="I617" s="1"/>
      <c r="J617" s="1"/>
      <c r="K617" s="1"/>
      <c r="L617" s="1"/>
      <c r="M617" s="1"/>
      <c r="N617" s="1"/>
      <c r="O617" s="1"/>
      <c r="P617" s="1"/>
      <c r="Q617" s="1"/>
      <c r="R617" s="1"/>
      <c r="S617" s="1"/>
      <c r="T617" s="1"/>
      <c r="U617" s="1"/>
      <c r="V617" s="1"/>
      <c r="W617" s="1"/>
      <c r="X617" s="1"/>
      <c r="Y617" s="1"/>
      <c r="Z617" s="1"/>
    </row>
    <row r="618">
      <c r="A618" s="1" t="str">
        <f>IFERROR(__xludf.DUMMYFUNCTION("""COMPUTED_VALUE"""),"Harbingers' Vow (Spira)")</f>
        <v>Harbingers' Vow (Spira)</v>
      </c>
      <c r="B618" s="1"/>
      <c r="C618" s="1"/>
      <c r="D618" s="1" t="str">
        <f>IFERROR(__xludf.DUMMYFUNCTION("""COMPUTED_VALUE"""),"Finger")</f>
        <v>Finger</v>
      </c>
      <c r="E618" s="1">
        <f>IFERROR(__xludf.DUMMYFUNCTION("""COMPUTED_VALUE"""),1.0)</f>
        <v>1</v>
      </c>
      <c r="F618" s="1" t="str">
        <f>IFERROR(__xludf.DUMMYFUNCTION("""COMPUTED_VALUE""")," ++Pervading Madness - at the start of each of your turns flip a coin with heads being 1 and tails being 2 or roll a d2, gain that many stacks of insanity")</f>
        <v> ++Pervading Madness - at the start of each of your turns flip a coin with heads being 1 and tails being 2 or roll a d2, gain that many stacks of insanity</v>
      </c>
      <c r="G618" s="1">
        <f>IFERROR(__xludf.DUMMYFUNCTION("""COMPUTED_VALUE"""),0.0)</f>
        <v>0</v>
      </c>
      <c r="H618" s="1"/>
      <c r="I618" s="1"/>
      <c r="J618" s="1"/>
      <c r="K618" s="1"/>
      <c r="L618" s="1"/>
      <c r="M618" s="1"/>
      <c r="N618" s="1"/>
      <c r="O618" s="1"/>
      <c r="P618" s="1"/>
      <c r="Q618" s="1"/>
      <c r="R618" s="1"/>
      <c r="S618" s="1"/>
      <c r="T618" s="1"/>
      <c r="U618" s="1"/>
      <c r="V618" s="1"/>
      <c r="W618" s="1"/>
      <c r="X618" s="1"/>
      <c r="Y618" s="1"/>
      <c r="Z618" s="1"/>
    </row>
    <row r="619">
      <c r="A619" s="1" t="str">
        <f>IFERROR(__xludf.DUMMYFUNCTION("""COMPUTED_VALUE"""),"Harbingers' Resolve (Spira)")</f>
        <v>Harbingers' Resolve (Spira)</v>
      </c>
      <c r="B619" s="1"/>
      <c r="C619" s="1"/>
      <c r="D619" s="1" t="str">
        <f>IFERROR(__xludf.DUMMYFUNCTION("""COMPUTED_VALUE"""),"Neck")</f>
        <v>Neck</v>
      </c>
      <c r="E619" s="1">
        <f>IFERROR(__xludf.DUMMYFUNCTION("""COMPUTED_VALUE"""),1.0)</f>
        <v>1</v>
      </c>
      <c r="F619" s="1" t="str">
        <f>IFERROR(__xludf.DUMMYFUNCTION("""COMPUTED_VALUE""")," ++To the Death! - Upon taking lethal damage resist it with 1 hp and gain 10 stacks of insanity (once per battle)")</f>
        <v> ++To the Death! - Upon taking lethal damage resist it with 1 hp and gain 10 stacks of insanity (once per battle)</v>
      </c>
      <c r="G619" s="1">
        <f>IFERROR(__xludf.DUMMYFUNCTION("""COMPUTED_VALUE"""),0.0)</f>
        <v>0</v>
      </c>
      <c r="H619" s="1"/>
      <c r="I619" s="1"/>
      <c r="J619" s="1"/>
      <c r="K619" s="1"/>
      <c r="L619" s="1"/>
      <c r="M619" s="1"/>
      <c r="N619" s="1"/>
      <c r="O619" s="1"/>
      <c r="P619" s="1"/>
      <c r="Q619" s="1"/>
      <c r="R619" s="1"/>
      <c r="S619" s="1"/>
      <c r="T619" s="1"/>
      <c r="U619" s="1"/>
      <c r="V619" s="1"/>
      <c r="W619" s="1"/>
      <c r="X619" s="1"/>
      <c r="Y619" s="1"/>
      <c r="Z619" s="1"/>
    </row>
    <row r="620">
      <c r="A620" s="1" t="str">
        <f>IFERROR(__xludf.DUMMYFUNCTION("""COMPUTED_VALUE"""),"Harbingers' Fist of Iron (Spira)")</f>
        <v>Harbingers' Fist of Iron (Spira)</v>
      </c>
      <c r="B620" s="1"/>
      <c r="C620" s="1" t="str">
        <f>IFERROR(__xludf.DUMMYFUNCTION("""COMPUTED_VALUE"""),"Gauntlet")</f>
        <v>Gauntlet</v>
      </c>
      <c r="D620" s="1" t="str">
        <f>IFERROR(__xludf.DUMMYFUNCTION("""COMPUTED_VALUE"""),"Hand")</f>
        <v>Hand</v>
      </c>
      <c r="E620" s="1">
        <f>IFERROR(__xludf.DUMMYFUNCTION("""COMPUTED_VALUE"""),200.0)</f>
        <v>200</v>
      </c>
      <c r="F620" s="1" t="str">
        <f>IFERROR(__xludf.DUMMYFUNCTION("""COMPUTED_VALUE"""),"DEF: +50000, Celestial DEF: +50000 ++One fist of Iron -  When attacking with this weapon you can choose to attack with the Harbingers' Claw of Steel in the same action. ++Throat Grab - make a hit or miss attack to prevent an enemy from acting on their tur"&amp;"n as long as they remain grappled. To break free from the grapple the enemy must roll evasion to attempt to break free from your grasp at the end of each of your turns. ++20% chance to remove enemy from battle")</f>
        <v>DEF: +50000, Celestial DEF: +50000 ++One fist of Iron -  When attacking with this weapon you can choose to attack with the Harbingers' Claw of Steel in the same action. ++Throat Grab - make a hit or miss attack to prevent an enemy from acting on their turn as long as they remain grappled. To break free from the grapple the enemy must roll evasion to attempt to break free from your grasp at the end of each of your turns. ++20% chance to remove enemy from battle</v>
      </c>
      <c r="G620" s="1">
        <f>IFERROR(__xludf.DUMMYFUNCTION("""COMPUTED_VALUE"""),1.99E8)</f>
        <v>199000000</v>
      </c>
      <c r="H620" s="1"/>
      <c r="I620" s="1"/>
      <c r="J620" s="1"/>
      <c r="K620" s="1"/>
      <c r="L620" s="1"/>
      <c r="M620" s="1"/>
      <c r="N620" s="1"/>
      <c r="O620" s="1"/>
      <c r="P620" s="1"/>
      <c r="Q620" s="1"/>
      <c r="R620" s="1"/>
      <c r="S620" s="1"/>
      <c r="T620" s="1"/>
      <c r="U620" s="1"/>
      <c r="V620" s="1"/>
      <c r="W620" s="1"/>
      <c r="X620" s="1"/>
      <c r="Y620" s="1"/>
      <c r="Z620" s="1"/>
    </row>
    <row r="621">
      <c r="A621" s="1" t="str">
        <f>IFERROR(__xludf.DUMMYFUNCTION("""COMPUTED_VALUE"""),"Harbingers' Claw of Steel (Spira)")</f>
        <v>Harbingers' Claw of Steel (Spira)</v>
      </c>
      <c r="B621" s="1"/>
      <c r="C621" s="1" t="str">
        <f>IFERROR(__xludf.DUMMYFUNCTION("""COMPUTED_VALUE"""),"Claw")</f>
        <v>Claw</v>
      </c>
      <c r="D621" s="1" t="str">
        <f>IFERROR(__xludf.DUMMYFUNCTION("""COMPUTED_VALUE"""),"Hand")</f>
        <v>Hand</v>
      </c>
      <c r="E621" s="1">
        <f>IFERROR(__xludf.DUMMYFUNCTION("""COMPUTED_VALUE"""),200.0)</f>
        <v>200</v>
      </c>
      <c r="F621" s="1" t="str">
        <f>IFERROR(__xludf.DUMMYFUNCTION("""COMPUTED_VALUE"""),"DMG: +50000, Delta DMG: +25000, Celestial DMG: +25000 ++And Another of Steel - When attacking with this weapon you can choose to attack with the Harbingers' Fist of Iron in the same action. ++Elemental Rend - inflicts 1000 damage per round of each element"&amp;" (Excluding Acoustic, Zen, Time, Physical, Melee, and Ranged) when attacking an enemy ++Maddening Blows - targeting an enemy with this weapon inflicts you with 1 stack of insanity")</f>
        <v>DMG: +50000, Delta DMG: +25000, Celestial DMG: +25000 ++And Another of Steel - When attacking with this weapon you can choose to attack with the Harbingers' Fist of Iron in the same action. ++Elemental Rend - inflicts 1000 damage per round of each element (Excluding Acoustic, Zen, Time, Physical, Melee, and Ranged) when attacking an enemy ++Maddening Blows - targeting an enemy with this weapon inflicts you with 1 stack of insanity</v>
      </c>
      <c r="G621" s="1">
        <f>IFERROR(__xludf.DUMMYFUNCTION("""COMPUTED_VALUE"""),1.99E8)</f>
        <v>199000000</v>
      </c>
      <c r="H621" s="1"/>
      <c r="I621" s="1"/>
      <c r="J621" s="1"/>
      <c r="K621" s="1"/>
      <c r="L621" s="1"/>
      <c r="M621" s="1"/>
      <c r="N621" s="1"/>
      <c r="O621" s="1"/>
      <c r="P621" s="1"/>
      <c r="Q621" s="1"/>
      <c r="R621" s="1"/>
      <c r="S621" s="1"/>
      <c r="T621" s="1"/>
      <c r="U621" s="1"/>
      <c r="V621" s="1"/>
      <c r="W621" s="1"/>
      <c r="X621" s="1"/>
      <c r="Y621" s="1"/>
      <c r="Z621" s="1"/>
    </row>
    <row r="622">
      <c r="A622" s="1" t="str">
        <f>IFERROR(__xludf.DUMMYFUNCTION("""COMPUTED_VALUE"""),"Eagles Claw")</f>
        <v>Eagles Claw</v>
      </c>
      <c r="B622" s="1"/>
      <c r="C622" s="1" t="str">
        <f>IFERROR(__xludf.DUMMYFUNCTION("""COMPUTED_VALUE"""),"Claw")</f>
        <v>Claw</v>
      </c>
      <c r="D622" s="1" t="str">
        <f>IFERROR(__xludf.DUMMYFUNCTION("""COMPUTED_VALUE"""),"Hand")</f>
        <v>Hand</v>
      </c>
      <c r="E622" s="1">
        <f>IFERROR(__xludf.DUMMYFUNCTION("""COMPUTED_VALUE"""),200.0)</f>
        <v>200</v>
      </c>
      <c r="F622" s="1" t="str">
        <f>IFERROR(__xludf.DUMMYFUNCTION("""COMPUTED_VALUE"""),"DMG: +10000 ++Eagles Removal - 20% Chance to remove the target from battle. ")</f>
        <v>DMG: +10000 ++Eagles Removal - 20% Chance to remove the target from battle. </v>
      </c>
      <c r="G622" s="1">
        <f>IFERROR(__xludf.DUMMYFUNCTION("""COMPUTED_VALUE"""),1900000.0)</f>
        <v>1900000</v>
      </c>
      <c r="H622" s="1"/>
      <c r="I622" s="1"/>
      <c r="J622" s="1"/>
      <c r="K622" s="1"/>
      <c r="L622" s="1"/>
      <c r="M622" s="1"/>
      <c r="N622" s="1"/>
      <c r="O622" s="1"/>
      <c r="P622" s="1"/>
      <c r="Q622" s="1"/>
      <c r="R622" s="1"/>
      <c r="S622" s="1"/>
      <c r="T622" s="1"/>
      <c r="U622" s="1"/>
      <c r="V622" s="1"/>
      <c r="W622" s="1"/>
      <c r="X622" s="1"/>
      <c r="Y622" s="1"/>
      <c r="Z622" s="1"/>
    </row>
    <row r="623">
      <c r="A623" s="1" t="str">
        <f>IFERROR(__xludf.DUMMYFUNCTION("""COMPUTED_VALUE"""),"Golden Gauntlet")</f>
        <v>Golden Gauntlet</v>
      </c>
      <c r="B623" s="1"/>
      <c r="C623" s="1" t="str">
        <f>IFERROR(__xludf.DUMMYFUNCTION("""COMPUTED_VALUE"""),"Gauntlet")</f>
        <v>Gauntlet</v>
      </c>
      <c r="D623" s="1" t="str">
        <f>IFERROR(__xludf.DUMMYFUNCTION("""COMPUTED_VALUE"""),"Hand")</f>
        <v>Hand</v>
      </c>
      <c r="E623" s="1">
        <f>IFERROR(__xludf.DUMMYFUNCTION("""COMPUTED_VALUE"""),200.0)</f>
        <v>200</v>
      </c>
      <c r="F623" s="1" t="str">
        <f>IFERROR(__xludf.DUMMYFUNCTION("""COMPUTED_VALUE"""),"DMG: +5000, Light DMG: +2500, Order DMG: +2500")</f>
        <v>DMG: +5000, Light DMG: +2500, Order DMG: +2500</v>
      </c>
      <c r="G623" s="1">
        <f>IFERROR(__xludf.DUMMYFUNCTION("""COMPUTED_VALUE"""),1900000.0)</f>
        <v>1900000</v>
      </c>
      <c r="H623" s="1"/>
      <c r="I623" s="1"/>
      <c r="J623" s="1"/>
      <c r="K623" s="1"/>
      <c r="L623" s="1"/>
      <c r="M623" s="1"/>
      <c r="N623" s="1"/>
      <c r="O623" s="1"/>
      <c r="P623" s="1"/>
      <c r="Q623" s="1"/>
      <c r="R623" s="1"/>
      <c r="S623" s="1"/>
      <c r="T623" s="1"/>
      <c r="U623" s="1"/>
      <c r="V623" s="1"/>
      <c r="W623" s="1"/>
      <c r="X623" s="1"/>
      <c r="Y623" s="1"/>
      <c r="Z623" s="1"/>
    </row>
    <row r="624">
      <c r="A624" s="1" t="str">
        <f>IFERROR(__xludf.DUMMYFUNCTION("""COMPUTED_VALUE"""),"Hand Crossbow")</f>
        <v>Hand Crossbow</v>
      </c>
      <c r="B624" s="1"/>
      <c r="C624" s="1" t="str">
        <f>IFERROR(__xludf.DUMMYFUNCTION("""COMPUTED_VALUE"""),"Bow")</f>
        <v>Bow</v>
      </c>
      <c r="D624" s="1" t="str">
        <f>IFERROR(__xludf.DUMMYFUNCTION("""COMPUTED_VALUE"""),"Hand")</f>
        <v>Hand</v>
      </c>
      <c r="E624" s="1">
        <f>IFERROR(__xludf.DUMMYFUNCTION("""COMPUTED_VALUE"""),200.0)</f>
        <v>200</v>
      </c>
      <c r="F624" s="1" t="str">
        <f>IFERROR(__xludf.DUMMYFUNCTION("""COMPUTED_VALUE"""),"DMG: +10000")</f>
        <v>DMG: +10000</v>
      </c>
      <c r="G624" s="1">
        <f>IFERROR(__xludf.DUMMYFUNCTION("""COMPUTED_VALUE"""),1900000.0)</f>
        <v>1900000</v>
      </c>
      <c r="H624" s="1"/>
      <c r="I624" s="1"/>
      <c r="J624" s="1"/>
      <c r="K624" s="1"/>
      <c r="L624" s="1"/>
      <c r="M624" s="1"/>
      <c r="N624" s="1"/>
      <c r="O624" s="1"/>
      <c r="P624" s="1"/>
      <c r="Q624" s="1"/>
      <c r="R624" s="1"/>
      <c r="S624" s="1"/>
      <c r="T624" s="1"/>
      <c r="U624" s="1"/>
      <c r="V624" s="1"/>
      <c r="W624" s="1"/>
      <c r="X624" s="1"/>
      <c r="Y624" s="1"/>
      <c r="Z624" s="1"/>
    </row>
    <row r="625">
      <c r="A625" s="1" t="str">
        <f>IFERROR(__xludf.DUMMYFUNCTION("""COMPUTED_VALUE"""),"Flintlock Pistol")</f>
        <v>Flintlock Pistol</v>
      </c>
      <c r="B625" s="1"/>
      <c r="C625" s="1" t="str">
        <f>IFERROR(__xludf.DUMMYFUNCTION("""COMPUTED_VALUE"""),"Firearm")</f>
        <v>Firearm</v>
      </c>
      <c r="D625" s="1" t="str">
        <f>IFERROR(__xludf.DUMMYFUNCTION("""COMPUTED_VALUE"""),"Hand")</f>
        <v>Hand</v>
      </c>
      <c r="E625" s="1">
        <f>IFERROR(__xludf.DUMMYFUNCTION("""COMPUTED_VALUE"""),200.0)</f>
        <v>200</v>
      </c>
      <c r="F625" s="1" t="str">
        <f>IFERROR(__xludf.DUMMYFUNCTION("""COMPUTED_VALUE"""),"DMG: +10000")</f>
        <v>DMG: +10000</v>
      </c>
      <c r="G625" s="1">
        <f>IFERROR(__xludf.DUMMYFUNCTION("""COMPUTED_VALUE"""),1900000.0)</f>
        <v>1900000</v>
      </c>
      <c r="H625" s="1"/>
      <c r="I625" s="1"/>
      <c r="J625" s="1"/>
      <c r="K625" s="1"/>
      <c r="L625" s="1"/>
      <c r="M625" s="1"/>
      <c r="N625" s="1"/>
      <c r="O625" s="1"/>
      <c r="P625" s="1"/>
      <c r="Q625" s="1"/>
      <c r="R625" s="1"/>
      <c r="S625" s="1"/>
      <c r="T625" s="1"/>
      <c r="U625" s="1"/>
      <c r="V625" s="1"/>
      <c r="W625" s="1"/>
      <c r="X625" s="1"/>
      <c r="Y625" s="1"/>
      <c r="Z625" s="1"/>
    </row>
    <row r="626">
      <c r="A626" s="1" t="str">
        <f>IFERROR(__xludf.DUMMYFUNCTION("""COMPUTED_VALUE"""),"Head of Gévaudan")</f>
        <v>Head of Gévaudan</v>
      </c>
      <c r="B626" s="1"/>
      <c r="C626" s="1"/>
      <c r="D626" s="1" t="str">
        <f>IFERROR(__xludf.DUMMYFUNCTION("""COMPUTED_VALUE"""),"Head")</f>
        <v>Head</v>
      </c>
      <c r="E626" s="1">
        <f>IFERROR(__xludf.DUMMYFUNCTION("""COMPUTED_VALUE"""),200.0)</f>
        <v>200</v>
      </c>
      <c r="F626" s="1" t="str">
        <f>IFERROR(__xludf.DUMMYFUNCTION("""COMPUTED_VALUE"""),"DEF: +10000 ++ +5 to intimidation, ++Soul Shake: Allows to cast ""Shaken Soul""")</f>
        <v>DEF: +10000 ++ +5 to intimidation, ++Soul Shake: Allows to cast "Shaken Soul"</v>
      </c>
      <c r="G626" s="1">
        <f>IFERROR(__xludf.DUMMYFUNCTION("""COMPUTED_VALUE"""),1900000.0)</f>
        <v>1900000</v>
      </c>
      <c r="H626" s="1"/>
      <c r="I626" s="1"/>
      <c r="J626" s="1"/>
      <c r="K626" s="1"/>
      <c r="L626" s="1"/>
      <c r="M626" s="1"/>
      <c r="N626" s="1"/>
      <c r="O626" s="1"/>
      <c r="P626" s="1"/>
      <c r="Q626" s="1"/>
      <c r="R626" s="1"/>
      <c r="S626" s="1"/>
      <c r="T626" s="1"/>
      <c r="U626" s="1"/>
      <c r="V626" s="1"/>
      <c r="W626" s="1"/>
      <c r="X626" s="1"/>
      <c r="Y626" s="1"/>
      <c r="Z626" s="1"/>
    </row>
    <row r="627">
      <c r="A627" s="1" t="str">
        <f>IFERROR(__xludf.DUMMYFUNCTION("""COMPUTED_VALUE"""),"Phantasmal Scythe")</f>
        <v>Phantasmal Scythe</v>
      </c>
      <c r="B627" s="1"/>
      <c r="C627" s="1" t="str">
        <f>IFERROR(__xludf.DUMMYFUNCTION("""COMPUTED_VALUE"""),"Scythe")</f>
        <v>Scythe</v>
      </c>
      <c r="D627" s="1" t="str">
        <f>IFERROR(__xludf.DUMMYFUNCTION("""COMPUTED_VALUE"""),"Hand")</f>
        <v>Hand</v>
      </c>
      <c r="E627" s="1">
        <f>IFERROR(__xludf.DUMMYFUNCTION("""COMPUTED_VALUE"""),1000.0)</f>
        <v>1000</v>
      </c>
      <c r="F627" s="1" t="str">
        <f>IFERROR(__xludf.DUMMYFUNCTION("""COMPUTED_VALUE"""),", Spirit DMG: +50000")</f>
        <v>, Spirit DMG: +50000</v>
      </c>
      <c r="G627" s="1">
        <f>IFERROR(__xludf.DUMMYFUNCTION("""COMPUTED_VALUE"""),4.95E7)</f>
        <v>49500000</v>
      </c>
      <c r="H627" s="1"/>
      <c r="I627" s="1"/>
      <c r="J627" s="1"/>
      <c r="K627" s="1"/>
      <c r="L627" s="1"/>
      <c r="M627" s="1"/>
      <c r="N627" s="1"/>
      <c r="O627" s="1"/>
      <c r="P627" s="1"/>
      <c r="Q627" s="1"/>
      <c r="R627" s="1"/>
      <c r="S627" s="1"/>
      <c r="T627" s="1"/>
      <c r="U627" s="1"/>
      <c r="V627" s="1"/>
      <c r="W627" s="1"/>
      <c r="X627" s="1"/>
      <c r="Y627" s="1"/>
      <c r="Z627" s="1"/>
    </row>
    <row r="628">
      <c r="A628" s="1" t="str">
        <f>IFERROR(__xludf.DUMMYFUNCTION("""COMPUTED_VALUE"""),"Piranha Tooth Dagger")</f>
        <v>Piranha Tooth Dagger</v>
      </c>
      <c r="B628" s="1"/>
      <c r="C628" s="1" t="str">
        <f>IFERROR(__xludf.DUMMYFUNCTION("""COMPUTED_VALUE"""),"Knife")</f>
        <v>Knife</v>
      </c>
      <c r="D628" s="1" t="str">
        <f>IFERROR(__xludf.DUMMYFUNCTION("""COMPUTED_VALUE"""),"Hand")</f>
        <v>Hand</v>
      </c>
      <c r="E628" s="1">
        <f>IFERROR(__xludf.DUMMYFUNCTION("""COMPUTED_VALUE"""),10.0)</f>
        <v>10</v>
      </c>
      <c r="F628" s="1" t="str">
        <f>IFERROR(__xludf.DUMMYFUNCTION("""COMPUTED_VALUE"""),"DMG: +500 ++Increases damage by X2 for every time you hit an enemy with this weapon during a single battle (Goes back to normal damage after battle)")</f>
        <v>DMG: +500 ++Increases damage by X2 for every time you hit an enemy with this weapon during a single battle (Goes back to normal damage after battle)</v>
      </c>
      <c r="G628" s="1">
        <f>IFERROR(__xludf.DUMMYFUNCTION("""COMPUTED_VALUE"""),1000.0)</f>
        <v>1000</v>
      </c>
      <c r="H628" s="1"/>
      <c r="I628" s="1"/>
      <c r="J628" s="1"/>
      <c r="K628" s="1"/>
      <c r="L628" s="1"/>
      <c r="M628" s="1"/>
      <c r="N628" s="1"/>
      <c r="O628" s="1"/>
      <c r="P628" s="1"/>
      <c r="Q628" s="1"/>
      <c r="R628" s="1"/>
      <c r="S628" s="1"/>
      <c r="T628" s="1"/>
      <c r="U628" s="1"/>
      <c r="V628" s="1"/>
      <c r="W628" s="1"/>
      <c r="X628" s="1"/>
      <c r="Y628" s="1"/>
      <c r="Z628" s="1"/>
    </row>
    <row r="629">
      <c r="A629" s="1" t="str">
        <f>IFERROR(__xludf.DUMMYFUNCTION("""COMPUTED_VALUE"""),"Rhino Horn Spear")</f>
        <v>Rhino Horn Spear</v>
      </c>
      <c r="B629" s="1"/>
      <c r="C629" s="1" t="str">
        <f>IFERROR(__xludf.DUMMYFUNCTION("""COMPUTED_VALUE"""),"Spear")</f>
        <v>Spear</v>
      </c>
      <c r="D629" s="1" t="str">
        <f>IFERROR(__xludf.DUMMYFUNCTION("""COMPUTED_VALUE"""),"Hand")</f>
        <v>Hand</v>
      </c>
      <c r="E629" s="1">
        <f>IFERROR(__xludf.DUMMYFUNCTION("""COMPUTED_VALUE"""),200.0)</f>
        <v>200</v>
      </c>
      <c r="F629" s="1" t="str">
        <f>IFERROR(__xludf.DUMMYFUNCTION("""COMPUTED_VALUE"""),"DMG: +10000 ++Charge - The first attack made with this weapon deals X2 damage")</f>
        <v>DMG: +10000 ++Charge - The first attack made with this weapon deals X2 damage</v>
      </c>
      <c r="G629" s="1">
        <f>IFERROR(__xludf.DUMMYFUNCTION("""COMPUTED_VALUE"""),1900000.0)</f>
        <v>1900000</v>
      </c>
      <c r="H629" s="1"/>
      <c r="I629" s="1"/>
      <c r="J629" s="1"/>
      <c r="K629" s="1"/>
      <c r="L629" s="1"/>
      <c r="M629" s="1"/>
      <c r="N629" s="1"/>
      <c r="O629" s="1"/>
      <c r="P629" s="1"/>
      <c r="Q629" s="1"/>
      <c r="R629" s="1"/>
      <c r="S629" s="1"/>
      <c r="T629" s="1"/>
      <c r="U629" s="1"/>
      <c r="V629" s="1"/>
      <c r="W629" s="1"/>
      <c r="X629" s="1"/>
      <c r="Y629" s="1"/>
      <c r="Z629" s="1"/>
    </row>
    <row r="630">
      <c r="A630" s="1" t="str">
        <f>IFERROR(__xludf.DUMMYFUNCTION("""COMPUTED_VALUE"""),"Rock Axe")</f>
        <v>Rock Axe</v>
      </c>
      <c r="B630" s="1"/>
      <c r="C630" s="1" t="str">
        <f>IFERROR(__xludf.DUMMYFUNCTION("""COMPUTED_VALUE"""),"Axe")</f>
        <v>Axe</v>
      </c>
      <c r="D630" s="1" t="str">
        <f>IFERROR(__xludf.DUMMYFUNCTION("""COMPUTED_VALUE"""),"Hand")</f>
        <v>Hand</v>
      </c>
      <c r="E630" s="1">
        <f>IFERROR(__xludf.DUMMYFUNCTION("""COMPUTED_VALUE"""),40.0)</f>
        <v>40</v>
      </c>
      <c r="F630" s="1" t="str">
        <f>IFERROR(__xludf.DUMMYFUNCTION("""COMPUTED_VALUE"""),"DMG: +1000, Earth DMG: +1000")</f>
        <v>DMG: +1000, Earth DMG: +1000</v>
      </c>
      <c r="G630" s="1">
        <f>IFERROR(__xludf.DUMMYFUNCTION("""COMPUTED_VALUE"""),60000.0)</f>
        <v>60000</v>
      </c>
      <c r="H630" s="1"/>
      <c r="I630" s="1"/>
      <c r="J630" s="1"/>
      <c r="K630" s="1"/>
      <c r="L630" s="1"/>
      <c r="M630" s="1"/>
      <c r="N630" s="1"/>
      <c r="O630" s="1"/>
      <c r="P630" s="1"/>
      <c r="Q630" s="1"/>
      <c r="R630" s="1"/>
      <c r="S630" s="1"/>
      <c r="T630" s="1"/>
      <c r="U630" s="1"/>
      <c r="V630" s="1"/>
      <c r="W630" s="1"/>
      <c r="X630" s="1"/>
      <c r="Y630" s="1"/>
      <c r="Z630" s="1"/>
    </row>
    <row r="631">
      <c r="A631" s="1" t="str">
        <f>IFERROR(__xludf.DUMMYFUNCTION("""COMPUTED_VALUE"""),"Saber Tooth")</f>
        <v>Saber Tooth</v>
      </c>
      <c r="B631" s="1"/>
      <c r="C631" s="1" t="str">
        <f>IFERROR(__xludf.DUMMYFUNCTION("""COMPUTED_VALUE"""),"Knife")</f>
        <v>Knife</v>
      </c>
      <c r="D631" s="1" t="str">
        <f>IFERROR(__xludf.DUMMYFUNCTION("""COMPUTED_VALUE"""),"Hand")</f>
        <v>Hand</v>
      </c>
      <c r="E631" s="1">
        <f>IFERROR(__xludf.DUMMYFUNCTION("""COMPUTED_VALUE"""),200.0)</f>
        <v>200</v>
      </c>
      <c r="F631" s="1" t="str">
        <f>IFERROR(__xludf.DUMMYFUNCTION("""COMPUTED_VALUE"""),"DMG: +10000")</f>
        <v>DMG: +10000</v>
      </c>
      <c r="G631" s="1">
        <f>IFERROR(__xludf.DUMMYFUNCTION("""COMPUTED_VALUE"""),1900000.0)</f>
        <v>1900000</v>
      </c>
      <c r="H631" s="1"/>
      <c r="I631" s="1"/>
      <c r="J631" s="1"/>
      <c r="K631" s="1"/>
      <c r="L631" s="1"/>
      <c r="M631" s="1"/>
      <c r="N631" s="1"/>
      <c r="O631" s="1"/>
      <c r="P631" s="1"/>
      <c r="Q631" s="1"/>
      <c r="R631" s="1"/>
      <c r="S631" s="1"/>
      <c r="T631" s="1"/>
      <c r="U631" s="1"/>
      <c r="V631" s="1"/>
      <c r="W631" s="1"/>
      <c r="X631" s="1"/>
      <c r="Y631" s="1"/>
      <c r="Z631" s="1"/>
    </row>
    <row r="632">
      <c r="A632" s="1" t="str">
        <f>IFERROR(__xludf.DUMMYFUNCTION("""COMPUTED_VALUE"""),"Worm Tooth Chainsaw")</f>
        <v>Worm Tooth Chainsaw</v>
      </c>
      <c r="B632" s="1"/>
      <c r="C632" s="1" t="str">
        <f>IFERROR(__xludf.DUMMYFUNCTION("""COMPUTED_VALUE"""),"Axe")</f>
        <v>Axe</v>
      </c>
      <c r="D632" s="1" t="str">
        <f>IFERROR(__xludf.DUMMYFUNCTION("""COMPUTED_VALUE"""),"Hand")</f>
        <v>Hand</v>
      </c>
      <c r="E632" s="1">
        <f>IFERROR(__xludf.DUMMYFUNCTION("""COMPUTED_VALUE"""),1200.0)</f>
        <v>1200</v>
      </c>
      <c r="F632" s="1" t="str">
        <f>IFERROR(__xludf.DUMMYFUNCTION("""COMPUTED_VALUE"""),"DMG: +50000, Blood DMG: +10000 ++Spinning Chain - Make a hit or miss attack (Adding Mobility) on hit set an enemies defense to 0 for 1 round 500 sp")</f>
        <v>DMG: +50000, Blood DMG: +10000 ++Spinning Chain - Make a hit or miss attack (Adding Mobility) on hit set an enemies defense to 0 for 1 round 500 sp</v>
      </c>
      <c r="G632" s="1">
        <f>IFERROR(__xludf.DUMMYFUNCTION("""COMPUTED_VALUE"""),7.14E7)</f>
        <v>71400000</v>
      </c>
      <c r="H632" s="1"/>
      <c r="I632" s="1"/>
      <c r="J632" s="1"/>
      <c r="K632" s="1"/>
      <c r="L632" s="1"/>
      <c r="M632" s="1"/>
      <c r="N632" s="1"/>
      <c r="O632" s="1"/>
      <c r="P632" s="1"/>
      <c r="Q632" s="1"/>
      <c r="R632" s="1"/>
      <c r="S632" s="1"/>
      <c r="T632" s="1"/>
      <c r="U632" s="1"/>
      <c r="V632" s="1"/>
      <c r="W632" s="1"/>
      <c r="X632" s="1"/>
      <c r="Y632" s="1"/>
      <c r="Z632" s="1"/>
    </row>
    <row r="633">
      <c r="A633" s="1" t="str">
        <f>IFERROR(__xludf.DUMMYFUNCTION("""COMPUTED_VALUE"""),"Shark Tooth Greatclub")</f>
        <v>Shark Tooth Greatclub</v>
      </c>
      <c r="B633" s="1"/>
      <c r="C633" s="1" t="str">
        <f>IFERROR(__xludf.DUMMYFUNCTION("""COMPUTED_VALUE"""),"Club")</f>
        <v>Club</v>
      </c>
      <c r="D633" s="1" t="str">
        <f>IFERROR(__xludf.DUMMYFUNCTION("""COMPUTED_VALUE"""),"Hand")</f>
        <v>Hand</v>
      </c>
      <c r="E633" s="1">
        <f>IFERROR(__xludf.DUMMYFUNCTION("""COMPUTED_VALUE"""),500.0)</f>
        <v>500</v>
      </c>
      <c r="F633" s="1" t="str">
        <f>IFERROR(__xludf.DUMMYFUNCTION("""COMPUTED_VALUE"""),"DMG: +25000 ++Abrasive Blow - hitting an enemy with this weapon causes them to be Injured graveky inflicting them with slowness until healed by any means.")</f>
        <v>DMG: +25000 ++Abrasive Blow - hitting an enemy with this weapon causes them to be Injured graveky inflicting them with slowness until healed by any means.</v>
      </c>
      <c r="G633" s="1">
        <f>IFERROR(__xludf.DUMMYFUNCTION("""COMPUTED_VALUE"""),1.225E7)</f>
        <v>12250000</v>
      </c>
      <c r="H633" s="1"/>
      <c r="I633" s="1"/>
      <c r="J633" s="1"/>
      <c r="K633" s="1"/>
      <c r="L633" s="1"/>
      <c r="M633" s="1"/>
      <c r="N633" s="1"/>
      <c r="O633" s="1"/>
      <c r="P633" s="1"/>
      <c r="Q633" s="1"/>
      <c r="R633" s="1"/>
      <c r="S633" s="1"/>
      <c r="T633" s="1"/>
      <c r="U633" s="1"/>
      <c r="V633" s="1"/>
      <c r="W633" s="1"/>
      <c r="X633" s="1"/>
      <c r="Y633" s="1"/>
      <c r="Z633" s="1"/>
    </row>
    <row r="634">
      <c r="A634" s="1" t="str">
        <f>IFERROR(__xludf.DUMMYFUNCTION("""COMPUTED_VALUE"""),"Sticky Slime Guantlets")</f>
        <v>Sticky Slime Guantlets</v>
      </c>
      <c r="B634" s="1"/>
      <c r="C634" s="1" t="str">
        <f>IFERROR(__xludf.DUMMYFUNCTION("""COMPUTED_VALUE"""),"Gauntlet")</f>
        <v>Gauntlet</v>
      </c>
      <c r="D634" s="1" t="str">
        <f>IFERROR(__xludf.DUMMYFUNCTION("""COMPUTED_VALUE"""),"Hand")</f>
        <v>Hand</v>
      </c>
      <c r="E634" s="1">
        <f>IFERROR(__xludf.DUMMYFUNCTION("""COMPUTED_VALUE"""),400.0)</f>
        <v>400</v>
      </c>
      <c r="F634" s="1" t="str">
        <f>IFERROR(__xludf.DUMMYFUNCTION("""COMPUTED_VALUE"""),"DEF: +20000 ++Slimey Grasp - When these gloves are equipped the natural power ""take"" Is guaranteed to succeed.")</f>
        <v>DEF: +20000 ++Slimey Grasp - When these gloves are equipped the natural power "take" Is guaranteed to succeed.</v>
      </c>
      <c r="G634" s="1">
        <f>IFERROR(__xludf.DUMMYFUNCTION("""COMPUTED_VALUE"""),7800000.0)</f>
        <v>7800000</v>
      </c>
      <c r="H634" s="1"/>
      <c r="I634" s="1"/>
      <c r="J634" s="1"/>
      <c r="K634" s="1"/>
      <c r="L634" s="1"/>
      <c r="M634" s="1"/>
      <c r="N634" s="1"/>
      <c r="O634" s="1"/>
      <c r="P634" s="1"/>
      <c r="Q634" s="1"/>
      <c r="R634" s="1"/>
      <c r="S634" s="1"/>
      <c r="T634" s="1"/>
      <c r="U634" s="1"/>
      <c r="V634" s="1"/>
      <c r="W634" s="1"/>
      <c r="X634" s="1"/>
      <c r="Y634" s="1"/>
      <c r="Z634" s="1"/>
    </row>
    <row r="635">
      <c r="A635" s="1" t="str">
        <f>IFERROR(__xludf.DUMMYFUNCTION("""COMPUTED_VALUE"""),"Draconic Scythe")</f>
        <v>Draconic Scythe</v>
      </c>
      <c r="B635" s="1"/>
      <c r="C635" s="1" t="str">
        <f>IFERROR(__xludf.DUMMYFUNCTION("""COMPUTED_VALUE"""),"Scythe")</f>
        <v>Scythe</v>
      </c>
      <c r="D635" s="1" t="str">
        <f>IFERROR(__xludf.DUMMYFUNCTION("""COMPUTED_VALUE"""),"Hand")</f>
        <v>Hand</v>
      </c>
      <c r="E635" s="1">
        <f>IFERROR(__xludf.DUMMYFUNCTION("""COMPUTED_VALUE"""),2000.0)</f>
        <v>2000</v>
      </c>
      <c r="F635" s="1" t="str">
        <f>IFERROR(__xludf.DUMMYFUNCTION("""COMPUTED_VALUE"""),", Spirit DMG: +100000 ++Draconic Soul - When Fighting alongside any draconic allies (including Dragon companions or Dragonians) or if the wielder itself is draconic this weapon deals an additional X5 damage")</f>
        <v>, Spirit DMG: +100000 ++Draconic Soul - When Fighting alongside any draconic allies (including Dragon companions or Dragonians) or if the wielder itself is draconic this weapon deals an additional X5 damage</v>
      </c>
      <c r="G635" s="1">
        <f>IFERROR(__xludf.DUMMYFUNCTION("""COMPUTED_VALUE"""),1.99E8)</f>
        <v>199000000</v>
      </c>
      <c r="H635" s="1"/>
      <c r="I635" s="1"/>
      <c r="J635" s="1"/>
      <c r="K635" s="1"/>
      <c r="L635" s="1"/>
      <c r="M635" s="1"/>
      <c r="N635" s="1"/>
      <c r="O635" s="1"/>
      <c r="P635" s="1"/>
      <c r="Q635" s="1"/>
      <c r="R635" s="1"/>
      <c r="S635" s="1"/>
      <c r="T635" s="1"/>
      <c r="U635" s="1"/>
      <c r="V635" s="1"/>
      <c r="W635" s="1"/>
      <c r="X635" s="1"/>
      <c r="Y635" s="1"/>
      <c r="Z635" s="1"/>
    </row>
    <row r="636">
      <c r="A636" s="1" t="str">
        <f>IFERROR(__xludf.DUMMYFUNCTION("""COMPUTED_VALUE"""),"Elemental Scythe")</f>
        <v>Elemental Scythe</v>
      </c>
      <c r="B636" s="1"/>
      <c r="C636" s="1" t="str">
        <f>IFERROR(__xludf.DUMMYFUNCTION("""COMPUTED_VALUE"""),"Scythe")</f>
        <v>Scythe</v>
      </c>
      <c r="D636" s="1" t="str">
        <f>IFERROR(__xludf.DUMMYFUNCTION("""COMPUTED_VALUE"""),"Hand")</f>
        <v>Hand</v>
      </c>
      <c r="E636" s="1">
        <f>IFERROR(__xludf.DUMMYFUNCTION("""COMPUTED_VALUE"""),2000.0)</f>
        <v>2000</v>
      </c>
      <c r="F636" s="1" t="str">
        <f>IFERROR(__xludf.DUMMYFUNCTION("""COMPUTED_VALUE"""),", Fire DMG: +20000, Physical DMG: +20000, Water DMG: +20000, Storm DMG: +20000, Earth DMG: +20000 ++This scythe is unnaffected by Immunities to fire, earth, nature, water, or storm.")</f>
        <v>, Fire DMG: +20000, Physical DMG: +20000, Water DMG: +20000, Storm DMG: +20000, Earth DMG: +20000 ++This scythe is unnaffected by Immunities to fire, earth, nature, water, or storm.</v>
      </c>
      <c r="G636" s="1">
        <f>IFERROR(__xludf.DUMMYFUNCTION("""COMPUTED_VALUE"""),1.99E8)</f>
        <v>199000000</v>
      </c>
      <c r="H636" s="1"/>
      <c r="I636" s="1"/>
      <c r="J636" s="1"/>
      <c r="K636" s="1"/>
      <c r="L636" s="1"/>
      <c r="M636" s="1"/>
      <c r="N636" s="1"/>
      <c r="O636" s="1"/>
      <c r="P636" s="1"/>
      <c r="Q636" s="1"/>
      <c r="R636" s="1"/>
      <c r="S636" s="1"/>
      <c r="T636" s="1"/>
      <c r="U636" s="1"/>
      <c r="V636" s="1"/>
      <c r="W636" s="1"/>
      <c r="X636" s="1"/>
      <c r="Y636" s="1"/>
      <c r="Z636" s="1"/>
    </row>
    <row r="637">
      <c r="A637" s="1" t="str">
        <f>IFERROR(__xludf.DUMMYFUNCTION("""COMPUTED_VALUE"""),"Staff of the Elemental King of Water")</f>
        <v>Staff of the Elemental King of Water</v>
      </c>
      <c r="B637" s="1"/>
      <c r="C637" s="1" t="str">
        <f>IFERROR(__xludf.DUMMYFUNCTION("""COMPUTED_VALUE"""),"Staff")</f>
        <v>Staff</v>
      </c>
      <c r="D637" s="1" t="str">
        <f>IFERROR(__xludf.DUMMYFUNCTION("""COMPUTED_VALUE"""),"Hand")</f>
        <v>Hand</v>
      </c>
      <c r="E637" s="1">
        <f>IFERROR(__xludf.DUMMYFUNCTION("""COMPUTED_VALUE"""),1000.0)</f>
        <v>1000</v>
      </c>
      <c r="F637" s="1" t="str">
        <f>IFERROR(__xludf.DUMMYFUNCTION("""COMPUTED_VALUE"""),", Water DMG: +50000 ++Summoned Water Elementals deal 5X water damage")</f>
        <v>, Water DMG: +50000 ++Summoned Water Elementals deal 5X water damage</v>
      </c>
      <c r="G637" s="1">
        <f>IFERROR(__xludf.DUMMYFUNCTION("""COMPUTED_VALUE"""),4.95E7)</f>
        <v>49500000</v>
      </c>
      <c r="H637" s="1"/>
      <c r="I637" s="1"/>
      <c r="J637" s="1"/>
      <c r="K637" s="1"/>
      <c r="L637" s="1"/>
      <c r="M637" s="1"/>
      <c r="N637" s="1"/>
      <c r="O637" s="1"/>
      <c r="P637" s="1"/>
      <c r="Q637" s="1"/>
      <c r="R637" s="1"/>
      <c r="S637" s="1"/>
      <c r="T637" s="1"/>
      <c r="U637" s="1"/>
      <c r="V637" s="1"/>
      <c r="W637" s="1"/>
      <c r="X637" s="1"/>
      <c r="Y637" s="1"/>
      <c r="Z637" s="1"/>
    </row>
    <row r="638">
      <c r="A638" s="1" t="str">
        <f>IFERROR(__xludf.DUMMYFUNCTION("""COMPUTED_VALUE"""),"Bashe's Tail")</f>
        <v>Bashe's Tail</v>
      </c>
      <c r="B638" s="1"/>
      <c r="C638" s="1"/>
      <c r="D638" s="1" t="str">
        <f>IFERROR(__xludf.DUMMYFUNCTION("""COMPUTED_VALUE"""),"Legs")</f>
        <v>Legs</v>
      </c>
      <c r="E638" s="1">
        <f>IFERROR(__xludf.DUMMYFUNCTION("""COMPUTED_VALUE"""),800.0)</f>
        <v>800</v>
      </c>
      <c r="F638" s="1" t="str">
        <f>IFERROR(__xludf.DUMMYFUNCTION("""COMPUTED_VALUE"""),"DEF: +40000 ++Smash - Allows you to attack with the tail as if it were a club weapon")</f>
        <v>DEF: +40000 ++Smash - Allows you to attack with the tail as if it were a club weapon</v>
      </c>
      <c r="G638" s="1">
        <f>IFERROR(__xludf.DUMMYFUNCTION("""COMPUTED_VALUE"""),3.16E7)</f>
        <v>31600000</v>
      </c>
      <c r="H638" s="1"/>
      <c r="I638" s="1"/>
      <c r="J638" s="1"/>
      <c r="K638" s="1"/>
      <c r="L638" s="1"/>
      <c r="M638" s="1"/>
      <c r="N638" s="1"/>
      <c r="O638" s="1"/>
      <c r="P638" s="1"/>
      <c r="Q638" s="1"/>
      <c r="R638" s="1"/>
      <c r="S638" s="1"/>
      <c r="T638" s="1"/>
      <c r="U638" s="1"/>
      <c r="V638" s="1"/>
      <c r="W638" s="1"/>
      <c r="X638" s="1"/>
      <c r="Y638" s="1"/>
      <c r="Z638" s="1"/>
    </row>
    <row r="639">
      <c r="A639" s="1" t="str">
        <f>IFERROR(__xludf.DUMMYFUNCTION("""COMPUTED_VALUE"""),"Bashe's Flute")</f>
        <v>Bashe's Flute</v>
      </c>
      <c r="B639" s="1"/>
      <c r="C639" s="1" t="str">
        <f>IFERROR(__xludf.DUMMYFUNCTION("""COMPUTED_VALUE"""),"Instrument")</f>
        <v>Instrument</v>
      </c>
      <c r="D639" s="1" t="str">
        <f>IFERROR(__xludf.DUMMYFUNCTION("""COMPUTED_VALUE"""),"Hand")</f>
        <v>Hand</v>
      </c>
      <c r="E639" s="1">
        <f>IFERROR(__xludf.DUMMYFUNCTION("""COMPUTED_VALUE"""),1000.0)</f>
        <v>1000</v>
      </c>
      <c r="F639" s="1" t="str">
        <f>IFERROR(__xludf.DUMMYFUNCTION("""COMPUTED_VALUE"""),", Acoustic DMG: +50000 ++When Equipped with Bashe's Tail Deal 5X damage and cast 2 acoustic powers in an action instead of one for your first turn")</f>
        <v>, Acoustic DMG: +50000 ++When Equipped with Bashe's Tail Deal 5X damage and cast 2 acoustic powers in an action instead of one for your first turn</v>
      </c>
      <c r="G639" s="1">
        <f>IFERROR(__xludf.DUMMYFUNCTION("""COMPUTED_VALUE"""),4.95E7)</f>
        <v>49500000</v>
      </c>
      <c r="H639" s="1"/>
      <c r="I639" s="1"/>
      <c r="J639" s="1"/>
      <c r="K639" s="1"/>
      <c r="L639" s="1"/>
      <c r="M639" s="1"/>
      <c r="N639" s="1"/>
      <c r="O639" s="1"/>
      <c r="P639" s="1"/>
      <c r="Q639" s="1"/>
      <c r="R639" s="1"/>
      <c r="S639" s="1"/>
      <c r="T639" s="1"/>
      <c r="U639" s="1"/>
      <c r="V639" s="1"/>
      <c r="W639" s="1"/>
      <c r="X639" s="1"/>
      <c r="Y639" s="1"/>
      <c r="Z639" s="1"/>
    </row>
    <row r="640">
      <c r="A640" s="1" t="str">
        <f>IFERROR(__xludf.DUMMYFUNCTION("""COMPUTED_VALUE"""),"Grash's Favorite Length Of Iron")</f>
        <v>Grash's Favorite Length Of Iron</v>
      </c>
      <c r="B640" s="1"/>
      <c r="C640" s="1" t="str">
        <f>IFERROR(__xludf.DUMMYFUNCTION("""COMPUTED_VALUE"""),"Club")</f>
        <v>Club</v>
      </c>
      <c r="D640" s="1" t="str">
        <f>IFERROR(__xludf.DUMMYFUNCTION("""COMPUTED_VALUE"""),"Hand")</f>
        <v>Hand</v>
      </c>
      <c r="E640" s="1">
        <f>IFERROR(__xludf.DUMMYFUNCTION("""COMPUTED_VALUE"""),2000.0)</f>
        <v>2000</v>
      </c>
      <c r="F640" s="1" t="str">
        <f>IFERROR(__xludf.DUMMYFUNCTION("""COMPUTED_VALUE"""),"DMG: +100000 ++When a Samurai Wields this weapon they get access to the ""Grash's Smashing Success"" Natural Power")</f>
        <v>DMG: +100000 ++When a Samurai Wields this weapon they get access to the "Grash's Smashing Success" Natural Power</v>
      </c>
      <c r="G640" s="1">
        <f>IFERROR(__xludf.DUMMYFUNCTION("""COMPUTED_VALUE"""),1.99E8)</f>
        <v>199000000</v>
      </c>
      <c r="H640" s="1"/>
      <c r="I640" s="1"/>
      <c r="J640" s="1"/>
      <c r="K640" s="1"/>
      <c r="L640" s="1"/>
      <c r="M640" s="1"/>
      <c r="N640" s="1"/>
      <c r="O640" s="1"/>
      <c r="P640" s="1"/>
      <c r="Q640" s="1"/>
      <c r="R640" s="1"/>
      <c r="S640" s="1"/>
      <c r="T640" s="1"/>
      <c r="U640" s="1"/>
      <c r="V640" s="1"/>
      <c r="W640" s="1"/>
      <c r="X640" s="1"/>
      <c r="Y640" s="1"/>
      <c r="Z640" s="1"/>
    </row>
    <row r="641">
      <c r="A641" s="1" t="str">
        <f>IFERROR(__xludf.DUMMYFUNCTION("""COMPUTED_VALUE"""),"Wolf Tooth Neclace")</f>
        <v>Wolf Tooth Neclace</v>
      </c>
      <c r="B641" s="1"/>
      <c r="C641" s="1"/>
      <c r="D641" s="1" t="str">
        <f>IFERROR(__xludf.DUMMYFUNCTION("""COMPUTED_VALUE"""),"Neck")</f>
        <v>Neck</v>
      </c>
      <c r="E641" s="1">
        <f>IFERROR(__xludf.DUMMYFUNCTION("""COMPUTED_VALUE"""),1.0)</f>
        <v>1</v>
      </c>
      <c r="F641" s="1" t="str">
        <f>IFERROR(__xludf.DUMMYFUNCTION("""COMPUTED_VALUE""")," ++When fighting alongside a Beast Companion you get +5 to all weapon attacks (Wearing multiple does not cause this effect to stack)")</f>
        <v> ++When fighting alongside a Beast Companion you get +5 to all weapon attacks (Wearing multiple does not cause this effect to stack)</v>
      </c>
      <c r="G641" s="1">
        <f>IFERROR(__xludf.DUMMYFUNCTION("""COMPUTED_VALUE"""),0.0)</f>
        <v>0</v>
      </c>
      <c r="H641" s="1"/>
      <c r="I641" s="1"/>
      <c r="J641" s="1"/>
      <c r="K641" s="1"/>
      <c r="L641" s="1"/>
      <c r="M641" s="1"/>
      <c r="N641" s="1"/>
      <c r="O641" s="1"/>
      <c r="P641" s="1"/>
      <c r="Q641" s="1"/>
      <c r="R641" s="1"/>
      <c r="S641" s="1"/>
      <c r="T641" s="1"/>
      <c r="U641" s="1"/>
      <c r="V641" s="1"/>
      <c r="W641" s="1"/>
      <c r="X641" s="1"/>
      <c r="Y641" s="1"/>
      <c r="Z641" s="1"/>
    </row>
    <row r="642">
      <c r="A642" s="1" t="str">
        <f>IFERROR(__xludf.DUMMYFUNCTION("""COMPUTED_VALUE"""),"Dragon Scale Necklace")</f>
        <v>Dragon Scale Necklace</v>
      </c>
      <c r="B642" s="1"/>
      <c r="C642" s="1"/>
      <c r="D642" s="1" t="str">
        <f>IFERROR(__xludf.DUMMYFUNCTION("""COMPUTED_VALUE"""),"Neck")</f>
        <v>Neck</v>
      </c>
      <c r="E642" s="1">
        <f>IFERROR(__xludf.DUMMYFUNCTION("""COMPUTED_VALUE"""),1.0)</f>
        <v>1</v>
      </c>
      <c r="F642" s="1" t="str">
        <f>IFERROR(__xludf.DUMMYFUNCTION("""COMPUTED_VALUE""")," ++When fighting alongside a Draconic Companion you get +5 to all weapon attacks (Wearing multiple does not cause this effect to stack)")</f>
        <v> ++When fighting alongside a Draconic Companion you get +5 to all weapon attacks (Wearing multiple does not cause this effect to stack)</v>
      </c>
      <c r="G642" s="1">
        <f>IFERROR(__xludf.DUMMYFUNCTION("""COMPUTED_VALUE"""),0.0)</f>
        <v>0</v>
      </c>
      <c r="H642" s="1"/>
      <c r="I642" s="1"/>
      <c r="J642" s="1"/>
      <c r="K642" s="1"/>
      <c r="L642" s="1"/>
      <c r="M642" s="1"/>
      <c r="N642" s="1"/>
      <c r="O642" s="1"/>
      <c r="P642" s="1"/>
      <c r="Q642" s="1"/>
      <c r="R642" s="1"/>
      <c r="S642" s="1"/>
      <c r="T642" s="1"/>
      <c r="U642" s="1"/>
      <c r="V642" s="1"/>
      <c r="W642" s="1"/>
      <c r="X642" s="1"/>
      <c r="Y642" s="1"/>
      <c r="Z642" s="1"/>
    </row>
    <row r="643">
      <c r="A643" s="1" t="str">
        <f>IFERROR(__xludf.DUMMYFUNCTION("""COMPUTED_VALUE"""),"Heavenly Necklace")</f>
        <v>Heavenly Necklace</v>
      </c>
      <c r="B643" s="1"/>
      <c r="C643" s="1"/>
      <c r="D643" s="1" t="str">
        <f>IFERROR(__xludf.DUMMYFUNCTION("""COMPUTED_VALUE"""),"Neck")</f>
        <v>Neck</v>
      </c>
      <c r="E643" s="1">
        <f>IFERROR(__xludf.DUMMYFUNCTION("""COMPUTED_VALUE"""),1.0)</f>
        <v>1</v>
      </c>
      <c r="F643" s="1" t="str">
        <f>IFERROR(__xludf.DUMMYFUNCTION("""COMPUTED_VALUE""")," ++When fighting alongside a Heavenly Companion you get +5 to all weapon attacks (Wearing multiple does not cause this effect to stack)")</f>
        <v> ++When fighting alongside a Heavenly Companion you get +5 to all weapon attacks (Wearing multiple does not cause this effect to stack)</v>
      </c>
      <c r="G643" s="1">
        <f>IFERROR(__xludf.DUMMYFUNCTION("""COMPUTED_VALUE"""),0.0)</f>
        <v>0</v>
      </c>
      <c r="H643" s="1"/>
      <c r="I643" s="1"/>
      <c r="J643" s="1"/>
      <c r="K643" s="1"/>
      <c r="L643" s="1"/>
      <c r="M643" s="1"/>
      <c r="N643" s="1"/>
      <c r="O643" s="1"/>
      <c r="P643" s="1"/>
      <c r="Q643" s="1"/>
      <c r="R643" s="1"/>
      <c r="S643" s="1"/>
      <c r="T643" s="1"/>
      <c r="U643" s="1"/>
      <c r="V643" s="1"/>
      <c r="W643" s="1"/>
      <c r="X643" s="1"/>
      <c r="Y643" s="1"/>
      <c r="Z643" s="1"/>
    </row>
    <row r="644">
      <c r="A644" s="1" t="str">
        <f>IFERROR(__xludf.DUMMYFUNCTION("""COMPUTED_VALUE"""),"Demonic Necklace")</f>
        <v>Demonic Necklace</v>
      </c>
      <c r="B644" s="1"/>
      <c r="C644" s="1"/>
      <c r="D644" s="1" t="str">
        <f>IFERROR(__xludf.DUMMYFUNCTION("""COMPUTED_VALUE"""),"Neck")</f>
        <v>Neck</v>
      </c>
      <c r="E644" s="1">
        <f>IFERROR(__xludf.DUMMYFUNCTION("""COMPUTED_VALUE"""),1.0)</f>
        <v>1</v>
      </c>
      <c r="F644" s="1" t="str">
        <f>IFERROR(__xludf.DUMMYFUNCTION("""COMPUTED_VALUE""")," ++When fighting alongside a Demonic Companion you get +5 to all weapon attacks (Wearing multiple does not cause this effect to stack)")</f>
        <v> ++When fighting alongside a Demonic Companion you get +5 to all weapon attacks (Wearing multiple does not cause this effect to stack)</v>
      </c>
      <c r="G644" s="1">
        <f>IFERROR(__xludf.DUMMYFUNCTION("""COMPUTED_VALUE"""),0.0)</f>
        <v>0</v>
      </c>
      <c r="H644" s="1"/>
      <c r="I644" s="1"/>
      <c r="J644" s="1"/>
      <c r="K644" s="1"/>
      <c r="L644" s="1"/>
      <c r="M644" s="1"/>
      <c r="N644" s="1"/>
      <c r="O644" s="1"/>
      <c r="P644" s="1"/>
      <c r="Q644" s="1"/>
      <c r="R644" s="1"/>
      <c r="S644" s="1"/>
      <c r="T644" s="1"/>
      <c r="U644" s="1"/>
      <c r="V644" s="1"/>
      <c r="W644" s="1"/>
      <c r="X644" s="1"/>
      <c r="Y644" s="1"/>
      <c r="Z644" s="1"/>
    </row>
    <row r="645">
      <c r="A645" s="1" t="str">
        <f>IFERROR(__xludf.DUMMYFUNCTION("""COMPUTED_VALUE"""),"The Cloak of Gévaudan")</f>
        <v>The Cloak of Gévaudan</v>
      </c>
      <c r="B645" s="1"/>
      <c r="C645" s="1"/>
      <c r="D645" s="1" t="str">
        <f>IFERROR(__xludf.DUMMYFUNCTION("""COMPUTED_VALUE"""),"Shoulders")</f>
        <v>Shoulders</v>
      </c>
      <c r="E645" s="1">
        <f>IFERROR(__xludf.DUMMYFUNCTION("""COMPUTED_VALUE"""),800.0)</f>
        <v>800</v>
      </c>
      <c r="F645" s="1" t="str">
        <f>IFERROR(__xludf.DUMMYFUNCTION("""COMPUTED_VALUE"""),"DEF: +25000, Fire DEF: +15000 ++The warm coat grants you immunity to freezing.")</f>
        <v>DEF: +25000, Fire DEF: +15000 ++The warm coat grants you immunity to freezing.</v>
      </c>
      <c r="G645" s="1">
        <f>IFERROR(__xludf.DUMMYFUNCTION("""COMPUTED_VALUE"""),3.16E7)</f>
        <v>31600000</v>
      </c>
      <c r="H645" s="1"/>
      <c r="I645" s="1"/>
      <c r="J645" s="1"/>
      <c r="K645" s="1"/>
      <c r="L645" s="1"/>
      <c r="M645" s="1"/>
      <c r="N645" s="1"/>
      <c r="O645" s="1"/>
      <c r="P645" s="1"/>
      <c r="Q645" s="1"/>
      <c r="R645" s="1"/>
      <c r="S645" s="1"/>
      <c r="T645" s="1"/>
      <c r="U645" s="1"/>
      <c r="V645" s="1"/>
      <c r="W645" s="1"/>
      <c r="X645" s="1"/>
      <c r="Y645" s="1"/>
      <c r="Z645" s="1"/>
    </row>
    <row r="646">
      <c r="A646" s="1" t="str">
        <f>IFERROR(__xludf.DUMMYFUNCTION("""COMPUTED_VALUE"""),"Spirit Glyph")</f>
        <v>Spirit Glyph</v>
      </c>
      <c r="B646" s="1"/>
      <c r="C646" s="1"/>
      <c r="D646" s="1" t="str">
        <f>IFERROR(__xludf.DUMMYFUNCTION("""COMPUTED_VALUE"""),"Ring")</f>
        <v>Ring</v>
      </c>
      <c r="E646" s="1">
        <f>IFERROR(__xludf.DUMMYFUNCTION("""COMPUTED_VALUE"""),1.0)</f>
        <v>1</v>
      </c>
      <c r="F646" s="1" t="str">
        <f>IFERROR(__xludf.DUMMYFUNCTION("""COMPUTED_VALUE""")," ++When Fighting alongside a spirit companion you get ++5 to all weapon attacks. ++You get access to the ""Spiritual Meld"" Spell (Wearing multiple does not cause this effect to stack)")</f>
        <v> ++When Fighting alongside a spirit companion you get ++5 to all weapon attacks. ++You get access to the "Spiritual Meld" Spell (Wearing multiple does not cause this effect to stack)</v>
      </c>
      <c r="G646" s="1">
        <f>IFERROR(__xludf.DUMMYFUNCTION("""COMPUTED_VALUE"""),0.0)</f>
        <v>0</v>
      </c>
      <c r="H646" s="1"/>
      <c r="I646" s="1"/>
      <c r="J646" s="1"/>
      <c r="K646" s="1"/>
      <c r="L646" s="1"/>
      <c r="M646" s="1"/>
      <c r="N646" s="1"/>
      <c r="O646" s="1"/>
      <c r="P646" s="1"/>
      <c r="Q646" s="1"/>
      <c r="R646" s="1"/>
      <c r="S646" s="1"/>
      <c r="T646" s="1"/>
      <c r="U646" s="1"/>
      <c r="V646" s="1"/>
      <c r="W646" s="1"/>
      <c r="X646" s="1"/>
      <c r="Y646" s="1"/>
      <c r="Z646" s="1"/>
    </row>
    <row r="647">
      <c r="A647" s="1" t="str">
        <f>IFERROR(__xludf.DUMMYFUNCTION("""COMPUTED_VALUE"""),"Necromantic Sigil")</f>
        <v>Necromantic Sigil</v>
      </c>
      <c r="B647" s="1"/>
      <c r="C647" s="1"/>
      <c r="D647" s="1" t="str">
        <f>IFERROR(__xludf.DUMMYFUNCTION("""COMPUTED_VALUE"""),"Ring")</f>
        <v>Ring</v>
      </c>
      <c r="E647" s="1">
        <f>IFERROR(__xludf.DUMMYFUNCTION("""COMPUTED_VALUE"""),1.0)</f>
        <v>1</v>
      </c>
      <c r="F647" s="1" t="str">
        <f>IFERROR(__xludf.DUMMYFUNCTION("""COMPUTED_VALUE""")," ++When Fighting alongside an undead companion you get +5 to all weapon attacks (Wearing multiple does not cause this effect to stack)")</f>
        <v> ++When Fighting alongside an undead companion you get +5 to all weapon attacks (Wearing multiple does not cause this effect to stack)</v>
      </c>
      <c r="G647" s="1">
        <f>IFERROR(__xludf.DUMMYFUNCTION("""COMPUTED_VALUE"""),0.0)</f>
        <v>0</v>
      </c>
      <c r="H647" s="1"/>
      <c r="I647" s="1"/>
      <c r="J647" s="1"/>
      <c r="K647" s="1"/>
      <c r="L647" s="1"/>
      <c r="M647" s="1"/>
      <c r="N647" s="1"/>
      <c r="O647" s="1"/>
      <c r="P647" s="1"/>
      <c r="Q647" s="1"/>
      <c r="R647" s="1"/>
      <c r="S647" s="1"/>
      <c r="T647" s="1"/>
      <c r="U647" s="1"/>
      <c r="V647" s="1"/>
      <c r="W647" s="1"/>
      <c r="X647" s="1"/>
      <c r="Y647" s="1"/>
      <c r="Z647" s="1"/>
    </row>
    <row r="648">
      <c r="A648" s="1" t="str">
        <f>IFERROR(__xludf.DUMMYFUNCTION("""COMPUTED_VALUE"""),"Dragonslayer")</f>
        <v>Dragonslayer</v>
      </c>
      <c r="B648" s="1" t="str">
        <f>IFERROR(__xludf.DUMMYFUNCTION("""COMPUTED_VALUE"""),"It was too big to be called a sword. Massive, thick, heavy, and far too rough. Indeed, it was a heap of raw iron.")</f>
        <v>It was too big to be called a sword. Massive, thick, heavy, and far too rough. Indeed, it was a heap of raw iron.</v>
      </c>
      <c r="C648" s="1" t="str">
        <f>IFERROR(__xludf.DUMMYFUNCTION("""COMPUTED_VALUE"""),"Sword")</f>
        <v>Sword</v>
      </c>
      <c r="D648" s="1" t="str">
        <f>IFERROR(__xludf.DUMMYFUNCTION("""COMPUTED_VALUE"""),"Hand")</f>
        <v>Hand</v>
      </c>
      <c r="E648" s="1">
        <f>IFERROR(__xludf.DUMMYFUNCTION("""COMPUTED_VALUE"""),2000.0)</f>
        <v>2000</v>
      </c>
      <c r="F648" s="1" t="str">
        <f>IFERROR(__xludf.DUMMYFUNCTION("""COMPUTED_VALUE"""),"DMG: +100000 ++Deals X10 damage when fighting a Dragon or Monstrosity")</f>
        <v>DMG: +100000 ++Deals X10 damage when fighting a Dragon or Monstrosity</v>
      </c>
      <c r="G648" s="1">
        <f>IFERROR(__xludf.DUMMYFUNCTION("""COMPUTED_VALUE"""),1.99E8)</f>
        <v>199000000</v>
      </c>
      <c r="H648" s="1"/>
      <c r="I648" s="1"/>
      <c r="J648" s="1"/>
      <c r="K648" s="1"/>
      <c r="L648" s="1"/>
      <c r="M648" s="1"/>
      <c r="N648" s="1"/>
      <c r="O648" s="1"/>
      <c r="P648" s="1"/>
      <c r="Q648" s="1"/>
      <c r="R648" s="1"/>
      <c r="S648" s="1"/>
      <c r="T648" s="1"/>
      <c r="U648" s="1"/>
      <c r="V648" s="1"/>
      <c r="W648" s="1"/>
      <c r="X648" s="1"/>
      <c r="Y648" s="1"/>
      <c r="Z648" s="1"/>
    </row>
    <row r="649">
      <c r="A649" s="1" t="str">
        <f>IFERROR(__xludf.DUMMYFUNCTION("""COMPUTED_VALUE"""),"Rusted Halberd")</f>
        <v>Rusted Halberd</v>
      </c>
      <c r="B649" s="1"/>
      <c r="C649" s="1" t="str">
        <f>IFERROR(__xludf.DUMMYFUNCTION("""COMPUTED_VALUE"""),"Spear")</f>
        <v>Spear</v>
      </c>
      <c r="D649" s="1" t="str">
        <f>IFERROR(__xludf.DUMMYFUNCTION("""COMPUTED_VALUE"""),"Hand")</f>
        <v>Hand</v>
      </c>
      <c r="E649" s="1">
        <f>IFERROR(__xludf.DUMMYFUNCTION("""COMPUTED_VALUE"""),100.0)</f>
        <v>100</v>
      </c>
      <c r="F649" s="1" t="str">
        <f>IFERROR(__xludf.DUMMYFUNCTION("""COMPUTED_VALUE"""),"DMG: +5000")</f>
        <v>DMG: +5000</v>
      </c>
      <c r="G649" s="1">
        <f>IFERROR(__xludf.DUMMYFUNCTION("""COMPUTED_VALUE"""),450000.0)</f>
        <v>450000</v>
      </c>
      <c r="H649" s="1"/>
      <c r="I649" s="1"/>
      <c r="J649" s="1"/>
      <c r="K649" s="1"/>
      <c r="L649" s="1"/>
      <c r="M649" s="1"/>
      <c r="N649" s="1"/>
      <c r="O649" s="1"/>
      <c r="P649" s="1"/>
      <c r="Q649" s="1"/>
      <c r="R649" s="1"/>
      <c r="S649" s="1"/>
      <c r="T649" s="1"/>
      <c r="U649" s="1"/>
      <c r="V649" s="1"/>
      <c r="W649" s="1"/>
      <c r="X649" s="1"/>
      <c r="Y649" s="1"/>
      <c r="Z649" s="1"/>
    </row>
    <row r="650">
      <c r="A650" s="1" t="str">
        <f>IFERROR(__xludf.DUMMYFUNCTION("""COMPUTED_VALUE"""),"Diseased Rapier")</f>
        <v>Diseased Rapier</v>
      </c>
      <c r="B650" s="1"/>
      <c r="C650" s="1" t="str">
        <f>IFERROR(__xludf.DUMMYFUNCTION("""COMPUTED_VALUE"""),"Sword")</f>
        <v>Sword</v>
      </c>
      <c r="D650" s="1" t="str">
        <f>IFERROR(__xludf.DUMMYFUNCTION("""COMPUTED_VALUE"""),"Hand")</f>
        <v>Hand</v>
      </c>
      <c r="E650" s="1">
        <f>IFERROR(__xludf.DUMMYFUNCTION("""COMPUTED_VALUE"""),50.0)</f>
        <v>50</v>
      </c>
      <c r="F650" s="1" t="str">
        <f>IFERROR(__xludf.DUMMYFUNCTION("""COMPUTED_VALUE"""),"DMG: +2500 ++15% chance to inflict the target with a random non-pemanent disease")</f>
        <v>DMG: +2500 ++15% chance to inflict the target with a random non-pemanent disease</v>
      </c>
      <c r="G650" s="1">
        <f>IFERROR(__xludf.DUMMYFUNCTION("""COMPUTED_VALUE"""),100000.0)</f>
        <v>100000</v>
      </c>
      <c r="H650" s="1"/>
      <c r="I650" s="1"/>
      <c r="J650" s="1"/>
      <c r="K650" s="1"/>
      <c r="L650" s="1"/>
      <c r="M650" s="1"/>
      <c r="N650" s="1"/>
      <c r="O650" s="1"/>
      <c r="P650" s="1"/>
      <c r="Q650" s="1"/>
      <c r="R650" s="1"/>
      <c r="S650" s="1"/>
      <c r="T650" s="1"/>
      <c r="U650" s="1"/>
      <c r="V650" s="1"/>
      <c r="W650" s="1"/>
      <c r="X650" s="1"/>
      <c r="Y650" s="1"/>
      <c r="Z650" s="1"/>
    </row>
    <row r="651">
      <c r="A651" s="1" t="str">
        <f>IFERROR(__xludf.DUMMYFUNCTION("""COMPUTED_VALUE"""),"Symbol of Greed")</f>
        <v>Symbol of Greed</v>
      </c>
      <c r="B651" s="1"/>
      <c r="C651" s="1"/>
      <c r="D651" s="1" t="str">
        <f>IFERROR(__xludf.DUMMYFUNCTION("""COMPUTED_VALUE"""),"Finger")</f>
        <v>Finger</v>
      </c>
      <c r="E651" s="1">
        <f>IFERROR(__xludf.DUMMYFUNCTION("""COMPUTED_VALUE"""),1.0)</f>
        <v>1</v>
      </c>
      <c r="F651" s="1" t="str">
        <f>IFERROR(__xludf.DUMMYFUNCTION("""COMPUTED_VALUE""")," ++Great Deal - When determining the difficulty to haggle with a shopkeeper, the shopkeeper rolls the difficulty twice and takes the lower number +-(merchant class only)")</f>
        <v> ++Great Deal - When determining the difficulty to haggle with a shopkeeper, the shopkeeper rolls the difficulty twice and takes the lower number +-(merchant class only)</v>
      </c>
      <c r="G651" s="1">
        <f>IFERROR(__xludf.DUMMYFUNCTION("""COMPUTED_VALUE"""),0.0)</f>
        <v>0</v>
      </c>
      <c r="H651" s="1"/>
      <c r="I651" s="1"/>
      <c r="J651" s="1"/>
      <c r="K651" s="1"/>
      <c r="L651" s="1"/>
      <c r="M651" s="1"/>
      <c r="N651" s="1"/>
      <c r="O651" s="1"/>
      <c r="P651" s="1"/>
      <c r="Q651" s="1"/>
      <c r="R651" s="1"/>
      <c r="S651" s="1"/>
      <c r="T651" s="1"/>
      <c r="U651" s="1"/>
      <c r="V651" s="1"/>
      <c r="W651" s="1"/>
      <c r="X651" s="1"/>
      <c r="Y651" s="1"/>
      <c r="Z651" s="1"/>
    </row>
    <row r="652">
      <c r="A652" s="1" t="str">
        <f>IFERROR(__xludf.DUMMYFUNCTION("""COMPUTED_VALUE"""),"Enchanted Quiver")</f>
        <v>Enchanted Quiver</v>
      </c>
      <c r="B652" s="1"/>
      <c r="C652" s="1"/>
      <c r="D652" s="1" t="str">
        <f>IFERROR(__xludf.DUMMYFUNCTION("""COMPUTED_VALUE"""),"Shoulders")</f>
        <v>Shoulders</v>
      </c>
      <c r="E652" s="1">
        <f>IFERROR(__xludf.DUMMYFUNCTION("""COMPUTED_VALUE"""),1.0)</f>
        <v>1</v>
      </c>
      <c r="F652" s="1" t="str">
        <f>IFERROR(__xludf.DUMMYFUNCTION("""COMPUTED_VALUE""")," ++Magic Arrow - ++5 to all attack rolls with a bow +-(Archer Class Only)")</f>
        <v> ++Magic Arrow - ++5 to all attack rolls with a bow +-(Archer Class Only)</v>
      </c>
      <c r="G652" s="1">
        <f>IFERROR(__xludf.DUMMYFUNCTION("""COMPUTED_VALUE"""),0.0)</f>
        <v>0</v>
      </c>
      <c r="H652" s="1"/>
      <c r="I652" s="1"/>
      <c r="J652" s="1"/>
      <c r="K652" s="1"/>
      <c r="L652" s="1"/>
      <c r="M652" s="1"/>
      <c r="N652" s="1"/>
      <c r="O652" s="1"/>
      <c r="P652" s="1"/>
      <c r="Q652" s="1"/>
      <c r="R652" s="1"/>
      <c r="S652" s="1"/>
      <c r="T652" s="1"/>
      <c r="U652" s="1"/>
      <c r="V652" s="1"/>
      <c r="W652" s="1"/>
      <c r="X652" s="1"/>
      <c r="Y652" s="1"/>
      <c r="Z652" s="1"/>
    </row>
    <row r="653">
      <c r="A653" s="1" t="str">
        <f>IFERROR(__xludf.DUMMYFUNCTION("""COMPUTED_VALUE"""),"Ring of the Siren")</f>
        <v>Ring of the Siren</v>
      </c>
      <c r="B653" s="1"/>
      <c r="C653" s="1"/>
      <c r="D653" s="1" t="str">
        <f>IFERROR(__xludf.DUMMYFUNCTION("""COMPUTED_VALUE"""),"Finger")</f>
        <v>Finger</v>
      </c>
      <c r="E653" s="1">
        <f>IFERROR(__xludf.DUMMYFUNCTION("""COMPUTED_VALUE"""),1.0)</f>
        <v>1</v>
      </c>
      <c r="F653" s="1" t="str">
        <f>IFERROR(__xludf.DUMMYFUNCTION("""COMPUTED_VALUE""")," ++X2 acoustic damage ++Song of the Siren - At the start of battle you may roll a fail or Succeed roll to enchant an enemy, causing them to join your side, (for the sake of immunities this counts as possession) +-(Bard Class Only)")</f>
        <v> ++X2 acoustic damage ++Song of the Siren - At the start of battle you may roll a fail or Succeed roll to enchant an enemy, causing them to join your side, (for the sake of immunities this counts as possession) +-(Bard Class Only)</v>
      </c>
      <c r="G653" s="1">
        <f>IFERROR(__xludf.DUMMYFUNCTION("""COMPUTED_VALUE"""),0.0)</f>
        <v>0</v>
      </c>
      <c r="H653" s="1"/>
      <c r="I653" s="1"/>
      <c r="J653" s="1"/>
      <c r="K653" s="1"/>
      <c r="L653" s="1"/>
      <c r="M653" s="1"/>
      <c r="N653" s="1"/>
      <c r="O653" s="1"/>
      <c r="P653" s="1"/>
      <c r="Q653" s="1"/>
      <c r="R653" s="1"/>
      <c r="S653" s="1"/>
      <c r="T653" s="1"/>
      <c r="U653" s="1"/>
      <c r="V653" s="1"/>
      <c r="W653" s="1"/>
      <c r="X653" s="1"/>
      <c r="Y653" s="1"/>
      <c r="Z653" s="1"/>
    </row>
    <row r="654">
      <c r="A654" s="1" t="str">
        <f>IFERROR(__xludf.DUMMYFUNCTION("""COMPUTED_VALUE"""),"Amulet of The Berserker")</f>
        <v>Amulet of The Berserker</v>
      </c>
      <c r="B654" s="1"/>
      <c r="C654" s="1"/>
      <c r="D654" s="1" t="str">
        <f>IFERROR(__xludf.DUMMYFUNCTION("""COMPUTED_VALUE"""),"Neck")</f>
        <v>Neck</v>
      </c>
      <c r="E654" s="1">
        <f>IFERROR(__xludf.DUMMYFUNCTION("""COMPUTED_VALUE"""),1.0)</f>
        <v>1</v>
      </c>
      <c r="F654" s="1" t="str">
        <f>IFERROR(__xludf.DUMMYFUNCTION("""COMPUTED_VALUE""")," ++Berserk - When attacking or being attacked gain 1 stack of Insanity +-(Brawler Class Only)")</f>
        <v> ++Berserk - When attacking or being attacked gain 1 stack of Insanity +-(Brawler Class Only)</v>
      </c>
      <c r="G654" s="1">
        <f>IFERROR(__xludf.DUMMYFUNCTION("""COMPUTED_VALUE"""),0.0)</f>
        <v>0</v>
      </c>
      <c r="H654" s="1"/>
      <c r="I654" s="1"/>
      <c r="J654" s="1"/>
      <c r="K654" s="1"/>
      <c r="L654" s="1"/>
      <c r="M654" s="1"/>
      <c r="N654" s="1"/>
      <c r="O654" s="1"/>
      <c r="P654" s="1"/>
      <c r="Q654" s="1"/>
      <c r="R654" s="1"/>
      <c r="S654" s="1"/>
      <c r="T654" s="1"/>
      <c r="U654" s="1"/>
      <c r="V654" s="1"/>
      <c r="W654" s="1"/>
      <c r="X654" s="1"/>
      <c r="Y654" s="1"/>
      <c r="Z654" s="1"/>
    </row>
    <row r="655">
      <c r="A655" s="1" t="str">
        <f>IFERROR(__xludf.DUMMYFUNCTION("""COMPUTED_VALUE"""),"Mask of the Cultist")</f>
        <v>Mask of the Cultist</v>
      </c>
      <c r="B655" s="1"/>
      <c r="C655" s="1"/>
      <c r="D655" s="1" t="str">
        <f>IFERROR(__xludf.DUMMYFUNCTION("""COMPUTED_VALUE"""),"Head")</f>
        <v>Head</v>
      </c>
      <c r="E655" s="1">
        <f>IFERROR(__xludf.DUMMYFUNCTION("""COMPUTED_VALUE"""),1.0)</f>
        <v>1</v>
      </c>
      <c r="F655" s="1" t="str">
        <f>IFERROR(__xludf.DUMMYFUNCTION("""COMPUTED_VALUE""")," ++One of Us - when fighting alongside another party member with an evil alignment you gain +5 to your attack rolls. +-(Cultist Class Only)")</f>
        <v> ++One of Us - when fighting alongside another party member with an evil alignment you gain +5 to your attack rolls. +-(Cultist Class Only)</v>
      </c>
      <c r="G655" s="1">
        <f>IFERROR(__xludf.DUMMYFUNCTION("""COMPUTED_VALUE"""),0.0)</f>
        <v>0</v>
      </c>
      <c r="H655" s="1"/>
      <c r="I655" s="1"/>
      <c r="J655" s="1"/>
      <c r="K655" s="1"/>
      <c r="L655" s="1"/>
      <c r="M655" s="1"/>
      <c r="N655" s="1"/>
      <c r="O655" s="1"/>
      <c r="P655" s="1"/>
      <c r="Q655" s="1"/>
      <c r="R655" s="1"/>
      <c r="S655" s="1"/>
      <c r="T655" s="1"/>
      <c r="U655" s="1"/>
      <c r="V655" s="1"/>
      <c r="W655" s="1"/>
      <c r="X655" s="1"/>
      <c r="Y655" s="1"/>
      <c r="Z655" s="1"/>
    </row>
    <row r="656">
      <c r="A656" s="1" t="str">
        <f>IFERROR(__xludf.DUMMYFUNCTION("""COMPUTED_VALUE"""),"""Natural"" Cologne")</f>
        <v>"Natural" Cologne</v>
      </c>
      <c r="B656" s="1"/>
      <c r="C656" s="1"/>
      <c r="D656" s="1" t="str">
        <f>IFERROR(__xludf.DUMMYFUNCTION("""COMPUTED_VALUE"""),"Neck")</f>
        <v>Neck</v>
      </c>
      <c r="E656" s="1">
        <f>IFERROR(__xludf.DUMMYFUNCTION("""COMPUTED_VALUE"""),1.0)</f>
        <v>1</v>
      </c>
      <c r="F656" s="1" t="str">
        <f>IFERROR(__xludf.DUMMYFUNCTION("""COMPUTED_VALUE""")," ++Animal Friend - When trying to tame a creature you only have to succeed on a charisma roll twice instead of thrice +-(Druid Class Only)")</f>
        <v> ++Animal Friend - When trying to tame a creature you only have to succeed on a charisma roll twice instead of thrice +-(Druid Class Only)</v>
      </c>
      <c r="G656" s="1">
        <f>IFERROR(__xludf.DUMMYFUNCTION("""COMPUTED_VALUE"""),0.0)</f>
        <v>0</v>
      </c>
      <c r="H656" s="1"/>
      <c r="I656" s="1"/>
      <c r="J656" s="1"/>
      <c r="K656" s="1"/>
      <c r="L656" s="1"/>
      <c r="M656" s="1"/>
      <c r="N656" s="1"/>
      <c r="O656" s="1"/>
      <c r="P656" s="1"/>
      <c r="Q656" s="1"/>
      <c r="R656" s="1"/>
      <c r="S656" s="1"/>
      <c r="T656" s="1"/>
      <c r="U656" s="1"/>
      <c r="V656" s="1"/>
      <c r="W656" s="1"/>
      <c r="X656" s="1"/>
      <c r="Y656" s="1"/>
      <c r="Z656" s="1"/>
    </row>
    <row r="657">
      <c r="A657" s="1" t="str">
        <f>IFERROR(__xludf.DUMMYFUNCTION("""COMPUTED_VALUE"""),"Bonded Ring")</f>
        <v>Bonded Ring</v>
      </c>
      <c r="B657" s="1"/>
      <c r="C657" s="1"/>
      <c r="D657" s="1" t="str">
        <f>IFERROR(__xludf.DUMMYFUNCTION("""COMPUTED_VALUE"""),"Finger")</f>
        <v>Finger</v>
      </c>
      <c r="E657" s="1">
        <f>IFERROR(__xludf.DUMMYFUNCTION("""COMPUTED_VALUE"""),1.0)</f>
        <v>1</v>
      </c>
      <c r="F657" s="1" t="str">
        <f>IFERROR(__xludf.DUMMYFUNCTION("""COMPUTED_VALUE""")," ++A Bond Stronger Than Iron - When with a hatched companion you gain a 10% chance to be unnaffected by an attack +-one use per battle +-(Cavalier Class Only)")</f>
        <v> ++A Bond Stronger Than Iron - When with a hatched companion you gain a 10% chance to be unnaffected by an attack +-one use per battle +-(Cavalier Class Only)</v>
      </c>
      <c r="G657" s="1">
        <f>IFERROR(__xludf.DUMMYFUNCTION("""COMPUTED_VALUE"""),0.0)</f>
        <v>0</v>
      </c>
      <c r="H657" s="1"/>
      <c r="I657" s="1"/>
      <c r="J657" s="1"/>
      <c r="K657" s="1"/>
      <c r="L657" s="1"/>
      <c r="M657" s="1"/>
      <c r="N657" s="1"/>
      <c r="O657" s="1"/>
      <c r="P657" s="1"/>
      <c r="Q657" s="1"/>
      <c r="R657" s="1"/>
      <c r="S657" s="1"/>
      <c r="T657" s="1"/>
      <c r="U657" s="1"/>
      <c r="V657" s="1"/>
      <c r="W657" s="1"/>
      <c r="X657" s="1"/>
      <c r="Y657" s="1"/>
      <c r="Z657" s="1"/>
    </row>
    <row r="658">
      <c r="A658" s="1" t="str">
        <f>IFERROR(__xludf.DUMMYFUNCTION("""COMPUTED_VALUE"""),"Deadeye Brooch")</f>
        <v>Deadeye Brooch</v>
      </c>
      <c r="B658" s="1"/>
      <c r="C658" s="1"/>
      <c r="D658" s="1" t="str">
        <f>IFERROR(__xludf.DUMMYFUNCTION("""COMPUTED_VALUE"""),"Neck")</f>
        <v>Neck</v>
      </c>
      <c r="E658" s="1">
        <f>IFERROR(__xludf.DUMMYFUNCTION("""COMPUTED_VALUE"""),1.0)</f>
        <v>1</v>
      </c>
      <c r="F658" s="1" t="str">
        <f>IFERROR(__xludf.DUMMYFUNCTION("""COMPUTED_VALUE""")," ++One Shot, One Kill - If you kill an enemy with one shot using a firearm you can attack again with the firearm +-(Gunslinger Class Only)")</f>
        <v> ++One Shot, One Kill - If you kill an enemy with one shot using a firearm you can attack again with the firearm +-(Gunslinger Class Only)</v>
      </c>
      <c r="G658" s="1">
        <f>IFERROR(__xludf.DUMMYFUNCTION("""COMPUTED_VALUE"""),0.0)</f>
        <v>0</v>
      </c>
      <c r="H658" s="1"/>
      <c r="I658" s="1"/>
      <c r="J658" s="1"/>
      <c r="K658" s="1"/>
      <c r="L658" s="1"/>
      <c r="M658" s="1"/>
      <c r="N658" s="1"/>
      <c r="O658" s="1"/>
      <c r="P658" s="1"/>
      <c r="Q658" s="1"/>
      <c r="R658" s="1"/>
      <c r="S658" s="1"/>
      <c r="T658" s="1"/>
      <c r="U658" s="1"/>
      <c r="V658" s="1"/>
      <c r="W658" s="1"/>
      <c r="X658" s="1"/>
      <c r="Y658" s="1"/>
      <c r="Z658" s="1"/>
    </row>
    <row r="659">
      <c r="A659" s="1" t="str">
        <f>IFERROR(__xludf.DUMMYFUNCTION("""COMPUTED_VALUE"""),"Tool Kit")</f>
        <v>Tool Kit</v>
      </c>
      <c r="B659" s="1"/>
      <c r="C659" s="1"/>
      <c r="D659" s="1" t="str">
        <f>IFERROR(__xludf.DUMMYFUNCTION("""COMPUTED_VALUE"""),"Ring")</f>
        <v>Ring</v>
      </c>
      <c r="E659" s="1">
        <f>IFERROR(__xludf.DUMMYFUNCTION("""COMPUTED_VALUE"""),1.0)</f>
        <v>1</v>
      </c>
      <c r="F659" s="1" t="str">
        <f>IFERROR(__xludf.DUMMYFUNCTION("""COMPUTED_VALUE""")," ++The Right Tool For The Job - once per dungeon you are guaranteed to disable a trap +-(Hunter Class Only)")</f>
        <v> ++The Right Tool For The Job - once per dungeon you are guaranteed to disable a trap +-(Hunter Class Only)</v>
      </c>
      <c r="G659" s="1">
        <f>IFERROR(__xludf.DUMMYFUNCTION("""COMPUTED_VALUE"""),0.0)</f>
        <v>0</v>
      </c>
      <c r="H659" s="1"/>
      <c r="I659" s="1"/>
      <c r="J659" s="1"/>
      <c r="K659" s="1"/>
      <c r="L659" s="1"/>
      <c r="M659" s="1"/>
      <c r="N659" s="1"/>
      <c r="O659" s="1"/>
      <c r="P659" s="1"/>
      <c r="Q659" s="1"/>
      <c r="R659" s="1"/>
      <c r="S659" s="1"/>
      <c r="T659" s="1"/>
      <c r="U659" s="1"/>
      <c r="V659" s="1"/>
      <c r="W659" s="1"/>
      <c r="X659" s="1"/>
      <c r="Y659" s="1"/>
      <c r="Z659" s="1"/>
    </row>
    <row r="660">
      <c r="A660" s="1" t="str">
        <f>IFERROR(__xludf.DUMMYFUNCTION("""COMPUTED_VALUE"""),"Basic Bitch Award")</f>
        <v>Basic Bitch Award</v>
      </c>
      <c r="B660" s="1"/>
      <c r="C660" s="1"/>
      <c r="D660" s="1" t="str">
        <f>IFERROR(__xludf.DUMMYFUNCTION("""COMPUTED_VALUE"""),"Ring")</f>
        <v>Ring</v>
      </c>
      <c r="E660" s="1">
        <f>IFERROR(__xludf.DUMMYFUNCTION("""COMPUTED_VALUE"""),1.0)</f>
        <v>1</v>
      </c>
      <c r="F660" s="1" t="str">
        <f>IFERROR(__xludf.DUMMYFUNCTION("""COMPUTED_VALUE""")," ++Joe Schmoe - +5 Charisma +-(Knight Class Only)")</f>
        <v> ++Joe Schmoe - +5 Charisma +-(Knight Class Only)</v>
      </c>
      <c r="G660" s="1">
        <f>IFERROR(__xludf.DUMMYFUNCTION("""COMPUTED_VALUE"""),0.0)</f>
        <v>0</v>
      </c>
      <c r="H660" s="1"/>
      <c r="I660" s="1"/>
      <c r="J660" s="1"/>
      <c r="K660" s="1"/>
      <c r="L660" s="1"/>
      <c r="M660" s="1"/>
      <c r="N660" s="1"/>
      <c r="O660" s="1"/>
      <c r="P660" s="1"/>
      <c r="Q660" s="1"/>
      <c r="R660" s="1"/>
      <c r="S660" s="1"/>
      <c r="T660" s="1"/>
      <c r="U660" s="1"/>
      <c r="V660" s="1"/>
      <c r="W660" s="1"/>
      <c r="X660" s="1"/>
      <c r="Y660" s="1"/>
      <c r="Z660" s="1"/>
    </row>
    <row r="661">
      <c r="A661" s="1" t="str">
        <f>IFERROR(__xludf.DUMMYFUNCTION("""COMPUTED_VALUE"""),"Ring of The Frail Scholar")</f>
        <v>Ring of The Frail Scholar</v>
      </c>
      <c r="B661" s="1"/>
      <c r="C661" s="1"/>
      <c r="D661" s="1" t="str">
        <f>IFERROR(__xludf.DUMMYFUNCTION("""COMPUTED_VALUE"""),"Ring")</f>
        <v>Ring</v>
      </c>
      <c r="E661" s="1">
        <f>IFERROR(__xludf.DUMMYFUNCTION("""COMPUTED_VALUE"""),1.0)</f>
        <v>1</v>
      </c>
      <c r="F661" s="1" t="str">
        <f>IFERROR(__xludf.DUMMYFUNCTION("""COMPUTED_VALUE""")," ++Frail Scholar - Lowers HP by half but doubles SP +-(Mage, Wizard, and Sorcerer Class Only)")</f>
        <v> ++Frail Scholar - Lowers HP by half but doubles SP +-(Mage, Wizard, and Sorcerer Class Only)</v>
      </c>
      <c r="G661" s="1">
        <f>IFERROR(__xludf.DUMMYFUNCTION("""COMPUTED_VALUE"""),0.0)</f>
        <v>0</v>
      </c>
      <c r="H661" s="1"/>
      <c r="I661" s="1"/>
      <c r="J661" s="1"/>
      <c r="K661" s="1"/>
      <c r="L661" s="1"/>
      <c r="M661" s="1"/>
      <c r="N661" s="1"/>
      <c r="O661" s="1"/>
      <c r="P661" s="1"/>
      <c r="Q661" s="1"/>
      <c r="R661" s="1"/>
      <c r="S661" s="1"/>
      <c r="T661" s="1"/>
      <c r="U661" s="1"/>
      <c r="V661" s="1"/>
      <c r="W661" s="1"/>
      <c r="X661" s="1"/>
      <c r="Y661" s="1"/>
      <c r="Z661" s="1"/>
    </row>
    <row r="662">
      <c r="A662" s="1" t="str">
        <f>IFERROR(__xludf.DUMMYFUNCTION("""COMPUTED_VALUE"""),"Ring of Sticky FIngers")</f>
        <v>Ring of Sticky FIngers</v>
      </c>
      <c r="B662" s="1"/>
      <c r="C662" s="1"/>
      <c r="D662" s="1" t="str">
        <f>IFERROR(__xludf.DUMMYFUNCTION("""COMPUTED_VALUE"""),"Ring")</f>
        <v>Ring</v>
      </c>
      <c r="E662" s="1">
        <f>IFERROR(__xludf.DUMMYFUNCTION("""COMPUTED_VALUE"""),1.0)</f>
        <v>1</v>
      </c>
      <c r="F662" s="1" t="str">
        <f>IFERROR(__xludf.DUMMYFUNCTION("""COMPUTED_VALUE""")," ++Sticky FIngers - Allows you to use confiscate, take, and pickpocket skills twice +-(Marauder Class Only)")</f>
        <v> ++Sticky FIngers - Allows you to use confiscate, take, and pickpocket skills twice +-(Marauder Class Only)</v>
      </c>
      <c r="G662" s="1">
        <f>IFERROR(__xludf.DUMMYFUNCTION("""COMPUTED_VALUE"""),0.0)</f>
        <v>0</v>
      </c>
      <c r="H662" s="1"/>
      <c r="I662" s="1"/>
      <c r="J662" s="1"/>
      <c r="K662" s="1"/>
      <c r="L662" s="1"/>
      <c r="M662" s="1"/>
      <c r="N662" s="1"/>
      <c r="O662" s="1"/>
      <c r="P662" s="1"/>
      <c r="Q662" s="1"/>
      <c r="R662" s="1"/>
      <c r="S662" s="1"/>
      <c r="T662" s="1"/>
      <c r="U662" s="1"/>
      <c r="V662" s="1"/>
      <c r="W662" s="1"/>
      <c r="X662" s="1"/>
      <c r="Y662" s="1"/>
      <c r="Z662" s="1"/>
    </row>
    <row r="663">
      <c r="A663" s="1" t="str">
        <f>IFERROR(__xludf.DUMMYFUNCTION("""COMPUTED_VALUE"""),"Spirit Furnace")</f>
        <v>Spirit Furnace</v>
      </c>
      <c r="B663" s="1"/>
      <c r="C663" s="1"/>
      <c r="D663" s="1" t="str">
        <f>IFERROR(__xludf.DUMMYFUNCTION("""COMPUTED_VALUE"""),"Neck")</f>
        <v>Neck</v>
      </c>
      <c r="E663" s="1">
        <f>IFERROR(__xludf.DUMMYFUNCTION("""COMPUTED_VALUE"""),1.0)</f>
        <v>1</v>
      </c>
      <c r="F663" s="1" t="str">
        <f>IFERROR(__xludf.DUMMYFUNCTION("""COMPUTED_VALUE""")," ++Cultivation - If you have not yet attacked during the current battle you deal X4 additional damage during your next attack.. +-(Monk Class Only)")</f>
        <v> ++Cultivation - If you have not yet attacked during the current battle you deal X4 additional damage during your next attack.. +-(Monk Class Only)</v>
      </c>
      <c r="G663" s="1">
        <f>IFERROR(__xludf.DUMMYFUNCTION("""COMPUTED_VALUE"""),0.0)</f>
        <v>0</v>
      </c>
      <c r="H663" s="1"/>
      <c r="I663" s="1"/>
      <c r="J663" s="1"/>
      <c r="K663" s="1"/>
      <c r="L663" s="1"/>
      <c r="M663" s="1"/>
      <c r="N663" s="1"/>
      <c r="O663" s="1"/>
      <c r="P663" s="1"/>
      <c r="Q663" s="1"/>
      <c r="R663" s="1"/>
      <c r="S663" s="1"/>
      <c r="T663" s="1"/>
      <c r="U663" s="1"/>
      <c r="V663" s="1"/>
      <c r="W663" s="1"/>
      <c r="X663" s="1"/>
      <c r="Y663" s="1"/>
      <c r="Z663" s="1"/>
    </row>
    <row r="664">
      <c r="A664" s="1" t="str">
        <f>IFERROR(__xludf.DUMMYFUNCTION("""COMPUTED_VALUE"""),"Smokebomb Pouch")</f>
        <v>Smokebomb Pouch</v>
      </c>
      <c r="B664" s="1"/>
      <c r="C664" s="1"/>
      <c r="D664" s="1" t="str">
        <f>IFERROR(__xludf.DUMMYFUNCTION("""COMPUTED_VALUE"""),"Legs")</f>
        <v>Legs</v>
      </c>
      <c r="E664" s="1">
        <f>IFERROR(__xludf.DUMMYFUNCTION("""COMPUTED_VALUE"""),1.0)</f>
        <v>1</v>
      </c>
      <c r="F664" s="1" t="str">
        <f>IFERROR(__xludf.DUMMYFUNCTION("""COMPUTED_VALUE""")," ++Smoke Bomb - Conceal abilities are guaranteed to succeed +-(Ninja Class Only)")</f>
        <v> ++Smoke Bomb - Conceal abilities are guaranteed to succeed +-(Ninja Class Only)</v>
      </c>
      <c r="G664" s="1">
        <f>IFERROR(__xludf.DUMMYFUNCTION("""COMPUTED_VALUE"""),0.0)</f>
        <v>0</v>
      </c>
      <c r="H664" s="1"/>
      <c r="I664" s="1"/>
      <c r="J664" s="1"/>
      <c r="K664" s="1"/>
      <c r="L664" s="1"/>
      <c r="M664" s="1"/>
      <c r="N664" s="1"/>
      <c r="O664" s="1"/>
      <c r="P664" s="1"/>
      <c r="Q664" s="1"/>
      <c r="R664" s="1"/>
      <c r="S664" s="1"/>
      <c r="T664" s="1"/>
      <c r="U664" s="1"/>
      <c r="V664" s="1"/>
      <c r="W664" s="1"/>
      <c r="X664" s="1"/>
      <c r="Y664" s="1"/>
      <c r="Z664" s="1"/>
    </row>
    <row r="665">
      <c r="A665" s="1" t="str">
        <f>IFERROR(__xludf.DUMMYFUNCTION("""COMPUTED_VALUE"""),"Certificate of Shield Bashing School")</f>
        <v>Certificate of Shield Bashing School</v>
      </c>
      <c r="B665" s="1"/>
      <c r="C665" s="1"/>
      <c r="D665" s="1" t="str">
        <f>IFERROR(__xludf.DUMMYFUNCTION("""COMPUTED_VALUE"""),"Neck")</f>
        <v>Neck</v>
      </c>
      <c r="E665" s="1">
        <f>IFERROR(__xludf.DUMMYFUNCTION("""COMPUTED_VALUE"""),1.0)</f>
        <v>1</v>
      </c>
      <c r="F665" s="1" t="str">
        <f>IFERROR(__xludf.DUMMYFUNCTION("""COMPUTED_VALUE""")," ++Shield Bash Extraordinaire - When attacking with a shield you may add your mobility bonus to the attack roll +-(Paladin Class Only)")</f>
        <v> ++Shield Bash Extraordinaire - When attacking with a shield you may add your mobility bonus to the attack roll +-(Paladin Class Only)</v>
      </c>
      <c r="G665" s="1">
        <f>IFERROR(__xludf.DUMMYFUNCTION("""COMPUTED_VALUE"""),0.0)</f>
        <v>0</v>
      </c>
      <c r="H665" s="1"/>
      <c r="I665" s="1"/>
      <c r="J665" s="1"/>
      <c r="K665" s="1"/>
      <c r="L665" s="1"/>
      <c r="M665" s="1"/>
      <c r="N665" s="1"/>
      <c r="O665" s="1"/>
      <c r="P665" s="1"/>
      <c r="Q665" s="1"/>
      <c r="R665" s="1"/>
      <c r="S665" s="1"/>
      <c r="T665" s="1"/>
      <c r="U665" s="1"/>
      <c r="V665" s="1"/>
      <c r="W665" s="1"/>
      <c r="X665" s="1"/>
      <c r="Y665" s="1"/>
      <c r="Z665" s="1"/>
    </row>
    <row r="666">
      <c r="A666" s="1" t="str">
        <f>IFERROR(__xludf.DUMMYFUNCTION("""COMPUTED_VALUE"""),"Goblet of Greed")</f>
        <v>Goblet of Greed</v>
      </c>
      <c r="B666" s="1"/>
      <c r="C666" s="1"/>
      <c r="D666" s="1" t="str">
        <f>IFERROR(__xludf.DUMMYFUNCTION("""COMPUTED_VALUE"""),"Neck")</f>
        <v>Neck</v>
      </c>
      <c r="E666" s="1">
        <f>IFERROR(__xludf.DUMMYFUNCTION("""COMPUTED_VALUE"""),1.0)</f>
        <v>1</v>
      </c>
      <c r="F666" s="1" t="str">
        <f>IFERROR(__xludf.DUMMYFUNCTION("""COMPUTED_VALUE""")," ++MORE!!! MOOOORE!!!!! - multiply your damage by X*2 until the end of battle where X is equal to the amount of times you stole from someone during battle. +-(Pirate Class Only)")</f>
        <v> ++MORE!!! MOOOORE!!!!! - multiply your damage by X*2 until the end of battle where X is equal to the amount of times you stole from someone during battle. +-(Pirate Class Only)</v>
      </c>
      <c r="G666" s="1">
        <f>IFERROR(__xludf.DUMMYFUNCTION("""COMPUTED_VALUE"""),0.0)</f>
        <v>0</v>
      </c>
      <c r="H666" s="1"/>
      <c r="I666" s="1"/>
      <c r="J666" s="1"/>
      <c r="K666" s="1"/>
      <c r="L666" s="1"/>
      <c r="M666" s="1"/>
      <c r="N666" s="1"/>
      <c r="O666" s="1"/>
      <c r="P666" s="1"/>
      <c r="Q666" s="1"/>
      <c r="R666" s="1"/>
      <c r="S666" s="1"/>
      <c r="T666" s="1"/>
      <c r="U666" s="1"/>
      <c r="V666" s="1"/>
      <c r="W666" s="1"/>
      <c r="X666" s="1"/>
      <c r="Y666" s="1"/>
      <c r="Z666" s="1"/>
    </row>
    <row r="667">
      <c r="A667" s="1" t="str">
        <f>IFERROR(__xludf.DUMMYFUNCTION("""COMPUTED_VALUE"""),"Holy Symbol")</f>
        <v>Holy Symbol</v>
      </c>
      <c r="B667" s="1"/>
      <c r="C667" s="1"/>
      <c r="D667" s="1" t="str">
        <f>IFERROR(__xludf.DUMMYFUNCTION("""COMPUTED_VALUE"""),"Neck")</f>
        <v>Neck</v>
      </c>
      <c r="E667" s="1">
        <f>IFERROR(__xludf.DUMMYFUNCTION("""COMPUTED_VALUE"""),1.0)</f>
        <v>1</v>
      </c>
      <c r="F667" s="1" t="str">
        <f>IFERROR(__xludf.DUMMYFUNCTION("""COMPUTED_VALUE""")," ++Holy Prescence - You can prevent 1 curse, disease, or possesion from affecting a party member once per battle/journey. +-(Priest Class Only)")</f>
        <v> ++Holy Prescence - You can prevent 1 curse, disease, or possesion from affecting a party member once per battle/journey. +-(Priest Class Only)</v>
      </c>
      <c r="G667" s="1">
        <f>IFERROR(__xludf.DUMMYFUNCTION("""COMPUTED_VALUE"""),0.0)</f>
        <v>0</v>
      </c>
      <c r="H667" s="1"/>
      <c r="I667" s="1"/>
      <c r="J667" s="1"/>
      <c r="K667" s="1"/>
      <c r="L667" s="1"/>
      <c r="M667" s="1"/>
      <c r="N667" s="1"/>
      <c r="O667" s="1"/>
      <c r="P667" s="1"/>
      <c r="Q667" s="1"/>
      <c r="R667" s="1"/>
      <c r="S667" s="1"/>
      <c r="T667" s="1"/>
      <c r="U667" s="1"/>
      <c r="V667" s="1"/>
      <c r="W667" s="1"/>
      <c r="X667" s="1"/>
      <c r="Y667" s="1"/>
      <c r="Z667" s="1"/>
    </row>
    <row r="668">
      <c r="A668" s="1" t="str">
        <f>IFERROR(__xludf.DUMMYFUNCTION("""COMPUTED_VALUE"""),"Mysterious Merchant's Scythe")</f>
        <v>Mysterious Merchant's Scythe</v>
      </c>
      <c r="B668" s="1" t="str">
        <f>IFERROR(__xludf.DUMMYFUNCTION("""COMPUTED_VALUE"""),"The scythe of the mysterious merchant himself imbued with a great power")</f>
        <v>The scythe of the mysterious merchant himself imbued with a great power</v>
      </c>
      <c r="C668" s="1" t="str">
        <f>IFERROR(__xludf.DUMMYFUNCTION("""COMPUTED_VALUE"""),"Scythe")</f>
        <v>Scythe</v>
      </c>
      <c r="D668" s="1" t="str">
        <f>IFERROR(__xludf.DUMMYFUNCTION("""COMPUTED_VALUE"""),"Hand")</f>
        <v>Hand</v>
      </c>
      <c r="E668" s="1">
        <f>IFERROR(__xludf.DUMMYFUNCTION("""COMPUTED_VALUE"""),1000.0)</f>
        <v>1000</v>
      </c>
      <c r="F668" s="1" t="str">
        <f>IFERROR(__xludf.DUMMYFUNCTION("""COMPUTED_VALUE"""),", Spirit DMG: +50000 ++Burning Souls - This weapon can devour up to 100 souls to increase it's damage by X*1000 with X representing the souls imbued. When at maximum souls Imbued you can unleash an attack dealing 500,000 Spirit damage to all enemies but s"&amp;"tunning you until the end of battle. +-(Reaper Class Only). ++(0/100 Souls imbued)")</f>
        <v>, Spirit DMG: +50000 ++Burning Souls - This weapon can devour up to 100 souls to increase it's damage by X*1000 with X representing the souls imbued. When at maximum souls Imbued you can unleash an attack dealing 500,000 Spirit damage to all enemies but stunning you until the end of battle. +-(Reaper Class Only). ++(0/100 Souls imbued)</v>
      </c>
      <c r="G668" s="1">
        <f>IFERROR(__xludf.DUMMYFUNCTION("""COMPUTED_VALUE"""),4.95E7)</f>
        <v>49500000</v>
      </c>
      <c r="H668" s="1"/>
      <c r="I668" s="1"/>
      <c r="J668" s="1"/>
      <c r="K668" s="1"/>
      <c r="L668" s="1"/>
      <c r="M668" s="1"/>
      <c r="N668" s="1"/>
      <c r="O668" s="1"/>
      <c r="P668" s="1"/>
      <c r="Q668" s="1"/>
      <c r="R668" s="1"/>
      <c r="S668" s="1"/>
      <c r="T668" s="1"/>
      <c r="U668" s="1"/>
      <c r="V668" s="1"/>
      <c r="W668" s="1"/>
      <c r="X668" s="1"/>
      <c r="Y668" s="1"/>
      <c r="Z668" s="1"/>
    </row>
    <row r="669">
      <c r="A669" s="1" t="str">
        <f>IFERROR(__xludf.DUMMYFUNCTION("""COMPUTED_VALUE"""),"Cursed Saya")</f>
        <v>Cursed Saya</v>
      </c>
      <c r="B669" s="1" t="str">
        <f>IFERROR(__xludf.DUMMYFUNCTION("""COMPUTED_VALUE"""),"A saya unearthed in an ancient temple, those wearing this saya feel an unbeleivable surge of joy and power seeing their opponents in a weakend state.")</f>
        <v>A saya unearthed in an ancient temple, those wearing this saya feel an unbeleivable surge of joy and power seeing their opponents in a weakend state.</v>
      </c>
      <c r="C669" s="1"/>
      <c r="D669" s="1" t="str">
        <f>IFERROR(__xludf.DUMMYFUNCTION("""COMPUTED_VALUE"""),"Legs")</f>
        <v>Legs</v>
      </c>
      <c r="E669" s="1">
        <f>IFERROR(__xludf.DUMMYFUNCTION("""COMPUTED_VALUE"""),1.0)</f>
        <v>1</v>
      </c>
      <c r="F669" s="1" t="str">
        <f>IFERROR(__xludf.DUMMYFUNCTION("""COMPUTED_VALUE""")," ++Debilitating Strike - When attacking an enemy with your weapon deal X2 damage for every negative effect inflicted on that enemy +-(Samurai Class Only)")</f>
        <v> ++Debilitating Strike - When attacking an enemy with your weapon deal X2 damage for every negative effect inflicted on that enemy +-(Samurai Class Only)</v>
      </c>
      <c r="G669" s="1">
        <f>IFERROR(__xludf.DUMMYFUNCTION("""COMPUTED_VALUE"""),0.0)</f>
        <v>0</v>
      </c>
      <c r="H669" s="1"/>
      <c r="I669" s="1"/>
      <c r="J669" s="1"/>
      <c r="K669" s="1"/>
      <c r="L669" s="1"/>
      <c r="M669" s="1"/>
      <c r="N669" s="1"/>
      <c r="O669" s="1"/>
      <c r="P669" s="1"/>
      <c r="Q669" s="1"/>
      <c r="R669" s="1"/>
      <c r="S669" s="1"/>
      <c r="T669" s="1"/>
      <c r="U669" s="1"/>
      <c r="V669" s="1"/>
      <c r="W669" s="1"/>
      <c r="X669" s="1"/>
      <c r="Y669" s="1"/>
      <c r="Z669" s="1"/>
    </row>
    <row r="670">
      <c r="A670" s="1" t="str">
        <f>IFERROR(__xludf.DUMMYFUNCTION("""COMPUTED_VALUE"""),"Shamanic Staff")</f>
        <v>Shamanic Staff</v>
      </c>
      <c r="B670" s="1" t="str">
        <f>IFERROR(__xludf.DUMMYFUNCTION("""COMPUTED_VALUE"""),"A long staff made with elder wood, the magic focus of this weapon is a piece of Hanged Man's Jasper, a rare gemstone with a high affinity for spirit magic.")</f>
        <v>A long staff made with elder wood, the magic focus of this weapon is a piece of Hanged Man's Jasper, a rare gemstone with a high affinity for spirit magic.</v>
      </c>
      <c r="C670" s="1" t="str">
        <f>IFERROR(__xludf.DUMMYFUNCTION("""COMPUTED_VALUE"""),"Staff")</f>
        <v>Staff</v>
      </c>
      <c r="D670" s="1" t="str">
        <f>IFERROR(__xludf.DUMMYFUNCTION("""COMPUTED_VALUE"""),"Hand")</f>
        <v>Hand</v>
      </c>
      <c r="E670" s="1">
        <f>IFERROR(__xludf.DUMMYFUNCTION("""COMPUTED_VALUE"""),1500.0)</f>
        <v>1500</v>
      </c>
      <c r="F670" s="1" t="str">
        <f>IFERROR(__xludf.DUMMYFUNCTION("""COMPUTED_VALUE"""),", Fire DMG: +25000, Spirit DMG: +25000, Voodoo DMG: +25000 ++In Tandem - When attacking any enemy that your spirit has previously targetted you gain a +5 to attack rolls against that enemy. Cost: 500 sp")</f>
        <v>, Fire DMG: +25000, Spirit DMG: +25000, Voodoo DMG: +25000 ++In Tandem - When attacking any enemy that your spirit has previously targetted you gain a +5 to attack rolls against that enemy. Cost: 500 sp</v>
      </c>
      <c r="G670" s="1">
        <f>IFERROR(__xludf.DUMMYFUNCTION("""COMPUTED_VALUE"""),1.1175E8)</f>
        <v>111750000</v>
      </c>
      <c r="H670" s="1"/>
      <c r="I670" s="1"/>
      <c r="J670" s="1"/>
      <c r="K670" s="1"/>
      <c r="L670" s="1"/>
      <c r="M670" s="1"/>
      <c r="N670" s="1"/>
      <c r="O670" s="1"/>
      <c r="P670" s="1"/>
      <c r="Q670" s="1"/>
      <c r="R670" s="1"/>
      <c r="S670" s="1"/>
      <c r="T670" s="1"/>
      <c r="U670" s="1"/>
      <c r="V670" s="1"/>
      <c r="W670" s="1"/>
      <c r="X670" s="1"/>
      <c r="Y670" s="1"/>
      <c r="Z670" s="1"/>
    </row>
    <row r="671">
      <c r="A671" s="1" t="str">
        <f>IFERROR(__xludf.DUMMYFUNCTION("""COMPUTED_VALUE"""),"Rune Necklace")</f>
        <v>Rune Necklace</v>
      </c>
      <c r="B671" s="1" t="str">
        <f>IFERROR(__xludf.DUMMYFUNCTION("""COMPUTED_VALUE"""),"A necklace given to Shaman's upon completeing their rite, to be a High shaman, the spirits recognize this as a sign of power and bow to those wearing this necklace.")</f>
        <v>A necklace given to Shaman's upon completeing their rite, to be a High shaman, the spirits recognize this as a sign of power and bow to those wearing this necklace.</v>
      </c>
      <c r="C671" s="1"/>
      <c r="D671" s="1" t="str">
        <f>IFERROR(__xludf.DUMMYFUNCTION("""COMPUTED_VALUE"""),"Neck")</f>
        <v>Neck</v>
      </c>
      <c r="E671" s="1">
        <f>IFERROR(__xludf.DUMMYFUNCTION("""COMPUTED_VALUE"""),1.0)</f>
        <v>1</v>
      </c>
      <c r="F671" s="1" t="str">
        <f>IFERROR(__xludf.DUMMYFUNCTION("""COMPUTED_VALUE""")," ++Spirit's Friend - Any summoned Spirit gains +5 to all perks and X2 base stats +-(Shaman Class Only)")</f>
        <v> ++Spirit's Friend - Any summoned Spirit gains +5 to all perks and X2 base stats +-(Shaman Class Only)</v>
      </c>
      <c r="G671" s="1">
        <f>IFERROR(__xludf.DUMMYFUNCTION("""COMPUTED_VALUE"""),0.0)</f>
        <v>0</v>
      </c>
      <c r="H671" s="1"/>
      <c r="I671" s="1"/>
      <c r="J671" s="1"/>
      <c r="K671" s="1"/>
      <c r="L671" s="1"/>
      <c r="M671" s="1"/>
      <c r="N671" s="1"/>
      <c r="O671" s="1"/>
      <c r="P671" s="1"/>
      <c r="Q671" s="1"/>
      <c r="R671" s="1"/>
      <c r="S671" s="1"/>
      <c r="T671" s="1"/>
      <c r="U671" s="1"/>
      <c r="V671" s="1"/>
      <c r="W671" s="1"/>
      <c r="X671" s="1"/>
      <c r="Y671" s="1"/>
      <c r="Z671" s="1"/>
    </row>
    <row r="672">
      <c r="A672" s="1" t="str">
        <f>IFERROR(__xludf.DUMMYFUNCTION("""COMPUTED_VALUE"""),"Spell Sponge")</f>
        <v>Spell Sponge</v>
      </c>
      <c r="B672" s="1" t="str">
        <f>IFERROR(__xludf.DUMMYFUNCTION("""COMPUTED_VALUE"""),"A mushroom found rarely in an unknown cave within Spira it has high magic absorption powers and those with magical bloodlines can weild these to great effect to reverse their enemies back upon them.")</f>
        <v>A mushroom found rarely in an unknown cave within Spira it has high magic absorption powers and those with magical bloodlines can weild these to great effect to reverse their enemies back upon them.</v>
      </c>
      <c r="C672" s="1"/>
      <c r="D672" s="1" t="str">
        <f>IFERROR(__xludf.DUMMYFUNCTION("""COMPUTED_VALUE"""),"Neck")</f>
        <v>Neck</v>
      </c>
      <c r="E672" s="1">
        <f>IFERROR(__xludf.DUMMYFUNCTION("""COMPUTED_VALUE"""),1.0)</f>
        <v>1</v>
      </c>
      <c r="F672" s="1" t="str">
        <f>IFERROR(__xludf.DUMMYFUNCTION("""COMPUTED_VALUE""")," ++Spell Sponge - If you are unaffected by a spell casted by an enemy you can choose to immediately cast the same spell back at them even if you don't have the spell equipped or don't know the spell +-(Mage, Wizard, and Sorcerer Class Only)")</f>
        <v> ++Spell Sponge - If you are unaffected by a spell casted by an enemy you can choose to immediately cast the same spell back at them even if you don't have the spell equipped or don't know the spell +-(Mage, Wizard, and Sorcerer Class Only)</v>
      </c>
      <c r="G672" s="1">
        <f>IFERROR(__xludf.DUMMYFUNCTION("""COMPUTED_VALUE"""),0.0)</f>
        <v>0</v>
      </c>
      <c r="H672" s="1"/>
      <c r="I672" s="1"/>
      <c r="J672" s="1"/>
      <c r="K672" s="1"/>
      <c r="L672" s="1"/>
      <c r="M672" s="1"/>
      <c r="N672" s="1"/>
      <c r="O672" s="1"/>
      <c r="P672" s="1"/>
      <c r="Q672" s="1"/>
      <c r="R672" s="1"/>
      <c r="S672" s="1"/>
      <c r="T672" s="1"/>
      <c r="U672" s="1"/>
      <c r="V672" s="1"/>
      <c r="W672" s="1"/>
      <c r="X672" s="1"/>
      <c r="Y672" s="1"/>
      <c r="Z672" s="1"/>
    </row>
    <row r="673">
      <c r="A673" s="1" t="str">
        <f>IFERROR(__xludf.DUMMYFUNCTION("""COMPUTED_VALUE"""),"Viking's Warpaint")</f>
        <v>Viking's Warpaint</v>
      </c>
      <c r="B673" s="1" t="str">
        <f>IFERROR(__xludf.DUMMYFUNCTION("""COMPUTED_VALUE"""),"A set of primitive paint imported from Knappadalr, for some reason these paints fill you with rage.")</f>
        <v>A set of primitive paint imported from Knappadalr, for some reason these paints fill you with rage.</v>
      </c>
      <c r="C673" s="1"/>
      <c r="D673" s="1" t="str">
        <f>IFERROR(__xludf.DUMMYFUNCTION("""COMPUTED_VALUE"""),"Head")</f>
        <v>Head</v>
      </c>
      <c r="E673" s="1">
        <f>IFERROR(__xludf.DUMMYFUNCTION("""COMPUTED_VALUE"""),1.0)</f>
        <v>1</v>
      </c>
      <c r="F673" s="1" t="str">
        <f>IFERROR(__xludf.DUMMYFUNCTION("""COMPUTED_VALUE""")," ++Rage - When you either parry or are unaffected by a weapon attack your next attack deals X4 damage +-(Viking Class Only)")</f>
        <v> ++Rage - When you either parry or are unaffected by a weapon attack your next attack deals X4 damage +-(Viking Class Only)</v>
      </c>
      <c r="G673" s="1">
        <f>IFERROR(__xludf.DUMMYFUNCTION("""COMPUTED_VALUE"""),0.0)</f>
        <v>0</v>
      </c>
      <c r="H673" s="1"/>
      <c r="I673" s="1"/>
      <c r="J673" s="1"/>
      <c r="K673" s="1"/>
      <c r="L673" s="1"/>
      <c r="M673" s="1"/>
      <c r="N673" s="1"/>
      <c r="O673" s="1"/>
      <c r="P673" s="1"/>
      <c r="Q673" s="1"/>
      <c r="R673" s="1"/>
      <c r="S673" s="1"/>
      <c r="T673" s="1"/>
      <c r="U673" s="1"/>
      <c r="V673" s="1"/>
      <c r="W673" s="1"/>
      <c r="X673" s="1"/>
      <c r="Y673" s="1"/>
      <c r="Z673" s="1"/>
    </row>
    <row r="674">
      <c r="A674" s="1" t="str">
        <f>IFERROR(__xludf.DUMMYFUNCTION("""COMPUTED_VALUE"""),"Speed Shoes")</f>
        <v>Speed Shoes</v>
      </c>
      <c r="B674" s="1" t="str">
        <f>IFERROR(__xludf.DUMMYFUNCTION("""COMPUTED_VALUE"""),"A pair of red shoes that make you feel like dancing.")</f>
        <v>A pair of red shoes that make you feel like dancing.</v>
      </c>
      <c r="C674" s="1"/>
      <c r="D674" s="1" t="str">
        <f>IFERROR(__xludf.DUMMYFUNCTION("""COMPUTED_VALUE"""),"Feet")</f>
        <v>Feet</v>
      </c>
      <c r="E674" s="1">
        <f>IFERROR(__xludf.DUMMYFUNCTION("""COMPUTED_VALUE"""),1.0)</f>
        <v>1</v>
      </c>
      <c r="F674" s="1" t="str">
        <f>IFERROR(__xludf.DUMMYFUNCTION("""COMPUTED_VALUE""")," ++Can't Touch This - When you successfully dodge an attack you can immediate attack with a weapon attack +-(Warrior Class Only)")</f>
        <v> ++Can't Touch This - When you successfully dodge an attack you can immediate attack with a weapon attack +-(Warrior Class Only)</v>
      </c>
      <c r="G674" s="1">
        <f>IFERROR(__xludf.DUMMYFUNCTION("""COMPUTED_VALUE"""),0.0)</f>
        <v>0</v>
      </c>
      <c r="H674" s="1"/>
      <c r="I674" s="1"/>
      <c r="J674" s="1"/>
      <c r="K674" s="1"/>
      <c r="L674" s="1"/>
      <c r="M674" s="1"/>
      <c r="N674" s="1"/>
      <c r="O674" s="1"/>
      <c r="P674" s="1"/>
      <c r="Q674" s="1"/>
      <c r="R674" s="1"/>
      <c r="S674" s="1"/>
      <c r="T674" s="1"/>
      <c r="U674" s="1"/>
      <c r="V674" s="1"/>
      <c r="W674" s="1"/>
      <c r="X674" s="1"/>
      <c r="Y674" s="1"/>
      <c r="Z674" s="1"/>
    </row>
    <row r="675">
      <c r="A675" s="1" t="str">
        <f>IFERROR(__xludf.DUMMYFUNCTION("""COMPUTED_VALUE"""),"Book of Hexes")</f>
        <v>Book of Hexes</v>
      </c>
      <c r="B675" s="1" t="str">
        <f>IFERROR(__xludf.DUMMYFUNCTION("""COMPUTED_VALUE"""),"The staple item for a witch.")</f>
        <v>The staple item for a witch.</v>
      </c>
      <c r="C675" s="1"/>
      <c r="D675" s="1" t="str">
        <f>IFERROR(__xludf.DUMMYFUNCTION("""COMPUTED_VALUE"""),"Legs")</f>
        <v>Legs</v>
      </c>
      <c r="E675" s="1">
        <f>IFERROR(__xludf.DUMMYFUNCTION("""COMPUTED_VALUE"""),1.0)</f>
        <v>1</v>
      </c>
      <c r="F675" s="1" t="str">
        <f>IFERROR(__xludf.DUMMYFUNCTION("""COMPUTED_VALUE""")," ++Hex - Any enemy you inflict with a debuff takes X2 additional damage from the self and all allies. +-(Witch Class Only)")</f>
        <v> ++Hex - Any enemy you inflict with a debuff takes X2 additional damage from the self and all allies. +-(Witch Class Only)</v>
      </c>
      <c r="G675" s="1">
        <f>IFERROR(__xludf.DUMMYFUNCTION("""COMPUTED_VALUE"""),0.0)</f>
        <v>0</v>
      </c>
      <c r="H675" s="1"/>
      <c r="I675" s="1"/>
      <c r="J675" s="1"/>
      <c r="K675" s="1"/>
      <c r="L675" s="1"/>
      <c r="M675" s="1"/>
      <c r="N675" s="1"/>
      <c r="O675" s="1"/>
      <c r="P675" s="1"/>
      <c r="Q675" s="1"/>
      <c r="R675" s="1"/>
      <c r="S675" s="1"/>
      <c r="T675" s="1"/>
      <c r="U675" s="1"/>
      <c r="V675" s="1"/>
      <c r="W675" s="1"/>
      <c r="X675" s="1"/>
      <c r="Y675" s="1"/>
      <c r="Z675" s="1"/>
    </row>
    <row r="676">
      <c r="A676" s="1" t="str">
        <f>IFERROR(__xludf.DUMMYFUNCTION("""COMPUTED_VALUE"""),"Ring of Boring")</f>
        <v>Ring of Boring</v>
      </c>
      <c r="B676" s="1" t="str">
        <f>IFERROR(__xludf.DUMMYFUNCTION("""COMPUTED_VALUE"""),"The item for people who made a character but decided they were ""too good"" for it's abilities.")</f>
        <v>The item for people who made a character but decided they were "too good" for it's abilities.</v>
      </c>
      <c r="C676" s="1"/>
      <c r="D676" s="1" t="str">
        <f>IFERROR(__xludf.DUMMYFUNCTION("""COMPUTED_VALUE"""),"Finger")</f>
        <v>Finger</v>
      </c>
      <c r="E676" s="1">
        <f>IFERROR(__xludf.DUMMYFUNCTION("""COMPUTED_VALUE"""),1.0)</f>
        <v>1</v>
      </c>
      <c r="F676" s="1" t="str">
        <f>IFERROR(__xludf.DUMMYFUNCTION("""COMPUTED_VALUE""")," ++Why are you so boring? - X2 additional damage.")</f>
        <v> ++Why are you so boring? - X2 additional damage.</v>
      </c>
      <c r="G676" s="1">
        <f>IFERROR(__xludf.DUMMYFUNCTION("""COMPUTED_VALUE"""),0.0)</f>
        <v>0</v>
      </c>
      <c r="H676" s="1"/>
      <c r="I676" s="1"/>
      <c r="J676" s="1"/>
      <c r="K676" s="1"/>
      <c r="L676" s="1"/>
      <c r="M676" s="1"/>
      <c r="N676" s="1"/>
      <c r="O676" s="1"/>
      <c r="P676" s="1"/>
      <c r="Q676" s="1"/>
      <c r="R676" s="1"/>
      <c r="S676" s="1"/>
      <c r="T676" s="1"/>
      <c r="U676" s="1"/>
      <c r="V676" s="1"/>
      <c r="W676" s="1"/>
      <c r="X676" s="1"/>
      <c r="Y676" s="1"/>
      <c r="Z676" s="1"/>
    </row>
    <row r="677">
      <c r="A677" s="1" t="str">
        <f>IFERROR(__xludf.DUMMYFUNCTION("""COMPUTED_VALUE"""),"Frozen Spearman's High-Low Dress")</f>
        <v>Frozen Spearman's High-Low Dress</v>
      </c>
      <c r="B677" s="1"/>
      <c r="C677" s="1"/>
      <c r="D677" s="1" t="str">
        <f>IFERROR(__xludf.DUMMYFUNCTION("""COMPUTED_VALUE"""),"Torso")</f>
        <v>Torso</v>
      </c>
      <c r="E677" s="1">
        <f>IFERROR(__xludf.DUMMYFUNCTION("""COMPUTED_VALUE"""),200.0)</f>
        <v>200</v>
      </c>
      <c r="F677" s="1" t="str">
        <f>IFERROR(__xludf.DUMMYFUNCTION("""COMPUTED_VALUE"""),"DEF: +25000, Earth DEF: +25000, Nature DEF: +25000, Celestial DEF: +25000 ++Regal Authority - At the start of battle there's a 25% chance of recruiting one enemy to join you (100% if they are a player with a starting town in any tundra region) This counts"&amp;" as possession for the purposes of immunity")</f>
        <v>DEF: +25000, Earth DEF: +25000, Nature DEF: +25000, Celestial DEF: +25000 ++Regal Authority - At the start of battle there's a 25% chance of recruiting one enemy to join you (100% if they are a player with a starting town in any tundra region) This counts as possession for the purposes of immunity</v>
      </c>
      <c r="G677" s="1">
        <f>IFERROR(__xludf.DUMMYFUNCTION("""COMPUTED_VALUE"""),1.99E8)</f>
        <v>199000000</v>
      </c>
      <c r="H677" s="1"/>
      <c r="I677" s="1"/>
      <c r="J677" s="1"/>
      <c r="K677" s="1"/>
      <c r="L677" s="1"/>
      <c r="M677" s="1"/>
      <c r="N677" s="1"/>
      <c r="O677" s="1"/>
      <c r="P677" s="1"/>
      <c r="Q677" s="1"/>
      <c r="R677" s="1"/>
      <c r="S677" s="1"/>
      <c r="T677" s="1"/>
      <c r="U677" s="1"/>
      <c r="V677" s="1"/>
      <c r="W677" s="1"/>
      <c r="X677" s="1"/>
      <c r="Y677" s="1"/>
      <c r="Z677" s="1"/>
    </row>
    <row r="678">
      <c r="A678" s="1" t="str">
        <f>IFERROR(__xludf.DUMMYFUNCTION("""COMPUTED_VALUE"""),"Frozen Spearman's Jhodpur's")</f>
        <v>Frozen Spearman's Jhodpur's</v>
      </c>
      <c r="B678" s="1"/>
      <c r="C678" s="1"/>
      <c r="D678" s="1" t="str">
        <f>IFERROR(__xludf.DUMMYFUNCTION("""COMPUTED_VALUE"""),"Legs")</f>
        <v>Legs</v>
      </c>
      <c r="E678" s="1">
        <f>IFERROR(__xludf.DUMMYFUNCTION("""COMPUTED_VALUE"""),200.0)</f>
        <v>200</v>
      </c>
      <c r="F678" s="1" t="str">
        <f>IFERROR(__xludf.DUMMYFUNCTION("""COMPUTED_VALUE"""),"DEF: +25000, Earth DEF: +25000, Nature DEF: +25000, Celestial DEF: +25000 ++Cavalry Charge - Summon a frosty steed to run down your enemies dealing 50,000 unavoidable Storm damage with a 15% chance of freeing all enemies - 500 sp")</f>
        <v>DEF: +25000, Earth DEF: +25000, Nature DEF: +25000, Celestial DEF: +25000 ++Cavalry Charge - Summon a frosty steed to run down your enemies dealing 50,000 unavoidable Storm damage with a 15% chance of freeing all enemies - 500 sp</v>
      </c>
      <c r="G678" s="1">
        <f>IFERROR(__xludf.DUMMYFUNCTION("""COMPUTED_VALUE"""),1.99E8)</f>
        <v>199000000</v>
      </c>
      <c r="H678" s="1"/>
      <c r="I678" s="1"/>
      <c r="J678" s="1"/>
      <c r="K678" s="1"/>
      <c r="L678" s="1"/>
      <c r="M678" s="1"/>
      <c r="N678" s="1"/>
      <c r="O678" s="1"/>
      <c r="P678" s="1"/>
      <c r="Q678" s="1"/>
      <c r="R678" s="1"/>
      <c r="S678" s="1"/>
      <c r="T678" s="1"/>
      <c r="U678" s="1"/>
      <c r="V678" s="1"/>
      <c r="W678" s="1"/>
      <c r="X678" s="1"/>
      <c r="Y678" s="1"/>
      <c r="Z678" s="1"/>
    </row>
    <row r="679">
      <c r="A679" s="1" t="str">
        <f>IFERROR(__xludf.DUMMYFUNCTION("""COMPUTED_VALUE"""),"Frozen Spearman's Fur Boots")</f>
        <v>Frozen Spearman's Fur Boots</v>
      </c>
      <c r="B679" s="1"/>
      <c r="C679" s="1"/>
      <c r="D679" s="1" t="str">
        <f>IFERROR(__xludf.DUMMYFUNCTION("""COMPUTED_VALUE"""),"Feet")</f>
        <v>Feet</v>
      </c>
      <c r="E679" s="1">
        <f>IFERROR(__xludf.DUMMYFUNCTION("""COMPUTED_VALUE"""),200.0)</f>
        <v>200</v>
      </c>
      <c r="F679" s="1" t="str">
        <f>IFERROR(__xludf.DUMMYFUNCTION("""COMPUTED_VALUE"""),"DEF: +25000, Earth DEF: +25000, Nature DEF: +25000, Celestial DEF: +25000 ++Frosty Footwork - Upon successfully hitting an enemy you can make a second attack")</f>
        <v>DEF: +25000, Earth DEF: +25000, Nature DEF: +25000, Celestial DEF: +25000 ++Frosty Footwork - Upon successfully hitting an enemy you can make a second attack</v>
      </c>
      <c r="G679" s="1">
        <f>IFERROR(__xludf.DUMMYFUNCTION("""COMPUTED_VALUE"""),1.99E8)</f>
        <v>199000000</v>
      </c>
      <c r="H679" s="1"/>
      <c r="I679" s="1"/>
      <c r="J679" s="1"/>
      <c r="K679" s="1"/>
      <c r="L679" s="1"/>
      <c r="M679" s="1"/>
      <c r="N679" s="1"/>
      <c r="O679" s="1"/>
      <c r="P679" s="1"/>
      <c r="Q679" s="1"/>
      <c r="R679" s="1"/>
      <c r="S679" s="1"/>
      <c r="T679" s="1"/>
      <c r="U679" s="1"/>
      <c r="V679" s="1"/>
      <c r="W679" s="1"/>
      <c r="X679" s="1"/>
      <c r="Y679" s="1"/>
      <c r="Z679" s="1"/>
    </row>
    <row r="680">
      <c r="A680" s="1" t="str">
        <f>IFERROR(__xludf.DUMMYFUNCTION("""COMPUTED_VALUE"""),"Frozen Spearman's Bracers")</f>
        <v>Frozen Spearman's Bracers</v>
      </c>
      <c r="B680" s="1"/>
      <c r="C680" s="1"/>
      <c r="D680" s="1" t="str">
        <f>IFERROR(__xludf.DUMMYFUNCTION("""COMPUTED_VALUE"""),"Arms")</f>
        <v>Arms</v>
      </c>
      <c r="E680" s="1">
        <f>IFERROR(__xludf.DUMMYFUNCTION("""COMPUTED_VALUE"""),200.0)</f>
        <v>200</v>
      </c>
      <c r="F680" s="1" t="str">
        <f>IFERROR(__xludf.DUMMYFUNCTION("""COMPUTED_VALUE"""),"DEF: +25000, Earth DEF: +25000, Nature DEF: +25000, Celestial DEF: +25000 ++Queen's Counter - Upon successfully evading an attack you can Immediately attack the person who attacked you.")</f>
        <v>DEF: +25000, Earth DEF: +25000, Nature DEF: +25000, Celestial DEF: +25000 ++Queen's Counter - Upon successfully evading an attack you can Immediately attack the person who attacked you.</v>
      </c>
      <c r="G680" s="1">
        <f>IFERROR(__xludf.DUMMYFUNCTION("""COMPUTED_VALUE"""),1.99E8)</f>
        <v>199000000</v>
      </c>
      <c r="H680" s="1"/>
      <c r="I680" s="1"/>
      <c r="J680" s="1"/>
      <c r="K680" s="1"/>
      <c r="L680" s="1"/>
      <c r="M680" s="1"/>
      <c r="N680" s="1"/>
      <c r="O680" s="1"/>
      <c r="P680" s="1"/>
      <c r="Q680" s="1"/>
      <c r="R680" s="1"/>
      <c r="S680" s="1"/>
      <c r="T680" s="1"/>
      <c r="U680" s="1"/>
      <c r="V680" s="1"/>
      <c r="W680" s="1"/>
      <c r="X680" s="1"/>
      <c r="Y680" s="1"/>
      <c r="Z680" s="1"/>
    </row>
    <row r="681">
      <c r="A681" s="1" t="str">
        <f>IFERROR(__xludf.DUMMYFUNCTION("""COMPUTED_VALUE"""),"Frozen Spearman's Fur Cloak")</f>
        <v>Frozen Spearman's Fur Cloak</v>
      </c>
      <c r="B681" s="1"/>
      <c r="C681" s="1"/>
      <c r="D681" s="1" t="str">
        <f>IFERROR(__xludf.DUMMYFUNCTION("""COMPUTED_VALUE"""),"Pauldrons")</f>
        <v>Pauldrons</v>
      </c>
      <c r="E681" s="1">
        <f>IFERROR(__xludf.DUMMYFUNCTION("""COMPUTED_VALUE"""),200.0)</f>
        <v>200</v>
      </c>
      <c r="F681" s="1" t="str">
        <f>IFERROR(__xludf.DUMMYFUNCTION("""COMPUTED_VALUE"""),"DEF: +25000, Earth DEF: +25000, Nature DEF: +25000, Celestial DEF: +25000 ++A Land of Ice and Snow - X4 Storm and Water damage")</f>
        <v>DEF: +25000, Earth DEF: +25000, Nature DEF: +25000, Celestial DEF: +25000 ++A Land of Ice and Snow - X4 Storm and Water damage</v>
      </c>
      <c r="G681" s="1">
        <f>IFERROR(__xludf.DUMMYFUNCTION("""COMPUTED_VALUE"""),1.99E8)</f>
        <v>199000000</v>
      </c>
      <c r="H681" s="1"/>
      <c r="I681" s="1"/>
      <c r="J681" s="1"/>
      <c r="K681" s="1"/>
      <c r="L681" s="1"/>
      <c r="M681" s="1"/>
      <c r="N681" s="1"/>
      <c r="O681" s="1"/>
      <c r="P681" s="1"/>
      <c r="Q681" s="1"/>
      <c r="R681" s="1"/>
      <c r="S681" s="1"/>
      <c r="T681" s="1"/>
      <c r="U681" s="1"/>
      <c r="V681" s="1"/>
      <c r="W681" s="1"/>
      <c r="X681" s="1"/>
      <c r="Y681" s="1"/>
      <c r="Z681" s="1"/>
    </row>
    <row r="682">
      <c r="A682" s="1" t="str">
        <f>IFERROR(__xludf.DUMMYFUNCTION("""COMPUTED_VALUE"""),"Frost Mage's Cloak")</f>
        <v>Frost Mage's Cloak</v>
      </c>
      <c r="B682" s="1"/>
      <c r="C682" s="1"/>
      <c r="D682" s="1" t="str">
        <f>IFERROR(__xludf.DUMMYFUNCTION("""COMPUTED_VALUE"""),"Torso")</f>
        <v>Torso</v>
      </c>
      <c r="E682" s="1">
        <f>IFERROR(__xludf.DUMMYFUNCTION("""COMPUTED_VALUE"""),200.0)</f>
        <v>200</v>
      </c>
      <c r="F682" s="1"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2" s="1">
        <f>IFERROR(__xludf.DUMMYFUNCTION("""COMPUTED_VALUE"""),4350000.0)</f>
        <v>4350000</v>
      </c>
      <c r="H682" s="1"/>
      <c r="I682" s="1"/>
      <c r="J682" s="1"/>
      <c r="K682" s="1"/>
      <c r="L682" s="1"/>
      <c r="M682" s="1"/>
      <c r="N682" s="1"/>
      <c r="O682" s="1"/>
      <c r="P682" s="1"/>
      <c r="Q682" s="1"/>
      <c r="R682" s="1"/>
      <c r="S682" s="1"/>
      <c r="T682" s="1"/>
      <c r="U682" s="1"/>
      <c r="V682" s="1"/>
      <c r="W682" s="1"/>
      <c r="X682" s="1"/>
      <c r="Y682" s="1"/>
      <c r="Z682" s="1"/>
    </row>
    <row r="683">
      <c r="A683" s="1" t="str">
        <f>IFERROR(__xludf.DUMMYFUNCTION("""COMPUTED_VALUE"""),"Frost Mage's Boots")</f>
        <v>Frost Mage's Boots</v>
      </c>
      <c r="B683" s="1"/>
      <c r="C683" s="1"/>
      <c r="D683" s="1" t="str">
        <f>IFERROR(__xludf.DUMMYFUNCTION("""COMPUTED_VALUE"""),"Feet")</f>
        <v>Feet</v>
      </c>
      <c r="E683" s="1">
        <f>IFERROR(__xludf.DUMMYFUNCTION("""COMPUTED_VALUE"""),200.0)</f>
        <v>200</v>
      </c>
      <c r="F683" s="1"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3" s="1">
        <f>IFERROR(__xludf.DUMMYFUNCTION("""COMPUTED_VALUE"""),4350000.0)</f>
        <v>4350000</v>
      </c>
      <c r="H683" s="1"/>
      <c r="I683" s="1"/>
      <c r="J683" s="1"/>
      <c r="K683" s="1"/>
      <c r="L683" s="1"/>
      <c r="M683" s="1"/>
      <c r="N683" s="1"/>
      <c r="O683" s="1"/>
      <c r="P683" s="1"/>
      <c r="Q683" s="1"/>
      <c r="R683" s="1"/>
      <c r="S683" s="1"/>
      <c r="T683" s="1"/>
      <c r="U683" s="1"/>
      <c r="V683" s="1"/>
      <c r="W683" s="1"/>
      <c r="X683" s="1"/>
      <c r="Y683" s="1"/>
      <c r="Z683" s="1"/>
    </row>
    <row r="684">
      <c r="A684" s="1" t="str">
        <f>IFERROR(__xludf.DUMMYFUNCTION("""COMPUTED_VALUE"""),"Frost Mage's Hood")</f>
        <v>Frost Mage's Hood</v>
      </c>
      <c r="B684" s="1"/>
      <c r="C684" s="1"/>
      <c r="D684" s="1" t="str">
        <f>IFERROR(__xludf.DUMMYFUNCTION("""COMPUTED_VALUE"""),"Head")</f>
        <v>Head</v>
      </c>
      <c r="E684" s="1">
        <f>IFERROR(__xludf.DUMMYFUNCTION("""COMPUTED_VALUE"""),200.0)</f>
        <v>200</v>
      </c>
      <c r="F684" s="1"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4" s="1">
        <f>IFERROR(__xludf.DUMMYFUNCTION("""COMPUTED_VALUE"""),4350000.0)</f>
        <v>4350000</v>
      </c>
      <c r="H684" s="1"/>
      <c r="I684" s="1"/>
      <c r="J684" s="1"/>
      <c r="K684" s="1"/>
      <c r="L684" s="1"/>
      <c r="M684" s="1"/>
      <c r="N684" s="1"/>
      <c r="O684" s="1"/>
      <c r="P684" s="1"/>
      <c r="Q684" s="1"/>
      <c r="R684" s="1"/>
      <c r="S684" s="1"/>
      <c r="T684" s="1"/>
      <c r="U684" s="1"/>
      <c r="V684" s="1"/>
      <c r="W684" s="1"/>
      <c r="X684" s="1"/>
      <c r="Y684" s="1"/>
      <c r="Z684" s="1"/>
    </row>
    <row r="685">
      <c r="A685" s="1" t="str">
        <f>IFERROR(__xludf.DUMMYFUNCTION("""COMPUTED_VALUE"""),"Crown of Frozen Swords")</f>
        <v>Crown of Frozen Swords</v>
      </c>
      <c r="B685" s="1"/>
      <c r="C685" s="1"/>
      <c r="D685" s="1" t="str">
        <f>IFERROR(__xludf.DUMMYFUNCTION("""COMPUTED_VALUE"""),"Head")</f>
        <v>Head</v>
      </c>
      <c r="E685" s="1">
        <f>IFERROR(__xludf.DUMMYFUNCTION("""COMPUTED_VALUE"""),200.0)</f>
        <v>200</v>
      </c>
      <c r="F685" s="1" t="str">
        <f>IFERROR(__xludf.DUMMYFUNCTION("""COMPUTED_VALUE"""),"DEF: +50000, Earth DEF: +50000, Nature DEF: +50000, Celestial DEF: +50000 ++King of The Frozen Wastes - X2 Storm damage ++15% chance to hit all enemies with a weapon attack")</f>
        <v>DEF: +50000, Earth DEF: +50000, Nature DEF: +50000, Celestial DEF: +50000 ++King of The Frozen Wastes - X2 Storm damage ++15% chance to hit all enemies with a weapon attack</v>
      </c>
      <c r="G685" s="1">
        <f>IFERROR(__xludf.DUMMYFUNCTION("""COMPUTED_VALUE"""),7.98E8)</f>
        <v>798000000</v>
      </c>
      <c r="H685" s="1"/>
      <c r="I685" s="1"/>
      <c r="J685" s="1"/>
      <c r="K685" s="1"/>
      <c r="L685" s="1"/>
      <c r="M685" s="1"/>
      <c r="N685" s="1"/>
      <c r="O685" s="1"/>
      <c r="P685" s="1"/>
      <c r="Q685" s="1"/>
      <c r="R685" s="1"/>
      <c r="S685" s="1"/>
      <c r="T685" s="1"/>
      <c r="U685" s="1"/>
      <c r="V685" s="1"/>
      <c r="W685" s="1"/>
      <c r="X685" s="1"/>
      <c r="Y685" s="1"/>
      <c r="Z685" s="1"/>
    </row>
    <row r="686">
      <c r="A686" s="1" t="str">
        <f>IFERROR(__xludf.DUMMYFUNCTION("""COMPUTED_VALUE"""),"Frost-bitten Cape")</f>
        <v>Frost-bitten Cape</v>
      </c>
      <c r="B686" s="1"/>
      <c r="C686" s="1"/>
      <c r="D686" s="1" t="str">
        <f>IFERROR(__xludf.DUMMYFUNCTION("""COMPUTED_VALUE"""),"Shoulders")</f>
        <v>Shoulders</v>
      </c>
      <c r="E686" s="1">
        <f>IFERROR(__xludf.DUMMYFUNCTION("""COMPUTED_VALUE"""),200.0)</f>
        <v>200</v>
      </c>
      <c r="F686" s="1" t="str">
        <f>IFERROR(__xludf.DUMMYFUNCTION("""COMPUTED_VALUE"""),"DEF: +50000, Earth DEF: +50000, Nature DEF: +50000, Celestial DEF: +50000 ++Frostbite - Enemies hit with a weapon attack take 5000 Storm damage per round for 3 rounds")</f>
        <v>DEF: +50000, Earth DEF: +50000, Nature DEF: +50000, Celestial DEF: +50000 ++Frostbite - Enemies hit with a weapon attack take 5000 Storm damage per round for 3 rounds</v>
      </c>
      <c r="G686" s="1">
        <f>IFERROR(__xludf.DUMMYFUNCTION("""COMPUTED_VALUE"""),7.98E8)</f>
        <v>798000000</v>
      </c>
      <c r="H686" s="1"/>
      <c r="I686" s="1"/>
      <c r="J686" s="1"/>
      <c r="K686" s="1"/>
      <c r="L686" s="1"/>
      <c r="M686" s="1"/>
      <c r="N686" s="1"/>
      <c r="O686" s="1"/>
      <c r="P686" s="1"/>
      <c r="Q686" s="1"/>
      <c r="R686" s="1"/>
      <c r="S686" s="1"/>
      <c r="T686" s="1"/>
      <c r="U686" s="1"/>
      <c r="V686" s="1"/>
      <c r="W686" s="1"/>
      <c r="X686" s="1"/>
      <c r="Y686" s="1"/>
      <c r="Z686" s="1"/>
    </row>
    <row r="687">
      <c r="A687" s="1" t="str">
        <f>IFERROR(__xludf.DUMMYFUNCTION("""COMPUTED_VALUE"""),"Ice-steel Pauldrons")</f>
        <v>Ice-steel Pauldrons</v>
      </c>
      <c r="B687" s="1"/>
      <c r="C687" s="1"/>
      <c r="D687" s="1" t="str">
        <f>IFERROR(__xludf.DUMMYFUNCTION("""COMPUTED_VALUE"""),"Shoulders")</f>
        <v>Shoulders</v>
      </c>
      <c r="E687" s="1">
        <f>IFERROR(__xludf.DUMMYFUNCTION("""COMPUTED_VALUE"""),200.0)</f>
        <v>200</v>
      </c>
      <c r="F687" s="1" t="str">
        <f>IFERROR(__xludf.DUMMYFUNCTION("""COMPUTED_VALUE"""),"DEF: +50000, Earth DEF: +50000, Nature DEF: +50000, Celestial DEF: +50000 ++Cold Shoulder - Immunity to freeze")</f>
        <v>DEF: +50000, Earth DEF: +50000, Nature DEF: +50000, Celestial DEF: +50000 ++Cold Shoulder - Immunity to freeze</v>
      </c>
      <c r="G687" s="1">
        <f>IFERROR(__xludf.DUMMYFUNCTION("""COMPUTED_VALUE"""),7.98E8)</f>
        <v>798000000</v>
      </c>
      <c r="H687" s="1"/>
      <c r="I687" s="1"/>
      <c r="J687" s="1"/>
      <c r="K687" s="1"/>
      <c r="L687" s="1"/>
      <c r="M687" s="1"/>
      <c r="N687" s="1"/>
      <c r="O687" s="1"/>
      <c r="P687" s="1"/>
      <c r="Q687" s="1"/>
      <c r="R687" s="1"/>
      <c r="S687" s="1"/>
      <c r="T687" s="1"/>
      <c r="U687" s="1"/>
      <c r="V687" s="1"/>
      <c r="W687" s="1"/>
      <c r="X687" s="1"/>
      <c r="Y687" s="1"/>
      <c r="Z687" s="1"/>
    </row>
    <row r="688">
      <c r="A688" s="1" t="str">
        <f>IFERROR(__xludf.DUMMYFUNCTION("""COMPUTED_VALUE"""),"Ice-steel Bracers")</f>
        <v>Ice-steel Bracers</v>
      </c>
      <c r="B688" s="1"/>
      <c r="C688" s="1"/>
      <c r="D688" s="1" t="str">
        <f>IFERROR(__xludf.DUMMYFUNCTION("""COMPUTED_VALUE"""),"Arms")</f>
        <v>Arms</v>
      </c>
      <c r="E688" s="1">
        <f>IFERROR(__xludf.DUMMYFUNCTION("""COMPUTED_VALUE"""),200.0)</f>
        <v>200</v>
      </c>
      <c r="F688" s="1" t="str">
        <f>IFERROR(__xludf.DUMMYFUNCTION("""COMPUTED_VALUE"""),"DEF: +50000, Earth DEF: +50000, Nature DEF: +50000, Celestial DEF: +50000 ++A Moment of Weakness - (Can only target frozen enemies) Strike the enemy with your weapon dealing X3 Weapon damage and Giving the enemy disoriented 3 - 500 sp")</f>
        <v>DEF: +50000, Earth DEF: +50000, Nature DEF: +50000, Celestial DEF: +50000 ++A Moment of Weakness - (Can only target frozen enemies) Strike the enemy with your weapon dealing X3 Weapon damage and Giving the enemy disoriented 3 - 500 sp</v>
      </c>
      <c r="G688" s="1">
        <f>IFERROR(__xludf.DUMMYFUNCTION("""COMPUTED_VALUE"""),7.98E8)</f>
        <v>798000000</v>
      </c>
      <c r="H688" s="1"/>
      <c r="I688" s="1"/>
      <c r="J688" s="1"/>
      <c r="K688" s="1"/>
      <c r="L688" s="1"/>
      <c r="M688" s="1"/>
      <c r="N688" s="1"/>
      <c r="O688" s="1"/>
      <c r="P688" s="1"/>
      <c r="Q688" s="1"/>
      <c r="R688" s="1"/>
      <c r="S688" s="1"/>
      <c r="T688" s="1"/>
      <c r="U688" s="1"/>
      <c r="V688" s="1"/>
      <c r="W688" s="1"/>
      <c r="X688" s="1"/>
      <c r="Y688" s="1"/>
      <c r="Z688" s="1"/>
    </row>
    <row r="689">
      <c r="A689" s="1" t="str">
        <f>IFERROR(__xludf.DUMMYFUNCTION("""COMPUTED_VALUE"""),"Ice-steel Chausses")</f>
        <v>Ice-steel Chausses</v>
      </c>
      <c r="B689" s="1" t="str">
        <f>IFERROR(__xludf.DUMMYFUNCTION("""COMPUTED_VALUE"""),"The chinks in the armor suggest a lack of care over the past years.")</f>
        <v>The chinks in the armor suggest a lack of care over the past years.</v>
      </c>
      <c r="C689" s="1"/>
      <c r="D689" s="1" t="str">
        <f>IFERROR(__xludf.DUMMYFUNCTION("""COMPUTED_VALUE"""),"Legs")</f>
        <v>Legs</v>
      </c>
      <c r="E689" s="1">
        <f>IFERROR(__xludf.DUMMYFUNCTION("""COMPUTED_VALUE"""),200.0)</f>
        <v>200</v>
      </c>
      <c r="F689" s="1" t="str">
        <f>IFERROR(__xludf.DUMMYFUNCTION("""COMPUTED_VALUE"""),"DEF: +50000, Earth DEF: +50000, Nature DEF: +50000, Celestial DEF: +50000 ++X2 Weapon Damage")</f>
        <v>DEF: +50000, Earth DEF: +50000, Nature DEF: +50000, Celestial DEF: +50000 ++X2 Weapon Damage</v>
      </c>
      <c r="G689" s="1">
        <f>IFERROR(__xludf.DUMMYFUNCTION("""COMPUTED_VALUE"""),7.98E8)</f>
        <v>798000000</v>
      </c>
      <c r="H689" s="1"/>
      <c r="I689" s="1"/>
      <c r="J689" s="1"/>
      <c r="K689" s="1"/>
      <c r="L689" s="1"/>
      <c r="M689" s="1"/>
      <c r="N689" s="1"/>
      <c r="O689" s="1"/>
      <c r="P689" s="1"/>
      <c r="Q689" s="1"/>
      <c r="R689" s="1"/>
      <c r="S689" s="1"/>
      <c r="T689" s="1"/>
      <c r="U689" s="1"/>
      <c r="V689" s="1"/>
      <c r="W689" s="1"/>
      <c r="X689" s="1"/>
      <c r="Y689" s="1"/>
      <c r="Z689" s="1"/>
    </row>
    <row r="690">
      <c r="A690" s="1" t="str">
        <f>IFERROR(__xludf.DUMMYFUNCTION("""COMPUTED_VALUE"""),"Frost Stompers")</f>
        <v>Frost Stompers</v>
      </c>
      <c r="B690" s="1" t="str">
        <f>IFERROR(__xludf.DUMMYFUNCTION("""COMPUTED_VALUE"""),"These frozen iron boots are covered in a layer of permafrost, it seems as though they'll never thaw.")</f>
        <v>These frozen iron boots are covered in a layer of permafrost, it seems as though they'll never thaw.</v>
      </c>
      <c r="C690" s="1"/>
      <c r="D690" s="1" t="str">
        <f>IFERROR(__xludf.DUMMYFUNCTION("""COMPUTED_VALUE"""),"Feet")</f>
        <v>Feet</v>
      </c>
      <c r="E690" s="1">
        <f>IFERROR(__xludf.DUMMYFUNCTION("""COMPUTED_VALUE"""),200.0)</f>
        <v>200</v>
      </c>
      <c r="F690" s="1" t="str">
        <f>IFERROR(__xludf.DUMMYFUNCTION("""COMPUTED_VALUE"""),"DEF: +50000, Earth DEF: +50000, Nature DEF: +50000, Celestial DEF: +50000 ++X2 Storm Damage")</f>
        <v>DEF: +50000, Earth DEF: +50000, Nature DEF: +50000, Celestial DEF: +50000 ++X2 Storm Damage</v>
      </c>
      <c r="G690" s="1">
        <f>IFERROR(__xludf.DUMMYFUNCTION("""COMPUTED_VALUE"""),7.98E8)</f>
        <v>798000000</v>
      </c>
      <c r="H690" s="1"/>
      <c r="I690" s="1"/>
      <c r="J690" s="1"/>
      <c r="K690" s="1"/>
      <c r="L690" s="1"/>
      <c r="M690" s="1"/>
      <c r="N690" s="1"/>
      <c r="O690" s="1"/>
      <c r="P690" s="1"/>
      <c r="Q690" s="1"/>
      <c r="R690" s="1"/>
      <c r="S690" s="1"/>
      <c r="T690" s="1"/>
      <c r="U690" s="1"/>
      <c r="V690" s="1"/>
      <c r="W690" s="1"/>
      <c r="X690" s="1"/>
      <c r="Y690" s="1"/>
      <c r="Z690" s="1"/>
    </row>
    <row r="691">
      <c r="A691" s="1" t="str">
        <f>IFERROR(__xludf.DUMMYFUNCTION("""COMPUTED_VALUE"""),"Plate of the Frozen Sun")</f>
        <v>Plate of the Frozen Sun</v>
      </c>
      <c r="B691" s="1" t="str">
        <f>IFERROR(__xludf.DUMMYFUNCTION("""COMPUTED_VALUE"""),"""The king was not always as he is now, but the yearly curse of the ice mage has him colder than usual"" ~old man")</f>
        <v>"The king was not always as he is now, but the yearly curse of the ice mage has him colder than usual" ~old man</v>
      </c>
      <c r="C691" s="1"/>
      <c r="D691" s="1" t="str">
        <f>IFERROR(__xludf.DUMMYFUNCTION("""COMPUTED_VALUE"""),"Torso")</f>
        <v>Torso</v>
      </c>
      <c r="E691" s="1">
        <f>IFERROR(__xludf.DUMMYFUNCTION("""COMPUTED_VALUE"""),200.0)</f>
        <v>200</v>
      </c>
      <c r="F691" s="1" t="str">
        <f>IFERROR(__xludf.DUMMYFUNCTION("""COMPUTED_VALUE"""),"DEF: +50000, Earth DEF: +50000, Nature DEF: +50000, Celestial DEF: +50000 ++Freezing Absorption - Can absorb one summoned creature adding their stats on top of your for 3 rounds but giving you a 50% chance of attacking a random ally instead of an enemy - "&amp;"500 sp")</f>
        <v>DEF: +50000, Earth DEF: +50000, Nature DEF: +50000, Celestial DEF: +50000 ++Freezing Absorption - Can absorb one summoned creature adding their stats on top of your for 3 rounds but giving you a 50% chance of attacking a random ally instead of an enemy - 500 sp</v>
      </c>
      <c r="G691" s="1">
        <f>IFERROR(__xludf.DUMMYFUNCTION("""COMPUTED_VALUE"""),7.98E8)</f>
        <v>798000000</v>
      </c>
      <c r="H691" s="1"/>
      <c r="I691" s="1"/>
      <c r="J691" s="1"/>
      <c r="K691" s="1"/>
      <c r="L691" s="1"/>
      <c r="M691" s="1"/>
      <c r="N691" s="1"/>
      <c r="O691" s="1"/>
      <c r="P691" s="1"/>
      <c r="Q691" s="1"/>
      <c r="R691" s="1"/>
      <c r="S691" s="1"/>
      <c r="T691" s="1"/>
      <c r="U691" s="1"/>
      <c r="V691" s="1"/>
      <c r="W691" s="1"/>
      <c r="X691" s="1"/>
      <c r="Y691" s="1"/>
      <c r="Z691" s="1"/>
    </row>
    <row r="692">
      <c r="A692" s="1" t="str">
        <f>IFERROR(__xludf.DUMMYFUNCTION("""COMPUTED_VALUE"""),"Frost Mage's Staff")</f>
        <v>Frost Mage's Staff</v>
      </c>
      <c r="B692" s="1" t="str">
        <f>IFERROR(__xludf.DUMMYFUNCTION("""COMPUTED_VALUE"""),"""FREEZE"" ~Frost mage")</f>
        <v>"FREEZE" ~Frost mage</v>
      </c>
      <c r="C692" s="1" t="str">
        <f>IFERROR(__xludf.DUMMYFUNCTION("""COMPUTED_VALUE"""),"Staff")</f>
        <v>Staff</v>
      </c>
      <c r="D692" s="1" t="str">
        <f>IFERROR(__xludf.DUMMYFUNCTION("""COMPUTED_VALUE"""),"Hand")</f>
        <v>Hand</v>
      </c>
      <c r="E692" s="1">
        <f>IFERROR(__xludf.DUMMYFUNCTION("""COMPUTED_VALUE"""),200.0)</f>
        <v>200</v>
      </c>
      <c r="F692" s="1" t="str">
        <f>IFERROR(__xludf.DUMMYFUNCTION("""COMPUTED_VALUE"""),", Water DMG: +50000, Storm DMG: +50000, Celestial DMG: +50000 ++Damages all enemies, ++Cannot Avoid ++ +500SP ++X4 Water and Storm Damage ++25% chance to freeze the enemies +-Cannot be forged +-Cannot be duplicated")</f>
        <v>, Water DMG: +50000, Storm DMG: +50000, Celestial DMG: +50000 ++Damages all enemies, ++Cannot Avoid ++ +500SP ++X4 Water and Storm Damage ++25% chance to freeze the enemies +-Cannot be forged +-Cannot be duplicated</v>
      </c>
      <c r="G692" s="1">
        <f>IFERROR(__xludf.DUMMYFUNCTION("""COMPUTED_VALUE"""),4.485E8)</f>
        <v>448500000</v>
      </c>
      <c r="H692" s="1"/>
      <c r="I692" s="1"/>
      <c r="J692" s="1"/>
      <c r="K692" s="1"/>
      <c r="L692" s="1"/>
      <c r="M692" s="1"/>
      <c r="N692" s="1"/>
      <c r="O692" s="1"/>
      <c r="P692" s="1"/>
      <c r="Q692" s="1"/>
      <c r="R692" s="1"/>
      <c r="S692" s="1"/>
      <c r="T692" s="1"/>
      <c r="U692" s="1"/>
      <c r="V692" s="1"/>
      <c r="W692" s="1"/>
      <c r="X692" s="1"/>
      <c r="Y692" s="1"/>
      <c r="Z692" s="1"/>
    </row>
    <row r="693">
      <c r="A693" s="1" t="str">
        <f>IFERROR(__xludf.DUMMYFUNCTION("""COMPUTED_VALUE"""),"Snowball")</f>
        <v>Snowball</v>
      </c>
      <c r="B693" s="1" t="str">
        <f>IFERROR(__xludf.DUMMYFUNCTION("""COMPUTED_VALUE"""),"""If you even think about hitting me with that I'll fill one with lead and bash your skull with it"" ~Gwennivir")</f>
        <v>"If you even think about hitting me with that I'll fill one with lead and bash your skull with it" ~Gwennivir</v>
      </c>
      <c r="C693" s="1" t="str">
        <f>IFERROR(__xludf.DUMMYFUNCTION("""COMPUTED_VALUE"""),"Boomerang")</f>
        <v>Boomerang</v>
      </c>
      <c r="D693" s="1" t="str">
        <f>IFERROR(__xludf.DUMMYFUNCTION("""COMPUTED_VALUE"""),"Hand")</f>
        <v>Hand</v>
      </c>
      <c r="E693" s="1">
        <f>IFERROR(__xludf.DUMMYFUNCTION("""COMPUTED_VALUE"""),200.0)</f>
        <v>200</v>
      </c>
      <c r="F693" s="1" t="str">
        <f>IFERROR(__xludf.DUMMYFUNCTION("""COMPUTED_VALUE"""),", Water DMG: +10000 ++25% Chance to freeze the target, ++25% chance to turn the target into a Demon Snowman and recruit them to the users side for 2 rounds (this counts as a possession).")</f>
        <v>, Water DMG: +10000 ++25% Chance to freeze the target, ++25% chance to turn the target into a Demon Snowman and recruit them to the users side for 2 rounds (this counts as a possession).</v>
      </c>
      <c r="G693" s="1">
        <f>IFERROR(__xludf.DUMMYFUNCTION("""COMPUTED_VALUE"""),1900000.0)</f>
        <v>1900000</v>
      </c>
      <c r="H693" s="1"/>
      <c r="I693" s="1"/>
      <c r="J693" s="1"/>
      <c r="K693" s="1"/>
      <c r="L693" s="1"/>
      <c r="M693" s="1"/>
      <c r="N693" s="1"/>
      <c r="O693" s="1"/>
      <c r="P693" s="1"/>
      <c r="Q693" s="1"/>
      <c r="R693" s="1"/>
      <c r="S693" s="1"/>
      <c r="T693" s="1"/>
      <c r="U693" s="1"/>
      <c r="V693" s="1"/>
      <c r="W693" s="1"/>
      <c r="X693" s="1"/>
      <c r="Y693" s="1"/>
      <c r="Z693" s="1"/>
    </row>
    <row r="694">
      <c r="A694" s="1" t="str">
        <f>IFERROR(__xludf.DUMMYFUNCTION("""COMPUTED_VALUE"""),"Corvid Cloak")</f>
        <v>Corvid Cloak</v>
      </c>
      <c r="B694" s="1" t="str">
        <f>IFERROR(__xludf.DUMMYFUNCTION("""COMPUTED_VALUE"""),"Formed from the feathers of many crows and ravens, this cloak has an imposing presence.")</f>
        <v>Formed from the feathers of many crows and ravens, this cloak has an imposing presence.</v>
      </c>
      <c r="C694" s="1"/>
      <c r="D694" s="1" t="str">
        <f>IFERROR(__xludf.DUMMYFUNCTION("""COMPUTED_VALUE"""),"Shoulders")</f>
        <v>Shoulders</v>
      </c>
      <c r="E694" s="1">
        <f>IFERROR(__xludf.DUMMYFUNCTION("""COMPUTED_VALUE"""),1.0)</f>
        <v>1</v>
      </c>
      <c r="F694" s="1" t="str">
        <f>IFERROR(__xludf.DUMMYFUNCTION("""COMPUTED_VALUE""")," ++On WIngs of Death: When an enemy or ally dies of poison all Base stats are doubled for 3 rounds and +5 to all perks +-Cannot be Duplicated")</f>
        <v> ++On WIngs of Death: When an enemy or ally dies of poison all Base stats are doubled for 3 rounds and +5 to all perks +-Cannot be Duplicated</v>
      </c>
      <c r="G694" s="1">
        <f>IFERROR(__xludf.DUMMYFUNCTION("""COMPUTED_VALUE"""),0.0)</f>
        <v>0</v>
      </c>
      <c r="H694" s="1"/>
      <c r="I694" s="1"/>
      <c r="J694" s="1"/>
      <c r="K694" s="1"/>
      <c r="L694" s="1"/>
      <c r="M694" s="1"/>
      <c r="N694" s="1"/>
      <c r="O694" s="1"/>
      <c r="P694" s="1"/>
      <c r="Q694" s="1"/>
      <c r="R694" s="1"/>
      <c r="S694" s="1"/>
      <c r="T694" s="1"/>
      <c r="U694" s="1"/>
      <c r="V694" s="1"/>
      <c r="W694" s="1"/>
      <c r="X694" s="1"/>
      <c r="Y694" s="1"/>
      <c r="Z694" s="1"/>
    </row>
    <row r="695">
      <c r="A695" s="1" t="str">
        <f>IFERROR(__xludf.DUMMYFUNCTION("""COMPUTED_VALUE"""),"Plague Doctor's Mask")</f>
        <v>Plague Doctor's Mask</v>
      </c>
      <c r="B695" s="1" t="str">
        <f>IFERROR(__xludf.DUMMYFUNCTION("""COMPUTED_VALUE"""),"""The eyes of the plague doctors can see all the impurities of not just one's body, but one's soul, it is our goal- nay, our purpose, to cure these impurities"" ~Kaillon, The Last WItch Doctor")</f>
        <v>"The eyes of the plague doctors can see all the impurities of not just one's body, but one's soul, it is our goal- nay, our purpose, to cure these impurities" ~Kaillon, The Last WItch Doctor</v>
      </c>
      <c r="C695" s="1"/>
      <c r="D695" s="1" t="str">
        <f>IFERROR(__xludf.DUMMYFUNCTION("""COMPUTED_VALUE"""),"Head")</f>
        <v>Head</v>
      </c>
      <c r="E695" s="1">
        <f>IFERROR(__xludf.DUMMYFUNCTION("""COMPUTED_VALUE"""),1.0)</f>
        <v>1</v>
      </c>
      <c r="F695" s="1" t="str">
        <f>IFERROR(__xludf.DUMMYFUNCTION("""COMPUTED_VALUE""")," ++Plague Doctor: 25% chance to be unaffected by a disease +-Cannot be Duplicated")</f>
        <v> ++Plague Doctor: 25% chance to be unaffected by a disease +-Cannot be Duplicated</v>
      </c>
      <c r="G695" s="1">
        <f>IFERROR(__xludf.DUMMYFUNCTION("""COMPUTED_VALUE"""),0.0)</f>
        <v>0</v>
      </c>
      <c r="H695" s="1"/>
      <c r="I695" s="1"/>
      <c r="J695" s="1"/>
      <c r="K695" s="1"/>
      <c r="L695" s="1"/>
      <c r="M695" s="1"/>
      <c r="N695" s="1"/>
      <c r="O695" s="1"/>
      <c r="P695" s="1"/>
      <c r="Q695" s="1"/>
      <c r="R695" s="1"/>
      <c r="S695" s="1"/>
      <c r="T695" s="1"/>
      <c r="U695" s="1"/>
      <c r="V695" s="1"/>
      <c r="W695" s="1"/>
      <c r="X695" s="1"/>
      <c r="Y695" s="1"/>
      <c r="Z695" s="1"/>
    </row>
    <row r="696">
      <c r="A696" s="1" t="str">
        <f>IFERROR(__xludf.DUMMYFUNCTION("""COMPUTED_VALUE"""),"""The Only Cure""")</f>
        <v>"The Only Cure"</v>
      </c>
      <c r="B696" s="1" t="str">
        <f>IFERROR(__xludf.DUMMYFUNCTION("""COMPUTED_VALUE"""),"""Sometimes, there is no cure for one's disease,
in those times it is our job to be merciful,
Truly, the only cure is death"" ~Kaillon, The Last Witch Doctor")</f>
        <v>"Sometimes, there is no cure for one's disease,
in those times it is our job to be merciful,
Truly, the only cure is death" ~Kaillon, The Last Witch Doctor</v>
      </c>
      <c r="C696" s="1"/>
      <c r="D696" s="1" t="str">
        <f>IFERROR(__xludf.DUMMYFUNCTION("""COMPUTED_VALUE"""),"Neck")</f>
        <v>Neck</v>
      </c>
      <c r="E696" s="1">
        <f>IFERROR(__xludf.DUMMYFUNCTION("""COMPUTED_VALUE"""),1.0)</f>
        <v>1</v>
      </c>
      <c r="F696" s="1" t="str">
        <f>IFERROR(__xludf.DUMMYFUNCTION("""COMPUTED_VALUE""")," ++""Is Death"": The first time a single ally dies in a battle they survive on 1 hp with halved defense, atack, and accuracy for 3 rounds. +-Cannot be Duplicated")</f>
        <v> ++"Is Death": The first time a single ally dies in a battle they survive on 1 hp with halved defense, atack, and accuracy for 3 rounds. +-Cannot be Duplicated</v>
      </c>
      <c r="G696" s="1">
        <f>IFERROR(__xludf.DUMMYFUNCTION("""COMPUTED_VALUE"""),0.0)</f>
        <v>0</v>
      </c>
      <c r="H696" s="1"/>
      <c r="I696" s="1"/>
      <c r="J696" s="1"/>
      <c r="K696" s="1"/>
      <c r="L696" s="1"/>
      <c r="M696" s="1"/>
      <c r="N696" s="1"/>
      <c r="O696" s="1"/>
      <c r="P696" s="1"/>
      <c r="Q696" s="1"/>
      <c r="R696" s="1"/>
      <c r="S696" s="1"/>
      <c r="T696" s="1"/>
      <c r="U696" s="1"/>
      <c r="V696" s="1"/>
      <c r="W696" s="1"/>
      <c r="X696" s="1"/>
      <c r="Y696" s="1"/>
      <c r="Z696" s="1"/>
    </row>
    <row r="697">
      <c r="A697" s="1" t="str">
        <f>IFERROR(__xludf.DUMMYFUNCTION("""COMPUTED_VALUE"""),"Plague Doctor's Gloves")</f>
        <v>Plague Doctor's Gloves</v>
      </c>
      <c r="B697" s="1" t="str">
        <f>IFERROR(__xludf.DUMMYFUNCTION("""COMPUTED_VALUE"""),"These gloves have been stained with blood and potions over the years.")</f>
        <v>These gloves have been stained with blood and potions over the years.</v>
      </c>
      <c r="C697" s="1"/>
      <c r="D697" s="1" t="str">
        <f>IFERROR(__xludf.DUMMYFUNCTION("""COMPUTED_VALUE"""),"Arms")</f>
        <v>Arms</v>
      </c>
      <c r="E697" s="1">
        <f>IFERROR(__xludf.DUMMYFUNCTION("""COMPUTED_VALUE"""),1.0)</f>
        <v>1</v>
      </c>
      <c r="F697" s="1" t="str">
        <f>IFERROR(__xludf.DUMMYFUNCTION("""COMPUTED_VALUE""")," ++Poisoner I:X2 damage +-Cannot be Duplicated")</f>
        <v> ++Poisoner I:X2 damage +-Cannot be Duplicated</v>
      </c>
      <c r="G697" s="1">
        <f>IFERROR(__xludf.DUMMYFUNCTION("""COMPUTED_VALUE"""),0.0)</f>
        <v>0</v>
      </c>
      <c r="H697" s="1"/>
      <c r="I697" s="1"/>
      <c r="J697" s="1"/>
      <c r="K697" s="1"/>
      <c r="L697" s="1"/>
      <c r="M697" s="1"/>
      <c r="N697" s="1"/>
      <c r="O697" s="1"/>
      <c r="P697" s="1"/>
      <c r="Q697" s="1"/>
      <c r="R697" s="1"/>
      <c r="S697" s="1"/>
      <c r="T697" s="1"/>
      <c r="U697" s="1"/>
      <c r="V697" s="1"/>
      <c r="W697" s="1"/>
      <c r="X697" s="1"/>
      <c r="Y697" s="1"/>
      <c r="Z697" s="1"/>
    </row>
    <row r="698">
      <c r="A698" s="1" t="str">
        <f>IFERROR(__xludf.DUMMYFUNCTION("""COMPUTED_VALUE"""),"Plague Doctor's Sarouel")</f>
        <v>Plague Doctor's Sarouel</v>
      </c>
      <c r="B698" s="1" t="str">
        <f>IFERROR(__xludf.DUMMYFUNCTION("""COMPUTED_VALUE"""),"These pants serve no real purpose within the foul night swamp, but they are the traditional wear of the plague doctors.")</f>
        <v>These pants serve no real purpose within the foul night swamp, but they are the traditional wear of the plague doctors.</v>
      </c>
      <c r="C698" s="1"/>
      <c r="D698" s="1" t="str">
        <f>IFERROR(__xludf.DUMMYFUNCTION("""COMPUTED_VALUE"""),"Legs")</f>
        <v>Legs</v>
      </c>
      <c r="E698" s="1">
        <f>IFERROR(__xludf.DUMMYFUNCTION("""COMPUTED_VALUE"""),1.0)</f>
        <v>1</v>
      </c>
      <c r="F698" s="1" t="str">
        <f>IFERROR(__xludf.DUMMYFUNCTION("""COMPUTED_VALUE""")," ++Poisoner I:X2 damage +-Cannot be Duplicated")</f>
        <v> ++Poisoner I:X2 damage +-Cannot be Duplicated</v>
      </c>
      <c r="G698" s="1">
        <f>IFERROR(__xludf.DUMMYFUNCTION("""COMPUTED_VALUE"""),0.0)</f>
        <v>0</v>
      </c>
      <c r="H698" s="1"/>
      <c r="I698" s="1"/>
      <c r="J698" s="1"/>
      <c r="K698" s="1"/>
      <c r="L698" s="1"/>
      <c r="M698" s="1"/>
      <c r="N698" s="1"/>
      <c r="O698" s="1"/>
      <c r="P698" s="1"/>
      <c r="Q698" s="1"/>
      <c r="R698" s="1"/>
      <c r="S698" s="1"/>
      <c r="T698" s="1"/>
      <c r="U698" s="1"/>
      <c r="V698" s="1"/>
      <c r="W698" s="1"/>
      <c r="X698" s="1"/>
      <c r="Y698" s="1"/>
      <c r="Z698" s="1"/>
    </row>
    <row r="699">
      <c r="A699" s="1" t="str">
        <f>IFERROR(__xludf.DUMMYFUNCTION("""COMPUTED_VALUE"""),"Plague Doctor's Boots")</f>
        <v>Plague Doctor's Boots</v>
      </c>
      <c r="B699" s="1" t="str">
        <f>IFERROR(__xludf.DUMMYFUNCTION("""COMPUTED_VALUE"""),"These boots have been designed for optimal movement through all kinds of hazards.")</f>
        <v>These boots have been designed for optimal movement through all kinds of hazards.</v>
      </c>
      <c r="C699" s="1"/>
      <c r="D699" s="1" t="str">
        <f>IFERROR(__xludf.DUMMYFUNCTION("""COMPUTED_VALUE"""),"Feet")</f>
        <v>Feet</v>
      </c>
      <c r="E699" s="1">
        <f>IFERROR(__xludf.DUMMYFUNCTION("""COMPUTED_VALUE"""),1.0)</f>
        <v>1</v>
      </c>
      <c r="F699" s="1" t="str">
        <f>IFERROR(__xludf.DUMMYFUNCTION("""COMPUTED_VALUE""")," ++Swamp Stompers: You take only half the effect of environmental hazards +-Cannot be Duplicated")</f>
        <v> ++Swamp Stompers: You take only half the effect of environmental hazards +-Cannot be Duplicated</v>
      </c>
      <c r="G699" s="1">
        <f>IFERROR(__xludf.DUMMYFUNCTION("""COMPUTED_VALUE"""),0.0)</f>
        <v>0</v>
      </c>
      <c r="H699" s="1"/>
      <c r="I699" s="1"/>
      <c r="J699" s="1"/>
      <c r="K699" s="1"/>
      <c r="L699" s="1"/>
      <c r="M699" s="1"/>
      <c r="N699" s="1"/>
      <c r="O699" s="1"/>
      <c r="P699" s="1"/>
      <c r="Q699" s="1"/>
      <c r="R699" s="1"/>
      <c r="S699" s="1"/>
      <c r="T699" s="1"/>
      <c r="U699" s="1"/>
      <c r="V699" s="1"/>
      <c r="W699" s="1"/>
      <c r="X699" s="1"/>
      <c r="Y699" s="1"/>
      <c r="Z699" s="1"/>
    </row>
    <row r="700">
      <c r="A700" s="1" t="str">
        <f>IFERROR(__xludf.DUMMYFUNCTION("""COMPUTED_VALUE"""),"Plague Doctor's Apron")</f>
        <v>Plague Doctor's Apron</v>
      </c>
      <c r="B700" s="1" t="str">
        <f>IFERROR(__xludf.DUMMYFUNCTION("""COMPUTED_VALUE"""),"The thick leather of this apron ensures that accidents with poison are minimalized.")</f>
        <v>The thick leather of this apron ensures that accidents with poison are minimalized.</v>
      </c>
      <c r="C700" s="1"/>
      <c r="D700" s="1" t="str">
        <f>IFERROR(__xludf.DUMMYFUNCTION("""COMPUTED_VALUE"""),"Torso")</f>
        <v>Torso</v>
      </c>
      <c r="E700" s="1">
        <f>IFERROR(__xludf.DUMMYFUNCTION("""COMPUTED_VALUE"""),1.0)</f>
        <v>1</v>
      </c>
      <c r="F700" s="1" t="str">
        <f>IFERROR(__xludf.DUMMYFUNCTION("""COMPUTED_VALUE""")," ++Spllatter Proof: Immune to poison +-Cannot be Duplicated")</f>
        <v> ++Spllatter Proof: Immune to poison +-Cannot be Duplicated</v>
      </c>
      <c r="G700" s="1">
        <f>IFERROR(__xludf.DUMMYFUNCTION("""COMPUTED_VALUE"""),0.0)</f>
        <v>0</v>
      </c>
      <c r="H700" s="1"/>
      <c r="I700" s="1"/>
      <c r="J700" s="1"/>
      <c r="K700" s="1"/>
      <c r="L700" s="1"/>
      <c r="M700" s="1"/>
      <c r="N700" s="1"/>
      <c r="O700" s="1"/>
      <c r="P700" s="1"/>
      <c r="Q700" s="1"/>
      <c r="R700" s="1"/>
      <c r="S700" s="1"/>
      <c r="T700" s="1"/>
      <c r="U700" s="1"/>
      <c r="V700" s="1"/>
      <c r="W700" s="1"/>
      <c r="X700" s="1"/>
      <c r="Y700" s="1"/>
      <c r="Z700" s="1"/>
    </row>
    <row r="701">
      <c r="A701" s="1" t="str">
        <f>IFERROR(__xludf.DUMMYFUNCTION("""COMPUTED_VALUE"""),"Poisonous Hand Crossbow")</f>
        <v>Poisonous Hand Crossbow</v>
      </c>
      <c r="B701" s="1" t="str">
        <f>IFERROR(__xludf.DUMMYFUNCTION("""COMPUTED_VALUE"""),"""Because sometimes the only viable tactic, is a dirty one"" ~Gwennivir")</f>
        <v>"Because sometimes the only viable tactic, is a dirty one" ~Gwennivir</v>
      </c>
      <c r="C701" s="1" t="str">
        <f>IFERROR(__xludf.DUMMYFUNCTION("""COMPUTED_VALUE"""),"Bow")</f>
        <v>Bow</v>
      </c>
      <c r="D701" s="1" t="str">
        <f>IFERROR(__xludf.DUMMYFUNCTION("""COMPUTED_VALUE"""),"Hand")</f>
        <v>Hand</v>
      </c>
      <c r="E701" s="1">
        <f>IFERROR(__xludf.DUMMYFUNCTION("""COMPUTED_VALUE"""),1000.0)</f>
        <v>1000</v>
      </c>
      <c r="F701" s="1" t="str">
        <f>IFERROR(__xludf.DUMMYFUNCTION("""COMPUTED_VALUE"""),"DMG: +50000 ++Poisoned I: Hitting an enemy with this weapon inflicts 500 poison")</f>
        <v>DMG: +50000 ++Poisoned I: Hitting an enemy with this weapon inflicts 500 poison</v>
      </c>
      <c r="G701" s="1">
        <f>IFERROR(__xludf.DUMMYFUNCTION("""COMPUTED_VALUE"""),4.95E7)</f>
        <v>49500000</v>
      </c>
      <c r="H701" s="1"/>
      <c r="I701" s="1"/>
      <c r="J701" s="1"/>
      <c r="K701" s="1"/>
      <c r="L701" s="1"/>
      <c r="M701" s="1"/>
      <c r="N701" s="1"/>
      <c r="O701" s="1"/>
      <c r="P701" s="1"/>
      <c r="Q701" s="1"/>
      <c r="R701" s="1"/>
      <c r="S701" s="1"/>
      <c r="T701" s="1"/>
      <c r="U701" s="1"/>
      <c r="V701" s="1"/>
      <c r="W701" s="1"/>
      <c r="X701" s="1"/>
      <c r="Y701" s="1"/>
      <c r="Z701" s="1"/>
    </row>
    <row r="702">
      <c r="A702" s="1" t="str">
        <f>IFERROR(__xludf.DUMMYFUNCTION("""COMPUTED_VALUE"""),"Poison Tipped Knife")</f>
        <v>Poison Tipped Knife</v>
      </c>
      <c r="B702" s="1" t="str">
        <f>IFERROR(__xludf.DUMMYFUNCTION("""COMPUTED_VALUE"""),"""It isn't the most graceful end, and it isn't quick by any means... What, you thought I'd defend it?"" ~Gwennivir")</f>
        <v>"It isn't the most graceful end, and it isn't quick by any means... What, you thought I'd defend it?" ~Gwennivir</v>
      </c>
      <c r="C702" s="1" t="str">
        <f>IFERROR(__xludf.DUMMYFUNCTION("""COMPUTED_VALUE"""),"Knife")</f>
        <v>Knife</v>
      </c>
      <c r="D702" s="1" t="str">
        <f>IFERROR(__xludf.DUMMYFUNCTION("""COMPUTED_VALUE"""),"Hand")</f>
        <v>Hand</v>
      </c>
      <c r="E702" s="1">
        <f>IFERROR(__xludf.DUMMYFUNCTION("""COMPUTED_VALUE"""),1000.0)</f>
        <v>1000</v>
      </c>
      <c r="F702" s="1" t="str">
        <f>IFERROR(__xludf.DUMMYFUNCTION("""COMPUTED_VALUE"""),"DMG: +50000 ++Poisoned I: Hitting an enemy with this weapon inflicts 500 poison")</f>
        <v>DMG: +50000 ++Poisoned I: Hitting an enemy with this weapon inflicts 500 poison</v>
      </c>
      <c r="G702" s="1">
        <f>IFERROR(__xludf.DUMMYFUNCTION("""COMPUTED_VALUE"""),4.95E7)</f>
        <v>49500000</v>
      </c>
      <c r="H702" s="1"/>
      <c r="I702" s="1"/>
      <c r="J702" s="1"/>
      <c r="K702" s="1"/>
      <c r="L702" s="1"/>
      <c r="M702" s="1"/>
      <c r="N702" s="1"/>
      <c r="O702" s="1"/>
      <c r="P702" s="1"/>
      <c r="Q702" s="1"/>
      <c r="R702" s="1"/>
      <c r="S702" s="1"/>
      <c r="T702" s="1"/>
      <c r="U702" s="1"/>
      <c r="V702" s="1"/>
      <c r="W702" s="1"/>
      <c r="X702" s="1"/>
      <c r="Y702" s="1"/>
      <c r="Z702" s="1"/>
    </row>
    <row r="703">
      <c r="A703" s="1" t="str">
        <f>IFERROR(__xludf.DUMMYFUNCTION("""COMPUTED_VALUE"""),"Frozen Head-Splitter")</f>
        <v>Frozen Head-Splitter</v>
      </c>
      <c r="B703" s="1" t="str">
        <f>IFERROR(__xludf.DUMMYFUNCTION("""COMPUTED_VALUE"""),"""Those trolls in the northern territories, who do you think taught them how to use those clubs they always carry around? It's as if they simply learned it overnight one day."" ~Mysterious Merchant")</f>
        <v>"Those trolls in the northern territories, who do you think taught them how to use those clubs they always carry around? It's as if they simply learned it overnight one day." ~Mysterious Merchant</v>
      </c>
      <c r="C703" s="1" t="str">
        <f>IFERROR(__xludf.DUMMYFUNCTION("""COMPUTED_VALUE"""),"Club")</f>
        <v>Club</v>
      </c>
      <c r="D703" s="1" t="str">
        <f>IFERROR(__xludf.DUMMYFUNCTION("""COMPUTED_VALUE"""),"Hand")</f>
        <v>Hand</v>
      </c>
      <c r="E703" s="1">
        <f>IFERROR(__xludf.DUMMYFUNCTION("""COMPUTED_VALUE"""),1200.0)</f>
        <v>1200</v>
      </c>
      <c r="F703" s="1" t="str">
        <f>IFERROR(__xludf.DUMMYFUNCTION("""COMPUTED_VALUE"""),"DMG: +50000, Storm DMG: +10000 ++Big Bashin' Stick - 25% chance to stun an enemy upon hitting them for 2 rounds(percent stacks with weapon ability), ++Big Freezin' Stick - 15% chance to freeze an enemy upon hitting them")</f>
        <v>DMG: +50000, Storm DMG: +10000 ++Big Bashin' Stick - 25% chance to stun an enemy upon hitting them for 2 rounds(percent stacks with weapon ability), ++Big Freezin' Stick - 15% chance to freeze an enemy upon hitting them</v>
      </c>
      <c r="G703" s="1">
        <f>IFERROR(__xludf.DUMMYFUNCTION("""COMPUTED_VALUE"""),7.14E7)</f>
        <v>71400000</v>
      </c>
      <c r="H703" s="1"/>
      <c r="I703" s="1"/>
      <c r="J703" s="1"/>
      <c r="K703" s="1"/>
      <c r="L703" s="1"/>
      <c r="M703" s="1"/>
      <c r="N703" s="1"/>
      <c r="O703" s="1"/>
      <c r="P703" s="1"/>
      <c r="Q703" s="1"/>
      <c r="R703" s="1"/>
      <c r="S703" s="1"/>
      <c r="T703" s="1"/>
      <c r="U703" s="1"/>
      <c r="V703" s="1"/>
      <c r="W703" s="1"/>
      <c r="X703" s="1"/>
      <c r="Y703" s="1"/>
      <c r="Z703" s="1"/>
    </row>
    <row r="704">
      <c r="A704" s="1" t="str">
        <f>IFERROR(__xludf.DUMMYFUNCTION("""COMPUTED_VALUE"""),"Fireball Cannon")</f>
        <v>Fireball Cannon</v>
      </c>
      <c r="B704" s="1" t="str">
        <f>IFERROR(__xludf.DUMMYFUNCTION("""COMPUTED_VALUE"""),"""Sometimes fire is the only answer to the question,"" ~Gwennivir")</f>
        <v>"Sometimes fire is the only answer to the question," ~Gwennivir</v>
      </c>
      <c r="C704" s="1" t="str">
        <f>IFERROR(__xludf.DUMMYFUNCTION("""COMPUTED_VALUE"""),"Firearm")</f>
        <v>Firearm</v>
      </c>
      <c r="D704" s="1" t="str">
        <f>IFERROR(__xludf.DUMMYFUNCTION("""COMPUTED_VALUE"""),"BoatGun")</f>
        <v>BoatGun</v>
      </c>
      <c r="E704" s="1">
        <f>IFERROR(__xludf.DUMMYFUNCTION("""COMPUTED_VALUE"""),1000.0)</f>
        <v>1000</v>
      </c>
      <c r="F704" s="1" t="str">
        <f>IFERROR(__xludf.DUMMYFUNCTION("""COMPUTED_VALUE"""),"DMG: +30000, Fire DMG: +20000 ++Burn 10,000. ++Requires Fire Cannon Balls")</f>
        <v>DMG: +30000, Fire DMG: +20000 ++Burn 10,000. ++Requires Fire Cannon Balls</v>
      </c>
      <c r="G704" s="1">
        <f>IFERROR(__xludf.DUMMYFUNCTION("""COMPUTED_VALUE"""),4.95E7)</f>
        <v>49500000</v>
      </c>
      <c r="H704" s="1"/>
      <c r="I704" s="1"/>
      <c r="J704" s="1"/>
      <c r="K704" s="1"/>
      <c r="L704" s="1"/>
      <c r="M704" s="1"/>
      <c r="N704" s="1"/>
      <c r="O704" s="1"/>
      <c r="P704" s="1"/>
      <c r="Q704" s="1"/>
      <c r="R704" s="1"/>
      <c r="S704" s="1"/>
      <c r="T704" s="1"/>
      <c r="U704" s="1"/>
      <c r="V704" s="1"/>
      <c r="W704" s="1"/>
      <c r="X704" s="1"/>
      <c r="Y704" s="1"/>
      <c r="Z704" s="1"/>
    </row>
    <row r="705">
      <c r="A705" s="1" t="str">
        <f>IFERROR(__xludf.DUMMYFUNCTION("""COMPUTED_VALUE"""),"Harpoon Gun")</f>
        <v>Harpoon Gun</v>
      </c>
      <c r="B705" s="1" t="str">
        <f>IFERROR(__xludf.DUMMYFUNCTION("""COMPUTED_VALUE"""),"""You could use this for whaling and shark hunting, or you could use it to catch a few pirates, I don't judge,"" ~Gwennivir")</f>
        <v>"You could use this for whaling and shark hunting, or you could use it to catch a few pirates, I don't judge," ~Gwennivir</v>
      </c>
      <c r="C705" s="1" t="str">
        <f>IFERROR(__xludf.DUMMYFUNCTION("""COMPUTED_VALUE"""),"Spear")</f>
        <v>Spear</v>
      </c>
      <c r="D705" s="1" t="str">
        <f>IFERROR(__xludf.DUMMYFUNCTION("""COMPUTED_VALUE"""),"BoatGun")</f>
        <v>BoatGun</v>
      </c>
      <c r="E705" s="1">
        <f>IFERROR(__xludf.DUMMYFUNCTION("""COMPUTED_VALUE"""),400.0)</f>
        <v>400</v>
      </c>
      <c r="F705" s="1" t="str">
        <f>IFERROR(__xludf.DUMMYFUNCTION("""COMPUTED_VALUE"""),"DMG: +10000, Blood DMG: +10000 ++Bleed 10,000. ")</f>
        <v>DMG: +10000, Blood DMG: +10000 ++Bleed 10,000. </v>
      </c>
      <c r="G705" s="1">
        <f>IFERROR(__xludf.DUMMYFUNCTION("""COMPUTED_VALUE"""),7800000.0)</f>
        <v>7800000</v>
      </c>
      <c r="H705" s="1"/>
      <c r="I705" s="1"/>
      <c r="J705" s="1"/>
      <c r="K705" s="1"/>
      <c r="L705" s="1"/>
      <c r="M705" s="1"/>
      <c r="N705" s="1"/>
      <c r="O705" s="1"/>
      <c r="P705" s="1"/>
      <c r="Q705" s="1"/>
      <c r="R705" s="1"/>
      <c r="S705" s="1"/>
      <c r="T705" s="1"/>
      <c r="U705" s="1"/>
      <c r="V705" s="1"/>
      <c r="W705" s="1"/>
      <c r="X705" s="1"/>
      <c r="Y705" s="1"/>
      <c r="Z705" s="1"/>
    </row>
    <row r="706">
      <c r="A706" s="1" t="str">
        <f>IFERROR(__xludf.DUMMYFUNCTION("""COMPUTED_VALUE"""),"Torpedo Launcher")</f>
        <v>Torpedo Launcher</v>
      </c>
      <c r="B706" s="1" t="str">
        <f>IFERROR(__xludf.DUMMYFUNCTION("""COMPUTED_VALUE"""),"""Sometimes you need a little more bang for your buck, in those times you need a torpedo,"" ~Gwennivir")</f>
        <v>"Sometimes you need a little more bang for your buck, in those times you need a torpedo," ~Gwennivir</v>
      </c>
      <c r="C706" s="1" t="str">
        <f>IFERROR(__xludf.DUMMYFUNCTION("""COMPUTED_VALUE"""),"Firearm")</f>
        <v>Firearm</v>
      </c>
      <c r="D706" s="1" t="str">
        <f>IFERROR(__xludf.DUMMYFUNCTION("""COMPUTED_VALUE"""),"BoatGun")</f>
        <v>BoatGun</v>
      </c>
      <c r="E706" s="1">
        <f>IFERROR(__xludf.DUMMYFUNCTION("""COMPUTED_VALUE"""),1000.0)</f>
        <v>1000</v>
      </c>
      <c r="F706" s="1" t="str">
        <f>IFERROR(__xludf.DUMMYFUNCTION("""COMPUTED_VALUE"""),"DMG: +50000 ++ Requires Torpedos")</f>
        <v>DMG: +50000 ++ Requires Torpedos</v>
      </c>
      <c r="G706" s="1">
        <f>IFERROR(__xludf.DUMMYFUNCTION("""COMPUTED_VALUE"""),4.95E7)</f>
        <v>49500000</v>
      </c>
      <c r="H706" s="1"/>
      <c r="I706" s="1"/>
      <c r="J706" s="1"/>
      <c r="K706" s="1"/>
      <c r="L706" s="1"/>
      <c r="M706" s="1"/>
      <c r="N706" s="1"/>
      <c r="O706" s="1"/>
      <c r="P706" s="1"/>
      <c r="Q706" s="1"/>
      <c r="R706" s="1"/>
      <c r="S706" s="1"/>
      <c r="T706" s="1"/>
      <c r="U706" s="1"/>
      <c r="V706" s="1"/>
      <c r="W706" s="1"/>
      <c r="X706" s="1"/>
      <c r="Y706" s="1"/>
      <c r="Z706" s="1"/>
    </row>
    <row r="707">
      <c r="A707" s="1" t="str">
        <f>IFERROR(__xludf.DUMMYFUNCTION("""COMPUTED_VALUE"""),"Double Barrel Shotgun")</f>
        <v>Double Barrel Shotgun</v>
      </c>
      <c r="B707" s="1" t="str">
        <f>IFERROR(__xludf.DUMMYFUNCTION("""COMPUTED_VALUE"""),"""Because what's better than one barrel? Two,"" ~Gwennivir")</f>
        <v>"Because what's better than one barrel? Two," ~Gwennivir</v>
      </c>
      <c r="C707" s="1" t="str">
        <f>IFERROR(__xludf.DUMMYFUNCTION("""COMPUTED_VALUE"""),"Firearm")</f>
        <v>Firearm</v>
      </c>
      <c r="D707" s="1" t="str">
        <f>IFERROR(__xludf.DUMMYFUNCTION("""COMPUTED_VALUE"""),"Hand")</f>
        <v>Hand</v>
      </c>
      <c r="E707" s="1">
        <f>IFERROR(__xludf.DUMMYFUNCTION("""COMPUTED_VALUE"""),800.0)</f>
        <v>800</v>
      </c>
      <c r="F707" s="1" t="str">
        <f>IFERROR(__xludf.DUMMYFUNCTION("""COMPUTED_VALUE"""),"DMG: +20000, Blood DMG: +20000 ++You can use this Firearm twice on your turn during battle if you attack with it +-Cannot be forged +-Cannot be duplicated")</f>
        <v>DMG: +20000, Blood DMG: +20000 ++You can use this Firearm twice on your turn during battle if you attack with it +-Cannot be forged +-Cannot be duplicated</v>
      </c>
      <c r="G707" s="1">
        <f>IFERROR(__xludf.DUMMYFUNCTION("""COMPUTED_VALUE"""),3.16E7)</f>
        <v>31600000</v>
      </c>
      <c r="H707" s="1"/>
      <c r="I707" s="1"/>
      <c r="J707" s="1"/>
      <c r="K707" s="1"/>
      <c r="L707" s="1"/>
      <c r="M707" s="1"/>
      <c r="N707" s="1"/>
      <c r="O707" s="1"/>
      <c r="P707" s="1"/>
      <c r="Q707" s="1"/>
      <c r="R707" s="1"/>
      <c r="S707" s="1"/>
      <c r="T707" s="1"/>
      <c r="U707" s="1"/>
      <c r="V707" s="1"/>
      <c r="W707" s="1"/>
      <c r="X707" s="1"/>
      <c r="Y707" s="1"/>
      <c r="Z707" s="1"/>
    </row>
    <row r="708">
      <c r="A708" s="1" t="str">
        <f>IFERROR(__xludf.DUMMYFUNCTION("""COMPUTED_VALUE"""),"Single Barrel Shotgun")</f>
        <v>Single Barrel Shotgun</v>
      </c>
      <c r="B708" s="1" t="str">
        <f>IFERROR(__xludf.DUMMYFUNCTION("""COMPUTED_VALUE"""),"""For when you want to put more than one hole in your enemies at a time"" ~Gwennivir")</f>
        <v>"For when you want to put more than one hole in your enemies at a time" ~Gwennivir</v>
      </c>
      <c r="C708" s="1" t="str">
        <f>IFERROR(__xludf.DUMMYFUNCTION("""COMPUTED_VALUE"""),"Firearm")</f>
        <v>Firearm</v>
      </c>
      <c r="D708" s="1" t="str">
        <f>IFERROR(__xludf.DUMMYFUNCTION("""COMPUTED_VALUE"""),"Hand")</f>
        <v>Hand</v>
      </c>
      <c r="E708" s="1">
        <f>IFERROR(__xludf.DUMMYFUNCTION("""COMPUTED_VALUE"""),400.0)</f>
        <v>400</v>
      </c>
      <c r="F708" s="1" t="str">
        <f>IFERROR(__xludf.DUMMYFUNCTION("""COMPUTED_VALUE"""),"DMG: +10000, Blood DMG: +10000")</f>
        <v>DMG: +10000, Blood DMG: +10000</v>
      </c>
      <c r="G708" s="1">
        <f>IFERROR(__xludf.DUMMYFUNCTION("""COMPUTED_VALUE"""),7800000.0)</f>
        <v>7800000</v>
      </c>
      <c r="H708" s="1"/>
      <c r="I708" s="1"/>
      <c r="J708" s="1"/>
      <c r="K708" s="1"/>
      <c r="L708" s="1"/>
      <c r="M708" s="1"/>
      <c r="N708" s="1"/>
      <c r="O708" s="1"/>
      <c r="P708" s="1"/>
      <c r="Q708" s="1"/>
      <c r="R708" s="1"/>
      <c r="S708" s="1"/>
      <c r="T708" s="1"/>
      <c r="U708" s="1"/>
      <c r="V708" s="1"/>
      <c r="W708" s="1"/>
      <c r="X708" s="1"/>
      <c r="Y708" s="1"/>
      <c r="Z708" s="1"/>
    </row>
    <row r="709">
      <c r="A709" s="1" t="str">
        <f>IFERROR(__xludf.DUMMYFUNCTION("""COMPUTED_VALUE"""),"Poison Staff")</f>
        <v>Poison Staff</v>
      </c>
      <c r="B709" s="1" t="str">
        <f>IFERROR(__xludf.DUMMYFUNCTION("""COMPUTED_VALUE"""),"""Poison is generally looked down upon as a cowardly tactic by all but the poison master, but you must admit to it's efficieny"" ~Poison Master Hun")</f>
        <v>"Poison is generally looked down upon as a cowardly tactic by all but the poison master, but you must admit to it's efficieny" ~Poison Master Hun</v>
      </c>
      <c r="C709" s="1" t="str">
        <f>IFERROR(__xludf.DUMMYFUNCTION("""COMPUTED_VALUE"""),"Staff")</f>
        <v>Staff</v>
      </c>
      <c r="D709" s="1" t="str">
        <f>IFERROR(__xludf.DUMMYFUNCTION("""COMPUTED_VALUE"""),"Hand")</f>
        <v>Hand</v>
      </c>
      <c r="E709" s="1">
        <f>IFERROR(__xludf.DUMMYFUNCTION("""COMPUTED_VALUE"""),2000.0)</f>
        <v>2000</v>
      </c>
      <c r="F709" s="1" t="str">
        <f>IFERROR(__xludf.DUMMYFUNCTION("""COMPUTED_VALUE"""),", Nature DMG: +100000 ++ Poison 20,000")</f>
        <v>, Nature DMG: +100000 ++ Poison 20,000</v>
      </c>
      <c r="G709" s="1">
        <f>IFERROR(__xludf.DUMMYFUNCTION("""COMPUTED_VALUE"""),1.99E8)</f>
        <v>199000000</v>
      </c>
      <c r="H709" s="1"/>
      <c r="I709" s="1"/>
      <c r="J709" s="1"/>
      <c r="K709" s="1"/>
      <c r="L709" s="1"/>
      <c r="M709" s="1"/>
      <c r="N709" s="1"/>
      <c r="O709" s="1"/>
      <c r="P709" s="1"/>
      <c r="Q709" s="1"/>
      <c r="R709" s="1"/>
      <c r="S709" s="1"/>
      <c r="T709" s="1"/>
      <c r="U709" s="1"/>
      <c r="V709" s="1"/>
      <c r="W709" s="1"/>
      <c r="X709" s="1"/>
      <c r="Y709" s="1"/>
      <c r="Z709" s="1"/>
    </row>
    <row r="710">
      <c r="A710" s="1" t="str">
        <f>IFERROR(__xludf.DUMMYFUNCTION("""COMPUTED_VALUE"""),"Chameldrians Staff of Thriving Blossoms")</f>
        <v>Chameldrians Staff of Thriving Blossoms</v>
      </c>
      <c r="B710" s="1" t="str">
        <f>IFERROR(__xludf.DUMMYFUNCTION("""COMPUTED_VALUE"""),"""Truly a beatiful show of Chameldrian craftsmanship, too bad it's more often than not going to be pointed at you"" ~Poison Master Hun")</f>
        <v>"Truly a beatiful show of Chameldrian craftsmanship, too bad it's more often than not going to be pointed at you" ~Poison Master Hun</v>
      </c>
      <c r="C710" s="1" t="str">
        <f>IFERROR(__xludf.DUMMYFUNCTION("""COMPUTED_VALUE"""),"Staff")</f>
        <v>Staff</v>
      </c>
      <c r="D710" s="1" t="str">
        <f>IFERROR(__xludf.DUMMYFUNCTION("""COMPUTED_VALUE"""),"Hand")</f>
        <v>Hand</v>
      </c>
      <c r="E710" s="1">
        <f>IFERROR(__xludf.DUMMYFUNCTION("""COMPUTED_VALUE"""),2000.0)</f>
        <v>2000</v>
      </c>
      <c r="F710" s="1" t="str">
        <f>IFERROR(__xludf.DUMMYFUNCTION("""COMPUTED_VALUE"""),", Nature : +100000 ++Natures Shield - If you take damage that would kill you, you will live at 1hp once per battle. +-Cannot be forged. +-Cannot be duplicated.")</f>
        <v>, Nature : +100000 ++Natures Shield - If you take damage that would kill you, you will live at 1hp once per battle. +-Cannot be forged. +-Cannot be duplicated.</v>
      </c>
      <c r="G710" s="1">
        <f>IFERROR(__xludf.DUMMYFUNCTION("""COMPUTED_VALUE"""),1.99E8)</f>
        <v>199000000</v>
      </c>
      <c r="H710" s="1"/>
      <c r="I710" s="1"/>
      <c r="J710" s="1"/>
      <c r="K710" s="1"/>
      <c r="L710" s="1"/>
      <c r="M710" s="1"/>
      <c r="N710" s="1"/>
      <c r="O710" s="1"/>
      <c r="P710" s="1"/>
      <c r="Q710" s="1"/>
      <c r="R710" s="1"/>
      <c r="S710" s="1"/>
      <c r="T710" s="1"/>
      <c r="U710" s="1"/>
      <c r="V710" s="1"/>
      <c r="W710" s="1"/>
      <c r="X710" s="1"/>
      <c r="Y710" s="1"/>
      <c r="Z710" s="1"/>
    </row>
    <row r="711">
      <c r="A711" s="1" t="str">
        <f>IFERROR(__xludf.DUMMYFUNCTION("""COMPUTED_VALUE"""),"Cooper's Memento")</f>
        <v>Cooper's Memento</v>
      </c>
      <c r="B711" s="1" t="str">
        <f>IFERROR(__xludf.DUMMYFUNCTION("""COMPUTED_VALUE"""),"A small stopwatch, the ticking has stopped.")</f>
        <v>A small stopwatch, the ticking has stopped.</v>
      </c>
      <c r="C711" s="1" t="str">
        <f>IFERROR(__xludf.DUMMYFUNCTION("""COMPUTED_VALUE"""),"Item")</f>
        <v>Item</v>
      </c>
      <c r="D711" s="1" t="str">
        <f>IFERROR(__xludf.DUMMYFUNCTION("""COMPUTED_VALUE"""),"Arms")</f>
        <v>Arms</v>
      </c>
      <c r="E711" s="1">
        <f>IFERROR(__xludf.DUMMYFUNCTION("""COMPUTED_VALUE"""),1.0)</f>
        <v>1</v>
      </c>
      <c r="F711" s="1" t="str">
        <f>IFERROR(__xludf.DUMMYFUNCTION("""COMPUTED_VALUE""")," ++15% chance to be unaffected by a curse")</f>
        <v> ++15% chance to be unaffected by a curse</v>
      </c>
      <c r="G711" s="1">
        <f>IFERROR(__xludf.DUMMYFUNCTION("""COMPUTED_VALUE"""),0.0)</f>
        <v>0</v>
      </c>
      <c r="H711" s="1"/>
      <c r="I711" s="1"/>
      <c r="J711" s="1"/>
      <c r="K711" s="1"/>
      <c r="L711" s="1"/>
      <c r="M711" s="1"/>
      <c r="N711" s="1"/>
      <c r="O711" s="1"/>
      <c r="P711" s="1"/>
      <c r="Q711" s="1"/>
      <c r="R711" s="1"/>
      <c r="S711" s="1"/>
      <c r="T711" s="1"/>
      <c r="U711" s="1"/>
      <c r="V711" s="1"/>
      <c r="W711" s="1"/>
      <c r="X711" s="1"/>
      <c r="Y711" s="1"/>
      <c r="Z711" s="1"/>
    </row>
    <row r="712">
      <c r="A712" s="1" t="str">
        <f>IFERROR(__xludf.DUMMYFUNCTION("""COMPUTED_VALUE"""),"Gaian Champion's Shield")</f>
        <v>Gaian Champion's Shield</v>
      </c>
      <c r="B712" s="1" t="str">
        <f>IFERROR(__xludf.DUMMYFUNCTION("""COMPUTED_VALUE"""),"""We are born to be the shield of the people, too many paladins forget this simple fact"" ~Grisaia")</f>
        <v>"We are born to be the shield of the people, too many paladins forget this simple fact" ~Grisaia</v>
      </c>
      <c r="C712" s="1" t="str">
        <f>IFERROR(__xludf.DUMMYFUNCTION("""COMPUTED_VALUE"""),"Towershield")</f>
        <v>Towershield</v>
      </c>
      <c r="D712" s="1" t="str">
        <f>IFERROR(__xludf.DUMMYFUNCTION("""COMPUTED_VALUE"""),"Hand")</f>
        <v>Hand</v>
      </c>
      <c r="E712" s="1">
        <f>IFERROR(__xludf.DUMMYFUNCTION("""COMPUTED_VALUE"""),200.0)</f>
        <v>200</v>
      </c>
      <c r="F712" s="1" t="str">
        <f>IFERROR(__xludf.DUMMYFUNCTION("""COMPUTED_VALUE"""),"DEF: +50000, Fire DEF: +50000, Storm DEF: +50000, Earth DEF: +50000, Celestial DEF: +50000 ++15% chance to prevent an ally from taking damage when hit by an attack. ++X6 Earth Damage +-Cannot be Duplicated")</f>
        <v>DEF: +50000, Fire DEF: +50000, Storm DEF: +50000, Earth DEF: +50000, Celestial DEF: +50000 ++15% chance to prevent an ally from taking damage when hit by an attack. ++X6 Earth Damage +-Cannot be Duplicated</v>
      </c>
      <c r="G712" s="1">
        <f>IFERROR(__xludf.DUMMYFUNCTION("""COMPUTED_VALUE"""),1.2475E9)</f>
        <v>1247500000</v>
      </c>
      <c r="H712" s="1"/>
      <c r="I712" s="1"/>
      <c r="J712" s="1"/>
      <c r="K712" s="1"/>
      <c r="L712" s="1"/>
      <c r="M712" s="1"/>
      <c r="N712" s="1"/>
      <c r="O712" s="1"/>
      <c r="P712" s="1"/>
      <c r="Q712" s="1"/>
      <c r="R712" s="1"/>
      <c r="S712" s="1"/>
      <c r="T712" s="1"/>
      <c r="U712" s="1"/>
      <c r="V712" s="1"/>
      <c r="W712" s="1"/>
      <c r="X712" s="1"/>
      <c r="Y712" s="1"/>
      <c r="Z712" s="1"/>
    </row>
    <row r="713">
      <c r="A713" s="1" t="str">
        <f>IFERROR(__xludf.DUMMYFUNCTION("""COMPUTED_VALUE"""),"The Billowing Bludgeon")</f>
        <v>The Billowing Bludgeon</v>
      </c>
      <c r="B713" s="1" t="str">
        <f>IFERROR(__xludf.DUMMYFUNCTION("""COMPUTED_VALUE"""),"""Sure, you could use this as how a staff is supposed to be used, but hitting your enemy on the head with it is more fun"" ~Fire Tiki Mountain Shaman")</f>
        <v>"Sure, you could use this as how a staff is supposed to be used, but hitting your enemy on the head with it is more fun" ~Fire Tiki Mountain Shaman</v>
      </c>
      <c r="C713" s="1" t="str">
        <f>IFERROR(__xludf.DUMMYFUNCTION("""COMPUTED_VALUE"""),"Staff")</f>
        <v>Staff</v>
      </c>
      <c r="D713" s="1" t="str">
        <f>IFERROR(__xludf.DUMMYFUNCTION("""COMPUTED_VALUE"""),"Hand")</f>
        <v>Hand</v>
      </c>
      <c r="E713" s="1">
        <f>IFERROR(__xludf.DUMMYFUNCTION("""COMPUTED_VALUE"""),200.0)</f>
        <v>200</v>
      </c>
      <c r="F713" s="1" t="str">
        <f>IFERROR(__xludf.DUMMYFUNCTION("""COMPUTED_VALUE"""),"DMG: +75000, Fire DMG: +75000, Earth DMG: +75000, Celestial DMG: +75000 ++X6 Earth and Fire damage. ++Additional X6 Earth and Fire damage if the enemy is Vulerable to either damage type. ++Billowing Smoke - Cover the field in smoke and flames giving enemi"&amp;"es Blindness 3 and Burn 5000 for 3 rounds. 1000 sp")</f>
        <v>DMG: +75000, Fire DMG: +75000, Earth DMG: +75000, Celestial DMG: +75000 ++X6 Earth and Fire damage. ++Additional X6 Earth and Fire damage if the enemy is Vulerable to either damage type. ++Billowing Smoke - Cover the field in smoke and flames giving enemies Blindness 3 and Burn 5000 for 3 rounds. 1000 sp</v>
      </c>
      <c r="G713" s="1">
        <f>IFERROR(__xludf.DUMMYFUNCTION("""COMPUTED_VALUE"""),1.797E9)</f>
        <v>1797000000</v>
      </c>
      <c r="H713" s="1"/>
      <c r="I713" s="1"/>
      <c r="J713" s="1"/>
      <c r="K713" s="1"/>
      <c r="L713" s="1"/>
      <c r="M713" s="1"/>
      <c r="N713" s="1"/>
      <c r="O713" s="1"/>
      <c r="P713" s="1"/>
      <c r="Q713" s="1"/>
      <c r="R713" s="1"/>
      <c r="S713" s="1"/>
      <c r="T713" s="1"/>
      <c r="U713" s="1"/>
      <c r="V713" s="1"/>
      <c r="W713" s="1"/>
      <c r="X713" s="1"/>
      <c r="Y713" s="1"/>
      <c r="Z713" s="1"/>
    </row>
    <row r="714">
      <c r="A714" s="1" t="str">
        <f>IFERROR(__xludf.DUMMYFUNCTION("""COMPUTED_VALUE"""),"Home Run Bat")</f>
        <v>Home Run Bat</v>
      </c>
      <c r="B714" s="1"/>
      <c r="C714" s="1" t="str">
        <f>IFERROR(__xludf.DUMMYFUNCTION("""COMPUTED_VALUE"""),"Club")</f>
        <v>Club</v>
      </c>
      <c r="D714" s="1" t="str">
        <f>IFERROR(__xludf.DUMMYFUNCTION("""COMPUTED_VALUE"""),"Hand")</f>
        <v>Hand</v>
      </c>
      <c r="E714" s="1">
        <f>IFERROR(__xludf.DUMMYFUNCTION("""COMPUTED_VALUE"""),200.0)</f>
        <v>200</v>
      </c>
      <c r="F714" s="1" t="str">
        <f>IFERROR(__xludf.DUMMYFUNCTION("""COMPUTED_VALUE"""),"DMG: +100000, Celestial DMG: +100000 ++Batter Up! - Plus 2 to turn order roll. ++Home Run - If you roll a 20 or higher while attacking with this weapon the attack roll becomes double. +-Cannot be forged. +-Cannot be duplicated.")</f>
        <v>DMG: +100000, Celestial DMG: +100000 ++Batter Up! - Plus 2 to turn order roll. ++Home Run - If you roll a 20 or higher while attacking with this weapon the attack roll becomes double. +-Cannot be forged. +-Cannot be duplicated.</v>
      </c>
      <c r="G714" s="1">
        <f>IFERROR(__xludf.DUMMYFUNCTION("""COMPUTED_VALUE"""),7.98E8)</f>
        <v>798000000</v>
      </c>
      <c r="H714" s="1"/>
      <c r="I714" s="1"/>
      <c r="J714" s="1"/>
      <c r="K714" s="1"/>
      <c r="L714" s="1"/>
      <c r="M714" s="1"/>
      <c r="N714" s="1"/>
      <c r="O714" s="1"/>
      <c r="P714" s="1"/>
      <c r="Q714" s="1"/>
      <c r="R714" s="1"/>
      <c r="S714" s="1"/>
      <c r="T714" s="1"/>
      <c r="U714" s="1"/>
      <c r="V714" s="1"/>
      <c r="W714" s="1"/>
      <c r="X714" s="1"/>
      <c r="Y714" s="1"/>
      <c r="Z714" s="1"/>
    </row>
    <row r="715">
      <c r="A715" s="1" t="str">
        <f>IFERROR(__xludf.DUMMYFUNCTION("""COMPUTED_VALUE"""),"Lunar New Year Dragon Head")</f>
        <v>Lunar New Year Dragon Head</v>
      </c>
      <c r="B715" s="1"/>
      <c r="C715" s="1" t="str">
        <f>IFERROR(__xludf.DUMMYFUNCTION("""COMPUTED_VALUE"""),"Item")</f>
        <v>Item</v>
      </c>
      <c r="D715" s="1" t="str">
        <f>IFERROR(__xludf.DUMMYFUNCTION("""COMPUTED_VALUE"""),"Head")</f>
        <v>Head</v>
      </c>
      <c r="E715" s="1">
        <f>IFERROR(__xludf.DUMMYFUNCTION("""COMPUTED_VALUE"""),200.0)</f>
        <v>200</v>
      </c>
      <c r="F715" s="1" t="str">
        <f>IFERROR(__xludf.DUMMYFUNCTION("""COMPUTED_VALUE"""),"DEF: +25000, Fire DEF: +25000, Celestial DEF: +25000 ++Gain ""Greater Dragon's Breath"" Power. ++X2 additional Fire Damage.")</f>
        <v>DEF: +25000, Fire DEF: +25000, Celestial DEF: +25000 ++Gain "Greater Dragon's Breath" Power. ++X2 additional Fire Damage.</v>
      </c>
      <c r="G715" s="1">
        <f>IFERROR(__xludf.DUMMYFUNCTION("""COMPUTED_VALUE"""),1.1175E8)</f>
        <v>111750000</v>
      </c>
      <c r="H715" s="1"/>
      <c r="I715" s="1"/>
      <c r="J715" s="1"/>
      <c r="K715" s="1"/>
      <c r="L715" s="1"/>
      <c r="M715" s="1"/>
      <c r="N715" s="1"/>
      <c r="O715" s="1"/>
      <c r="P715" s="1"/>
      <c r="Q715" s="1"/>
      <c r="R715" s="1"/>
      <c r="S715" s="1"/>
      <c r="T715" s="1"/>
      <c r="U715" s="1"/>
      <c r="V715" s="1"/>
      <c r="W715" s="1"/>
      <c r="X715" s="1"/>
      <c r="Y715" s="1"/>
      <c r="Z715" s="1"/>
    </row>
    <row r="716">
      <c r="A716" s="1" t="str">
        <f>IFERROR(__xludf.DUMMYFUNCTION("""COMPUTED_VALUE"""),"Lunar New Year Dragon Shoulders")</f>
        <v>Lunar New Year Dragon Shoulders</v>
      </c>
      <c r="B716" s="1"/>
      <c r="C716" s="1" t="str">
        <f>IFERROR(__xludf.DUMMYFUNCTION("""COMPUTED_VALUE"""),"Item")</f>
        <v>Item</v>
      </c>
      <c r="D716" s="1" t="str">
        <f>IFERROR(__xludf.DUMMYFUNCTION("""COMPUTED_VALUE"""),"Shoulders")</f>
        <v>Shoulders</v>
      </c>
      <c r="E716" s="1">
        <f>IFERROR(__xludf.DUMMYFUNCTION("""COMPUTED_VALUE"""),200.0)</f>
        <v>200</v>
      </c>
      <c r="F716" s="1" t="str">
        <f>IFERROR(__xludf.DUMMYFUNCTION("""COMPUTED_VALUE"""),"DEF: +25000, Fire DEF: +25000, Celestial DEF: +25000 ++X2 additional Fire Damage.")</f>
        <v>DEF: +25000, Fire DEF: +25000, Celestial DEF: +25000 ++X2 additional Fire Damage.</v>
      </c>
      <c r="G716" s="1">
        <f>IFERROR(__xludf.DUMMYFUNCTION("""COMPUTED_VALUE"""),1.1175E8)</f>
        <v>111750000</v>
      </c>
      <c r="H716" s="1"/>
      <c r="I716" s="1"/>
      <c r="J716" s="1"/>
      <c r="K716" s="1"/>
      <c r="L716" s="1"/>
      <c r="M716" s="1"/>
      <c r="N716" s="1"/>
      <c r="O716" s="1"/>
      <c r="P716" s="1"/>
      <c r="Q716" s="1"/>
      <c r="R716" s="1"/>
      <c r="S716" s="1"/>
      <c r="T716" s="1"/>
      <c r="U716" s="1"/>
      <c r="V716" s="1"/>
      <c r="W716" s="1"/>
      <c r="X716" s="1"/>
      <c r="Y716" s="1"/>
      <c r="Z716" s="1"/>
    </row>
    <row r="717">
      <c r="A717" s="1" t="str">
        <f>IFERROR(__xludf.DUMMYFUNCTION("""COMPUTED_VALUE"""),"Lunar New Year Dragon Arms")</f>
        <v>Lunar New Year Dragon Arms</v>
      </c>
      <c r="B717" s="1"/>
      <c r="C717" s="1" t="str">
        <f>IFERROR(__xludf.DUMMYFUNCTION("""COMPUTED_VALUE"""),"Item")</f>
        <v>Item</v>
      </c>
      <c r="D717" s="1" t="str">
        <f>IFERROR(__xludf.DUMMYFUNCTION("""COMPUTED_VALUE"""),"Arms")</f>
        <v>Arms</v>
      </c>
      <c r="E717" s="1">
        <f>IFERROR(__xludf.DUMMYFUNCTION("""COMPUTED_VALUE"""),200.0)</f>
        <v>200</v>
      </c>
      <c r="F717" s="1" t="str">
        <f>IFERROR(__xludf.DUMMYFUNCTION("""COMPUTED_VALUE"""),"DEF: +25000, Fire DEF: +25000, Celestial DEF: +25000 ++X2 additional Fire Damage.")</f>
        <v>DEF: +25000, Fire DEF: +25000, Celestial DEF: +25000 ++X2 additional Fire Damage.</v>
      </c>
      <c r="G717" s="1">
        <f>IFERROR(__xludf.DUMMYFUNCTION("""COMPUTED_VALUE"""),1.1175E8)</f>
        <v>111750000</v>
      </c>
      <c r="H717" s="1"/>
      <c r="I717" s="1"/>
      <c r="J717" s="1"/>
      <c r="K717" s="1"/>
      <c r="L717" s="1"/>
      <c r="M717" s="1"/>
      <c r="N717" s="1"/>
      <c r="O717" s="1"/>
      <c r="P717" s="1"/>
      <c r="Q717" s="1"/>
      <c r="R717" s="1"/>
      <c r="S717" s="1"/>
      <c r="T717" s="1"/>
      <c r="U717" s="1"/>
      <c r="V717" s="1"/>
      <c r="W717" s="1"/>
      <c r="X717" s="1"/>
      <c r="Y717" s="1"/>
      <c r="Z717" s="1"/>
    </row>
    <row r="718">
      <c r="A718" s="1" t="str">
        <f>IFERROR(__xludf.DUMMYFUNCTION("""COMPUTED_VALUE"""),"Lunar New Year Dragon Torso")</f>
        <v>Lunar New Year Dragon Torso</v>
      </c>
      <c r="B718" s="1"/>
      <c r="C718" s="1" t="str">
        <f>IFERROR(__xludf.DUMMYFUNCTION("""COMPUTED_VALUE"""),"Item")</f>
        <v>Item</v>
      </c>
      <c r="D718" s="1" t="str">
        <f>IFERROR(__xludf.DUMMYFUNCTION("""COMPUTED_VALUE"""),"Torso")</f>
        <v>Torso</v>
      </c>
      <c r="E718" s="1">
        <f>IFERROR(__xludf.DUMMYFUNCTION("""COMPUTED_VALUE"""),200.0)</f>
        <v>200</v>
      </c>
      <c r="F718" s="1" t="str">
        <f>IFERROR(__xludf.DUMMYFUNCTION("""COMPUTED_VALUE"""),"DEF: +25000, Fire DEF: +25000, Celestial DEF: +25000 ++X2 additional Fire Damage.")</f>
        <v>DEF: +25000, Fire DEF: +25000, Celestial DEF: +25000 ++X2 additional Fire Damage.</v>
      </c>
      <c r="G718" s="1">
        <f>IFERROR(__xludf.DUMMYFUNCTION("""COMPUTED_VALUE"""),1.1175E8)</f>
        <v>111750000</v>
      </c>
      <c r="H718" s="1"/>
      <c r="I718" s="1"/>
      <c r="J718" s="1"/>
      <c r="K718" s="1"/>
      <c r="L718" s="1"/>
      <c r="M718" s="1"/>
      <c r="N718" s="1"/>
      <c r="O718" s="1"/>
      <c r="P718" s="1"/>
      <c r="Q718" s="1"/>
      <c r="R718" s="1"/>
      <c r="S718" s="1"/>
      <c r="T718" s="1"/>
      <c r="U718" s="1"/>
      <c r="V718" s="1"/>
      <c r="W718" s="1"/>
      <c r="X718" s="1"/>
      <c r="Y718" s="1"/>
      <c r="Z718" s="1"/>
    </row>
    <row r="719">
      <c r="A719" s="1" t="str">
        <f>IFERROR(__xludf.DUMMYFUNCTION("""COMPUTED_VALUE"""),"Lunar New Year Dragon Legs")</f>
        <v>Lunar New Year Dragon Legs</v>
      </c>
      <c r="B719" s="1"/>
      <c r="C719" s="1" t="str">
        <f>IFERROR(__xludf.DUMMYFUNCTION("""COMPUTED_VALUE"""),"Item")</f>
        <v>Item</v>
      </c>
      <c r="D719" s="1" t="str">
        <f>IFERROR(__xludf.DUMMYFUNCTION("""COMPUTED_VALUE"""),"Legs")</f>
        <v>Legs</v>
      </c>
      <c r="E719" s="1">
        <f>IFERROR(__xludf.DUMMYFUNCTION("""COMPUTED_VALUE"""),200.0)</f>
        <v>200</v>
      </c>
      <c r="F719" s="1" t="str">
        <f>IFERROR(__xludf.DUMMYFUNCTION("""COMPUTED_VALUE"""),"DEF: +25000, Fire DEF: +25000, Celestial DEF: +25000 ++X2 additional Fire Damage.")</f>
        <v>DEF: +25000, Fire DEF: +25000, Celestial DEF: +25000 ++X2 additional Fire Damage.</v>
      </c>
      <c r="G719" s="1">
        <f>IFERROR(__xludf.DUMMYFUNCTION("""COMPUTED_VALUE"""),1.1175E8)</f>
        <v>111750000</v>
      </c>
      <c r="H719" s="1"/>
      <c r="I719" s="1"/>
      <c r="J719" s="1"/>
      <c r="K719" s="1"/>
      <c r="L719" s="1"/>
      <c r="M719" s="1"/>
      <c r="N719" s="1"/>
      <c r="O719" s="1"/>
      <c r="P719" s="1"/>
      <c r="Q719" s="1"/>
      <c r="R719" s="1"/>
      <c r="S719" s="1"/>
      <c r="T719" s="1"/>
      <c r="U719" s="1"/>
      <c r="V719" s="1"/>
      <c r="W719" s="1"/>
      <c r="X719" s="1"/>
      <c r="Y719" s="1"/>
      <c r="Z719" s="1"/>
    </row>
    <row r="720">
      <c r="A720" s="1" t="str">
        <f>IFERROR(__xludf.DUMMYFUNCTION("""COMPUTED_VALUE"""),"Lunar New Year Dragon Feet")</f>
        <v>Lunar New Year Dragon Feet</v>
      </c>
      <c r="B720" s="1"/>
      <c r="C720" s="1" t="str">
        <f>IFERROR(__xludf.DUMMYFUNCTION("""COMPUTED_VALUE"""),"Item")</f>
        <v>Item</v>
      </c>
      <c r="D720" s="1" t="str">
        <f>IFERROR(__xludf.DUMMYFUNCTION("""COMPUTED_VALUE"""),"Feet")</f>
        <v>Feet</v>
      </c>
      <c r="E720" s="1">
        <f>IFERROR(__xludf.DUMMYFUNCTION("""COMPUTED_VALUE"""),200.0)</f>
        <v>200</v>
      </c>
      <c r="F720" s="1" t="str">
        <f>IFERROR(__xludf.DUMMYFUNCTION("""COMPUTED_VALUE"""),"DEF: +25000, Fire DEF: +25000, Celestial DEF: +25000 ++X2 additional Fire Damage.")</f>
        <v>DEF: +25000, Fire DEF: +25000, Celestial DEF: +25000 ++X2 additional Fire Damage.</v>
      </c>
      <c r="G720" s="1">
        <f>IFERROR(__xludf.DUMMYFUNCTION("""COMPUTED_VALUE"""),1.1175E8)</f>
        <v>111750000</v>
      </c>
      <c r="H720" s="1"/>
      <c r="I720" s="1"/>
      <c r="J720" s="1"/>
      <c r="K720" s="1"/>
      <c r="L720" s="1"/>
      <c r="M720" s="1"/>
      <c r="N720" s="1"/>
      <c r="O720" s="1"/>
      <c r="P720" s="1"/>
      <c r="Q720" s="1"/>
      <c r="R720" s="1"/>
      <c r="S720" s="1"/>
      <c r="T720" s="1"/>
      <c r="U720" s="1"/>
      <c r="V720" s="1"/>
      <c r="W720" s="1"/>
      <c r="X720" s="1"/>
      <c r="Y720" s="1"/>
      <c r="Z720" s="1"/>
    </row>
    <row r="721">
      <c r="A721" s="1" t="str">
        <f>IFERROR(__xludf.DUMMYFUNCTION("""COMPUTED_VALUE"""),"Spirit Blade")</f>
        <v>Spirit Blade</v>
      </c>
      <c r="B721" s="1"/>
      <c r="C721" s="1" t="str">
        <f>IFERROR(__xludf.DUMMYFUNCTION("""COMPUTED_VALUE"""),"Sword")</f>
        <v>Sword</v>
      </c>
      <c r="D721" s="1" t="str">
        <f>IFERROR(__xludf.DUMMYFUNCTION("""COMPUTED_VALUE"""),"Hand")</f>
        <v>Hand</v>
      </c>
      <c r="E721" s="1">
        <f>IFERROR(__xludf.DUMMYFUNCTION("""COMPUTED_VALUE"""),600.0)</f>
        <v>600</v>
      </c>
      <c r="F721" s="1" t="str">
        <f>IFERROR(__xludf.DUMMYFUNCTION("""COMPUTED_VALUE"""),"DMG: +20000, Light DMG: +10000")</f>
        <v>DMG: +20000, Light DMG: +10000</v>
      </c>
      <c r="G721" s="1">
        <f>IFERROR(__xludf.DUMMYFUNCTION("""COMPUTED_VALUE"""),1.77E7)</f>
        <v>17700000</v>
      </c>
      <c r="H721" s="1"/>
      <c r="I721" s="1"/>
      <c r="J721" s="1"/>
      <c r="K721" s="1"/>
      <c r="L721" s="1"/>
      <c r="M721" s="1"/>
      <c r="N721" s="1"/>
      <c r="O721" s="1"/>
      <c r="P721" s="1"/>
      <c r="Q721" s="1"/>
      <c r="R721" s="1"/>
      <c r="S721" s="1"/>
      <c r="T721" s="1"/>
      <c r="U721" s="1"/>
      <c r="V721" s="1"/>
      <c r="W721" s="1"/>
      <c r="X721" s="1"/>
      <c r="Y721" s="1"/>
      <c r="Z721" s="1"/>
    </row>
    <row r="722">
      <c r="A722" s="1" t="str">
        <f>IFERROR(__xludf.DUMMYFUNCTION("""COMPUTED_VALUE"""),"Spirit Shield")</f>
        <v>Spirit Shield</v>
      </c>
      <c r="B722" s="1"/>
      <c r="C722" s="1" t="str">
        <f>IFERROR(__xludf.DUMMYFUNCTION("""COMPUTED_VALUE"""),"Buckler")</f>
        <v>Buckler</v>
      </c>
      <c r="D722" s="1" t="str">
        <f>IFERROR(__xludf.DUMMYFUNCTION("""COMPUTED_VALUE"""),"Hand")</f>
        <v>Hand</v>
      </c>
      <c r="E722" s="1">
        <f>IFERROR(__xludf.DUMMYFUNCTION("""COMPUTED_VALUE"""),600.0)</f>
        <v>600</v>
      </c>
      <c r="F722" s="1" t="str">
        <f>IFERROR(__xludf.DUMMYFUNCTION("""COMPUTED_VALUE"""),"DEF: +20000, Light DEF: +10000")</f>
        <v>DEF: +20000, Light DEF: +10000</v>
      </c>
      <c r="G722" s="1">
        <f>IFERROR(__xludf.DUMMYFUNCTION("""COMPUTED_VALUE"""),1.77E7)</f>
        <v>17700000</v>
      </c>
      <c r="H722" s="1"/>
      <c r="I722" s="1"/>
      <c r="J722" s="1"/>
      <c r="K722" s="1"/>
      <c r="L722" s="1"/>
      <c r="M722" s="1"/>
      <c r="N722" s="1"/>
      <c r="O722" s="1"/>
      <c r="P722" s="1"/>
      <c r="Q722" s="1"/>
      <c r="R722" s="1"/>
      <c r="S722" s="1"/>
      <c r="T722" s="1"/>
      <c r="U722" s="1"/>
      <c r="V722" s="1"/>
      <c r="W722" s="1"/>
      <c r="X722" s="1"/>
      <c r="Y722" s="1"/>
      <c r="Z722" s="1"/>
    </row>
    <row r="723">
      <c r="A723" s="1" t="str">
        <f>IFERROR(__xludf.DUMMYFUNCTION("""COMPUTED_VALUE"""),"Mage's Hood")</f>
        <v>Mage's Hood</v>
      </c>
      <c r="B723" s="1"/>
      <c r="C723" s="1" t="str">
        <f>IFERROR(__xludf.DUMMYFUNCTION("""COMPUTED_VALUE"""),"Item")</f>
        <v>Item</v>
      </c>
      <c r="D723" s="1" t="str">
        <f>IFERROR(__xludf.DUMMYFUNCTION("""COMPUTED_VALUE"""),"Head")</f>
        <v>Head</v>
      </c>
      <c r="E723" s="1">
        <f>IFERROR(__xludf.DUMMYFUNCTION("""COMPUTED_VALUE"""),1.0)</f>
        <v>1</v>
      </c>
      <c r="F723" s="1" t="str">
        <f>IFERROR(__xludf.DUMMYFUNCTION("""COMPUTED_VALUE""")," ++5000 additional HP and SP. ++Plus 2 Wisdom. +-Cannot be forged. +-Cannot be duplicateed.")</f>
        <v> ++5000 additional HP and SP. ++Plus 2 Wisdom. +-Cannot be forged. +-Cannot be duplicateed.</v>
      </c>
      <c r="G723" s="1">
        <f>IFERROR(__xludf.DUMMYFUNCTION("""COMPUTED_VALUE"""),0.0)</f>
        <v>0</v>
      </c>
      <c r="H723" s="1"/>
      <c r="I723" s="1"/>
      <c r="J723" s="1"/>
      <c r="K723" s="1"/>
      <c r="L723" s="1"/>
      <c r="M723" s="1"/>
      <c r="N723" s="1"/>
      <c r="O723" s="1"/>
      <c r="P723" s="1"/>
      <c r="Q723" s="1"/>
      <c r="R723" s="1"/>
      <c r="S723" s="1"/>
      <c r="T723" s="1"/>
      <c r="U723" s="1"/>
      <c r="V723" s="1"/>
      <c r="W723" s="1"/>
      <c r="X723" s="1"/>
      <c r="Y723" s="1"/>
      <c r="Z723" s="1"/>
    </row>
    <row r="724">
      <c r="A724" s="1" t="str">
        <f>IFERROR(__xludf.DUMMYFUNCTION("""COMPUTED_VALUE"""),"Mage's Cloak")</f>
        <v>Mage's Cloak</v>
      </c>
      <c r="B724" s="1"/>
      <c r="C724" s="1" t="str">
        <f>IFERROR(__xludf.DUMMYFUNCTION("""COMPUTED_VALUE"""),"Item")</f>
        <v>Item</v>
      </c>
      <c r="D724" s="1" t="str">
        <f>IFERROR(__xludf.DUMMYFUNCTION("""COMPUTED_VALUE"""),"Torso")</f>
        <v>Torso</v>
      </c>
      <c r="E724" s="1">
        <f>IFERROR(__xludf.DUMMYFUNCTION("""COMPUTED_VALUE"""),1.0)</f>
        <v>1</v>
      </c>
      <c r="F724" s="1" t="str">
        <f>IFERROR(__xludf.DUMMYFUNCTION("""COMPUTED_VALUE""")," ++5000 additional HP and SP. ++Plus 2 Wisdom. +-Cannot be forged. +-Cannot be duplicateed.")</f>
        <v> ++5000 additional HP and SP. ++Plus 2 Wisdom. +-Cannot be forged. +-Cannot be duplicateed.</v>
      </c>
      <c r="G724" s="1">
        <f>IFERROR(__xludf.DUMMYFUNCTION("""COMPUTED_VALUE"""),0.0)</f>
        <v>0</v>
      </c>
      <c r="H724" s="1"/>
      <c r="I724" s="1"/>
      <c r="J724" s="1"/>
      <c r="K724" s="1"/>
      <c r="L724" s="1"/>
      <c r="M724" s="1"/>
      <c r="N724" s="1"/>
      <c r="O724" s="1"/>
      <c r="P724" s="1"/>
      <c r="Q724" s="1"/>
      <c r="R724" s="1"/>
      <c r="S724" s="1"/>
      <c r="T724" s="1"/>
      <c r="U724" s="1"/>
      <c r="V724" s="1"/>
      <c r="W724" s="1"/>
      <c r="X724" s="1"/>
      <c r="Y724" s="1"/>
      <c r="Z724" s="1"/>
    </row>
    <row r="725">
      <c r="A725" s="1" t="str">
        <f>IFERROR(__xludf.DUMMYFUNCTION("""COMPUTED_VALUE"""),"Mage's Shoes")</f>
        <v>Mage's Shoes</v>
      </c>
      <c r="B725" s="1"/>
      <c r="C725" s="1" t="str">
        <f>IFERROR(__xludf.DUMMYFUNCTION("""COMPUTED_VALUE"""),"Item")</f>
        <v>Item</v>
      </c>
      <c r="D725" s="1" t="str">
        <f>IFERROR(__xludf.DUMMYFUNCTION("""COMPUTED_VALUE"""),"Feet")</f>
        <v>Feet</v>
      </c>
      <c r="E725" s="1">
        <f>IFERROR(__xludf.DUMMYFUNCTION("""COMPUTED_VALUE"""),1.0)</f>
        <v>1</v>
      </c>
      <c r="F725" s="1" t="str">
        <f>IFERROR(__xludf.DUMMYFUNCTION("""COMPUTED_VALUE""")," ++5000 additional HP and SP. ++Plus 1 Wisdom. +-Cannot be forged. +-Cannot be duplicateed.")</f>
        <v> ++5000 additional HP and SP. ++Plus 1 Wisdom. +-Cannot be forged. +-Cannot be duplicateed.</v>
      </c>
      <c r="G725" s="1">
        <f>IFERROR(__xludf.DUMMYFUNCTION("""COMPUTED_VALUE"""),0.0)</f>
        <v>0</v>
      </c>
      <c r="H725" s="1"/>
      <c r="I725" s="1"/>
      <c r="J725" s="1"/>
      <c r="K725" s="1"/>
      <c r="L725" s="1"/>
      <c r="M725" s="1"/>
      <c r="N725" s="1"/>
      <c r="O725" s="1"/>
      <c r="P725" s="1"/>
      <c r="Q725" s="1"/>
      <c r="R725" s="1"/>
      <c r="S725" s="1"/>
      <c r="T725" s="1"/>
      <c r="U725" s="1"/>
      <c r="V725" s="1"/>
      <c r="W725" s="1"/>
      <c r="X725" s="1"/>
      <c r="Y725" s="1"/>
      <c r="Z725" s="1"/>
    </row>
    <row r="726">
      <c r="A726" s="1" t="str">
        <f>IFERROR(__xludf.DUMMYFUNCTION("""COMPUTED_VALUE"""),"Sorcerer's Hood")</f>
        <v>Sorcerer's Hood</v>
      </c>
      <c r="B726" s="1"/>
      <c r="C726" s="1" t="str">
        <f>IFERROR(__xludf.DUMMYFUNCTION("""COMPUTED_VALUE"""),"Item")</f>
        <v>Item</v>
      </c>
      <c r="D726" s="1" t="str">
        <f>IFERROR(__xludf.DUMMYFUNCTION("""COMPUTED_VALUE"""),"Head")</f>
        <v>Head</v>
      </c>
      <c r="E726" s="1">
        <f>IFERROR(__xludf.DUMMYFUNCTION("""COMPUTED_VALUE"""),1.0)</f>
        <v>1</v>
      </c>
      <c r="F726" s="1" t="str">
        <f>IFERROR(__xludf.DUMMYFUNCTION("""COMPUTED_VALUE""")," ++2500 additional HP and SP. ++Plus 2 Wisdom. +-Cannot be forged. +-Cannot be duplicateed.")</f>
        <v> ++2500 additional HP and SP. ++Plus 2 Wisdom. +-Cannot be forged. +-Cannot be duplicateed.</v>
      </c>
      <c r="G726" s="1">
        <f>IFERROR(__xludf.DUMMYFUNCTION("""COMPUTED_VALUE"""),0.0)</f>
        <v>0</v>
      </c>
      <c r="H726" s="1"/>
      <c r="I726" s="1"/>
      <c r="J726" s="1"/>
      <c r="K726" s="1"/>
      <c r="L726" s="1"/>
      <c r="M726" s="1"/>
      <c r="N726" s="1"/>
      <c r="O726" s="1"/>
      <c r="P726" s="1"/>
      <c r="Q726" s="1"/>
      <c r="R726" s="1"/>
      <c r="S726" s="1"/>
      <c r="T726" s="1"/>
      <c r="U726" s="1"/>
      <c r="V726" s="1"/>
      <c r="W726" s="1"/>
      <c r="X726" s="1"/>
      <c r="Y726" s="1"/>
      <c r="Z726" s="1"/>
    </row>
    <row r="727">
      <c r="A727" s="1" t="str">
        <f>IFERROR(__xludf.DUMMYFUNCTION("""COMPUTED_VALUE"""),"Sorcerer's Cloak")</f>
        <v>Sorcerer's Cloak</v>
      </c>
      <c r="B727" s="1"/>
      <c r="C727" s="1" t="str">
        <f>IFERROR(__xludf.DUMMYFUNCTION("""COMPUTED_VALUE"""),"Item")</f>
        <v>Item</v>
      </c>
      <c r="D727" s="1" t="str">
        <f>IFERROR(__xludf.DUMMYFUNCTION("""COMPUTED_VALUE"""),"Torso")</f>
        <v>Torso</v>
      </c>
      <c r="E727" s="1">
        <f>IFERROR(__xludf.DUMMYFUNCTION("""COMPUTED_VALUE"""),1.0)</f>
        <v>1</v>
      </c>
      <c r="F727" s="1" t="str">
        <f>IFERROR(__xludf.DUMMYFUNCTION("""COMPUTED_VALUE""")," ++2500 additional HP and SP. ++Plus 2 Wisdom. +-Cannot be forged. +-Cannot be duplicateed.")</f>
        <v> ++2500 additional HP and SP. ++Plus 2 Wisdom. +-Cannot be forged. +-Cannot be duplicateed.</v>
      </c>
      <c r="G727" s="1">
        <f>IFERROR(__xludf.DUMMYFUNCTION("""COMPUTED_VALUE"""),0.0)</f>
        <v>0</v>
      </c>
      <c r="H727" s="1"/>
      <c r="I727" s="1"/>
      <c r="J727" s="1"/>
      <c r="K727" s="1"/>
      <c r="L727" s="1"/>
      <c r="M727" s="1"/>
      <c r="N727" s="1"/>
      <c r="O727" s="1"/>
      <c r="P727" s="1"/>
      <c r="Q727" s="1"/>
      <c r="R727" s="1"/>
      <c r="S727" s="1"/>
      <c r="T727" s="1"/>
      <c r="U727" s="1"/>
      <c r="V727" s="1"/>
      <c r="W727" s="1"/>
      <c r="X727" s="1"/>
      <c r="Y727" s="1"/>
      <c r="Z727" s="1"/>
    </row>
    <row r="728">
      <c r="A728" s="1" t="str">
        <f>IFERROR(__xludf.DUMMYFUNCTION("""COMPUTED_VALUE"""),"Sorcerer's Shoes")</f>
        <v>Sorcerer's Shoes</v>
      </c>
      <c r="B728" s="1"/>
      <c r="C728" s="1" t="str">
        <f>IFERROR(__xludf.DUMMYFUNCTION("""COMPUTED_VALUE"""),"Item")</f>
        <v>Item</v>
      </c>
      <c r="D728" s="1" t="str">
        <f>IFERROR(__xludf.DUMMYFUNCTION("""COMPUTED_VALUE"""),"Feet")</f>
        <v>Feet</v>
      </c>
      <c r="E728" s="1">
        <f>IFERROR(__xludf.DUMMYFUNCTION("""COMPUTED_VALUE"""),1.0)</f>
        <v>1</v>
      </c>
      <c r="F728" s="1" t="str">
        <f>IFERROR(__xludf.DUMMYFUNCTION("""COMPUTED_VALUE""")," ++2500 additional HP and SP. ++Plus 1 Wisdom. +-Cannot be forged. +-Cannot be duplicateed.")</f>
        <v> ++2500 additional HP and SP. ++Plus 1 Wisdom. +-Cannot be forged. +-Cannot be duplicateed.</v>
      </c>
      <c r="G728" s="1">
        <f>IFERROR(__xludf.DUMMYFUNCTION("""COMPUTED_VALUE"""),0.0)</f>
        <v>0</v>
      </c>
      <c r="H728" s="1"/>
      <c r="I728" s="1"/>
      <c r="J728" s="1"/>
      <c r="K728" s="1"/>
      <c r="L728" s="1"/>
      <c r="M728" s="1"/>
      <c r="N728" s="1"/>
      <c r="O728" s="1"/>
      <c r="P728" s="1"/>
      <c r="Q728" s="1"/>
      <c r="R728" s="1"/>
      <c r="S728" s="1"/>
      <c r="T728" s="1"/>
      <c r="U728" s="1"/>
      <c r="V728" s="1"/>
      <c r="W728" s="1"/>
      <c r="X728" s="1"/>
      <c r="Y728" s="1"/>
      <c r="Z728" s="1"/>
    </row>
    <row r="729">
      <c r="A729" s="1" t="str">
        <f>IFERROR(__xludf.DUMMYFUNCTION("""COMPUTED_VALUE"""),"Wizard's Hood")</f>
        <v>Wizard's Hood</v>
      </c>
      <c r="B729" s="1"/>
      <c r="C729" s="1" t="str">
        <f>IFERROR(__xludf.DUMMYFUNCTION("""COMPUTED_VALUE"""),"Item")</f>
        <v>Item</v>
      </c>
      <c r="D729" s="1" t="str">
        <f>IFERROR(__xludf.DUMMYFUNCTION("""COMPUTED_VALUE"""),"Head")</f>
        <v>Head</v>
      </c>
      <c r="E729" s="1">
        <f>IFERROR(__xludf.DUMMYFUNCTION("""COMPUTED_VALUE"""),1.0)</f>
        <v>1</v>
      </c>
      <c r="F729" s="1" t="str">
        <f>IFERROR(__xludf.DUMMYFUNCTION("""COMPUTED_VALUE""")," ++1000 additional HP and SP. ++X2 Spell Damage. +-Cannot be forged. +-Cannot be duplicateed.")</f>
        <v> ++1000 additional HP and SP. ++X2 Spell Damage. +-Cannot be forged. +-Cannot be duplicateed.</v>
      </c>
      <c r="G729" s="1">
        <f>IFERROR(__xludf.DUMMYFUNCTION("""COMPUTED_VALUE"""),0.0)</f>
        <v>0</v>
      </c>
      <c r="H729" s="1"/>
      <c r="I729" s="1"/>
      <c r="J729" s="1"/>
      <c r="K729" s="1"/>
      <c r="L729" s="1"/>
      <c r="M729" s="1"/>
      <c r="N729" s="1"/>
      <c r="O729" s="1"/>
      <c r="P729" s="1"/>
      <c r="Q729" s="1"/>
      <c r="R729" s="1"/>
      <c r="S729" s="1"/>
      <c r="T729" s="1"/>
      <c r="U729" s="1"/>
      <c r="V729" s="1"/>
      <c r="W729" s="1"/>
      <c r="X729" s="1"/>
      <c r="Y729" s="1"/>
      <c r="Z729" s="1"/>
    </row>
    <row r="730">
      <c r="A730" s="1" t="str">
        <f>IFERROR(__xludf.DUMMYFUNCTION("""COMPUTED_VALUE"""),"Wizard's Cloak")</f>
        <v>Wizard's Cloak</v>
      </c>
      <c r="B730" s="1"/>
      <c r="C730" s="1" t="str">
        <f>IFERROR(__xludf.DUMMYFUNCTION("""COMPUTED_VALUE"""),"Item")</f>
        <v>Item</v>
      </c>
      <c r="D730" s="1" t="str">
        <f>IFERROR(__xludf.DUMMYFUNCTION("""COMPUTED_VALUE"""),"Torso")</f>
        <v>Torso</v>
      </c>
      <c r="E730" s="1">
        <f>IFERROR(__xludf.DUMMYFUNCTION("""COMPUTED_VALUE"""),1.0)</f>
        <v>1</v>
      </c>
      <c r="F730" s="1" t="str">
        <f>IFERROR(__xludf.DUMMYFUNCTION("""COMPUTED_VALUE""")," ++1000 additional HP and SP. ++X2 Spell Damage. +-Cannot be forged. +-Cannot be duplicateed.")</f>
        <v> ++1000 additional HP and SP. ++X2 Spell Damage. +-Cannot be forged. +-Cannot be duplicateed.</v>
      </c>
      <c r="G730" s="1">
        <f>IFERROR(__xludf.DUMMYFUNCTION("""COMPUTED_VALUE"""),0.0)</f>
        <v>0</v>
      </c>
      <c r="H730" s="1"/>
      <c r="I730" s="1"/>
      <c r="J730" s="1"/>
      <c r="K730" s="1"/>
      <c r="L730" s="1"/>
      <c r="M730" s="1"/>
      <c r="N730" s="1"/>
      <c r="O730" s="1"/>
      <c r="P730" s="1"/>
      <c r="Q730" s="1"/>
      <c r="R730" s="1"/>
      <c r="S730" s="1"/>
      <c r="T730" s="1"/>
      <c r="U730" s="1"/>
      <c r="V730" s="1"/>
      <c r="W730" s="1"/>
      <c r="X730" s="1"/>
      <c r="Y730" s="1"/>
      <c r="Z730" s="1"/>
    </row>
    <row r="731">
      <c r="A731" s="1" t="str">
        <f>IFERROR(__xludf.DUMMYFUNCTION("""COMPUTED_VALUE"""),"Wizard's Shoes")</f>
        <v>Wizard's Shoes</v>
      </c>
      <c r="B731" s="1"/>
      <c r="C731" s="1" t="str">
        <f>IFERROR(__xludf.DUMMYFUNCTION("""COMPUTED_VALUE"""),"Item")</f>
        <v>Item</v>
      </c>
      <c r="D731" s="1" t="str">
        <f>IFERROR(__xludf.DUMMYFUNCTION("""COMPUTED_VALUE"""),"Feet")</f>
        <v>Feet</v>
      </c>
      <c r="E731" s="1">
        <f>IFERROR(__xludf.DUMMYFUNCTION("""COMPUTED_VALUE"""),1.0)</f>
        <v>1</v>
      </c>
      <c r="F731" s="1" t="str">
        <f>IFERROR(__xludf.DUMMYFUNCTION("""COMPUTED_VALUE""")," ++1000 additional HP and SP. ++X2 Spell Damage. +-Cannot be forged. +-Cannot be duplicateed.")</f>
        <v> ++1000 additional HP and SP. ++X2 Spell Damage. +-Cannot be forged. +-Cannot be duplicateed.</v>
      </c>
      <c r="G731" s="1">
        <f>IFERROR(__xludf.DUMMYFUNCTION("""COMPUTED_VALUE"""),0.0)</f>
        <v>0</v>
      </c>
      <c r="H731" s="1"/>
      <c r="I731" s="1"/>
      <c r="J731" s="1"/>
      <c r="K731" s="1"/>
      <c r="L731" s="1"/>
      <c r="M731" s="1"/>
      <c r="N731" s="1"/>
      <c r="O731" s="1"/>
      <c r="P731" s="1"/>
      <c r="Q731" s="1"/>
      <c r="R731" s="1"/>
      <c r="S731" s="1"/>
      <c r="T731" s="1"/>
      <c r="U731" s="1"/>
      <c r="V731" s="1"/>
      <c r="W731" s="1"/>
      <c r="X731" s="1"/>
      <c r="Y731" s="1"/>
      <c r="Z731" s="1"/>
    </row>
    <row r="732">
      <c r="A732" s="1" t="str">
        <f>IFERROR(__xludf.DUMMYFUNCTION("""COMPUTED_VALUE"""),"Gunslinger's Cap")</f>
        <v>Gunslinger's Cap</v>
      </c>
      <c r="B732" s="1"/>
      <c r="C732" s="1" t="str">
        <f>IFERROR(__xludf.DUMMYFUNCTION("""COMPUTED_VALUE"""),"Item")</f>
        <v>Item</v>
      </c>
      <c r="D732" s="1" t="str">
        <f>IFERROR(__xludf.DUMMYFUNCTION("""COMPUTED_VALUE"""),"Head")</f>
        <v>Head</v>
      </c>
      <c r="E732" s="1">
        <f>IFERROR(__xludf.DUMMYFUNCTION("""COMPUTED_VALUE"""),1.0)</f>
        <v>1</v>
      </c>
      <c r="F732" s="1" t="str">
        <f>IFERROR(__xludf.DUMMYFUNCTION("""COMPUTED_VALUE""")," ++10,000 ACC and ATK. ++2 Mobility +-Cannot be forged or duplicated")</f>
        <v> ++10,000 ACC and ATK. ++2 Mobility +-Cannot be forged or duplicated</v>
      </c>
      <c r="G732" s="1">
        <f>IFERROR(__xludf.DUMMYFUNCTION("""COMPUTED_VALUE"""),0.0)</f>
        <v>0</v>
      </c>
      <c r="H732" s="1"/>
      <c r="I732" s="1"/>
      <c r="J732" s="1"/>
      <c r="K732" s="1"/>
      <c r="L732" s="1"/>
      <c r="M732" s="1"/>
      <c r="N732" s="1"/>
      <c r="O732" s="1"/>
      <c r="P732" s="1"/>
      <c r="Q732" s="1"/>
      <c r="R732" s="1"/>
      <c r="S732" s="1"/>
      <c r="T732" s="1"/>
      <c r="U732" s="1"/>
      <c r="V732" s="1"/>
      <c r="W732" s="1"/>
      <c r="X732" s="1"/>
      <c r="Y732" s="1"/>
      <c r="Z732" s="1"/>
    </row>
    <row r="733">
      <c r="A733" s="1" t="str">
        <f>IFERROR(__xludf.DUMMYFUNCTION("""COMPUTED_VALUE"""),"Gunslinger's Shirt")</f>
        <v>Gunslinger's Shirt</v>
      </c>
      <c r="B733" s="1"/>
      <c r="C733" s="1" t="str">
        <f>IFERROR(__xludf.DUMMYFUNCTION("""COMPUTED_VALUE"""),"Item")</f>
        <v>Item</v>
      </c>
      <c r="D733" s="1" t="str">
        <f>IFERROR(__xludf.DUMMYFUNCTION("""COMPUTED_VALUE"""),"Torso")</f>
        <v>Torso</v>
      </c>
      <c r="E733" s="1">
        <f>IFERROR(__xludf.DUMMYFUNCTION("""COMPUTED_VALUE"""),1.0)</f>
        <v>1</v>
      </c>
      <c r="F733" s="1" t="str">
        <f>IFERROR(__xludf.DUMMYFUNCTION("""COMPUTED_VALUE""")," ++10,000 ACC and ATK. ++2 Mobility +-Cannot be forged or duplicated")</f>
        <v> ++10,000 ACC and ATK. ++2 Mobility +-Cannot be forged or duplicated</v>
      </c>
      <c r="G733" s="1">
        <f>IFERROR(__xludf.DUMMYFUNCTION("""COMPUTED_VALUE"""),0.0)</f>
        <v>0</v>
      </c>
      <c r="H733" s="1"/>
      <c r="I733" s="1"/>
      <c r="J733" s="1"/>
      <c r="K733" s="1"/>
      <c r="L733" s="1"/>
      <c r="M733" s="1"/>
      <c r="N733" s="1"/>
      <c r="O733" s="1"/>
      <c r="P733" s="1"/>
      <c r="Q733" s="1"/>
      <c r="R733" s="1"/>
      <c r="S733" s="1"/>
      <c r="T733" s="1"/>
      <c r="U733" s="1"/>
      <c r="V733" s="1"/>
      <c r="W733" s="1"/>
      <c r="X733" s="1"/>
      <c r="Y733" s="1"/>
      <c r="Z733" s="1"/>
    </row>
    <row r="734">
      <c r="A734" s="1" t="str">
        <f>IFERROR(__xludf.DUMMYFUNCTION("""COMPUTED_VALUE"""),"Gunslinger's Boots")</f>
        <v>Gunslinger's Boots</v>
      </c>
      <c r="B734" s="1"/>
      <c r="C734" s="1" t="str">
        <f>IFERROR(__xludf.DUMMYFUNCTION("""COMPUTED_VALUE"""),"Item")</f>
        <v>Item</v>
      </c>
      <c r="D734" s="1" t="str">
        <f>IFERROR(__xludf.DUMMYFUNCTION("""COMPUTED_VALUE"""),"Feet")</f>
        <v>Feet</v>
      </c>
      <c r="E734" s="1">
        <f>IFERROR(__xludf.DUMMYFUNCTION("""COMPUTED_VALUE"""),1.0)</f>
        <v>1</v>
      </c>
      <c r="F734" s="1" t="str">
        <f>IFERROR(__xludf.DUMMYFUNCTION("""COMPUTED_VALUE""")," ++10,000 ACC and ATK. ++1 Mobility +-Cannot be forged or duplicated")</f>
        <v> ++10,000 ACC and ATK. ++1 Mobility +-Cannot be forged or duplicated</v>
      </c>
      <c r="G734" s="1">
        <f>IFERROR(__xludf.DUMMYFUNCTION("""COMPUTED_VALUE"""),0.0)</f>
        <v>0</v>
      </c>
      <c r="H734" s="1"/>
      <c r="I734" s="1"/>
      <c r="J734" s="1"/>
      <c r="K734" s="1"/>
      <c r="L734" s="1"/>
      <c r="M734" s="1"/>
      <c r="N734" s="1"/>
      <c r="O734" s="1"/>
      <c r="P734" s="1"/>
      <c r="Q734" s="1"/>
      <c r="R734" s="1"/>
      <c r="S734" s="1"/>
      <c r="T734" s="1"/>
      <c r="U734" s="1"/>
      <c r="V734" s="1"/>
      <c r="W734" s="1"/>
      <c r="X734" s="1"/>
      <c r="Y734" s="1"/>
      <c r="Z734" s="1"/>
    </row>
    <row r="735">
      <c r="A735" s="1" t="str">
        <f>IFERROR(__xludf.DUMMYFUNCTION("""COMPUTED_VALUE"""),"Bard's Coif")</f>
        <v>Bard's Coif</v>
      </c>
      <c r="B735" s="1"/>
      <c r="C735" s="1" t="str">
        <f>IFERROR(__xludf.DUMMYFUNCTION("""COMPUTED_VALUE"""),"Item")</f>
        <v>Item</v>
      </c>
      <c r="D735" s="1" t="str">
        <f>IFERROR(__xludf.DUMMYFUNCTION("""COMPUTED_VALUE"""),"Head")</f>
        <v>Head</v>
      </c>
      <c r="E735" s="1">
        <f>IFERROR(__xludf.DUMMYFUNCTION("""COMPUTED_VALUE"""),1.0)</f>
        <v>1</v>
      </c>
      <c r="F735" s="1" t="str">
        <f>IFERROR(__xludf.DUMMYFUNCTION("""COMPUTED_VALUE""")," ++10,000 ACC and ATK. ++2 Charisma +-Cannot be forged or duplicated")</f>
        <v> ++10,000 ACC and ATK. ++2 Charisma +-Cannot be forged or duplicated</v>
      </c>
      <c r="G735" s="1">
        <f>IFERROR(__xludf.DUMMYFUNCTION("""COMPUTED_VALUE"""),0.0)</f>
        <v>0</v>
      </c>
      <c r="H735" s="1"/>
      <c r="I735" s="1"/>
      <c r="J735" s="1"/>
      <c r="K735" s="1"/>
      <c r="L735" s="1"/>
      <c r="M735" s="1"/>
      <c r="N735" s="1"/>
      <c r="O735" s="1"/>
      <c r="P735" s="1"/>
      <c r="Q735" s="1"/>
      <c r="R735" s="1"/>
      <c r="S735" s="1"/>
      <c r="T735" s="1"/>
      <c r="U735" s="1"/>
      <c r="V735" s="1"/>
      <c r="W735" s="1"/>
      <c r="X735" s="1"/>
      <c r="Y735" s="1"/>
      <c r="Z735" s="1"/>
    </row>
    <row r="736">
      <c r="A736" s="1" t="str">
        <f>IFERROR(__xludf.DUMMYFUNCTION("""COMPUTED_VALUE"""),"Bard's Gambeson")</f>
        <v>Bard's Gambeson</v>
      </c>
      <c r="B736" s="1"/>
      <c r="C736" s="1" t="str">
        <f>IFERROR(__xludf.DUMMYFUNCTION("""COMPUTED_VALUE"""),"Item")</f>
        <v>Item</v>
      </c>
      <c r="D736" s="1" t="str">
        <f>IFERROR(__xludf.DUMMYFUNCTION("""COMPUTED_VALUE"""),"Torso")</f>
        <v>Torso</v>
      </c>
      <c r="E736" s="1">
        <f>IFERROR(__xludf.DUMMYFUNCTION("""COMPUTED_VALUE"""),1.0)</f>
        <v>1</v>
      </c>
      <c r="F736" s="1" t="str">
        <f>IFERROR(__xludf.DUMMYFUNCTION("""COMPUTED_VALUE""")," ++10,000 ACC and ATK. ++2 Charisma +-Cannot be forged or duplicated")</f>
        <v> ++10,000 ACC and ATK. ++2 Charisma +-Cannot be forged or duplicated</v>
      </c>
      <c r="G736" s="1">
        <f>IFERROR(__xludf.DUMMYFUNCTION("""COMPUTED_VALUE"""),0.0)</f>
        <v>0</v>
      </c>
      <c r="H736" s="1"/>
      <c r="I736" s="1"/>
      <c r="J736" s="1"/>
      <c r="K736" s="1"/>
      <c r="L736" s="1"/>
      <c r="M736" s="1"/>
      <c r="N736" s="1"/>
      <c r="O736" s="1"/>
      <c r="P736" s="1"/>
      <c r="Q736" s="1"/>
      <c r="R736" s="1"/>
      <c r="S736" s="1"/>
      <c r="T736" s="1"/>
      <c r="U736" s="1"/>
      <c r="V736" s="1"/>
      <c r="W736" s="1"/>
      <c r="X736" s="1"/>
      <c r="Y736" s="1"/>
      <c r="Z736" s="1"/>
    </row>
    <row r="737">
      <c r="A737" s="1" t="str">
        <f>IFERROR(__xludf.DUMMYFUNCTION("""COMPUTED_VALUE"""),"Bard's Shoes")</f>
        <v>Bard's Shoes</v>
      </c>
      <c r="B737" s="1"/>
      <c r="C737" s="1" t="str">
        <f>IFERROR(__xludf.DUMMYFUNCTION("""COMPUTED_VALUE"""),"Item")</f>
        <v>Item</v>
      </c>
      <c r="D737" s="1" t="str">
        <f>IFERROR(__xludf.DUMMYFUNCTION("""COMPUTED_VALUE"""),"Feet")</f>
        <v>Feet</v>
      </c>
      <c r="E737" s="1">
        <f>IFERROR(__xludf.DUMMYFUNCTION("""COMPUTED_VALUE"""),1.0)</f>
        <v>1</v>
      </c>
      <c r="F737" s="1" t="str">
        <f>IFERROR(__xludf.DUMMYFUNCTION("""COMPUTED_VALUE""")," ++10,000 ACC and ATK. ++1 Charisma +-Cannot be forged or duplicated")</f>
        <v> ++10,000 ACC and ATK. ++1 Charisma +-Cannot be forged or duplicated</v>
      </c>
      <c r="G737" s="1">
        <f>IFERROR(__xludf.DUMMYFUNCTION("""COMPUTED_VALUE"""),0.0)</f>
        <v>0</v>
      </c>
      <c r="H737" s="1"/>
      <c r="I737" s="1"/>
      <c r="J737" s="1"/>
      <c r="K737" s="1"/>
      <c r="L737" s="1"/>
      <c r="M737" s="1"/>
      <c r="N737" s="1"/>
      <c r="O737" s="1"/>
      <c r="P737" s="1"/>
      <c r="Q737" s="1"/>
      <c r="R737" s="1"/>
      <c r="S737" s="1"/>
      <c r="T737" s="1"/>
      <c r="U737" s="1"/>
      <c r="V737" s="1"/>
      <c r="W737" s="1"/>
      <c r="X737" s="1"/>
      <c r="Y737" s="1"/>
      <c r="Z737" s="1"/>
    </row>
    <row r="738">
      <c r="A738" s="1" t="str">
        <f>IFERROR(__xludf.DUMMYFUNCTION("""COMPUTED_VALUE"""),"Dragonscale Skirt")</f>
        <v>Dragonscale Skirt</v>
      </c>
      <c r="B738" s="1"/>
      <c r="C738" s="1" t="str">
        <f>IFERROR(__xludf.DUMMYFUNCTION("""COMPUTED_VALUE"""),"Item")</f>
        <v>Item</v>
      </c>
      <c r="D738" s="1" t="str">
        <f>IFERROR(__xludf.DUMMYFUNCTION("""COMPUTED_VALUE"""),"Legs")</f>
        <v>Legs</v>
      </c>
      <c r="E738" s="1">
        <f>IFERROR(__xludf.DUMMYFUNCTION("""COMPUTED_VALUE"""),1.0)</f>
        <v>1</v>
      </c>
      <c r="F738" s="1" t="str">
        <f>IFERROR(__xludf.DUMMYFUNCTION("""COMPUTED_VALUE""")," ++7,000 additional HP and SP, ++2 Mobility +-Cannot be forged or duplicated")</f>
        <v> ++7,000 additional HP and SP, ++2 Mobility +-Cannot be forged or duplicated</v>
      </c>
      <c r="G738" s="1">
        <f>IFERROR(__xludf.DUMMYFUNCTION("""COMPUTED_VALUE"""),0.0)</f>
        <v>0</v>
      </c>
      <c r="H738" s="1"/>
      <c r="I738" s="1"/>
      <c r="J738" s="1"/>
      <c r="K738" s="1"/>
      <c r="L738" s="1"/>
      <c r="M738" s="1"/>
      <c r="N738" s="1"/>
      <c r="O738" s="1"/>
      <c r="P738" s="1"/>
      <c r="Q738" s="1"/>
      <c r="R738" s="1"/>
      <c r="S738" s="1"/>
      <c r="T738" s="1"/>
      <c r="U738" s="1"/>
      <c r="V738" s="1"/>
      <c r="W738" s="1"/>
      <c r="X738" s="1"/>
      <c r="Y738" s="1"/>
      <c r="Z738" s="1"/>
    </row>
    <row r="739">
      <c r="A739" s="1" t="str">
        <f>IFERROR(__xludf.DUMMYFUNCTION("""COMPUTED_VALUE"""),"Dragonscale Cape")</f>
        <v>Dragonscale Cape</v>
      </c>
      <c r="B739" s="1"/>
      <c r="C739" s="1" t="str">
        <f>IFERROR(__xludf.DUMMYFUNCTION("""COMPUTED_VALUE"""),"Item")</f>
        <v>Item</v>
      </c>
      <c r="D739" s="1" t="str">
        <f>IFERROR(__xludf.DUMMYFUNCTION("""COMPUTED_VALUE"""),"Shoulders")</f>
        <v>Shoulders</v>
      </c>
      <c r="E739" s="1">
        <f>IFERROR(__xludf.DUMMYFUNCTION("""COMPUTED_VALUE"""),1.0)</f>
        <v>1</v>
      </c>
      <c r="F739" s="1" t="str">
        <f>IFERROR(__xludf.DUMMYFUNCTION("""COMPUTED_VALUE""")," ++8,300 additional HP and SP, +-Cannot be forged or duplicated")</f>
        <v> ++8,300 additional HP and SP, +-Cannot be forged or duplicated</v>
      </c>
      <c r="G739" s="1">
        <f>IFERROR(__xludf.DUMMYFUNCTION("""COMPUTED_VALUE"""),0.0)</f>
        <v>0</v>
      </c>
      <c r="H739" s="1"/>
      <c r="I739" s="1"/>
      <c r="J739" s="1"/>
      <c r="K739" s="1"/>
      <c r="L739" s="1"/>
      <c r="M739" s="1"/>
      <c r="N739" s="1"/>
      <c r="O739" s="1"/>
      <c r="P739" s="1"/>
      <c r="Q739" s="1"/>
      <c r="R739" s="1"/>
      <c r="S739" s="1"/>
      <c r="T739" s="1"/>
      <c r="U739" s="1"/>
      <c r="V739" s="1"/>
      <c r="W739" s="1"/>
      <c r="X739" s="1"/>
      <c r="Y739" s="1"/>
      <c r="Z739" s="1"/>
    </row>
    <row r="740">
      <c r="A740" s="1" t="str">
        <f>IFERROR(__xludf.DUMMYFUNCTION("""COMPUTED_VALUE"""),"Broken Dragonscale Mail")</f>
        <v>Broken Dragonscale Mail</v>
      </c>
      <c r="B740" s="1"/>
      <c r="C740" s="1" t="str">
        <f>IFERROR(__xludf.DUMMYFUNCTION("""COMPUTED_VALUE"""),"Item")</f>
        <v>Item</v>
      </c>
      <c r="D740" s="1" t="str">
        <f>IFERROR(__xludf.DUMMYFUNCTION("""COMPUTED_VALUE"""),"Torso")</f>
        <v>Torso</v>
      </c>
      <c r="E740" s="1">
        <f>IFERROR(__xludf.DUMMYFUNCTION("""COMPUTED_VALUE"""),980.0)</f>
        <v>980</v>
      </c>
      <c r="F740" s="1" t="str">
        <f>IFERROR(__xludf.DUMMYFUNCTION("""COMPUTED_VALUE"""),"DEF: +48900 +-5% chance of breaking when wearer is attacked")</f>
        <v>DEF: +48900 +-5% chance of breaking when wearer is attacked</v>
      </c>
      <c r="G740" s="1">
        <f>IFERROR(__xludf.DUMMYFUNCTION("""COMPUTED_VALUE"""),4.656E7)</f>
        <v>46560000</v>
      </c>
      <c r="H740" s="1"/>
      <c r="I740" s="1"/>
      <c r="J740" s="1"/>
      <c r="K740" s="1"/>
      <c r="L740" s="1"/>
      <c r="M740" s="1"/>
      <c r="N740" s="1"/>
      <c r="O740" s="1"/>
      <c r="P740" s="1"/>
      <c r="Q740" s="1"/>
      <c r="R740" s="1"/>
      <c r="S740" s="1"/>
      <c r="T740" s="1"/>
      <c r="U740" s="1"/>
      <c r="V740" s="1"/>
      <c r="W740" s="1"/>
      <c r="X740" s="1"/>
      <c r="Y740" s="1"/>
      <c r="Z740" s="1"/>
    </row>
    <row r="741">
      <c r="A741" s="1" t="str">
        <f>IFERROR(__xludf.DUMMYFUNCTION("""COMPUTED_VALUE"""),"Dragonscale Mail")</f>
        <v>Dragonscale Mail</v>
      </c>
      <c r="B741" s="1"/>
      <c r="C741" s="1" t="str">
        <f>IFERROR(__xludf.DUMMYFUNCTION("""COMPUTED_VALUE"""),"Item")</f>
        <v>Item</v>
      </c>
      <c r="D741" s="1" t="str">
        <f>IFERROR(__xludf.DUMMYFUNCTION("""COMPUTED_VALUE"""),"Torso")</f>
        <v>Torso</v>
      </c>
      <c r="E741" s="1">
        <f>IFERROR(__xludf.DUMMYFUNCTION("""COMPUTED_VALUE"""),3000.0)</f>
        <v>3000</v>
      </c>
      <c r="F741" s="1" t="str">
        <f>IFERROR(__xludf.DUMMYFUNCTION("""COMPUTED_VALUE"""),"DEF: +150000")</f>
        <v>DEF: +150000</v>
      </c>
      <c r="G741" s="1">
        <f>IFERROR(__xludf.DUMMYFUNCTION("""COMPUTED_VALUE"""),4.485E8)</f>
        <v>448500000</v>
      </c>
      <c r="H741" s="1"/>
      <c r="I741" s="1"/>
      <c r="J741" s="1"/>
      <c r="K741" s="1"/>
      <c r="L741" s="1"/>
      <c r="M741" s="1"/>
      <c r="N741" s="1"/>
      <c r="O741" s="1"/>
      <c r="P741" s="1"/>
      <c r="Q741" s="1"/>
      <c r="R741" s="1"/>
      <c r="S741" s="1"/>
      <c r="T741" s="1"/>
      <c r="U741" s="1"/>
      <c r="V741" s="1"/>
      <c r="W741" s="1"/>
      <c r="X741" s="1"/>
      <c r="Y741" s="1"/>
      <c r="Z741" s="1"/>
    </row>
    <row r="742">
      <c r="A742" s="1" t="str">
        <f>IFERROR(__xludf.DUMMYFUNCTION("""COMPUTED_VALUE"""),"Dragonscale Charm")</f>
        <v>Dragonscale Charm</v>
      </c>
      <c r="B742" s="1"/>
      <c r="C742" s="1" t="str">
        <f>IFERROR(__xludf.DUMMYFUNCTION("""COMPUTED_VALUE"""),"Item")</f>
        <v>Item</v>
      </c>
      <c r="D742" s="1" t="str">
        <f>IFERROR(__xludf.DUMMYFUNCTION("""COMPUTED_VALUE"""),"Neck")</f>
        <v>Neck</v>
      </c>
      <c r="E742" s="1">
        <f>IFERROR(__xludf.DUMMYFUNCTION("""COMPUTED_VALUE"""),1.0)</f>
        <v>1</v>
      </c>
      <c r="F742" s="1" t="str">
        <f>IFERROR(__xludf.DUMMYFUNCTION("""COMPUTED_VALUE""")," ++1000 additional HP and SP for every piece of Dragonscale equipment equipped +-Cannot be forged or duplicated")</f>
        <v> ++1000 additional HP and SP for every piece of Dragonscale equipment equipped +-Cannot be forged or duplicated</v>
      </c>
      <c r="G742" s="1">
        <f>IFERROR(__xludf.DUMMYFUNCTION("""COMPUTED_VALUE"""),0.0)</f>
        <v>0</v>
      </c>
      <c r="H742" s="1"/>
      <c r="I742" s="1"/>
      <c r="J742" s="1"/>
      <c r="K742" s="1"/>
      <c r="L742" s="1"/>
      <c r="M742" s="1"/>
      <c r="N742" s="1"/>
      <c r="O742" s="1"/>
      <c r="P742" s="1"/>
      <c r="Q742" s="1"/>
      <c r="R742" s="1"/>
      <c r="S742" s="1"/>
      <c r="T742" s="1"/>
      <c r="U742" s="1"/>
      <c r="V742" s="1"/>
      <c r="W742" s="1"/>
      <c r="X742" s="1"/>
      <c r="Y742" s="1"/>
      <c r="Z742" s="1"/>
    </row>
    <row r="743">
      <c r="A743" s="1" t="str">
        <f>IFERROR(__xludf.DUMMYFUNCTION("""COMPUTED_VALUE"""),"Dragonscale Sandals")</f>
        <v>Dragonscale Sandals</v>
      </c>
      <c r="B743" s="1"/>
      <c r="C743" s="1" t="str">
        <f>IFERROR(__xludf.DUMMYFUNCTION("""COMPUTED_VALUE"""),"Item")</f>
        <v>Item</v>
      </c>
      <c r="D743" s="1" t="str">
        <f>IFERROR(__xludf.DUMMYFUNCTION("""COMPUTED_VALUE"""),"Feet")</f>
        <v>Feet</v>
      </c>
      <c r="E743" s="1">
        <f>IFERROR(__xludf.DUMMYFUNCTION("""COMPUTED_VALUE"""),1.0)</f>
        <v>1</v>
      </c>
      <c r="F743" s="1" t="str">
        <f>IFERROR(__xludf.DUMMYFUNCTION("""COMPUTED_VALUE""")," ++2 Mobility +-Cannot be forged or duplicated")</f>
        <v> ++2 Mobility +-Cannot be forged or duplicated</v>
      </c>
      <c r="G743" s="1">
        <f>IFERROR(__xludf.DUMMYFUNCTION("""COMPUTED_VALUE"""),0.0)</f>
        <v>0</v>
      </c>
      <c r="H743" s="1"/>
      <c r="I743" s="1"/>
      <c r="J743" s="1"/>
      <c r="K743" s="1"/>
      <c r="L743" s="1"/>
      <c r="M743" s="1"/>
      <c r="N743" s="1"/>
      <c r="O743" s="1"/>
      <c r="P743" s="1"/>
      <c r="Q743" s="1"/>
      <c r="R743" s="1"/>
      <c r="S743" s="1"/>
      <c r="T743" s="1"/>
      <c r="U743" s="1"/>
      <c r="V743" s="1"/>
      <c r="W743" s="1"/>
      <c r="X743" s="1"/>
      <c r="Y743" s="1"/>
      <c r="Z743" s="1"/>
    </row>
    <row r="744">
      <c r="A744" s="1" t="str">
        <f>IFERROR(__xludf.DUMMYFUNCTION("""COMPUTED_VALUE"""),"Dragonscale Talisman")</f>
        <v>Dragonscale Talisman</v>
      </c>
      <c r="B744" s="1"/>
      <c r="C744" s="1" t="str">
        <f>IFERROR(__xludf.DUMMYFUNCTION("""COMPUTED_VALUE"""),"Item")</f>
        <v>Item</v>
      </c>
      <c r="D744" s="1" t="str">
        <f>IFERROR(__xludf.DUMMYFUNCTION("""COMPUTED_VALUE"""),"Neck")</f>
        <v>Neck</v>
      </c>
      <c r="E744" s="1">
        <f>IFERROR(__xludf.DUMMYFUNCTION("""COMPUTED_VALUE"""),1.0)</f>
        <v>1</v>
      </c>
      <c r="F744" s="1" t="str">
        <f>IFERROR(__xludf.DUMMYFUNCTION("""COMPUTED_VALUE""")," ++10000 additional HP and SP, +-Cannot be forged or duplicated")</f>
        <v> ++10000 additional HP and SP, +-Cannot be forged or duplicated</v>
      </c>
      <c r="G744" s="1">
        <f>IFERROR(__xludf.DUMMYFUNCTION("""COMPUTED_VALUE"""),0.0)</f>
        <v>0</v>
      </c>
      <c r="H744" s="1"/>
      <c r="I744" s="1"/>
      <c r="J744" s="1"/>
      <c r="K744" s="1"/>
      <c r="L744" s="1"/>
      <c r="M744" s="1"/>
      <c r="N744" s="1"/>
      <c r="O744" s="1"/>
      <c r="P744" s="1"/>
      <c r="Q744" s="1"/>
      <c r="R744" s="1"/>
      <c r="S744" s="1"/>
      <c r="T744" s="1"/>
      <c r="U744" s="1"/>
      <c r="V744" s="1"/>
      <c r="W744" s="1"/>
      <c r="X744" s="1"/>
      <c r="Y744" s="1"/>
      <c r="Z744" s="1"/>
    </row>
    <row r="745">
      <c r="A745" s="1" t="str">
        <f>IFERROR(__xludf.DUMMYFUNCTION("""COMPUTED_VALUE"""),"Dragonscale Water Ring")</f>
        <v>Dragonscale Water Ring</v>
      </c>
      <c r="B745" s="1"/>
      <c r="C745" s="1" t="str">
        <f>IFERROR(__xludf.DUMMYFUNCTION("""COMPUTED_VALUE"""),"Item")</f>
        <v>Item</v>
      </c>
      <c r="D745" s="1" t="str">
        <f>IFERROR(__xludf.DUMMYFUNCTION("""COMPUTED_VALUE"""),"Finger")</f>
        <v>Finger</v>
      </c>
      <c r="E745" s="1">
        <f>IFERROR(__xludf.DUMMYFUNCTION("""COMPUTED_VALUE"""),1.0)</f>
        <v>1</v>
      </c>
      <c r="F745" s="1" t="str">
        <f>IFERROR(__xludf.DUMMYFUNCTION("""COMPUTED_VALUE""")," ++Converts all Natural damage to Water damage +-Cannot be duplicated")</f>
        <v> ++Converts all Natural damage to Water damage +-Cannot be duplicated</v>
      </c>
      <c r="G745" s="1">
        <f>IFERROR(__xludf.DUMMYFUNCTION("""COMPUTED_VALUE"""),0.0)</f>
        <v>0</v>
      </c>
      <c r="H745" s="1"/>
      <c r="I745" s="1"/>
      <c r="J745" s="1"/>
      <c r="K745" s="1"/>
      <c r="L745" s="1"/>
      <c r="M745" s="1"/>
      <c r="N745" s="1"/>
      <c r="O745" s="1"/>
      <c r="P745" s="1"/>
      <c r="Q745" s="1"/>
      <c r="R745" s="1"/>
      <c r="S745" s="1"/>
      <c r="T745" s="1"/>
      <c r="U745" s="1"/>
      <c r="V745" s="1"/>
      <c r="W745" s="1"/>
      <c r="X745" s="1"/>
      <c r="Y745" s="1"/>
      <c r="Z745" s="1"/>
    </row>
    <row r="746">
      <c r="A746" s="1" t="str">
        <f>IFERROR(__xludf.DUMMYFUNCTION("""COMPUTED_VALUE"""),"Dragonscale Gauntlets")</f>
        <v>Dragonscale Gauntlets</v>
      </c>
      <c r="B746" s="1"/>
      <c r="C746" s="1" t="str">
        <f>IFERROR(__xludf.DUMMYFUNCTION("""COMPUTED_VALUE"""),"Gauntlet")</f>
        <v>Gauntlet</v>
      </c>
      <c r="D746" s="1" t="str">
        <f>IFERROR(__xludf.DUMMYFUNCTION("""COMPUTED_VALUE"""),"Hand")</f>
        <v>Hand</v>
      </c>
      <c r="E746" s="1">
        <f>IFERROR(__xludf.DUMMYFUNCTION("""COMPUTED_VALUE"""),2000.0)</f>
        <v>2000</v>
      </c>
      <c r="F746" s="1" t="str">
        <f>IFERROR(__xludf.DUMMYFUNCTION("""COMPUTED_VALUE"""),"DEF: +100000")</f>
        <v>DEF: +100000</v>
      </c>
      <c r="G746" s="1">
        <f>IFERROR(__xludf.DUMMYFUNCTION("""COMPUTED_VALUE"""),1.99E8)</f>
        <v>199000000</v>
      </c>
      <c r="H746" s="1"/>
      <c r="I746" s="1"/>
      <c r="J746" s="1"/>
      <c r="K746" s="1"/>
      <c r="L746" s="1"/>
      <c r="M746" s="1"/>
      <c r="N746" s="1"/>
      <c r="O746" s="1"/>
      <c r="P746" s="1"/>
      <c r="Q746" s="1"/>
      <c r="R746" s="1"/>
      <c r="S746" s="1"/>
      <c r="T746" s="1"/>
      <c r="U746" s="1"/>
      <c r="V746" s="1"/>
      <c r="W746" s="1"/>
      <c r="X746" s="1"/>
      <c r="Y746" s="1"/>
      <c r="Z746" s="1"/>
    </row>
    <row r="747">
      <c r="A747" s="1" t="str">
        <f>IFERROR(__xludf.DUMMYFUNCTION("""COMPUTED_VALUE"""),"Fire Dragonscale Bow")</f>
        <v>Fire Dragonscale Bow</v>
      </c>
      <c r="B747" s="1"/>
      <c r="C747" s="1" t="str">
        <f>IFERROR(__xludf.DUMMYFUNCTION("""COMPUTED_VALUE"""),"Bow")</f>
        <v>Bow</v>
      </c>
      <c r="D747" s="1" t="str">
        <f>IFERROR(__xludf.DUMMYFUNCTION("""COMPUTED_VALUE"""),"Hand")</f>
        <v>Hand</v>
      </c>
      <c r="E747" s="1">
        <f>IFERROR(__xludf.DUMMYFUNCTION("""COMPUTED_VALUE"""),3000.0)</f>
        <v>3000</v>
      </c>
      <c r="F747" s="1" t="str">
        <f>IFERROR(__xludf.DUMMYFUNCTION("""COMPUTED_VALUE"""),"DMG: +20000, Fire DMG: +130000")</f>
        <v>DMG: +20000, Fire DMG: +130000</v>
      </c>
      <c r="G747" s="1">
        <f>IFERROR(__xludf.DUMMYFUNCTION("""COMPUTED_VALUE"""),4.485E8)</f>
        <v>448500000</v>
      </c>
      <c r="H747" s="1"/>
      <c r="I747" s="1"/>
      <c r="J747" s="1"/>
      <c r="K747" s="1"/>
      <c r="L747" s="1"/>
      <c r="M747" s="1"/>
      <c r="N747" s="1"/>
      <c r="O747" s="1"/>
      <c r="P747" s="1"/>
      <c r="Q747" s="1"/>
      <c r="R747" s="1"/>
      <c r="S747" s="1"/>
      <c r="T747" s="1"/>
      <c r="U747" s="1"/>
      <c r="V747" s="1"/>
      <c r="W747" s="1"/>
      <c r="X747" s="1"/>
      <c r="Y747" s="1"/>
      <c r="Z747" s="1"/>
    </row>
    <row r="748">
      <c r="A748" s="1" t="str">
        <f>IFERROR(__xludf.DUMMYFUNCTION("""COMPUTED_VALUE"""),"Storm Dragonscale Flail")</f>
        <v>Storm Dragonscale Flail</v>
      </c>
      <c r="B748" s="1"/>
      <c r="C748" s="1" t="str">
        <f>IFERROR(__xludf.DUMMYFUNCTION("""COMPUTED_VALUE"""),"Club")</f>
        <v>Club</v>
      </c>
      <c r="D748" s="1" t="str">
        <f>IFERROR(__xludf.DUMMYFUNCTION("""COMPUTED_VALUE"""),"Hand")</f>
        <v>Hand</v>
      </c>
      <c r="E748" s="1">
        <f>IFERROR(__xludf.DUMMYFUNCTION("""COMPUTED_VALUE"""),2400.0)</f>
        <v>2400</v>
      </c>
      <c r="F748" s="1" t="str">
        <f>IFERROR(__xludf.DUMMYFUNCTION("""COMPUTED_VALUE"""),"DMG: +20000, Storm DMG: +100000 ++If multiple enemies of the same type are present, attacks hit all enemies of that type. +-Cannot be forged or duplicated")</f>
        <v>DMG: +20000, Storm DMG: +100000 ++If multiple enemies of the same type are present, attacks hit all enemies of that type. +-Cannot be forged or duplicated</v>
      </c>
      <c r="G748" s="1">
        <f>IFERROR(__xludf.DUMMYFUNCTION("""COMPUTED_VALUE"""),2.868E8)</f>
        <v>286800000</v>
      </c>
      <c r="H748" s="1"/>
      <c r="I748" s="1"/>
      <c r="J748" s="1"/>
      <c r="K748" s="1"/>
      <c r="L748" s="1"/>
      <c r="M748" s="1"/>
      <c r="N748" s="1"/>
      <c r="O748" s="1"/>
      <c r="P748" s="1"/>
      <c r="Q748" s="1"/>
      <c r="R748" s="1"/>
      <c r="S748" s="1"/>
      <c r="T748" s="1"/>
      <c r="U748" s="1"/>
      <c r="V748" s="1"/>
      <c r="W748" s="1"/>
      <c r="X748" s="1"/>
      <c r="Y748" s="1"/>
      <c r="Z748" s="1"/>
    </row>
    <row r="749">
      <c r="A749" s="1" t="str">
        <f>IFERROR(__xludf.DUMMYFUNCTION("""COMPUTED_VALUE"""),"Dragonscale Spear")</f>
        <v>Dragonscale Spear</v>
      </c>
      <c r="B749" s="1"/>
      <c r="C749" s="1" t="str">
        <f>IFERROR(__xludf.DUMMYFUNCTION("""COMPUTED_VALUE"""),"Spear")</f>
        <v>Spear</v>
      </c>
      <c r="D749" s="1" t="str">
        <f>IFERROR(__xludf.DUMMYFUNCTION("""COMPUTED_VALUE"""),"Hand")</f>
        <v>Hand</v>
      </c>
      <c r="E749" s="1">
        <f>IFERROR(__xludf.DUMMYFUNCTION("""COMPUTED_VALUE"""),2800.0)</f>
        <v>2800</v>
      </c>
      <c r="F749" s="1" t="str">
        <f>IFERROR(__xludf.DUMMYFUNCTION("""COMPUTED_VALUE"""),"DMG: +140000")</f>
        <v>DMG: +140000</v>
      </c>
      <c r="G749" s="1">
        <f>IFERROR(__xludf.DUMMYFUNCTION("""COMPUTED_VALUE"""),3.906E8)</f>
        <v>390600000</v>
      </c>
      <c r="H749" s="1"/>
      <c r="I749" s="1"/>
      <c r="J749" s="1"/>
      <c r="K749" s="1"/>
      <c r="L749" s="1"/>
      <c r="M749" s="1"/>
      <c r="N749" s="1"/>
      <c r="O749" s="1"/>
      <c r="P749" s="1"/>
      <c r="Q749" s="1"/>
      <c r="R749" s="1"/>
      <c r="S749" s="1"/>
      <c r="T749" s="1"/>
      <c r="U749" s="1"/>
      <c r="V749" s="1"/>
      <c r="W749" s="1"/>
      <c r="X749" s="1"/>
      <c r="Y749" s="1"/>
      <c r="Z749" s="1"/>
    </row>
    <row r="750">
      <c r="A750" s="1" t="str">
        <f>IFERROR(__xludf.DUMMYFUNCTION("""COMPUTED_VALUE"""),"Dragonscale Scythe")</f>
        <v>Dragonscale Scythe</v>
      </c>
      <c r="B750" s="1"/>
      <c r="C750" s="1" t="str">
        <f>IFERROR(__xludf.DUMMYFUNCTION("""COMPUTED_VALUE"""),"Scythe")</f>
        <v>Scythe</v>
      </c>
      <c r="D750" s="1" t="str">
        <f>IFERROR(__xludf.DUMMYFUNCTION("""COMPUTED_VALUE"""),"Hand")</f>
        <v>Hand</v>
      </c>
      <c r="E750" s="1">
        <f>IFERROR(__xludf.DUMMYFUNCTION("""COMPUTED_VALUE"""),2500.0)</f>
        <v>2500</v>
      </c>
      <c r="F750" s="1" t="str">
        <f>IFERROR(__xludf.DUMMYFUNCTION("""COMPUTED_VALUE"""),"DMG: +125000 ++If used to kill a dragon, 100% chance to get its soul. +-Cannot be forged or duplicated")</f>
        <v>DMG: +125000 ++If used to kill a dragon, 100% chance to get its soul. +-Cannot be forged or duplicated</v>
      </c>
      <c r="G750" s="1">
        <f>IFERROR(__xludf.DUMMYFUNCTION("""COMPUTED_VALUE"""),3.1125E8)</f>
        <v>311250000</v>
      </c>
      <c r="H750" s="1"/>
      <c r="I750" s="1"/>
      <c r="J750" s="1"/>
      <c r="K750" s="1"/>
      <c r="L750" s="1"/>
      <c r="M750" s="1"/>
      <c r="N750" s="1"/>
      <c r="O750" s="1"/>
      <c r="P750" s="1"/>
      <c r="Q750" s="1"/>
      <c r="R750" s="1"/>
      <c r="S750" s="1"/>
      <c r="T750" s="1"/>
      <c r="U750" s="1"/>
      <c r="V750" s="1"/>
      <c r="W750" s="1"/>
      <c r="X750" s="1"/>
      <c r="Y750" s="1"/>
      <c r="Z750" s="1"/>
    </row>
    <row r="751">
      <c r="A751" s="1" t="str">
        <f>IFERROR(__xludf.DUMMYFUNCTION("""COMPUTED_VALUE"""),"Dark Dragonscale Claws")</f>
        <v>Dark Dragonscale Claws</v>
      </c>
      <c r="B751" s="1"/>
      <c r="C751" s="1" t="str">
        <f>IFERROR(__xludf.DUMMYFUNCTION("""COMPUTED_VALUE"""),"Claw")</f>
        <v>Claw</v>
      </c>
      <c r="D751" s="1" t="str">
        <f>IFERROR(__xludf.DUMMYFUNCTION("""COMPUTED_VALUE"""),"Hand")</f>
        <v>Hand</v>
      </c>
      <c r="E751" s="1">
        <f>IFERROR(__xludf.DUMMYFUNCTION("""COMPUTED_VALUE"""),2900.0)</f>
        <v>2900</v>
      </c>
      <c r="F751" s="1" t="str">
        <f>IFERROR(__xludf.DUMMYFUNCTION("""COMPUTED_VALUE"""),", Dark DMG: +145000 ++ 30% chance to remove enemy from battle")</f>
        <v>, Dark DMG: +145000 ++ 30% chance to remove enemy from battle</v>
      </c>
      <c r="G751" s="1">
        <f>IFERROR(__xludf.DUMMYFUNCTION("""COMPUTED_VALUE"""),4.1905E8)</f>
        <v>419050000</v>
      </c>
      <c r="H751" s="1"/>
      <c r="I751" s="1"/>
      <c r="J751" s="1"/>
      <c r="K751" s="1"/>
      <c r="L751" s="1"/>
      <c r="M751" s="1"/>
      <c r="N751" s="1"/>
      <c r="O751" s="1"/>
      <c r="P751" s="1"/>
      <c r="Q751" s="1"/>
      <c r="R751" s="1"/>
      <c r="S751" s="1"/>
      <c r="T751" s="1"/>
      <c r="U751" s="1"/>
      <c r="V751" s="1"/>
      <c r="W751" s="1"/>
      <c r="X751" s="1"/>
      <c r="Y751" s="1"/>
      <c r="Z751" s="1"/>
    </row>
    <row r="752">
      <c r="A752" s="1" t="str">
        <f>IFERROR(__xludf.DUMMYFUNCTION("""COMPUTED_VALUE"""),"Chaotic Dragonscale Claw")</f>
        <v>Chaotic Dragonscale Claw</v>
      </c>
      <c r="B752" s="1"/>
      <c r="C752" s="1" t="str">
        <f>IFERROR(__xludf.DUMMYFUNCTION("""COMPUTED_VALUE"""),"Claw")</f>
        <v>Claw</v>
      </c>
      <c r="D752" s="1" t="str">
        <f>IFERROR(__xludf.DUMMYFUNCTION("""COMPUTED_VALUE"""),"Hand")</f>
        <v>Hand</v>
      </c>
      <c r="E752" s="1">
        <f>IFERROR(__xludf.DUMMYFUNCTION("""COMPUTED_VALUE"""),2350.0)</f>
        <v>2350</v>
      </c>
      <c r="F752" s="1" t="str">
        <f>IFERROR(__xludf.DUMMYFUNCTION("""COMPUTED_VALUE"""),"DMG: +1, Chaos DMG: +117000 +-5% chance of dealing 1 damage when attacking")</f>
        <v>DMG: +1, Chaos DMG: +117000 +-5% chance of dealing 1 damage when attacking</v>
      </c>
      <c r="G752" s="1">
        <f>IFERROR(__xludf.DUMMYFUNCTION("""COMPUTED_VALUE"""),2.7261E8)</f>
        <v>272610000</v>
      </c>
      <c r="H752" s="1"/>
      <c r="I752" s="1"/>
      <c r="J752" s="1"/>
      <c r="K752" s="1"/>
      <c r="L752" s="1"/>
      <c r="M752" s="1"/>
      <c r="N752" s="1"/>
      <c r="O752" s="1"/>
      <c r="P752" s="1"/>
      <c r="Q752" s="1"/>
      <c r="R752" s="1"/>
      <c r="S752" s="1"/>
      <c r="T752" s="1"/>
      <c r="U752" s="1"/>
      <c r="V752" s="1"/>
      <c r="W752" s="1"/>
      <c r="X752" s="1"/>
      <c r="Y752" s="1"/>
      <c r="Z752" s="1"/>
    </row>
    <row r="753">
      <c r="A753" s="1" t="str">
        <f>IFERROR(__xludf.DUMMYFUNCTION("""COMPUTED_VALUE"""),"Earthen Dragonscale Boots")</f>
        <v>Earthen Dragonscale Boots</v>
      </c>
      <c r="B753" s="1"/>
      <c r="C753" s="1" t="str">
        <f>IFERROR(__xludf.DUMMYFUNCTION("""COMPUTED_VALUE"""),"Item")</f>
        <v>Item</v>
      </c>
      <c r="D753" s="1" t="str">
        <f>IFERROR(__xludf.DUMMYFUNCTION("""COMPUTED_VALUE"""),"Feet")</f>
        <v>Feet</v>
      </c>
      <c r="E753" s="1">
        <f>IFERROR(__xludf.DUMMYFUNCTION("""COMPUTED_VALUE"""),3000.0)</f>
        <v>3000</v>
      </c>
      <c r="F753" s="1" t="str">
        <f>IFERROR(__xludf.DUMMYFUNCTION("""COMPUTED_VALUE"""),"DEF: +60000, Earth DEF: +90000 ++Immune to Earth spells")</f>
        <v>DEF: +60000, Earth DEF: +90000 ++Immune to Earth spells</v>
      </c>
      <c r="G753" s="1">
        <f>IFERROR(__xludf.DUMMYFUNCTION("""COMPUTED_VALUE"""),4.485E8)</f>
        <v>448500000</v>
      </c>
      <c r="H753" s="1"/>
      <c r="I753" s="1"/>
      <c r="J753" s="1"/>
      <c r="K753" s="1"/>
      <c r="L753" s="1"/>
      <c r="M753" s="1"/>
      <c r="N753" s="1"/>
      <c r="O753" s="1"/>
      <c r="P753" s="1"/>
      <c r="Q753" s="1"/>
      <c r="R753" s="1"/>
      <c r="S753" s="1"/>
      <c r="T753" s="1"/>
      <c r="U753" s="1"/>
      <c r="V753" s="1"/>
      <c r="W753" s="1"/>
      <c r="X753" s="1"/>
      <c r="Y753" s="1"/>
      <c r="Z753" s="1"/>
    </row>
    <row r="754">
      <c r="A754" s="1" t="str">
        <f>IFERROR(__xludf.DUMMYFUNCTION("""COMPUTED_VALUE"""),"Dragonscale Harp")</f>
        <v>Dragonscale Harp</v>
      </c>
      <c r="B754" s="1"/>
      <c r="C754" s="1" t="str">
        <f>IFERROR(__xludf.DUMMYFUNCTION("""COMPUTED_VALUE"""),"Instrument")</f>
        <v>Instrument</v>
      </c>
      <c r="D754" s="1" t="str">
        <f>IFERROR(__xludf.DUMMYFUNCTION("""COMPUTED_VALUE"""),"Hand")</f>
        <v>Hand</v>
      </c>
      <c r="E754" s="1">
        <f>IFERROR(__xludf.DUMMYFUNCTION("""COMPUTED_VALUE"""),2620.0)</f>
        <v>2620</v>
      </c>
      <c r="F754" s="1" t="str">
        <f>IFERROR(__xludf.DUMMYFUNCTION("""COMPUTED_VALUE"""),"DMG: +1000, Acoustic DMG: +130000 ++Causes any dragon enemies to skip its next turn when attacked.")</f>
        <v>DMG: +1000, Acoustic DMG: +130000 ++Causes any dragon enemies to skip its next turn when attacked.</v>
      </c>
      <c r="G754" s="1">
        <f>IFERROR(__xludf.DUMMYFUNCTION("""COMPUTED_VALUE"""),3.4191E8)</f>
        <v>341910000</v>
      </c>
      <c r="H754" s="1"/>
      <c r="I754" s="1"/>
      <c r="J754" s="1"/>
      <c r="K754" s="1"/>
      <c r="L754" s="1"/>
      <c r="M754" s="1"/>
      <c r="N754" s="1"/>
      <c r="O754" s="1"/>
      <c r="P754" s="1"/>
      <c r="Q754" s="1"/>
      <c r="R754" s="1"/>
      <c r="S754" s="1"/>
      <c r="T754" s="1"/>
      <c r="U754" s="1"/>
      <c r="V754" s="1"/>
      <c r="W754" s="1"/>
      <c r="X754" s="1"/>
      <c r="Y754" s="1"/>
      <c r="Z754" s="1"/>
    </row>
    <row r="755">
      <c r="A755" s="1" t="str">
        <f>IFERROR(__xludf.DUMMYFUNCTION("""COMPUTED_VALUE"""),"Dragonscale Bracers")</f>
        <v>Dragonscale Bracers</v>
      </c>
      <c r="B755" s="1"/>
      <c r="C755" s="1" t="str">
        <f>IFERROR(__xludf.DUMMYFUNCTION("""COMPUTED_VALUE"""),"Item")</f>
        <v>Item</v>
      </c>
      <c r="D755" s="1" t="str">
        <f>IFERROR(__xludf.DUMMYFUNCTION("""COMPUTED_VALUE"""),"Arms")</f>
        <v>Arms</v>
      </c>
      <c r="E755" s="1">
        <f>IFERROR(__xludf.DUMMYFUNCTION("""COMPUTED_VALUE"""),2000.0)</f>
        <v>2000</v>
      </c>
      <c r="F755" s="1" t="str">
        <f>IFERROR(__xludf.DUMMYFUNCTION("""COMPUTED_VALUE"""),"DEF: +100000 ++X2 DEF when fighting a dragon(s).")</f>
        <v>DEF: +100000 ++X2 DEF when fighting a dragon(s).</v>
      </c>
      <c r="G755" s="1">
        <f>IFERROR(__xludf.DUMMYFUNCTION("""COMPUTED_VALUE"""),1.99E8)</f>
        <v>199000000</v>
      </c>
      <c r="H755" s="1"/>
      <c r="I755" s="1"/>
      <c r="J755" s="1"/>
      <c r="K755" s="1"/>
      <c r="L755" s="1"/>
      <c r="M755" s="1"/>
      <c r="N755" s="1"/>
      <c r="O755" s="1"/>
      <c r="P755" s="1"/>
      <c r="Q755" s="1"/>
      <c r="R755" s="1"/>
      <c r="S755" s="1"/>
      <c r="T755" s="1"/>
      <c r="U755" s="1"/>
      <c r="V755" s="1"/>
      <c r="W755" s="1"/>
      <c r="X755" s="1"/>
      <c r="Y755" s="1"/>
      <c r="Z755" s="1"/>
    </row>
    <row r="756">
      <c r="A756" s="1" t="str">
        <f>IFERROR(__xludf.DUMMYFUNCTION("""COMPUTED_VALUE"""),"Dragonscale Crown")</f>
        <v>Dragonscale Crown</v>
      </c>
      <c r="B756" s="1"/>
      <c r="C756" s="1" t="str">
        <f>IFERROR(__xludf.DUMMYFUNCTION("""COMPUTED_VALUE"""),"Item")</f>
        <v>Item</v>
      </c>
      <c r="D756" s="1" t="str">
        <f>IFERROR(__xludf.DUMMYFUNCTION("""COMPUTED_VALUE"""),"Head")</f>
        <v>Head</v>
      </c>
      <c r="E756" s="1">
        <f>IFERROR(__xludf.DUMMYFUNCTION("""COMPUTED_VALUE"""),1.0)</f>
        <v>1</v>
      </c>
      <c r="F756" s="1" t="str">
        <f>IFERROR(__xludf.DUMMYFUNCTION("""COMPUTED_VALUE""")," ++7,500 additional HP and SP, +-Cannot be forged or duplicated")</f>
        <v> ++7,500 additional HP and SP, +-Cannot be forged or duplicated</v>
      </c>
      <c r="G756" s="1">
        <f>IFERROR(__xludf.DUMMYFUNCTION("""COMPUTED_VALUE"""),0.0)</f>
        <v>0</v>
      </c>
      <c r="H756" s="1"/>
      <c r="I756" s="1"/>
      <c r="J756" s="1"/>
      <c r="K756" s="1"/>
      <c r="L756" s="1"/>
      <c r="M756" s="1"/>
      <c r="N756" s="1"/>
      <c r="O756" s="1"/>
      <c r="P756" s="1"/>
      <c r="Q756" s="1"/>
      <c r="R756" s="1"/>
      <c r="S756" s="1"/>
      <c r="T756" s="1"/>
      <c r="U756" s="1"/>
      <c r="V756" s="1"/>
      <c r="W756" s="1"/>
      <c r="X756" s="1"/>
      <c r="Y756" s="1"/>
      <c r="Z756" s="1"/>
    </row>
    <row r="757">
      <c r="A757" s="1" t="str">
        <f>IFERROR(__xludf.DUMMYFUNCTION("""COMPUTED_VALUE"""),"Dragonscale Helm")</f>
        <v>Dragonscale Helm</v>
      </c>
      <c r="B757" s="1"/>
      <c r="C757" s="1" t="str">
        <f>IFERROR(__xludf.DUMMYFUNCTION("""COMPUTED_VALUE"""),"Item")</f>
        <v>Item</v>
      </c>
      <c r="D757" s="1" t="str">
        <f>IFERROR(__xludf.DUMMYFUNCTION("""COMPUTED_VALUE"""),"Head")</f>
        <v>Head</v>
      </c>
      <c r="E757" s="1">
        <f>IFERROR(__xludf.DUMMYFUNCTION("""COMPUTED_VALUE"""),2600.0)</f>
        <v>2600</v>
      </c>
      <c r="F757" s="1" t="str">
        <f>IFERROR(__xludf.DUMMYFUNCTION("""COMPUTED_VALUE"""),"DEF: +130000")</f>
        <v>DEF: +130000</v>
      </c>
      <c r="G757" s="1">
        <f>IFERROR(__xludf.DUMMYFUNCTION("""COMPUTED_VALUE"""),3.367E8)</f>
        <v>336700000</v>
      </c>
      <c r="H757" s="1"/>
      <c r="I757" s="1"/>
      <c r="J757" s="1"/>
      <c r="K757" s="1"/>
      <c r="L757" s="1"/>
      <c r="M757" s="1"/>
      <c r="N757" s="1"/>
      <c r="O757" s="1"/>
      <c r="P757" s="1"/>
      <c r="Q757" s="1"/>
      <c r="R757" s="1"/>
      <c r="S757" s="1"/>
      <c r="T757" s="1"/>
      <c r="U757" s="1"/>
      <c r="V757" s="1"/>
      <c r="W757" s="1"/>
      <c r="X757" s="1"/>
      <c r="Y757" s="1"/>
      <c r="Z757" s="1"/>
    </row>
    <row r="758">
      <c r="A758" s="1" t="str">
        <f>IFERROR(__xludf.DUMMYFUNCTION("""COMPUTED_VALUE"""),"Dragonscale Rifle")</f>
        <v>Dragonscale Rifle</v>
      </c>
      <c r="B758" s="1"/>
      <c r="C758" s="1" t="str">
        <f>IFERROR(__xludf.DUMMYFUNCTION("""COMPUTED_VALUE"""),"Firearm")</f>
        <v>Firearm</v>
      </c>
      <c r="D758" s="1" t="str">
        <f>IFERROR(__xludf.DUMMYFUNCTION("""COMPUTED_VALUE"""),"Hand")</f>
        <v>Hand</v>
      </c>
      <c r="E758" s="1">
        <f>IFERROR(__xludf.DUMMYFUNCTION("""COMPUTED_VALUE"""),3400.0)</f>
        <v>3400</v>
      </c>
      <c r="F758" s="1" t="str">
        <f>IFERROR(__xludf.DUMMYFUNCTION("""COMPUTED_VALUE"""),"DMG: +170000  +-Uses bullets")</f>
        <v>DMG: +170000  +-Uses bullets</v>
      </c>
      <c r="G758" s="1">
        <f>IFERROR(__xludf.DUMMYFUNCTION("""COMPUTED_VALUE"""),5.763E8)</f>
        <v>576300000</v>
      </c>
      <c r="H758" s="1"/>
      <c r="I758" s="1"/>
      <c r="J758" s="1"/>
      <c r="K758" s="1"/>
      <c r="L758" s="1"/>
      <c r="M758" s="1"/>
      <c r="N758" s="1"/>
      <c r="O758" s="1"/>
      <c r="P758" s="1"/>
      <c r="Q758" s="1"/>
      <c r="R758" s="1"/>
      <c r="S758" s="1"/>
      <c r="T758" s="1"/>
      <c r="U758" s="1"/>
      <c r="V758" s="1"/>
      <c r="W758" s="1"/>
      <c r="X758" s="1"/>
      <c r="Y758" s="1"/>
      <c r="Z758" s="1"/>
    </row>
    <row r="759">
      <c r="A759" s="1" t="str">
        <f>IFERROR(__xludf.DUMMYFUNCTION("""COMPUTED_VALUE"""),"Searing Dragonscale Staff")</f>
        <v>Searing Dragonscale Staff</v>
      </c>
      <c r="B759" s="1"/>
      <c r="C759" s="1" t="str">
        <f>IFERROR(__xludf.DUMMYFUNCTION("""COMPUTED_VALUE"""),"Staff")</f>
        <v>Staff</v>
      </c>
      <c r="D759" s="1" t="str">
        <f>IFERROR(__xludf.DUMMYFUNCTION("""COMPUTED_VALUE"""),"Hand")</f>
        <v>Hand</v>
      </c>
      <c r="E759" s="1">
        <f>IFERROR(__xludf.DUMMYFUNCTION("""COMPUTED_VALUE"""),3000.0)</f>
        <v>3000</v>
      </c>
      <c r="F759" s="1" t="str">
        <f>IFERROR(__xludf.DUMMYFUNCTION("""COMPUTED_VALUE"""),", Light DMG: +150000")</f>
        <v>, Light DMG: +150000</v>
      </c>
      <c r="G759" s="1">
        <f>IFERROR(__xludf.DUMMYFUNCTION("""COMPUTED_VALUE"""),4.485E8)</f>
        <v>448500000</v>
      </c>
      <c r="H759" s="1"/>
      <c r="I759" s="1"/>
      <c r="J759" s="1"/>
      <c r="K759" s="1"/>
      <c r="L759" s="1"/>
      <c r="M759" s="1"/>
      <c r="N759" s="1"/>
      <c r="O759" s="1"/>
      <c r="P759" s="1"/>
      <c r="Q759" s="1"/>
      <c r="R759" s="1"/>
      <c r="S759" s="1"/>
      <c r="T759" s="1"/>
      <c r="U759" s="1"/>
      <c r="V759" s="1"/>
      <c r="W759" s="1"/>
      <c r="X759" s="1"/>
      <c r="Y759" s="1"/>
      <c r="Z759" s="1"/>
    </row>
    <row r="760">
      <c r="A760" s="1" t="str">
        <f>IFERROR(__xludf.DUMMYFUNCTION("""COMPUTED_VALUE"""),"Forgotten Scythe")</f>
        <v>Forgotten Scythe</v>
      </c>
      <c r="B760" s="1"/>
      <c r="C760" s="1" t="str">
        <f>IFERROR(__xludf.DUMMYFUNCTION("""COMPUTED_VALUE"""),"Scythe")</f>
        <v>Scythe</v>
      </c>
      <c r="D760" s="1" t="str">
        <f>IFERROR(__xludf.DUMMYFUNCTION("""COMPUTED_VALUE"""),"Hand")</f>
        <v>Hand</v>
      </c>
      <c r="E760" s="1">
        <f>IFERROR(__xludf.DUMMYFUNCTION("""COMPUTED_VALUE"""),5800.0)</f>
        <v>5800</v>
      </c>
      <c r="F760" s="1" t="str">
        <f>IFERROR(__xludf.DUMMYFUNCTION("""COMPUTED_VALUE"""),", Chaos DMG: +290000")</f>
        <v>, Chaos DMG: +290000</v>
      </c>
      <c r="G760" s="1">
        <f>IFERROR(__xludf.DUMMYFUNCTION("""COMPUTED_VALUE"""),1.6791E9)</f>
        <v>1679100000</v>
      </c>
      <c r="H760" s="1"/>
      <c r="I760" s="1"/>
      <c r="J760" s="1"/>
      <c r="K760" s="1"/>
      <c r="L760" s="1"/>
      <c r="M760" s="1"/>
      <c r="N760" s="1"/>
      <c r="O760" s="1"/>
      <c r="P760" s="1"/>
      <c r="Q760" s="1"/>
      <c r="R760" s="1"/>
      <c r="S760" s="1"/>
      <c r="T760" s="1"/>
      <c r="U760" s="1"/>
      <c r="V760" s="1"/>
      <c r="W760" s="1"/>
      <c r="X760" s="1"/>
      <c r="Y760" s="1"/>
      <c r="Z760" s="1"/>
    </row>
    <row r="761">
      <c r="A761" s="1" t="str">
        <f>IFERROR(__xludf.DUMMYFUNCTION("""COMPUTED_VALUE"""),"Forsaken Club")</f>
        <v>Forsaken Club</v>
      </c>
      <c r="B761" s="1"/>
      <c r="C761" s="1" t="str">
        <f>IFERROR(__xludf.DUMMYFUNCTION("""COMPUTED_VALUE"""),"Club")</f>
        <v>Club</v>
      </c>
      <c r="D761" s="1" t="str">
        <f>IFERROR(__xludf.DUMMYFUNCTION("""COMPUTED_VALUE"""),"Hand")</f>
        <v>Hand</v>
      </c>
      <c r="E761" s="1">
        <f>IFERROR(__xludf.DUMMYFUNCTION("""COMPUTED_VALUE"""),5000.0)</f>
        <v>5000</v>
      </c>
      <c r="F761" s="1" t="str">
        <f>IFERROR(__xludf.DUMMYFUNCTION("""COMPUTED_VALUE"""),"DMG: +250000")</f>
        <v>DMG: +250000</v>
      </c>
      <c r="G761" s="1">
        <f>IFERROR(__xludf.DUMMYFUNCTION("""COMPUTED_VALUE"""),1.2475E9)</f>
        <v>1247500000</v>
      </c>
      <c r="H761" s="1"/>
      <c r="I761" s="1"/>
      <c r="J761" s="1"/>
      <c r="K761" s="1"/>
      <c r="L761" s="1"/>
      <c r="M761" s="1"/>
      <c r="N761" s="1"/>
      <c r="O761" s="1"/>
      <c r="P761" s="1"/>
      <c r="Q761" s="1"/>
      <c r="R761" s="1"/>
      <c r="S761" s="1"/>
      <c r="T761" s="1"/>
      <c r="U761" s="1"/>
      <c r="V761" s="1"/>
      <c r="W761" s="1"/>
      <c r="X761" s="1"/>
      <c r="Y761" s="1"/>
      <c r="Z761" s="1"/>
    </row>
    <row r="762">
      <c r="A762" s="1" t="str">
        <f>IFERROR(__xludf.DUMMYFUNCTION("""COMPUTED_VALUE"""),"Demonic Breastplate")</f>
        <v>Demonic Breastplate</v>
      </c>
      <c r="B762" s="1"/>
      <c r="C762" s="1" t="str">
        <f>IFERROR(__xludf.DUMMYFUNCTION("""COMPUTED_VALUE"""),"Item")</f>
        <v>Item</v>
      </c>
      <c r="D762" s="1" t="str">
        <f>IFERROR(__xludf.DUMMYFUNCTION("""COMPUTED_VALUE"""),"Torso")</f>
        <v>Torso</v>
      </c>
      <c r="E762" s="1">
        <f>IFERROR(__xludf.DUMMYFUNCTION("""COMPUTED_VALUE"""),4000.0)</f>
        <v>4000</v>
      </c>
      <c r="F762" s="1" t="str">
        <f>IFERROR(__xludf.DUMMYFUNCTION("""COMPUTED_VALUE"""),"DEF: +50000, Fire DEF: +50000, Dark DEF: +50000, Chaos DEF: +50000")</f>
        <v>DEF: +50000, Fire DEF: +50000, Dark DEF: +50000, Chaos DEF: +50000</v>
      </c>
      <c r="G762" s="1">
        <f>IFERROR(__xludf.DUMMYFUNCTION("""COMPUTED_VALUE"""),7.98E8)</f>
        <v>798000000</v>
      </c>
      <c r="H762" s="1"/>
      <c r="I762" s="1"/>
      <c r="J762" s="1"/>
      <c r="K762" s="1"/>
      <c r="L762" s="1"/>
      <c r="M762" s="1"/>
      <c r="N762" s="1"/>
      <c r="O762" s="1"/>
      <c r="P762" s="1"/>
      <c r="Q762" s="1"/>
      <c r="R762" s="1"/>
      <c r="S762" s="1"/>
      <c r="T762" s="1"/>
      <c r="U762" s="1"/>
      <c r="V762" s="1"/>
      <c r="W762" s="1"/>
      <c r="X762" s="1"/>
      <c r="Y762" s="1"/>
      <c r="Z762" s="1"/>
    </row>
    <row r="763">
      <c r="A763" s="1" t="str">
        <f>IFERROR(__xludf.DUMMYFUNCTION("""COMPUTED_VALUE"""),"Fallen Ruler's Crown")</f>
        <v>Fallen Ruler's Crown</v>
      </c>
      <c r="B763" s="1"/>
      <c r="C763" s="1" t="str">
        <f>IFERROR(__xludf.DUMMYFUNCTION("""COMPUTED_VALUE"""),"Item")</f>
        <v>Item</v>
      </c>
      <c r="D763" s="1" t="str">
        <f>IFERROR(__xludf.DUMMYFUNCTION("""COMPUTED_VALUE"""),"Head")</f>
        <v>Head</v>
      </c>
      <c r="E763" s="1">
        <f>IFERROR(__xludf.DUMMYFUNCTION("""COMPUTED_VALUE"""),1.0)</f>
        <v>1</v>
      </c>
      <c r="F763" s="1" t="str">
        <f>IFERROR(__xludf.DUMMYFUNCTION("""COMPUTED_VALUE""")," ++5% chance undead enemies will willingly surrender +-Cannot be forged or duplicated")</f>
        <v> ++5% chance undead enemies will willingly surrender +-Cannot be forged or duplicated</v>
      </c>
      <c r="G763" s="1">
        <f>IFERROR(__xludf.DUMMYFUNCTION("""COMPUTED_VALUE"""),0.0)</f>
        <v>0</v>
      </c>
      <c r="H763" s="1"/>
      <c r="I763" s="1"/>
      <c r="J763" s="1"/>
      <c r="K763" s="1"/>
      <c r="L763" s="1"/>
      <c r="M763" s="1"/>
      <c r="N763" s="1"/>
      <c r="O763" s="1"/>
      <c r="P763" s="1"/>
      <c r="Q763" s="1"/>
      <c r="R763" s="1"/>
      <c r="S763" s="1"/>
      <c r="T763" s="1"/>
      <c r="U763" s="1"/>
      <c r="V763" s="1"/>
      <c r="W763" s="1"/>
      <c r="X763" s="1"/>
      <c r="Y763" s="1"/>
      <c r="Z763" s="1"/>
    </row>
    <row r="764">
      <c r="A764" s="1" t="str">
        <f>IFERROR(__xludf.DUMMYFUNCTION("""COMPUTED_VALUE"""),"Old Knife")</f>
        <v>Old Knife</v>
      </c>
      <c r="B764" s="1"/>
      <c r="C764" s="1" t="str">
        <f>IFERROR(__xludf.DUMMYFUNCTION("""COMPUTED_VALUE"""),"Knife")</f>
        <v>Knife</v>
      </c>
      <c r="D764" s="1" t="str">
        <f>IFERROR(__xludf.DUMMYFUNCTION("""COMPUTED_VALUE"""),"Hand")</f>
        <v>Hand</v>
      </c>
      <c r="E764" s="1">
        <f>IFERROR(__xludf.DUMMYFUNCTION("""COMPUTED_VALUE"""),3640.0)</f>
        <v>3640</v>
      </c>
      <c r="F764" s="1" t="str">
        <f>IFERROR(__xludf.DUMMYFUNCTION("""COMPUTED_VALUE"""),"DMG: +12000, Blood DMG: +170000")</f>
        <v>DMG: +12000, Blood DMG: +170000</v>
      </c>
      <c r="G764" s="1">
        <f>IFERROR(__xludf.DUMMYFUNCTION("""COMPUTED_VALUE"""),6.6066E8)</f>
        <v>660660000</v>
      </c>
      <c r="H764" s="1"/>
      <c r="I764" s="1"/>
      <c r="J764" s="1"/>
      <c r="K764" s="1"/>
      <c r="L764" s="1"/>
      <c r="M764" s="1"/>
      <c r="N764" s="1"/>
      <c r="O764" s="1"/>
      <c r="P764" s="1"/>
      <c r="Q764" s="1"/>
      <c r="R764" s="1"/>
      <c r="S764" s="1"/>
      <c r="T764" s="1"/>
      <c r="U764" s="1"/>
      <c r="V764" s="1"/>
      <c r="W764" s="1"/>
      <c r="X764" s="1"/>
      <c r="Y764" s="1"/>
      <c r="Z764" s="1"/>
    </row>
    <row r="765">
      <c r="A765" s="1" t="str">
        <f>IFERROR(__xludf.DUMMYFUNCTION("""COMPUTED_VALUE"""),"Plunderbuss")</f>
        <v>Plunderbuss</v>
      </c>
      <c r="B765" s="1"/>
      <c r="C765" s="1" t="str">
        <f>IFERROR(__xludf.DUMMYFUNCTION("""COMPUTED_VALUE"""),"Firearm")</f>
        <v>Firearm</v>
      </c>
      <c r="D765" s="1" t="str">
        <f>IFERROR(__xludf.DUMMYFUNCTION("""COMPUTED_VALUE"""),"Hand")</f>
        <v>Hand</v>
      </c>
      <c r="E765" s="1">
        <f>IFERROR(__xludf.DUMMYFUNCTION("""COMPUTED_VALUE"""),3800.0)</f>
        <v>3800</v>
      </c>
      <c r="F765" s="1" t="str">
        <f>IFERROR(__xludf.DUMMYFUNCTION("""COMPUTED_VALUE"""),"DMG: +190000 +-Uses bullets, ++Get two of every loot drop you roll. +-Cannot be forged or duplicated")</f>
        <v>DMG: +190000 +-Uses bullets, ++Get two of every loot drop you roll. +-Cannot be forged or duplicated</v>
      </c>
      <c r="G765" s="1">
        <f>IFERROR(__xludf.DUMMYFUNCTION("""COMPUTED_VALUE"""),7.201E8)</f>
        <v>720100000</v>
      </c>
      <c r="H765" s="1"/>
      <c r="I765" s="1"/>
      <c r="J765" s="1"/>
      <c r="K765" s="1"/>
      <c r="L765" s="1"/>
      <c r="M765" s="1"/>
      <c r="N765" s="1"/>
      <c r="O765" s="1"/>
      <c r="P765" s="1"/>
      <c r="Q765" s="1"/>
      <c r="R765" s="1"/>
      <c r="S765" s="1"/>
      <c r="T765" s="1"/>
      <c r="U765" s="1"/>
      <c r="V765" s="1"/>
      <c r="W765" s="1"/>
      <c r="X765" s="1"/>
      <c r="Y765" s="1"/>
      <c r="Z765" s="1"/>
    </row>
    <row r="766">
      <c r="A766" s="1" t="str">
        <f>IFERROR(__xludf.DUMMYFUNCTION("""COMPUTED_VALUE"""),"Dragon Destroyer")</f>
        <v>Dragon Destroyer</v>
      </c>
      <c r="B766" s="1"/>
      <c r="C766" s="1" t="str">
        <f>IFERROR(__xludf.DUMMYFUNCTION("""COMPUTED_VALUE"""),"Axe")</f>
        <v>Axe</v>
      </c>
      <c r="D766" s="1" t="str">
        <f>IFERROR(__xludf.DUMMYFUNCTION("""COMPUTED_VALUE"""),"Hand")</f>
        <v>Hand</v>
      </c>
      <c r="E766" s="1">
        <f>IFERROR(__xludf.DUMMYFUNCTION("""COMPUTED_VALUE"""),6000.0)</f>
        <v>6000</v>
      </c>
      <c r="F766" s="1" t="str">
        <f>IFERROR(__xludf.DUMMYFUNCTION("""COMPUTED_VALUE"""),"DMG: +300000 ++deals unblockable damage to dragons +-Cannot be forged or duplicated")</f>
        <v>DMG: +300000 ++deals unblockable damage to dragons +-Cannot be forged or duplicated</v>
      </c>
      <c r="G766" s="1">
        <f>IFERROR(__xludf.DUMMYFUNCTION("""COMPUTED_VALUE"""),1.797E9)</f>
        <v>1797000000</v>
      </c>
      <c r="H766" s="1"/>
      <c r="I766" s="1"/>
      <c r="J766" s="1"/>
      <c r="K766" s="1"/>
      <c r="L766" s="1"/>
      <c r="M766" s="1"/>
      <c r="N766" s="1"/>
      <c r="O766" s="1"/>
      <c r="P766" s="1"/>
      <c r="Q766" s="1"/>
      <c r="R766" s="1"/>
      <c r="S766" s="1"/>
      <c r="T766" s="1"/>
      <c r="U766" s="1"/>
      <c r="V766" s="1"/>
      <c r="W766" s="1"/>
      <c r="X766" s="1"/>
      <c r="Y766" s="1"/>
      <c r="Z766" s="1"/>
    </row>
    <row r="767">
      <c r="A767" s="1" t="str">
        <f>IFERROR(__xludf.DUMMYFUNCTION("""COMPUTED_VALUE"""),"Dragonscale of Returns")</f>
        <v>Dragonscale of Returns</v>
      </c>
      <c r="B767" s="1"/>
      <c r="C767" s="1" t="str">
        <f>IFERROR(__xludf.DUMMYFUNCTION("""COMPUTED_VALUE"""),"Boomerang")</f>
        <v>Boomerang</v>
      </c>
      <c r="D767" s="1" t="str">
        <f>IFERROR(__xludf.DUMMYFUNCTION("""COMPUTED_VALUE"""),"Hand")</f>
        <v>Hand</v>
      </c>
      <c r="E767" s="1">
        <f>IFERROR(__xludf.DUMMYFUNCTION("""COMPUTED_VALUE"""),1500.0)</f>
        <v>1500</v>
      </c>
      <c r="F767" s="1" t="str">
        <f>IFERROR(__xludf.DUMMYFUNCTION("""COMPUTED_VALUE"""),"DMG: +75000 ++Receive a dragon scale when thrown at a dragon, +-Cannot be forged or duplicated")</f>
        <v>DMG: +75000 ++Receive a dragon scale when thrown at a dragon, +-Cannot be forged or duplicated</v>
      </c>
      <c r="G767" s="1">
        <f>IFERROR(__xludf.DUMMYFUNCTION("""COMPUTED_VALUE"""),1.1175E8)</f>
        <v>111750000</v>
      </c>
      <c r="H767" s="1"/>
      <c r="I767" s="1"/>
      <c r="J767" s="1"/>
      <c r="K767" s="1"/>
      <c r="L767" s="1"/>
      <c r="M767" s="1"/>
      <c r="N767" s="1"/>
      <c r="O767" s="1"/>
      <c r="P767" s="1"/>
      <c r="Q767" s="1"/>
      <c r="R767" s="1"/>
      <c r="S767" s="1"/>
      <c r="T767" s="1"/>
      <c r="U767" s="1"/>
      <c r="V767" s="1"/>
      <c r="W767" s="1"/>
      <c r="X767" s="1"/>
      <c r="Y767" s="1"/>
      <c r="Z767" s="1"/>
    </row>
    <row r="768">
      <c r="A768" s="1" t="str">
        <f>IFERROR(__xludf.DUMMYFUNCTION("""COMPUTED_VALUE"""),"Brimstone Staff")</f>
        <v>Brimstone Staff</v>
      </c>
      <c r="B768" s="1"/>
      <c r="C768" s="1" t="str">
        <f>IFERROR(__xludf.DUMMYFUNCTION("""COMPUTED_VALUE"""),"Staff")</f>
        <v>Staff</v>
      </c>
      <c r="D768" s="1" t="str">
        <f>IFERROR(__xludf.DUMMYFUNCTION("""COMPUTED_VALUE"""),"Hand")</f>
        <v>Hand</v>
      </c>
      <c r="E768" s="1">
        <f>IFERROR(__xludf.DUMMYFUNCTION("""COMPUTED_VALUE"""),4600.0)</f>
        <v>4600</v>
      </c>
      <c r="F768" s="1" t="str">
        <f>IFERROR(__xludf.DUMMYFUNCTION("""COMPUTED_VALUE"""),", Fire DMG: +230000 ++Fire spells cost half SP, +-Cannot be forged or duplicated")</f>
        <v>, Fire DMG: +230000 ++Fire spells cost half SP, +-Cannot be forged or duplicated</v>
      </c>
      <c r="G768" s="1">
        <f>IFERROR(__xludf.DUMMYFUNCTION("""COMPUTED_VALUE"""),1.0557E9)</f>
        <v>1055700000</v>
      </c>
      <c r="H768" s="1"/>
      <c r="I768" s="1"/>
      <c r="J768" s="1"/>
      <c r="K768" s="1"/>
      <c r="L768" s="1"/>
      <c r="M768" s="1"/>
      <c r="N768" s="1"/>
      <c r="O768" s="1"/>
      <c r="P768" s="1"/>
      <c r="Q768" s="1"/>
      <c r="R768" s="1"/>
      <c r="S768" s="1"/>
      <c r="T768" s="1"/>
      <c r="U768" s="1"/>
      <c r="V768" s="1"/>
      <c r="W768" s="1"/>
      <c r="X768" s="1"/>
      <c r="Y768" s="1"/>
      <c r="Z768" s="1"/>
    </row>
    <row r="769">
      <c r="A769" s="1" t="str">
        <f>IFERROR(__xludf.DUMMYFUNCTION("""COMPUTED_VALUE"""),"Eternal Ember")</f>
        <v>Eternal Ember</v>
      </c>
      <c r="B769" s="1"/>
      <c r="C769" s="1" t="str">
        <f>IFERROR(__xludf.DUMMYFUNCTION("""COMPUTED_VALUE"""),"Item")</f>
        <v>Item</v>
      </c>
      <c r="D769" s="1" t="str">
        <f>IFERROR(__xludf.DUMMYFUNCTION("""COMPUTED_VALUE"""),"Neck")</f>
        <v>Neck</v>
      </c>
      <c r="E769" s="1">
        <f>IFERROR(__xludf.DUMMYFUNCTION("""COMPUTED_VALUE"""),3000.0)</f>
        <v>3000</v>
      </c>
      <c r="F769" s="1" t="str">
        <f>IFERROR(__xludf.DUMMYFUNCTION("""COMPUTED_VALUE"""),", Fire DEF: +150000 ++If you cast a fire spell you can cast it once more in the same turn during battle for no additional SP, +-Cannot be forged or duplicated")</f>
        <v>, Fire DEF: +150000 ++If you cast a fire spell you can cast it once more in the same turn during battle for no additional SP, +-Cannot be forged or duplicated</v>
      </c>
      <c r="G769" s="1">
        <f>IFERROR(__xludf.DUMMYFUNCTION("""COMPUTED_VALUE"""),4.485E8)</f>
        <v>448500000</v>
      </c>
      <c r="H769" s="1"/>
      <c r="I769" s="1"/>
      <c r="J769" s="1"/>
      <c r="K769" s="1"/>
      <c r="L769" s="1"/>
      <c r="M769" s="1"/>
      <c r="N769" s="1"/>
      <c r="O769" s="1"/>
      <c r="P769" s="1"/>
      <c r="Q769" s="1"/>
      <c r="R769" s="1"/>
      <c r="S769" s="1"/>
      <c r="T769" s="1"/>
      <c r="U769" s="1"/>
      <c r="V769" s="1"/>
      <c r="W769" s="1"/>
      <c r="X769" s="1"/>
      <c r="Y769" s="1"/>
      <c r="Z769" s="1"/>
    </row>
    <row r="770">
      <c r="A770" s="1" t="str">
        <f>IFERROR(__xludf.DUMMYFUNCTION("""COMPUTED_VALUE"""),"Crystal Blood")</f>
        <v>Crystal Blood</v>
      </c>
      <c r="B770" s="1"/>
      <c r="C770" s="1" t="str">
        <f>IFERROR(__xludf.DUMMYFUNCTION("""COMPUTED_VALUE"""),"Item")</f>
        <v>Item</v>
      </c>
      <c r="D770" s="1" t="str">
        <f>IFERROR(__xludf.DUMMYFUNCTION("""COMPUTED_VALUE"""),"Neck")</f>
        <v>Neck</v>
      </c>
      <c r="E770" s="1">
        <f>IFERROR(__xludf.DUMMYFUNCTION("""COMPUTED_VALUE"""),1.0)</f>
        <v>1</v>
      </c>
      <c r="F770" s="1" t="str">
        <f>IFERROR(__xludf.DUMMYFUNCTION("""COMPUTED_VALUE""")," ++Wearer's first non-XHP cost blood spell of the battle has no HP cost , +-Cannot be forged or duplicated")</f>
        <v> ++Wearer's first non-XHP cost blood spell of the battle has no HP cost , +-Cannot be forged or duplicated</v>
      </c>
      <c r="G770" s="1">
        <f>IFERROR(__xludf.DUMMYFUNCTION("""COMPUTED_VALUE"""),0.0)</f>
        <v>0</v>
      </c>
      <c r="H770" s="1"/>
      <c r="I770" s="1"/>
      <c r="J770" s="1"/>
      <c r="K770" s="1"/>
      <c r="L770" s="1"/>
      <c r="M770" s="1"/>
      <c r="N770" s="1"/>
      <c r="O770" s="1"/>
      <c r="P770" s="1"/>
      <c r="Q770" s="1"/>
      <c r="R770" s="1"/>
      <c r="S770" s="1"/>
      <c r="T770" s="1"/>
      <c r="U770" s="1"/>
      <c r="V770" s="1"/>
      <c r="W770" s="1"/>
      <c r="X770" s="1"/>
      <c r="Y770" s="1"/>
      <c r="Z770" s="1"/>
    </row>
    <row r="771">
      <c r="A771" s="1" t="str">
        <f>IFERROR(__xludf.DUMMYFUNCTION("""COMPUTED_VALUE"""),"Ultimate Gamble")</f>
        <v>Ultimate Gamble</v>
      </c>
      <c r="B771" s="1"/>
      <c r="C771" s="1" t="str">
        <f>IFERROR(__xludf.DUMMYFUNCTION("""COMPUTED_VALUE"""),"Sword")</f>
        <v>Sword</v>
      </c>
      <c r="D771" s="1" t="str">
        <f>IFERROR(__xludf.DUMMYFUNCTION("""COMPUTED_VALUE"""),"Hand")</f>
        <v>Hand</v>
      </c>
      <c r="E771" s="1">
        <f>IFERROR(__xludf.DUMMYFUNCTION("""COMPUTED_VALUE"""),12000.0)</f>
        <v>12000</v>
      </c>
      <c r="F771" s="1" t="str">
        <f>IFERROR(__xludf.DUMMYFUNCTION("""COMPUTED_VALUE"""),"DMG: +600000 ++Make a Fail/Succeed roll while attacking with this weapon, Success = this weapon becomes unblockable this turn, +-Fail = attack yourself with this weapon.")</f>
        <v>DMG: +600000 ++Make a Fail/Succeed roll while attacking with this weapon, Success = this weapon becomes unblockable this turn, +-Fail = attack yourself with this weapon.</v>
      </c>
      <c r="G771" s="1">
        <f>IFERROR(__xludf.DUMMYFUNCTION("""COMPUTED_VALUE"""),7.194E9)</f>
        <v>7194000000</v>
      </c>
      <c r="H771" s="1"/>
      <c r="I771" s="1"/>
      <c r="J771" s="1"/>
      <c r="K771" s="1"/>
      <c r="L771" s="1"/>
      <c r="M771" s="1"/>
      <c r="N771" s="1"/>
      <c r="O771" s="1"/>
      <c r="P771" s="1"/>
      <c r="Q771" s="1"/>
      <c r="R771" s="1"/>
      <c r="S771" s="1"/>
      <c r="T771" s="1"/>
      <c r="U771" s="1"/>
      <c r="V771" s="1"/>
      <c r="W771" s="1"/>
      <c r="X771" s="1"/>
      <c r="Y771" s="1"/>
      <c r="Z771" s="1"/>
    </row>
    <row r="772">
      <c r="A772" s="1" t="str">
        <f>IFERROR(__xludf.DUMMYFUNCTION("""COMPUTED_VALUE"""),"Awakened Evil")</f>
        <v>Awakened Evil</v>
      </c>
      <c r="B772" s="1"/>
      <c r="C772" s="1" t="str">
        <f>IFERROR(__xludf.DUMMYFUNCTION("""COMPUTED_VALUE"""),"Claw")</f>
        <v>Claw</v>
      </c>
      <c r="D772" s="1" t="str">
        <f>IFERROR(__xludf.DUMMYFUNCTION("""COMPUTED_VALUE"""),"Hand")</f>
        <v>Hand</v>
      </c>
      <c r="E772" s="1">
        <f>IFERROR(__xludf.DUMMYFUNCTION("""COMPUTED_VALUE"""),9000.0)</f>
        <v>9000</v>
      </c>
      <c r="F772" s="1" t="str">
        <f>IFERROR(__xludf.DUMMYFUNCTION("""COMPUTED_VALUE"""),"DMG: +450000")</f>
        <v>DMG: +450000</v>
      </c>
      <c r="G772" s="1">
        <f>IFERROR(__xludf.DUMMYFUNCTION("""COMPUTED_VALUE"""),4.0455E9)</f>
        <v>4045500000</v>
      </c>
      <c r="H772" s="1"/>
      <c r="I772" s="1"/>
      <c r="J772" s="1"/>
      <c r="K772" s="1"/>
      <c r="L772" s="1"/>
      <c r="M772" s="1"/>
      <c r="N772" s="1"/>
      <c r="O772" s="1"/>
      <c r="P772" s="1"/>
      <c r="Q772" s="1"/>
      <c r="R772" s="1"/>
      <c r="S772" s="1"/>
      <c r="T772" s="1"/>
      <c r="U772" s="1"/>
      <c r="V772" s="1"/>
      <c r="W772" s="1"/>
      <c r="X772" s="1"/>
      <c r="Y772" s="1"/>
      <c r="Z772" s="1"/>
    </row>
    <row r="773">
      <c r="A773" s="1" t="str">
        <f>IFERROR(__xludf.DUMMYFUNCTION("""COMPUTED_VALUE"""),"Soldier's Charge")</f>
        <v>Soldier's Charge</v>
      </c>
      <c r="B773" s="1"/>
      <c r="C773" s="1" t="str">
        <f>IFERROR(__xludf.DUMMYFUNCTION("""COMPUTED_VALUE"""),"Firearm")</f>
        <v>Firearm</v>
      </c>
      <c r="D773" s="1" t="str">
        <f>IFERROR(__xludf.DUMMYFUNCTION("""COMPUTED_VALUE"""),"Hand")</f>
        <v>Hand</v>
      </c>
      <c r="E773" s="1">
        <f>IFERROR(__xludf.DUMMYFUNCTION("""COMPUTED_VALUE"""),4400.0)</f>
        <v>4400</v>
      </c>
      <c r="F773" s="1" t="str">
        <f>IFERROR(__xludf.DUMMYFUNCTION("""COMPUTED_VALUE"""),"DMG: +60000, Fire DMG: +60000, Spirit DMG: +100000")</f>
        <v>DMG: +60000, Fire DMG: +60000, Spirit DMG: +100000</v>
      </c>
      <c r="G773" s="1">
        <f>IFERROR(__xludf.DUMMYFUNCTION("""COMPUTED_VALUE"""),9.658E8)</f>
        <v>965800000</v>
      </c>
      <c r="H773" s="1"/>
      <c r="I773" s="1"/>
      <c r="J773" s="1"/>
      <c r="K773" s="1"/>
      <c r="L773" s="1"/>
      <c r="M773" s="1"/>
      <c r="N773" s="1"/>
      <c r="O773" s="1"/>
      <c r="P773" s="1"/>
      <c r="Q773" s="1"/>
      <c r="R773" s="1"/>
      <c r="S773" s="1"/>
      <c r="T773" s="1"/>
      <c r="U773" s="1"/>
      <c r="V773" s="1"/>
      <c r="W773" s="1"/>
      <c r="X773" s="1"/>
      <c r="Y773" s="1"/>
      <c r="Z773" s="1"/>
    </row>
    <row r="774">
      <c r="A774" s="1" t="str">
        <f>IFERROR(__xludf.DUMMYFUNCTION("""COMPUTED_VALUE"""),"Weight of Sin")</f>
        <v>Weight of Sin</v>
      </c>
      <c r="B774" s="1"/>
      <c r="C774" s="1" t="str">
        <f>IFERROR(__xludf.DUMMYFUNCTION("""COMPUTED_VALUE"""),"Item")</f>
        <v>Item</v>
      </c>
      <c r="D774" s="1" t="str">
        <f>IFERROR(__xludf.DUMMYFUNCTION("""COMPUTED_VALUE"""),"Torso")</f>
        <v>Torso</v>
      </c>
      <c r="E774" s="1">
        <f>IFERROR(__xludf.DUMMYFUNCTION("""COMPUTED_VALUE"""),11200.0)</f>
        <v>11200</v>
      </c>
      <c r="F774" s="1" t="str">
        <f>IFERROR(__xludf.DUMMYFUNCTION("""COMPUTED_VALUE"""),"DEF: +560000 +-Always go last in turn order, +-Cannot be removed")</f>
        <v>DEF: +560000 +-Always go last in turn order, +-Cannot be removed</v>
      </c>
      <c r="G774" s="1">
        <f>IFERROR(__xludf.DUMMYFUNCTION("""COMPUTED_VALUE"""),6.2664E9)</f>
        <v>6266400000</v>
      </c>
      <c r="H774" s="1"/>
      <c r="I774" s="1"/>
      <c r="J774" s="1"/>
      <c r="K774" s="1"/>
      <c r="L774" s="1"/>
      <c r="M774" s="1"/>
      <c r="N774" s="1"/>
      <c r="O774" s="1"/>
      <c r="P774" s="1"/>
      <c r="Q774" s="1"/>
      <c r="R774" s="1"/>
      <c r="S774" s="1"/>
      <c r="T774" s="1"/>
      <c r="U774" s="1"/>
      <c r="V774" s="1"/>
      <c r="W774" s="1"/>
      <c r="X774" s="1"/>
      <c r="Y774" s="1"/>
      <c r="Z774" s="1"/>
    </row>
    <row r="775">
      <c r="A775" s="1" t="str">
        <f>IFERROR(__xludf.DUMMYFUNCTION("""COMPUTED_VALUE"""),"Volcano's Summit")</f>
        <v>Volcano's Summit</v>
      </c>
      <c r="B775" s="1"/>
      <c r="C775" s="1" t="str">
        <f>IFERROR(__xludf.DUMMYFUNCTION("""COMPUTED_VALUE"""),"Item")</f>
        <v>Item</v>
      </c>
      <c r="D775" s="1" t="str">
        <f>IFERROR(__xludf.DUMMYFUNCTION("""COMPUTED_VALUE"""),"Head")</f>
        <v>Head</v>
      </c>
      <c r="E775" s="1">
        <f>IFERROR(__xludf.DUMMYFUNCTION("""COMPUTED_VALUE"""),4000.0)</f>
        <v>4000</v>
      </c>
      <c r="F775" s="1" t="str">
        <f>IFERROR(__xludf.DUMMYFUNCTION("""COMPUTED_VALUE"""),", Fire DEF: +200000 ++X2 Fire damage")</f>
        <v>, Fire DEF: +200000 ++X2 Fire damage</v>
      </c>
      <c r="G775" s="1">
        <f>IFERROR(__xludf.DUMMYFUNCTION("""COMPUTED_VALUE"""),7.98E8)</f>
        <v>798000000</v>
      </c>
      <c r="H775" s="1"/>
      <c r="I775" s="1"/>
      <c r="J775" s="1"/>
      <c r="K775" s="1"/>
      <c r="L775" s="1"/>
      <c r="M775" s="1"/>
      <c r="N775" s="1"/>
      <c r="O775" s="1"/>
      <c r="P775" s="1"/>
      <c r="Q775" s="1"/>
      <c r="R775" s="1"/>
      <c r="S775" s="1"/>
      <c r="T775" s="1"/>
      <c r="U775" s="1"/>
      <c r="V775" s="1"/>
      <c r="W775" s="1"/>
      <c r="X775" s="1"/>
      <c r="Y775" s="1"/>
      <c r="Z775" s="1"/>
    </row>
    <row r="776">
      <c r="A776" s="1" t="str">
        <f>IFERROR(__xludf.DUMMYFUNCTION("""COMPUTED_VALUE"""),"Long Distance Loveletter")</f>
        <v>Long Distance Loveletter</v>
      </c>
      <c r="B776" s="1"/>
      <c r="C776" s="1" t="str">
        <f>IFERROR(__xludf.DUMMYFUNCTION("""COMPUTED_VALUE"""),"Firearm")</f>
        <v>Firearm</v>
      </c>
      <c r="D776" s="1" t="str">
        <f>IFERROR(__xludf.DUMMYFUNCTION("""COMPUTED_VALUE"""),"Hand")</f>
        <v>Hand</v>
      </c>
      <c r="E776" s="1">
        <f>IFERROR(__xludf.DUMMYFUNCTION("""COMPUTED_VALUE"""),12000.0)</f>
        <v>12000</v>
      </c>
      <c r="F776" s="1" t="str">
        <f>IFERROR(__xludf.DUMMYFUNCTION("""COMPUTED_VALUE"""),"DMG: +600000 ++10% chance for 1 enemy to become an ally at the beginning of battle.")</f>
        <v>DMG: +600000 ++10% chance for 1 enemy to become an ally at the beginning of battle.</v>
      </c>
      <c r="G776" s="1">
        <f>IFERROR(__xludf.DUMMYFUNCTION("""COMPUTED_VALUE"""),7.194E9)</f>
        <v>7194000000</v>
      </c>
      <c r="H776" s="1"/>
      <c r="I776" s="1"/>
      <c r="J776" s="1"/>
      <c r="K776" s="1"/>
      <c r="L776" s="1"/>
      <c r="M776" s="1"/>
      <c r="N776" s="1"/>
      <c r="O776" s="1"/>
      <c r="P776" s="1"/>
      <c r="Q776" s="1"/>
      <c r="R776" s="1"/>
      <c r="S776" s="1"/>
      <c r="T776" s="1"/>
      <c r="U776" s="1"/>
      <c r="V776" s="1"/>
      <c r="W776" s="1"/>
      <c r="X776" s="1"/>
      <c r="Y776" s="1"/>
      <c r="Z776" s="1"/>
    </row>
    <row r="777">
      <c r="A777" s="1" t="str">
        <f>IFERROR(__xludf.DUMMYFUNCTION("""COMPUTED_VALUE"""),"Cursed Child's Hatchet")</f>
        <v>Cursed Child's Hatchet</v>
      </c>
      <c r="B777" s="1"/>
      <c r="C777" s="1" t="str">
        <f>IFERROR(__xludf.DUMMYFUNCTION("""COMPUTED_VALUE"""),"Axe")</f>
        <v>Axe</v>
      </c>
      <c r="D777" s="1" t="str">
        <f>IFERROR(__xludf.DUMMYFUNCTION("""COMPUTED_VALUE"""),"Hand")</f>
        <v>Hand</v>
      </c>
      <c r="E777" s="1">
        <f>IFERROR(__xludf.DUMMYFUNCTION("""COMPUTED_VALUE"""),3000.0)</f>
        <v>3000</v>
      </c>
      <c r="F777" s="1" t="str">
        <f>IFERROR(__xludf.DUMMYFUNCTION("""COMPUTED_VALUE"""),"DMG: +150000 +- 15% chance of attacking a random ally")</f>
        <v>DMG: +150000 +- 15% chance of attacking a random ally</v>
      </c>
      <c r="G777" s="1">
        <f>IFERROR(__xludf.DUMMYFUNCTION("""COMPUTED_VALUE"""),4.485E8)</f>
        <v>448500000</v>
      </c>
      <c r="H777" s="1"/>
      <c r="I777" s="1"/>
      <c r="J777" s="1"/>
      <c r="K777" s="1"/>
      <c r="L777" s="1"/>
      <c r="M777" s="1"/>
      <c r="N777" s="1"/>
      <c r="O777" s="1"/>
      <c r="P777" s="1"/>
      <c r="Q777" s="1"/>
      <c r="R777" s="1"/>
      <c r="S777" s="1"/>
      <c r="T777" s="1"/>
      <c r="U777" s="1"/>
      <c r="V777" s="1"/>
      <c r="W777" s="1"/>
      <c r="X777" s="1"/>
      <c r="Y777" s="1"/>
      <c r="Z777" s="1"/>
    </row>
    <row r="778">
      <c r="A778" s="1" t="str">
        <f>IFERROR(__xludf.DUMMYFUNCTION("""COMPUTED_VALUE"""),"Helm of Lost Hope")</f>
        <v>Helm of Lost Hope</v>
      </c>
      <c r="B778" s="1"/>
      <c r="C778" s="1" t="str">
        <f>IFERROR(__xludf.DUMMYFUNCTION("""COMPUTED_VALUE"""),"Item")</f>
        <v>Item</v>
      </c>
      <c r="D778" s="1" t="str">
        <f>IFERROR(__xludf.DUMMYFUNCTION("""COMPUTED_VALUE"""),"Head")</f>
        <v>Head</v>
      </c>
      <c r="E778" s="1">
        <f>IFERROR(__xludf.DUMMYFUNCTION("""COMPUTED_VALUE"""),6800.0)</f>
        <v>6800</v>
      </c>
      <c r="F778" s="1" t="str">
        <f>IFERROR(__xludf.DUMMYFUNCTION("""COMPUTED_VALUE"""),"DEF: +340000")</f>
        <v>DEF: +340000</v>
      </c>
      <c r="G778" s="1">
        <f>IFERROR(__xludf.DUMMYFUNCTION("""COMPUTED_VALUE"""),2.3086E9)</f>
        <v>2308600000</v>
      </c>
      <c r="H778" s="1"/>
      <c r="I778" s="1"/>
      <c r="J778" s="1"/>
      <c r="K778" s="1"/>
      <c r="L778" s="1"/>
      <c r="M778" s="1"/>
      <c r="N778" s="1"/>
      <c r="O778" s="1"/>
      <c r="P778" s="1"/>
      <c r="Q778" s="1"/>
      <c r="R778" s="1"/>
      <c r="S778" s="1"/>
      <c r="T778" s="1"/>
      <c r="U778" s="1"/>
      <c r="V778" s="1"/>
      <c r="W778" s="1"/>
      <c r="X778" s="1"/>
      <c r="Y778" s="1"/>
      <c r="Z778" s="1"/>
    </row>
    <row r="779">
      <c r="A779" s="1" t="str">
        <f>IFERROR(__xludf.DUMMYFUNCTION("""COMPUTED_VALUE"""),"Cursed Shield")</f>
        <v>Cursed Shield</v>
      </c>
      <c r="B779" s="1"/>
      <c r="C779" s="1" t="str">
        <f>IFERROR(__xludf.DUMMYFUNCTION("""COMPUTED_VALUE"""),"Towershield")</f>
        <v>Towershield</v>
      </c>
      <c r="D779" s="1" t="str">
        <f>IFERROR(__xludf.DUMMYFUNCTION("""COMPUTED_VALUE"""),"Hand")</f>
        <v>Hand</v>
      </c>
      <c r="E779" s="1">
        <f>IFERROR(__xludf.DUMMYFUNCTION("""COMPUTED_VALUE"""),3200.0)</f>
        <v>3200</v>
      </c>
      <c r="F779" s="1" t="str">
        <f>IFERROR(__xludf.DUMMYFUNCTION("""COMPUTED_VALUE"""),"DEF: +160000 +-Unequipping destroys the item")</f>
        <v>DEF: +160000 +-Unequipping destroys the item</v>
      </c>
      <c r="G779" s="1">
        <f>IFERROR(__xludf.DUMMYFUNCTION("""COMPUTED_VALUE"""),5.104E8)</f>
        <v>510400000</v>
      </c>
      <c r="H779" s="1"/>
      <c r="I779" s="1"/>
      <c r="J779" s="1"/>
      <c r="K779" s="1"/>
      <c r="L779" s="1"/>
      <c r="M779" s="1"/>
      <c r="N779" s="1"/>
      <c r="O779" s="1"/>
      <c r="P779" s="1"/>
      <c r="Q779" s="1"/>
      <c r="R779" s="1"/>
      <c r="S779" s="1"/>
      <c r="T779" s="1"/>
      <c r="U779" s="1"/>
      <c r="V779" s="1"/>
      <c r="W779" s="1"/>
      <c r="X779" s="1"/>
      <c r="Y779" s="1"/>
      <c r="Z779" s="1"/>
    </row>
    <row r="780">
      <c r="A780" s="1" t="str">
        <f>IFERROR(__xludf.DUMMYFUNCTION("""COMPUTED_VALUE"""),"Dragonscale Buckler")</f>
        <v>Dragonscale Buckler</v>
      </c>
      <c r="B780" s="1"/>
      <c r="C780" s="1" t="str">
        <f>IFERROR(__xludf.DUMMYFUNCTION("""COMPUTED_VALUE"""),"Buckler")</f>
        <v>Buckler</v>
      </c>
      <c r="D780" s="1" t="str">
        <f>IFERROR(__xludf.DUMMYFUNCTION("""COMPUTED_VALUE"""),"Hand")</f>
        <v>Hand</v>
      </c>
      <c r="E780" s="1">
        <f>IFERROR(__xludf.DUMMYFUNCTION("""COMPUTED_VALUE"""),2140.0)</f>
        <v>2140</v>
      </c>
      <c r="F780" s="1" t="str">
        <f>IFERROR(__xludf.DUMMYFUNCTION("""COMPUTED_VALUE"""),"DEF: +107000")</f>
        <v>DEF: +107000</v>
      </c>
      <c r="G780" s="1">
        <f>IFERROR(__xludf.DUMMYFUNCTION("""COMPUTED_VALUE"""),2.2791E8)</f>
        <v>227910000</v>
      </c>
      <c r="H780" s="1"/>
      <c r="I780" s="1"/>
      <c r="J780" s="1"/>
      <c r="K780" s="1"/>
      <c r="L780" s="1"/>
      <c r="M780" s="1"/>
      <c r="N780" s="1"/>
      <c r="O780" s="1"/>
      <c r="P780" s="1"/>
      <c r="Q780" s="1"/>
      <c r="R780" s="1"/>
      <c r="S780" s="1"/>
      <c r="T780" s="1"/>
      <c r="U780" s="1"/>
      <c r="V780" s="1"/>
      <c r="W780" s="1"/>
      <c r="X780" s="1"/>
      <c r="Y780" s="1"/>
      <c r="Z780" s="1"/>
    </row>
    <row r="781">
      <c r="A781" s="1" t="str">
        <f>IFERROR(__xludf.DUMMYFUNCTION("""COMPUTED_VALUE"""),"Magma Trident")</f>
        <v>Magma Trident</v>
      </c>
      <c r="B781" s="1"/>
      <c r="C781" s="1" t="str">
        <f>IFERROR(__xludf.DUMMYFUNCTION("""COMPUTED_VALUE"""),"Spear")</f>
        <v>Spear</v>
      </c>
      <c r="D781" s="1" t="str">
        <f>IFERROR(__xludf.DUMMYFUNCTION("""COMPUTED_VALUE"""),"Hand")</f>
        <v>Hand</v>
      </c>
      <c r="E781" s="1">
        <f>IFERROR(__xludf.DUMMYFUNCTION("""COMPUTED_VALUE"""),4000.0)</f>
        <v>4000</v>
      </c>
      <c r="F781" s="1" t="str">
        <f>IFERROR(__xludf.DUMMYFUNCTION("""COMPUTED_VALUE"""),"DMG: +100000, Fire DMG: +100000")</f>
        <v>DMG: +100000, Fire DMG: +100000</v>
      </c>
      <c r="G781" s="1">
        <f>IFERROR(__xludf.DUMMYFUNCTION("""COMPUTED_VALUE"""),7.98E8)</f>
        <v>798000000</v>
      </c>
      <c r="H781" s="1"/>
      <c r="I781" s="1"/>
      <c r="J781" s="1"/>
      <c r="K781" s="1"/>
      <c r="L781" s="1"/>
      <c r="M781" s="1"/>
      <c r="N781" s="1"/>
      <c r="O781" s="1"/>
      <c r="P781" s="1"/>
      <c r="Q781" s="1"/>
      <c r="R781" s="1"/>
      <c r="S781" s="1"/>
      <c r="T781" s="1"/>
      <c r="U781" s="1"/>
      <c r="V781" s="1"/>
      <c r="W781" s="1"/>
      <c r="X781" s="1"/>
      <c r="Y781" s="1"/>
      <c r="Z781" s="1"/>
    </row>
    <row r="782">
      <c r="A782" s="1" t="str">
        <f>IFERROR(__xludf.DUMMYFUNCTION("""COMPUTED_VALUE"""),"Bonemerang")</f>
        <v>Bonemerang</v>
      </c>
      <c r="B782" s="1"/>
      <c r="C782" s="1" t="str">
        <f>IFERROR(__xludf.DUMMYFUNCTION("""COMPUTED_VALUE"""),"Boomerang")</f>
        <v>Boomerang</v>
      </c>
      <c r="D782" s="1" t="str">
        <f>IFERROR(__xludf.DUMMYFUNCTION("""COMPUTED_VALUE"""),"Hand")</f>
        <v>Hand</v>
      </c>
      <c r="E782" s="1">
        <f>IFERROR(__xludf.DUMMYFUNCTION("""COMPUTED_VALUE"""),5200.0)</f>
        <v>5200</v>
      </c>
      <c r="F782" s="1" t="str">
        <f>IFERROR(__xludf.DUMMYFUNCTION("""COMPUTED_VALUE"""),"DMG: +250000, Chaos DMG: +10000")</f>
        <v>DMG: +250000, Chaos DMG: +10000</v>
      </c>
      <c r="G782" s="1">
        <f>IFERROR(__xludf.DUMMYFUNCTION("""COMPUTED_VALUE"""),1.3494E9)</f>
        <v>1349400000</v>
      </c>
      <c r="H782" s="1"/>
      <c r="I782" s="1"/>
      <c r="J782" s="1"/>
      <c r="K782" s="1"/>
      <c r="L782" s="1"/>
      <c r="M782" s="1"/>
      <c r="N782" s="1"/>
      <c r="O782" s="1"/>
      <c r="P782" s="1"/>
      <c r="Q782" s="1"/>
      <c r="R782" s="1"/>
      <c r="S782" s="1"/>
      <c r="T782" s="1"/>
      <c r="U782" s="1"/>
      <c r="V782" s="1"/>
      <c r="W782" s="1"/>
      <c r="X782" s="1"/>
      <c r="Y782" s="1"/>
      <c r="Z782" s="1"/>
    </row>
    <row r="783">
      <c r="A783" s="1" t="str">
        <f>IFERROR(__xludf.DUMMYFUNCTION("""COMPUTED_VALUE"""),"Blamerang")</f>
        <v>Blamerang</v>
      </c>
      <c r="B783" s="1"/>
      <c r="C783" s="1" t="str">
        <f>IFERROR(__xludf.DUMMYFUNCTION("""COMPUTED_VALUE"""),"Boomerang")</f>
        <v>Boomerang</v>
      </c>
      <c r="D783" s="1" t="str">
        <f>IFERROR(__xludf.DUMMYFUNCTION("""COMPUTED_VALUE"""),"Hand")</f>
        <v>Hand</v>
      </c>
      <c r="E783" s="1">
        <f>IFERROR(__xludf.DUMMYFUNCTION("""COMPUTED_VALUE"""),4400.0)</f>
        <v>4400</v>
      </c>
      <c r="F783" s="1" t="str">
        <f>IFERROR(__xludf.DUMMYFUNCTION("""COMPUTED_VALUE"""),"DMG: +20000, Fire DMG: +200000 ++Explodes when thrown at an enemy, hitting other enemies")</f>
        <v>DMG: +20000, Fire DMG: +200000 ++Explodes when thrown at an enemy, hitting other enemies</v>
      </c>
      <c r="G783" s="1">
        <f>IFERROR(__xludf.DUMMYFUNCTION("""COMPUTED_VALUE"""),9.658E8)</f>
        <v>965800000</v>
      </c>
      <c r="H783" s="1"/>
      <c r="I783" s="1"/>
      <c r="J783" s="1"/>
      <c r="K783" s="1"/>
      <c r="L783" s="1"/>
      <c r="M783" s="1"/>
      <c r="N783" s="1"/>
      <c r="O783" s="1"/>
      <c r="P783" s="1"/>
      <c r="Q783" s="1"/>
      <c r="R783" s="1"/>
      <c r="S783" s="1"/>
      <c r="T783" s="1"/>
      <c r="U783" s="1"/>
      <c r="V783" s="1"/>
      <c r="W783" s="1"/>
      <c r="X783" s="1"/>
      <c r="Y783" s="1"/>
      <c r="Z783" s="1"/>
    </row>
    <row r="784">
      <c r="A784" s="1" t="str">
        <f>IFERROR(__xludf.DUMMYFUNCTION("""COMPUTED_VALUE"""),"Condemned Bow")</f>
        <v>Condemned Bow</v>
      </c>
      <c r="B784" s="1"/>
      <c r="C784" s="1" t="str">
        <f>IFERROR(__xludf.DUMMYFUNCTION("""COMPUTED_VALUE"""),"Bow")</f>
        <v>Bow</v>
      </c>
      <c r="D784" s="1" t="str">
        <f>IFERROR(__xludf.DUMMYFUNCTION("""COMPUTED_VALUE"""),"Hand")</f>
        <v>Hand</v>
      </c>
      <c r="E784" s="1">
        <f>IFERROR(__xludf.DUMMYFUNCTION("""COMPUTED_VALUE"""),6000.0)</f>
        <v>6000</v>
      </c>
      <c r="F784" s="1" t="str">
        <f>IFERROR(__xludf.DUMMYFUNCTION("""COMPUTED_VALUE"""),"DMG: +300000 +-5% chance for the DM to take control of your turn")</f>
        <v>DMG: +300000 +-5% chance for the DM to take control of your turn</v>
      </c>
      <c r="G784" s="1">
        <f>IFERROR(__xludf.DUMMYFUNCTION("""COMPUTED_VALUE"""),1.797E9)</f>
        <v>1797000000</v>
      </c>
      <c r="H784" s="1"/>
      <c r="I784" s="1"/>
      <c r="J784" s="1"/>
      <c r="K784" s="1"/>
      <c r="L784" s="1"/>
      <c r="M784" s="1"/>
      <c r="N784" s="1"/>
      <c r="O784" s="1"/>
      <c r="P784" s="1"/>
      <c r="Q784" s="1"/>
      <c r="R784" s="1"/>
      <c r="S784" s="1"/>
      <c r="T784" s="1"/>
      <c r="U784" s="1"/>
      <c r="V784" s="1"/>
      <c r="W784" s="1"/>
      <c r="X784" s="1"/>
      <c r="Y784" s="1"/>
      <c r="Z784" s="1"/>
    </row>
    <row r="785">
      <c r="A785" s="1" t="str">
        <f>IFERROR(__xludf.DUMMYFUNCTION("""COMPUTED_VALUE"""),"Ancient Blacksmith's Soul In A Bottle")</f>
        <v>Ancient Blacksmith's Soul In A Bottle</v>
      </c>
      <c r="B785" s="1"/>
      <c r="C785" s="1" t="str">
        <f>IFERROR(__xludf.DUMMYFUNCTION("""COMPUTED_VALUE"""),"Item")</f>
        <v>Item</v>
      </c>
      <c r="D785" s="1" t="str">
        <f>IFERROR(__xludf.DUMMYFUNCTION("""COMPUTED_VALUE"""),"Neck")</f>
        <v>Neck</v>
      </c>
      <c r="E785" s="1">
        <f>IFERROR(__xludf.DUMMYFUNCTION("""COMPUTED_VALUE"""),1.0)</f>
        <v>1</v>
      </c>
      <c r="F785" s="1" t="str">
        <f>IFERROR(__xludf.DUMMYFUNCTION("""COMPUTED_VALUE""")," ++Forged Weapons deal *X damage, where X is equal to a quarter of the forge amount, if the multiplier is not a whole number, round down to the nearest whole number. X20 Max ")</f>
        <v> ++Forged Weapons deal *X damage, where X is equal to a quarter of the forge amount, if the multiplier is not a whole number, round down to the nearest whole number. X20 Max </v>
      </c>
      <c r="G785" s="1">
        <f>IFERROR(__xludf.DUMMYFUNCTION("""COMPUTED_VALUE"""),0.0)</f>
        <v>0</v>
      </c>
      <c r="H785" s="1"/>
      <c r="I785" s="1"/>
      <c r="J785" s="1"/>
      <c r="K785" s="1"/>
      <c r="L785" s="1"/>
      <c r="M785" s="1"/>
      <c r="N785" s="1"/>
      <c r="O785" s="1"/>
      <c r="P785" s="1"/>
      <c r="Q785" s="1"/>
      <c r="R785" s="1"/>
      <c r="S785" s="1"/>
      <c r="T785" s="1"/>
      <c r="U785" s="1"/>
      <c r="V785" s="1"/>
      <c r="W785" s="1"/>
      <c r="X785" s="1"/>
      <c r="Y785" s="1"/>
      <c r="Z785" s="1"/>
    </row>
    <row r="786">
      <c r="A786" s="1" t="str">
        <f>IFERROR(__xludf.DUMMYFUNCTION("""COMPUTED_VALUE"""),"Ancient Breeder's Soul In A Bottle")</f>
        <v>Ancient Breeder's Soul In A Bottle</v>
      </c>
      <c r="B786" s="1"/>
      <c r="C786" s="1" t="str">
        <f>IFERROR(__xludf.DUMMYFUNCTION("""COMPUTED_VALUE"""),"Item")</f>
        <v>Item</v>
      </c>
      <c r="D786" s="1" t="str">
        <f>IFERROR(__xludf.DUMMYFUNCTION("""COMPUTED_VALUE"""),"Neck")</f>
        <v>Neck</v>
      </c>
      <c r="E786" s="1">
        <f>IFERROR(__xludf.DUMMYFUNCTION("""COMPUTED_VALUE"""),1.0)</f>
        <v>1</v>
      </c>
      <c r="F786" s="1" t="str">
        <f>IFERROR(__xludf.DUMMYFUNCTION("""COMPUTED_VALUE""")," ++All creatures hatched from an egg deal X5 damage of all types.")</f>
        <v> ++All creatures hatched from an egg deal X5 damage of all types.</v>
      </c>
      <c r="G786" s="1">
        <f>IFERROR(__xludf.DUMMYFUNCTION("""COMPUTED_VALUE"""),0.0)</f>
        <v>0</v>
      </c>
      <c r="H786" s="1"/>
      <c r="I786" s="1"/>
      <c r="J786" s="1"/>
      <c r="K786" s="1"/>
      <c r="L786" s="1"/>
      <c r="M786" s="1"/>
      <c r="N786" s="1"/>
      <c r="O786" s="1"/>
      <c r="P786" s="1"/>
      <c r="Q786" s="1"/>
      <c r="R786" s="1"/>
      <c r="S786" s="1"/>
      <c r="T786" s="1"/>
      <c r="U786" s="1"/>
      <c r="V786" s="1"/>
      <c r="W786" s="1"/>
      <c r="X786" s="1"/>
      <c r="Y786" s="1"/>
      <c r="Z786" s="1"/>
    </row>
    <row r="787">
      <c r="A787" s="1" t="str">
        <f>IFERROR(__xludf.DUMMYFUNCTION("""COMPUTED_VALUE"""),"Ancient Crafter's Soul In A Bottle")</f>
        <v>Ancient Crafter's Soul In A Bottle</v>
      </c>
      <c r="B787" s="1"/>
      <c r="C787" s="1" t="str">
        <f>IFERROR(__xludf.DUMMYFUNCTION("""COMPUTED_VALUE"""),"Item")</f>
        <v>Item</v>
      </c>
      <c r="D787" s="1" t="str">
        <f>IFERROR(__xludf.DUMMYFUNCTION("""COMPUTED_VALUE"""),"Neck")</f>
        <v>Neck</v>
      </c>
      <c r="E787" s="1">
        <f>IFERROR(__xludf.DUMMYFUNCTION("""COMPUTED_VALUE"""),1.0)</f>
        <v>1</v>
      </c>
      <c r="F787" s="1" t="str">
        <f>IFERROR(__xludf.DUMMYFUNCTION("""COMPUTED_VALUE""")," ++Triples all crafting materials gathered")</f>
        <v> ++Triples all crafting materials gathered</v>
      </c>
      <c r="G787" s="1">
        <f>IFERROR(__xludf.DUMMYFUNCTION("""COMPUTED_VALUE"""),0.0)</f>
        <v>0</v>
      </c>
      <c r="H787" s="1"/>
      <c r="I787" s="1"/>
      <c r="J787" s="1"/>
      <c r="K787" s="1"/>
      <c r="L787" s="1"/>
      <c r="M787" s="1"/>
      <c r="N787" s="1"/>
      <c r="O787" s="1"/>
      <c r="P787" s="1"/>
      <c r="Q787" s="1"/>
      <c r="R787" s="1"/>
      <c r="S787" s="1"/>
      <c r="T787" s="1"/>
      <c r="U787" s="1"/>
      <c r="V787" s="1"/>
      <c r="W787" s="1"/>
      <c r="X787" s="1"/>
      <c r="Y787" s="1"/>
      <c r="Z787" s="1"/>
    </row>
    <row r="788">
      <c r="A788" s="1" t="str">
        <f>IFERROR(__xludf.DUMMYFUNCTION("""COMPUTED_VALUE"""),"Ancient Alchemist's Soul In A Bottle")</f>
        <v>Ancient Alchemist's Soul In A Bottle</v>
      </c>
      <c r="B788" s="1"/>
      <c r="C788" s="1" t="str">
        <f>IFERROR(__xludf.DUMMYFUNCTION("""COMPUTED_VALUE"""),"Item")</f>
        <v>Item</v>
      </c>
      <c r="D788" s="1" t="str">
        <f>IFERROR(__xludf.DUMMYFUNCTION("""COMPUTED_VALUE"""),"Neck")</f>
        <v>Neck</v>
      </c>
      <c r="E788" s="1">
        <f>IFERROR(__xludf.DUMMYFUNCTION("""COMPUTED_VALUE"""),1.0)</f>
        <v>1</v>
      </c>
      <c r="F788" s="1" t="str">
        <f>IFERROR(__xludf.DUMMYFUNCTION("""COMPUTED_VALUE""")," ++Doubles the effect of all herbs and potions")</f>
        <v> ++Doubles the effect of all herbs and potions</v>
      </c>
      <c r="G788" s="1">
        <f>IFERROR(__xludf.DUMMYFUNCTION("""COMPUTED_VALUE"""),0.0)</f>
        <v>0</v>
      </c>
      <c r="H788" s="1"/>
      <c r="I788" s="1"/>
      <c r="J788" s="1"/>
      <c r="K788" s="1"/>
      <c r="L788" s="1"/>
      <c r="M788" s="1"/>
      <c r="N788" s="1"/>
      <c r="O788" s="1"/>
      <c r="P788" s="1"/>
      <c r="Q788" s="1"/>
      <c r="R788" s="1"/>
      <c r="S788" s="1"/>
      <c r="T788" s="1"/>
      <c r="U788" s="1"/>
      <c r="V788" s="1"/>
      <c r="W788" s="1"/>
      <c r="X788" s="1"/>
      <c r="Y788" s="1"/>
      <c r="Z788" s="1"/>
    </row>
    <row r="789">
      <c r="A789" s="1" t="str">
        <f>IFERROR(__xludf.DUMMYFUNCTION("""COMPUTED_VALUE"""),"Ancient Farmer's Soul In A Bottle")</f>
        <v>Ancient Farmer's Soul In A Bottle</v>
      </c>
      <c r="B789" s="1"/>
      <c r="C789" s="1" t="str">
        <f>IFERROR(__xludf.DUMMYFUNCTION("""COMPUTED_VALUE"""),"Item")</f>
        <v>Item</v>
      </c>
      <c r="D789" s="1" t="str">
        <f>IFERROR(__xludf.DUMMYFUNCTION("""COMPUTED_VALUE"""),"Neck")</f>
        <v>Neck</v>
      </c>
      <c r="E789" s="1">
        <f>IFERROR(__xludf.DUMMYFUNCTION("""COMPUTED_VALUE"""),1.0)</f>
        <v>1</v>
      </c>
      <c r="F789" s="1" t="str">
        <f>IFERROR(__xludf.DUMMYFUNCTION("""COMPUTED_VALUE""")," ++Doubles all items harvested from your farms")</f>
        <v> ++Doubles all items harvested from your farms</v>
      </c>
      <c r="G789" s="1">
        <f>IFERROR(__xludf.DUMMYFUNCTION("""COMPUTED_VALUE"""),0.0)</f>
        <v>0</v>
      </c>
      <c r="H789" s="1"/>
      <c r="I789" s="1"/>
      <c r="J789" s="1"/>
      <c r="K789" s="1"/>
      <c r="L789" s="1"/>
      <c r="M789" s="1"/>
      <c r="N789" s="1"/>
      <c r="O789" s="1"/>
      <c r="P789" s="1"/>
      <c r="Q789" s="1"/>
      <c r="R789" s="1"/>
      <c r="S789" s="1"/>
      <c r="T789" s="1"/>
      <c r="U789" s="1"/>
      <c r="V789" s="1"/>
      <c r="W789" s="1"/>
      <c r="X789" s="1"/>
      <c r="Y789" s="1"/>
      <c r="Z789" s="1"/>
    </row>
    <row r="790">
      <c r="A790" s="1" t="str">
        <f>IFERROR(__xludf.DUMMYFUNCTION("""COMPUTED_VALUE"""),"Ancient Chef's Soul In A Bottle")</f>
        <v>Ancient Chef's Soul In A Bottle</v>
      </c>
      <c r="B790" s="1"/>
      <c r="C790" s="1" t="str">
        <f>IFERROR(__xludf.DUMMYFUNCTION("""COMPUTED_VALUE"""),"Item")</f>
        <v>Item</v>
      </c>
      <c r="D790" s="1" t="str">
        <f>IFERROR(__xludf.DUMMYFUNCTION("""COMPUTED_VALUE"""),"Neck")</f>
        <v>Neck</v>
      </c>
      <c r="E790" s="1">
        <f>IFERROR(__xludf.DUMMYFUNCTION("""COMPUTED_VALUE"""),1.0)</f>
        <v>1</v>
      </c>
      <c r="F790" s="1" t="str">
        <f>IFERROR(__xludf.DUMMYFUNCTION("""COMPUTED_VALUE""")," ++Doubles the effect of all food items cooked")</f>
        <v> ++Doubles the effect of all food items cooked</v>
      </c>
      <c r="G790" s="1">
        <f>IFERROR(__xludf.DUMMYFUNCTION("""COMPUTED_VALUE"""),0.0)</f>
        <v>0</v>
      </c>
      <c r="H790" s="1"/>
      <c r="I790" s="1"/>
      <c r="J790" s="1"/>
      <c r="K790" s="1"/>
      <c r="L790" s="1"/>
      <c r="M790" s="1"/>
      <c r="N790" s="1"/>
      <c r="O790" s="1"/>
      <c r="P790" s="1"/>
      <c r="Q790" s="1"/>
      <c r="R790" s="1"/>
      <c r="S790" s="1"/>
      <c r="T790" s="1"/>
      <c r="U790" s="1"/>
      <c r="V790" s="1"/>
      <c r="W790" s="1"/>
      <c r="X790" s="1"/>
      <c r="Y790" s="1"/>
      <c r="Z790" s="1"/>
    </row>
    <row r="791">
      <c r="A791" s="1" t="str">
        <f>IFERROR(__xludf.DUMMYFUNCTION("""COMPUTED_VALUE"""),"Ancient Miner's Soul In A Bottle")</f>
        <v>Ancient Miner's Soul In A Bottle</v>
      </c>
      <c r="B791" s="1"/>
      <c r="C791" s="1" t="str">
        <f>IFERROR(__xludf.DUMMYFUNCTION("""COMPUTED_VALUE"""),"Item")</f>
        <v>Item</v>
      </c>
      <c r="D791" s="1" t="str">
        <f>IFERROR(__xludf.DUMMYFUNCTION("""COMPUTED_VALUE"""),"Neck")</f>
        <v>Neck</v>
      </c>
      <c r="E791" s="1">
        <f>IFERROR(__xludf.DUMMYFUNCTION("""COMPUTED_VALUE"""),1.0)</f>
        <v>1</v>
      </c>
      <c r="F791" s="1" t="str">
        <f>IFERROR(__xludf.DUMMYFUNCTION("""COMPUTED_VALUE""")," ++Doubles all minerals obtained while mining")</f>
        <v> ++Doubles all minerals obtained while mining</v>
      </c>
      <c r="G791" s="1">
        <f>IFERROR(__xludf.DUMMYFUNCTION("""COMPUTED_VALUE"""),0.0)</f>
        <v>0</v>
      </c>
      <c r="H791" s="1"/>
      <c r="I791" s="1"/>
      <c r="J791" s="1"/>
      <c r="K791" s="1"/>
      <c r="L791" s="1"/>
      <c r="M791" s="1"/>
      <c r="N791" s="1"/>
      <c r="O791" s="1"/>
      <c r="P791" s="1"/>
      <c r="Q791" s="1"/>
      <c r="R791" s="1"/>
      <c r="S791" s="1"/>
      <c r="T791" s="1"/>
      <c r="U791" s="1"/>
      <c r="V791" s="1"/>
      <c r="W791" s="1"/>
      <c r="X791" s="1"/>
      <c r="Y791" s="1"/>
      <c r="Z791" s="1"/>
    </row>
    <row r="792">
      <c r="A792" s="1" t="str">
        <f>IFERROR(__xludf.DUMMYFUNCTION("""COMPUTED_VALUE"""),"Ancient Spira Guard's Soul In A Bottle")</f>
        <v>Ancient Spira Guard's Soul In A Bottle</v>
      </c>
      <c r="B792" s="1"/>
      <c r="C792" s="1" t="str">
        <f>IFERROR(__xludf.DUMMYFUNCTION("""COMPUTED_VALUE"""),"Item")</f>
        <v>Item</v>
      </c>
      <c r="D792" s="1" t="str">
        <f>IFERROR(__xludf.DUMMYFUNCTION("""COMPUTED_VALUE"""),"Neck")</f>
        <v>Neck</v>
      </c>
      <c r="E792" s="1">
        <f>IFERROR(__xludf.DUMMYFUNCTION("""COMPUTED_VALUE"""),1.0)</f>
        <v>1</v>
      </c>
      <c r="F792" s="1" t="str">
        <f>IFERROR(__xludf.DUMMYFUNCTION("""COMPUTED_VALUE""")," ++Add +5 to all rolls to arrest")</f>
        <v> ++Add +5 to all rolls to arrest</v>
      </c>
      <c r="G792" s="1">
        <f>IFERROR(__xludf.DUMMYFUNCTION("""COMPUTED_VALUE"""),0.0)</f>
        <v>0</v>
      </c>
      <c r="H792" s="1"/>
      <c r="I792" s="1"/>
      <c r="J792" s="1"/>
      <c r="K792" s="1"/>
      <c r="L792" s="1"/>
      <c r="M792" s="1"/>
      <c r="N792" s="1"/>
      <c r="O792" s="1"/>
      <c r="P792" s="1"/>
      <c r="Q792" s="1"/>
      <c r="R792" s="1"/>
      <c r="S792" s="1"/>
      <c r="T792" s="1"/>
      <c r="U792" s="1"/>
      <c r="V792" s="1"/>
      <c r="W792" s="1"/>
      <c r="X792" s="1"/>
      <c r="Y792" s="1"/>
      <c r="Z792" s="1"/>
    </row>
    <row r="793">
      <c r="A793" s="1" t="str">
        <f>IFERROR(__xludf.DUMMYFUNCTION("""COMPUTED_VALUE"""),"Ancient Fisherman's Soul In A Bottle")</f>
        <v>Ancient Fisherman's Soul In A Bottle</v>
      </c>
      <c r="B793" s="1"/>
      <c r="C793" s="1" t="str">
        <f>IFERROR(__xludf.DUMMYFUNCTION("""COMPUTED_VALUE"""),"Item")</f>
        <v>Item</v>
      </c>
      <c r="D793" s="1" t="str">
        <f>IFERROR(__xludf.DUMMYFUNCTION("""COMPUTED_VALUE"""),"Neck")</f>
        <v>Neck</v>
      </c>
      <c r="E793" s="1">
        <f>IFERROR(__xludf.DUMMYFUNCTION("""COMPUTED_VALUE"""),1.0)</f>
        <v>1</v>
      </c>
      <c r="F793" s="1" t="str">
        <f>IFERROR(__xludf.DUMMYFUNCTION("""COMPUTED_VALUE""")," ++Doubles all fish obtained while fishing")</f>
        <v> ++Doubles all fish obtained while fishing</v>
      </c>
      <c r="G793" s="1">
        <f>IFERROR(__xludf.DUMMYFUNCTION("""COMPUTED_VALUE"""),0.0)</f>
        <v>0</v>
      </c>
      <c r="H793" s="1"/>
      <c r="I793" s="1"/>
      <c r="J793" s="1"/>
      <c r="K793" s="1"/>
      <c r="L793" s="1"/>
      <c r="M793" s="1"/>
      <c r="N793" s="1"/>
      <c r="O793" s="1"/>
      <c r="P793" s="1"/>
      <c r="Q793" s="1"/>
      <c r="R793" s="1"/>
      <c r="S793" s="1"/>
      <c r="T793" s="1"/>
      <c r="U793" s="1"/>
      <c r="V793" s="1"/>
      <c r="W793" s="1"/>
      <c r="X793" s="1"/>
      <c r="Y793" s="1"/>
      <c r="Z793" s="1"/>
    </row>
    <row r="794">
      <c r="A794" s="1" t="str">
        <f>IFERROR(__xludf.DUMMYFUNCTION("""COMPUTED_VALUE"""),"The Thumper")</f>
        <v>The Thumper</v>
      </c>
      <c r="B794" s="1"/>
      <c r="C794" s="1" t="str">
        <f>IFERROR(__xludf.DUMMYFUNCTION("""COMPUTED_VALUE"""),"Firearm")</f>
        <v>Firearm</v>
      </c>
      <c r="D794" s="1" t="str">
        <f>IFERROR(__xludf.DUMMYFUNCTION("""COMPUTED_VALUE"""),"Hand")</f>
        <v>Hand</v>
      </c>
      <c r="E794" s="1">
        <f>IFERROR(__xludf.DUMMYFUNCTION("""COMPUTED_VALUE"""),200.0)</f>
        <v>200</v>
      </c>
      <c r="F794" s="1" t="str">
        <f>IFERROR(__xludf.DUMMYFUNCTION("""COMPUTED_VALUE"""),"Dmg: +5000, Physical Dmg: +5000 ++Fires 3 Grenades, +-Uses Grenades as Ammo +-Cannot Be Forged or Duplicated")</f>
        <v>Dmg: +5000, Physical Dmg: +5000 ++Fires 3 Grenades, +-Uses Grenades as Ammo +-Cannot Be Forged or Duplicated</v>
      </c>
      <c r="G794" s="1">
        <f>IFERROR(__xludf.DUMMYFUNCTION("""COMPUTED_VALUE"""),1900000.0)</f>
        <v>1900000</v>
      </c>
      <c r="H794" s="1"/>
      <c r="I794" s="1"/>
      <c r="J794" s="1"/>
      <c r="K794" s="1"/>
      <c r="L794" s="1"/>
      <c r="M794" s="1"/>
      <c r="N794" s="1"/>
      <c r="O794" s="1"/>
      <c r="P794" s="1"/>
      <c r="Q794" s="1"/>
      <c r="R794" s="1"/>
      <c r="S794" s="1"/>
      <c r="T794" s="1"/>
      <c r="U794" s="1"/>
      <c r="V794" s="1"/>
      <c r="W794" s="1"/>
      <c r="X794" s="1"/>
      <c r="Y794" s="1"/>
      <c r="Z794" s="1"/>
    </row>
    <row r="795">
      <c r="A795" s="1" t="str">
        <f>IFERROR(__xludf.DUMMYFUNCTION("""COMPUTED_VALUE"""),"Undead King's Sword")</f>
        <v>Undead King's Sword</v>
      </c>
      <c r="B795" s="1"/>
      <c r="C795" s="1" t="str">
        <f>IFERROR(__xludf.DUMMYFUNCTION("""COMPUTED_VALUE"""),"Sword")</f>
        <v>Sword</v>
      </c>
      <c r="D795" s="1" t="str">
        <f>IFERROR(__xludf.DUMMYFUNCTION("""COMPUTED_VALUE"""),"Hand")</f>
        <v>Hand</v>
      </c>
      <c r="E795" s="1">
        <f>IFERROR(__xludf.DUMMYFUNCTION("""COMPUTED_VALUE"""),1.0)</f>
        <v>1</v>
      </c>
      <c r="F795" s="1" t="str">
        <f>IFERROR(__xludf.DUMMYFUNCTION("""COMPUTED_VALUE"""),"")</f>
        <v/>
      </c>
      <c r="G795" s="1">
        <f>IFERROR(__xludf.DUMMYFUNCTION("""COMPUTED_VALUE"""),0.0)</f>
        <v>0</v>
      </c>
      <c r="H795" s="1"/>
      <c r="I795" s="1"/>
      <c r="J795" s="1"/>
      <c r="K795" s="1"/>
      <c r="L795" s="1"/>
      <c r="M795" s="1"/>
      <c r="N795" s="1"/>
      <c r="O795" s="1"/>
      <c r="P795" s="1"/>
      <c r="Q795" s="1"/>
      <c r="R795" s="1"/>
      <c r="S795" s="1"/>
      <c r="T795" s="1"/>
      <c r="U795" s="1"/>
      <c r="V795" s="1"/>
      <c r="W795" s="1"/>
      <c r="X795" s="1"/>
      <c r="Y795" s="1"/>
      <c r="Z795" s="1"/>
    </row>
    <row r="796">
      <c r="A796" s="1" t="str">
        <f>IFERROR(__xludf.DUMMYFUNCTION("""COMPUTED_VALUE"""),"Trapper's Monocle")</f>
        <v>Trapper's Monocle</v>
      </c>
      <c r="B796" s="1"/>
      <c r="C796" s="1" t="str">
        <f>IFERROR(__xludf.DUMMYFUNCTION("""COMPUTED_VALUE"""),"Item")</f>
        <v>Item</v>
      </c>
      <c r="D796" s="1" t="str">
        <f>IFERROR(__xludf.DUMMYFUNCTION("""COMPUTED_VALUE"""),"Head")</f>
        <v>Head</v>
      </c>
      <c r="E796" s="1">
        <f>IFERROR(__xludf.DUMMYFUNCTION("""COMPUTED_VALUE"""),1.0)</f>
        <v>1</v>
      </c>
      <c r="F796" s="1" t="str">
        <f>IFERROR(__xludf.DUMMYFUNCTION("""COMPUTED_VALUE""")," ++5 to any roll to disarm or avoid a trap.")</f>
        <v> ++5 to any roll to disarm or avoid a trap.</v>
      </c>
      <c r="G796" s="1">
        <f>IFERROR(__xludf.DUMMYFUNCTION("""COMPUTED_VALUE"""),0.0)</f>
        <v>0</v>
      </c>
      <c r="H796" s="1"/>
      <c r="I796" s="1"/>
      <c r="J796" s="1"/>
      <c r="K796" s="1"/>
      <c r="L796" s="1"/>
      <c r="M796" s="1"/>
      <c r="N796" s="1"/>
      <c r="O796" s="1"/>
      <c r="P796" s="1"/>
      <c r="Q796" s="1"/>
      <c r="R796" s="1"/>
      <c r="S796" s="1"/>
      <c r="T796" s="1"/>
      <c r="U796" s="1"/>
      <c r="V796" s="1"/>
      <c r="W796" s="1"/>
      <c r="X796" s="1"/>
      <c r="Y796" s="1"/>
      <c r="Z796" s="1"/>
    </row>
    <row r="797">
      <c r="A797" s="1" t="str">
        <f>IFERROR(__xludf.DUMMYFUNCTION("""COMPUTED_VALUE"""),"Dragon's Dogma")</f>
        <v>Dragon's Dogma</v>
      </c>
      <c r="B797" s="1"/>
      <c r="C797" s="1" t="str">
        <f>IFERROR(__xludf.DUMMYFUNCTION("""COMPUTED_VALUE"""),"Sword")</f>
        <v>Sword</v>
      </c>
      <c r="D797" s="1" t="str">
        <f>IFERROR(__xludf.DUMMYFUNCTION("""COMPUTED_VALUE"""),"Hand")</f>
        <v>Hand</v>
      </c>
      <c r="E797" s="1">
        <f>IFERROR(__xludf.DUMMYFUNCTION("""COMPUTED_VALUE"""),200.0)</f>
        <v>200</v>
      </c>
      <c r="F797" s="1" t="str">
        <f>IFERROR(__xludf.DUMMYFUNCTION("""COMPUTED_VALUE"""),"DMG: +250000, Celestial DMG: +50000 TBD")</f>
        <v>DMG: +250000, Celestial DMG: +50000 TBD</v>
      </c>
      <c r="G797" s="1">
        <f>IFERROR(__xludf.DUMMYFUNCTION("""COMPUTED_VALUE"""),1.797E9)</f>
        <v>1797000000</v>
      </c>
      <c r="H797" s="1"/>
      <c r="I797" s="1"/>
      <c r="J797" s="1"/>
      <c r="K797" s="1"/>
      <c r="L797" s="1"/>
      <c r="M797" s="1"/>
      <c r="N797" s="1"/>
      <c r="O797" s="1"/>
      <c r="P797" s="1"/>
      <c r="Q797" s="1"/>
      <c r="R797" s="1"/>
      <c r="S797" s="1"/>
      <c r="T797" s="1"/>
      <c r="U797" s="1"/>
      <c r="V797" s="1"/>
      <c r="W797" s="1"/>
      <c r="X797" s="1"/>
      <c r="Y797" s="1"/>
      <c r="Z797" s="1"/>
    </row>
    <row r="798">
      <c r="A798" s="1" t="str">
        <f>IFERROR(__xludf.DUMMYFUNCTION("""COMPUTED_VALUE"""),"Dragon's Dread")</f>
        <v>Dragon's Dread</v>
      </c>
      <c r="B798" s="1"/>
      <c r="C798" s="1" t="str">
        <f>IFERROR(__xludf.DUMMYFUNCTION("""COMPUTED_VALUE"""),"Bow")</f>
        <v>Bow</v>
      </c>
      <c r="D798" s="1" t="str">
        <f>IFERROR(__xludf.DUMMYFUNCTION("""COMPUTED_VALUE"""),"Hand")</f>
        <v>Hand</v>
      </c>
      <c r="E798" s="1">
        <f>IFERROR(__xludf.DUMMYFUNCTION("""COMPUTED_VALUE"""),200.0)</f>
        <v>200</v>
      </c>
      <c r="F798" s="1" t="str">
        <f>IFERROR(__xludf.DUMMYFUNCTION("""COMPUTED_VALUE"""),"DMG: +50000, Fire DMG: +50000, Water DMG: +50000, Storm DMG: +50000, Earth DMG: +50000, Light DMG: +50000, Dark DMG: +50000, Order DMG: +50000, Chaos DMG: +50000, Nature DMG: +50000, Delta DMG: +50000, Celestial DMG: +50000 TBD")</f>
        <v>DMG: +50000, Fire DMG: +50000, Water DMG: +50000, Storm DMG: +50000, Earth DMG: +50000, Light DMG: +50000, Dark DMG: +50000, Order DMG: +50000, Chaos DMG: +50000, Nature DMG: +50000, Delta DMG: +50000, Celestial DMG: +50000 TBD</v>
      </c>
      <c r="G798" s="1">
        <f>IFERROR(__xludf.DUMMYFUNCTION("""COMPUTED_VALUE"""),7.194E9)</f>
        <v>7194000000</v>
      </c>
      <c r="H798" s="1"/>
      <c r="I798" s="1"/>
      <c r="J798" s="1"/>
      <c r="K798" s="1"/>
      <c r="L798" s="1"/>
      <c r="M798" s="1"/>
      <c r="N798" s="1"/>
      <c r="O798" s="1"/>
      <c r="P798" s="1"/>
      <c r="Q798" s="1"/>
      <c r="R798" s="1"/>
      <c r="S798" s="1"/>
      <c r="T798" s="1"/>
      <c r="U798" s="1"/>
      <c r="V798" s="1"/>
      <c r="W798" s="1"/>
      <c r="X798" s="1"/>
      <c r="Y798" s="1"/>
      <c r="Z798" s="1"/>
    </row>
    <row r="799">
      <c r="A799" s="1" t="str">
        <f>IFERROR(__xludf.DUMMYFUNCTION("""COMPUTED_VALUE"""),"Dragon's Dream Breaker")</f>
        <v>Dragon's Dream Breaker</v>
      </c>
      <c r="B799" s="1"/>
      <c r="C799" s="1" t="str">
        <f>IFERROR(__xludf.DUMMYFUNCTION("""COMPUTED_VALUE"""),"Claw")</f>
        <v>Claw</v>
      </c>
      <c r="D799" s="1" t="str">
        <f>IFERROR(__xludf.DUMMYFUNCTION("""COMPUTED_VALUE"""),"Hand")</f>
        <v>Hand</v>
      </c>
      <c r="E799" s="1">
        <f>IFERROR(__xludf.DUMMYFUNCTION("""COMPUTED_VALUE"""),200.0)</f>
        <v>200</v>
      </c>
      <c r="F799" s="1" t="str">
        <f>IFERROR(__xludf.DUMMYFUNCTION("""COMPUTED_VALUE"""),"DMG: +600000, Celestial DMG: +600000 TBD")</f>
        <v>DMG: +600000, Celestial DMG: +600000 TBD</v>
      </c>
      <c r="G799" s="1">
        <f>IFERROR(__xludf.DUMMYFUNCTION("""COMPUTED_VALUE"""),2.8788E10)</f>
        <v>28788000000</v>
      </c>
      <c r="H799" s="1"/>
      <c r="I799" s="1"/>
      <c r="J799" s="1"/>
      <c r="K799" s="1"/>
      <c r="L799" s="1"/>
      <c r="M799" s="1"/>
      <c r="N799" s="1"/>
      <c r="O799" s="1"/>
      <c r="P799" s="1"/>
      <c r="Q799" s="1"/>
      <c r="R799" s="1"/>
      <c r="S799" s="1"/>
      <c r="T799" s="1"/>
      <c r="U799" s="1"/>
      <c r="V799" s="1"/>
      <c r="W799" s="1"/>
      <c r="X799" s="1"/>
      <c r="Y799" s="1"/>
      <c r="Z799" s="1"/>
    </row>
    <row r="800">
      <c r="A800" s="1" t="str">
        <f>IFERROR(__xludf.DUMMYFUNCTION("""COMPUTED_VALUE"""),"Dragon's Draught")</f>
        <v>Dragon's Draught</v>
      </c>
      <c r="B800" s="1"/>
      <c r="C800" s="1" t="str">
        <f>IFERROR(__xludf.DUMMYFUNCTION("""COMPUTED_VALUE"""),"Staff")</f>
        <v>Staff</v>
      </c>
      <c r="D800" s="1" t="str">
        <f>IFERROR(__xludf.DUMMYFUNCTION("""COMPUTED_VALUE"""),"Hand")</f>
        <v>Hand</v>
      </c>
      <c r="E800" s="1">
        <f>IFERROR(__xludf.DUMMYFUNCTION("""COMPUTED_VALUE"""),1.0)</f>
        <v>1</v>
      </c>
      <c r="F800" s="1" t="str">
        <f>IFERROR(__xludf.DUMMYFUNCTION("""COMPUTED_VALUE""")," TBD")</f>
        <v> TBD</v>
      </c>
      <c r="G800" s="1">
        <f>IFERROR(__xludf.DUMMYFUNCTION("""COMPUTED_VALUE"""),0.0)</f>
        <v>0</v>
      </c>
      <c r="H800" s="1"/>
      <c r="I800" s="1"/>
      <c r="J800" s="1"/>
      <c r="K800" s="1"/>
      <c r="L800" s="1"/>
      <c r="M800" s="1"/>
      <c r="N800" s="1"/>
      <c r="O800" s="1"/>
      <c r="P800" s="1"/>
      <c r="Q800" s="1"/>
      <c r="R800" s="1"/>
      <c r="S800" s="1"/>
      <c r="T800" s="1"/>
      <c r="U800" s="1"/>
      <c r="V800" s="1"/>
      <c r="W800" s="1"/>
      <c r="X800" s="1"/>
      <c r="Y800" s="1"/>
      <c r="Z800" s="1"/>
    </row>
    <row r="801">
      <c r="A801" s="1" t="str">
        <f>IFERROR(__xludf.DUMMYFUNCTION("""COMPUTED_VALUE"""),"Dragon's Damnation")</f>
        <v>Dragon's Damnation</v>
      </c>
      <c r="B801" s="1"/>
      <c r="C801" s="1" t="str">
        <f>IFERROR(__xludf.DUMMYFUNCTION("""COMPUTED_VALUE"""),"Gauntlet")</f>
        <v>Gauntlet</v>
      </c>
      <c r="D801" s="1" t="str">
        <f>IFERROR(__xludf.DUMMYFUNCTION("""COMPUTED_VALUE"""),"Hand")</f>
        <v>Hand</v>
      </c>
      <c r="E801" s="1">
        <f>IFERROR(__xludf.DUMMYFUNCTION("""COMPUTED_VALUE"""),200.0)</f>
        <v>200</v>
      </c>
      <c r="F801" s="1" t="str">
        <f>IFERROR(__xludf.DUMMYFUNCTION("""COMPUTED_VALUE"""),"DEF: +100000, Fire DEF: +100000, Water DEF: +100000, Storm DEF: +100000, Earth DEF: +100000, Light DEF: +100000, Dark DEF: +100000, Order DEF: +100000, Chaos DEF: +100000, Nature DEF: +100000, Delta DEF: +100000, Celestial DEF: +100000 TBD")</f>
        <v>DEF: +100000, Fire DEF: +100000, Water DEF: +100000, Storm DEF: +100000, Earth DEF: +100000, Light DEF: +100000, Dark DEF: +100000, Order DEF: +100000, Chaos DEF: +100000, Nature DEF: +100000, Delta DEF: +100000, Celestial DEF: +100000 TBD</v>
      </c>
      <c r="G801" s="1">
        <f>IFERROR(__xludf.DUMMYFUNCTION("""COMPUTED_VALUE"""),2.8788E10)</f>
        <v>28788000000</v>
      </c>
      <c r="H801" s="1"/>
      <c r="I801" s="1"/>
      <c r="J801" s="1"/>
      <c r="K801" s="1"/>
      <c r="L801" s="1"/>
      <c r="M801" s="1"/>
      <c r="N801" s="1"/>
      <c r="O801" s="1"/>
      <c r="P801" s="1"/>
      <c r="Q801" s="1"/>
      <c r="R801" s="1"/>
      <c r="S801" s="1"/>
      <c r="T801" s="1"/>
      <c r="U801" s="1"/>
      <c r="V801" s="1"/>
      <c r="W801" s="1"/>
      <c r="X801" s="1"/>
      <c r="Y801" s="1"/>
      <c r="Z801" s="1"/>
    </row>
    <row r="802">
      <c r="A802" s="1" t="str">
        <f>IFERROR(__xludf.DUMMYFUNCTION("""COMPUTED_VALUE"""),"Dragon's Destruction")</f>
        <v>Dragon's Destruction</v>
      </c>
      <c r="B802" s="1"/>
      <c r="C802" s="1" t="str">
        <f>IFERROR(__xludf.DUMMYFUNCTION("""COMPUTED_VALUE"""),"Spear")</f>
        <v>Spear</v>
      </c>
      <c r="D802" s="1" t="str">
        <f>IFERROR(__xludf.DUMMYFUNCTION("""COMPUTED_VALUE"""),"Hand")</f>
        <v>Hand</v>
      </c>
      <c r="E802" s="1">
        <f>IFERROR(__xludf.DUMMYFUNCTION("""COMPUTED_VALUE"""),200.0)</f>
        <v>200</v>
      </c>
      <c r="F802" s="1" t="str">
        <f>IFERROR(__xludf.DUMMYFUNCTION("""COMPUTED_VALUE"""),"DMG: +400000, Fire DMG: +100000, Water DMG: +100000, Storm DMG: +100000, Earth DMG: +100000, Light DMG: +150000, Dark DMG: +150000, Spirit DMG: +100000, Order DMG: +150000, Chaos DMG: +150000, Nature DMG: +100000, Voodoo DMG: +100000, Blood DMG: +100000, "&amp;"Delta DMG: +100000, Zen DMG: +100000, Time DMG: +100000, Astral DMG: +100000, Celestial DMG: +100000, Acoustic DMG: +100000 TBD")</f>
        <v>DMG: +400000, Fire DMG: +100000, Water DMG: +100000, Storm DMG: +100000, Earth DMG: +100000, Light DMG: +150000, Dark DMG: +150000, Spirit DMG: +100000, Order DMG: +150000, Chaos DMG: +150000, Nature DMG: +100000, Voodoo DMG: +100000, Blood DMG: +100000, Delta DMG: +100000, Zen DMG: +100000, Time DMG: +100000, Astral DMG: +100000, Celestial DMG: +100000, Acoustic DMG: +100000 TBD</v>
      </c>
      <c r="G802" s="1">
        <f>IFERROR(__xludf.DUMMYFUNCTION("""COMPUTED_VALUE"""),2.8788E10)</f>
        <v>28788000000</v>
      </c>
      <c r="H802" s="1"/>
      <c r="I802" s="1"/>
      <c r="J802" s="1"/>
      <c r="K802" s="1"/>
      <c r="L802" s="1"/>
      <c r="M802" s="1"/>
      <c r="N802" s="1"/>
      <c r="O802" s="1"/>
      <c r="P802" s="1"/>
      <c r="Q802" s="1"/>
      <c r="R802" s="1"/>
      <c r="S802" s="1"/>
      <c r="T802" s="1"/>
      <c r="U802" s="1"/>
      <c r="V802" s="1"/>
      <c r="W802" s="1"/>
      <c r="X802" s="1"/>
      <c r="Y802" s="1"/>
      <c r="Z802" s="1"/>
    </row>
    <row r="803">
      <c r="A803" s="1" t="str">
        <f>IFERROR(__xludf.DUMMYFUNCTION("""COMPUTED_VALUE"""),"Confining Collar")</f>
        <v>Confining Collar</v>
      </c>
      <c r="B803" s="1" t="str">
        <f>IFERROR(__xludf.DUMMYFUNCTION("""COMPUTED_VALUE"""),"A cursed collar found around the neck of the Dragonscale dungeon inmates, it slowly stangulates the wearer until they die.")</f>
        <v>A cursed collar found around the neck of the Dragonscale dungeon inmates, it slowly stangulates the wearer until they die.</v>
      </c>
      <c r="C803" s="1" t="str">
        <f>IFERROR(__xludf.DUMMYFUNCTION("""COMPUTED_VALUE"""),"Item")</f>
        <v>Item</v>
      </c>
      <c r="D803" s="1" t="str">
        <f>IFERROR(__xludf.DUMMYFUNCTION("""COMPUTED_VALUE"""),"Neck")</f>
        <v>Neck</v>
      </c>
      <c r="E803" s="1">
        <f>IFERROR(__xludf.DUMMYFUNCTION("""COMPUTED_VALUE"""),100.0)</f>
        <v>100</v>
      </c>
      <c r="F803" s="1" t="str">
        <f>IFERROR(__xludf.DUMMYFUNCTION("""COMPUTED_VALUE"""),"DEF: +5000 +-5 to all rolls, +-Upon being worn can only be removed after 15 days of travel")</f>
        <v>DEF: +5000 +-5 to all rolls, +-Upon being worn can only be removed after 15 days of travel</v>
      </c>
      <c r="G803" s="1">
        <f>IFERROR(__xludf.DUMMYFUNCTION("""COMPUTED_VALUE"""),450000.0)</f>
        <v>450000</v>
      </c>
      <c r="H803" s="1"/>
      <c r="I803" s="1"/>
      <c r="J803" s="1"/>
      <c r="K803" s="1"/>
      <c r="L803" s="1"/>
      <c r="M803" s="1"/>
      <c r="N803" s="1"/>
      <c r="O803" s="1"/>
      <c r="P803" s="1"/>
      <c r="Q803" s="1"/>
      <c r="R803" s="1"/>
      <c r="S803" s="1"/>
      <c r="T803" s="1"/>
      <c r="U803" s="1"/>
      <c r="V803" s="1"/>
      <c r="W803" s="1"/>
      <c r="X803" s="1"/>
      <c r="Y803" s="1"/>
      <c r="Z803" s="1"/>
    </row>
    <row r="804">
      <c r="A804" s="1" t="str">
        <f>IFERROR(__xludf.DUMMYFUNCTION("""COMPUTED_VALUE"""),"Shiv")</f>
        <v>Shiv</v>
      </c>
      <c r="B804" s="1"/>
      <c r="C804" s="1" t="str">
        <f>IFERROR(__xludf.DUMMYFUNCTION("""COMPUTED_VALUE"""),"Knife")</f>
        <v>Knife</v>
      </c>
      <c r="D804" s="1" t="str">
        <f>IFERROR(__xludf.DUMMYFUNCTION("""COMPUTED_VALUE"""),"Hand")</f>
        <v>Hand</v>
      </c>
      <c r="E804" s="1">
        <f>IFERROR(__xludf.DUMMYFUNCTION("""COMPUTED_VALUE"""),4000.0)</f>
        <v>4000</v>
      </c>
      <c r="F804" s="1" t="str">
        <f>IFERROR(__xludf.DUMMYFUNCTION("""COMPUTED_VALUE"""),"DMG: +200000 ++has a 5% chance to give a random disease to any creature hit with this weapon.")</f>
        <v>DMG: +200000 ++has a 5% chance to give a random disease to any creature hit with this weapon.</v>
      </c>
      <c r="G804" s="1">
        <f>IFERROR(__xludf.DUMMYFUNCTION("""COMPUTED_VALUE"""),7.98E8)</f>
        <v>798000000</v>
      </c>
      <c r="H804" s="1"/>
      <c r="I804" s="1"/>
      <c r="J804" s="1"/>
      <c r="K804" s="1"/>
      <c r="L804" s="1"/>
      <c r="M804" s="1"/>
      <c r="N804" s="1"/>
      <c r="O804" s="1"/>
      <c r="P804" s="1"/>
      <c r="Q804" s="1"/>
      <c r="R804" s="1"/>
      <c r="S804" s="1"/>
      <c r="T804" s="1"/>
      <c r="U804" s="1"/>
      <c r="V804" s="1"/>
      <c r="W804" s="1"/>
      <c r="X804" s="1"/>
      <c r="Y804" s="1"/>
      <c r="Z804" s="1"/>
    </row>
    <row r="805">
      <c r="A805" s="1" t="str">
        <f>IFERROR(__xludf.DUMMYFUNCTION("""COMPUTED_VALUE"""),"Inmate's Cap")</f>
        <v>Inmate's Cap</v>
      </c>
      <c r="B805" s="1"/>
      <c r="C805" s="1" t="str">
        <f>IFERROR(__xludf.DUMMYFUNCTION("""COMPUTED_VALUE"""),"Item")</f>
        <v>Item</v>
      </c>
      <c r="D805" s="1" t="str">
        <f>IFERROR(__xludf.DUMMYFUNCTION("""COMPUTED_VALUE"""),"Head")</f>
        <v>Head</v>
      </c>
      <c r="E805" s="1">
        <f>IFERROR(__xludf.DUMMYFUNCTION("""COMPUTED_VALUE"""),2000.0)</f>
        <v>2000</v>
      </c>
      <c r="F805" s="1" t="str">
        <f>IFERROR(__xludf.DUMMYFUNCTION("""COMPUTED_VALUE"""),"DEF: +100000 ++has a 5% chance to avoid beng arrested without fail.")</f>
        <v>DEF: +100000 ++has a 5% chance to avoid beng arrested without fail.</v>
      </c>
      <c r="G805" s="1">
        <f>IFERROR(__xludf.DUMMYFUNCTION("""COMPUTED_VALUE"""),1.99E8)</f>
        <v>199000000</v>
      </c>
      <c r="H805" s="1"/>
      <c r="I805" s="1"/>
      <c r="J805" s="1"/>
      <c r="K805" s="1"/>
      <c r="L805" s="1"/>
      <c r="M805" s="1"/>
      <c r="N805" s="1"/>
      <c r="O805" s="1"/>
      <c r="P805" s="1"/>
      <c r="Q805" s="1"/>
      <c r="R805" s="1"/>
      <c r="S805" s="1"/>
      <c r="T805" s="1"/>
      <c r="U805" s="1"/>
      <c r="V805" s="1"/>
      <c r="W805" s="1"/>
      <c r="X805" s="1"/>
      <c r="Y805" s="1"/>
      <c r="Z805" s="1"/>
    </row>
    <row r="806">
      <c r="A806" s="1" t="str">
        <f>IFERROR(__xludf.DUMMYFUNCTION("""COMPUTED_VALUE"""),"Inmate's Shirt")</f>
        <v>Inmate's Shirt</v>
      </c>
      <c r="B806" s="1"/>
      <c r="C806" s="1" t="str">
        <f>IFERROR(__xludf.DUMMYFUNCTION("""COMPUTED_VALUE"""),"Item")</f>
        <v>Item</v>
      </c>
      <c r="D806" s="1" t="str">
        <f>IFERROR(__xludf.DUMMYFUNCTION("""COMPUTED_VALUE"""),"Torso")</f>
        <v>Torso</v>
      </c>
      <c r="E806" s="1">
        <f>IFERROR(__xludf.DUMMYFUNCTION("""COMPUTED_VALUE"""),2000.0)</f>
        <v>2000</v>
      </c>
      <c r="F806" s="1" t="str">
        <f>IFERROR(__xludf.DUMMYFUNCTION("""COMPUTED_VALUE"""),"DEF: +100000 ++has a 5% chance to avoid beng arrested without fail.")</f>
        <v>DEF: +100000 ++has a 5% chance to avoid beng arrested without fail.</v>
      </c>
      <c r="G806" s="1">
        <f>IFERROR(__xludf.DUMMYFUNCTION("""COMPUTED_VALUE"""),1.99E8)</f>
        <v>199000000</v>
      </c>
      <c r="H806" s="1"/>
      <c r="I806" s="1"/>
      <c r="J806" s="1"/>
      <c r="K806" s="1"/>
      <c r="L806" s="1"/>
      <c r="M806" s="1"/>
      <c r="N806" s="1"/>
      <c r="O806" s="1"/>
      <c r="P806" s="1"/>
      <c r="Q806" s="1"/>
      <c r="R806" s="1"/>
      <c r="S806" s="1"/>
      <c r="T806" s="1"/>
      <c r="U806" s="1"/>
      <c r="V806" s="1"/>
      <c r="W806" s="1"/>
      <c r="X806" s="1"/>
      <c r="Y806" s="1"/>
      <c r="Z806" s="1"/>
    </row>
    <row r="807">
      <c r="A807" s="1" t="str">
        <f>IFERROR(__xludf.DUMMYFUNCTION("""COMPUTED_VALUE"""),"Inmate's Pants")</f>
        <v>Inmate's Pants</v>
      </c>
      <c r="B807" s="1"/>
      <c r="C807" s="1" t="str">
        <f>IFERROR(__xludf.DUMMYFUNCTION("""COMPUTED_VALUE"""),"Item")</f>
        <v>Item</v>
      </c>
      <c r="D807" s="1" t="str">
        <f>IFERROR(__xludf.DUMMYFUNCTION("""COMPUTED_VALUE"""),"Legs")</f>
        <v>Legs</v>
      </c>
      <c r="E807" s="1">
        <f>IFERROR(__xludf.DUMMYFUNCTION("""COMPUTED_VALUE"""),2000.0)</f>
        <v>2000</v>
      </c>
      <c r="F807" s="1" t="str">
        <f>IFERROR(__xludf.DUMMYFUNCTION("""COMPUTED_VALUE"""),"DEF: +100000 ++has a 5% chance to avoid beng arrested without fail.")</f>
        <v>DEF: +100000 ++has a 5% chance to avoid beng arrested without fail.</v>
      </c>
      <c r="G807" s="1">
        <f>IFERROR(__xludf.DUMMYFUNCTION("""COMPUTED_VALUE"""),1.99E8)</f>
        <v>199000000</v>
      </c>
      <c r="H807" s="1"/>
      <c r="I807" s="1"/>
      <c r="J807" s="1"/>
      <c r="K807" s="1"/>
      <c r="L807" s="1"/>
      <c r="M807" s="1"/>
      <c r="N807" s="1"/>
      <c r="O807" s="1"/>
      <c r="P807" s="1"/>
      <c r="Q807" s="1"/>
      <c r="R807" s="1"/>
      <c r="S807" s="1"/>
      <c r="T807" s="1"/>
      <c r="U807" s="1"/>
      <c r="V807" s="1"/>
      <c r="W807" s="1"/>
      <c r="X807" s="1"/>
      <c r="Y807" s="1"/>
      <c r="Z807" s="1"/>
    </row>
    <row r="808">
      <c r="A808" s="1" t="str">
        <f>IFERROR(__xludf.DUMMYFUNCTION("""COMPUTED_VALUE"""),"Warden's Cap")</f>
        <v>Warden's Cap</v>
      </c>
      <c r="B808" s="1"/>
      <c r="C808" s="1" t="str">
        <f>IFERROR(__xludf.DUMMYFUNCTION("""COMPUTED_VALUE"""),"Item")</f>
        <v>Item</v>
      </c>
      <c r="D808" s="1" t="str">
        <f>IFERROR(__xludf.DUMMYFUNCTION("""COMPUTED_VALUE"""),"Head")</f>
        <v>Head</v>
      </c>
      <c r="E808" s="1">
        <f>IFERROR(__xludf.DUMMYFUNCTION("""COMPUTED_VALUE"""),2000.0)</f>
        <v>2000</v>
      </c>
      <c r="F808" s="1" t="str">
        <f>IFERROR(__xludf.DUMMYFUNCTION("""COMPUTED_VALUE"""),"DEF: +100000 ++X2 Damage with Clubs")</f>
        <v>DEF: +100000 ++X2 Damage with Clubs</v>
      </c>
      <c r="G808" s="1">
        <f>IFERROR(__xludf.DUMMYFUNCTION("""COMPUTED_VALUE"""),1.99E8)</f>
        <v>199000000</v>
      </c>
      <c r="H808" s="1"/>
      <c r="I808" s="1"/>
      <c r="J808" s="1"/>
      <c r="K808" s="1"/>
      <c r="L808" s="1"/>
      <c r="M808" s="1"/>
      <c r="N808" s="1"/>
      <c r="O808" s="1"/>
      <c r="P808" s="1"/>
      <c r="Q808" s="1"/>
      <c r="R808" s="1"/>
      <c r="S808" s="1"/>
      <c r="T808" s="1"/>
      <c r="U808" s="1"/>
      <c r="V808" s="1"/>
      <c r="W808" s="1"/>
      <c r="X808" s="1"/>
      <c r="Y808" s="1"/>
      <c r="Z808" s="1"/>
    </row>
    <row r="809">
      <c r="A809" s="1" t="str">
        <f>IFERROR(__xludf.DUMMYFUNCTION("""COMPUTED_VALUE"""),"Warden's Shirt")</f>
        <v>Warden's Shirt</v>
      </c>
      <c r="B809" s="1"/>
      <c r="C809" s="1" t="str">
        <f>IFERROR(__xludf.DUMMYFUNCTION("""COMPUTED_VALUE"""),"Item")</f>
        <v>Item</v>
      </c>
      <c r="D809" s="1" t="str">
        <f>IFERROR(__xludf.DUMMYFUNCTION("""COMPUTED_VALUE"""),"Torso")</f>
        <v>Torso</v>
      </c>
      <c r="E809" s="1">
        <f>IFERROR(__xludf.DUMMYFUNCTION("""COMPUTED_VALUE"""),2000.0)</f>
        <v>2000</v>
      </c>
      <c r="F809" s="1" t="str">
        <f>IFERROR(__xludf.DUMMYFUNCTION("""COMPUTED_VALUE"""),"DEF: +100000 ++X2 Damage with Clubs")</f>
        <v>DEF: +100000 ++X2 Damage with Clubs</v>
      </c>
      <c r="G809" s="1">
        <f>IFERROR(__xludf.DUMMYFUNCTION("""COMPUTED_VALUE"""),1.99E8)</f>
        <v>199000000</v>
      </c>
      <c r="H809" s="1"/>
      <c r="I809" s="1"/>
      <c r="J809" s="1"/>
      <c r="K809" s="1"/>
      <c r="L809" s="1"/>
      <c r="M809" s="1"/>
      <c r="N809" s="1"/>
      <c r="O809" s="1"/>
      <c r="P809" s="1"/>
      <c r="Q809" s="1"/>
      <c r="R809" s="1"/>
      <c r="S809" s="1"/>
      <c r="T809" s="1"/>
      <c r="U809" s="1"/>
      <c r="V809" s="1"/>
      <c r="W809" s="1"/>
      <c r="X809" s="1"/>
      <c r="Y809" s="1"/>
      <c r="Z809" s="1"/>
    </row>
    <row r="810">
      <c r="A810" s="1" t="str">
        <f>IFERROR(__xludf.DUMMYFUNCTION("""COMPUTED_VALUE"""),"Warden's Pants")</f>
        <v>Warden's Pants</v>
      </c>
      <c r="B810" s="1"/>
      <c r="C810" s="1" t="str">
        <f>IFERROR(__xludf.DUMMYFUNCTION("""COMPUTED_VALUE"""),"Item")</f>
        <v>Item</v>
      </c>
      <c r="D810" s="1" t="str">
        <f>IFERROR(__xludf.DUMMYFUNCTION("""COMPUTED_VALUE"""),"Legs")</f>
        <v>Legs</v>
      </c>
      <c r="E810" s="1">
        <f>IFERROR(__xludf.DUMMYFUNCTION("""COMPUTED_VALUE"""),2000.0)</f>
        <v>2000</v>
      </c>
      <c r="F810" s="1" t="str">
        <f>IFERROR(__xludf.DUMMYFUNCTION("""COMPUTED_VALUE"""),"DEF: +100000 ++X2 Damage with Clubs")</f>
        <v>DEF: +100000 ++X2 Damage with Clubs</v>
      </c>
      <c r="G810" s="1">
        <f>IFERROR(__xludf.DUMMYFUNCTION("""COMPUTED_VALUE"""),1.99E8)</f>
        <v>199000000</v>
      </c>
      <c r="H810" s="1"/>
      <c r="I810" s="1"/>
      <c r="J810" s="1"/>
      <c r="K810" s="1"/>
      <c r="L810" s="1"/>
      <c r="M810" s="1"/>
      <c r="N810" s="1"/>
      <c r="O810" s="1"/>
      <c r="P810" s="1"/>
      <c r="Q810" s="1"/>
      <c r="R810" s="1"/>
      <c r="S810" s="1"/>
      <c r="T810" s="1"/>
      <c r="U810" s="1"/>
      <c r="V810" s="1"/>
      <c r="W810" s="1"/>
      <c r="X810" s="1"/>
      <c r="Y810" s="1"/>
      <c r="Z810" s="1"/>
    </row>
    <row r="811">
      <c r="A811" s="1" t="str">
        <f>IFERROR(__xludf.DUMMYFUNCTION("""COMPUTED_VALUE"""),"Warden's Boots")</f>
        <v>Warden's Boots</v>
      </c>
      <c r="B811" s="1"/>
      <c r="C811" s="1" t="str">
        <f>IFERROR(__xludf.DUMMYFUNCTION("""COMPUTED_VALUE"""),"Item")</f>
        <v>Item</v>
      </c>
      <c r="D811" s="1" t="str">
        <f>IFERROR(__xludf.DUMMYFUNCTION("""COMPUTED_VALUE"""),"Feet")</f>
        <v>Feet</v>
      </c>
      <c r="E811" s="1">
        <f>IFERROR(__xludf.DUMMYFUNCTION("""COMPUTED_VALUE"""),2000.0)</f>
        <v>2000</v>
      </c>
      <c r="F811" s="1" t="str">
        <f>IFERROR(__xludf.DUMMYFUNCTION("""COMPUTED_VALUE"""),"DEF: +100000 ++X2 Damage with Clubs")</f>
        <v>DEF: +100000 ++X2 Damage with Clubs</v>
      </c>
      <c r="G811" s="1">
        <f>IFERROR(__xludf.DUMMYFUNCTION("""COMPUTED_VALUE"""),1.99E8)</f>
        <v>199000000</v>
      </c>
      <c r="H811" s="1"/>
      <c r="I811" s="1"/>
      <c r="J811" s="1"/>
      <c r="K811" s="1"/>
      <c r="L811" s="1"/>
      <c r="M811" s="1"/>
      <c r="N811" s="1"/>
      <c r="O811" s="1"/>
      <c r="P811" s="1"/>
      <c r="Q811" s="1"/>
      <c r="R811" s="1"/>
      <c r="S811" s="1"/>
      <c r="T811" s="1"/>
      <c r="U811" s="1"/>
      <c r="V811" s="1"/>
      <c r="W811" s="1"/>
      <c r="X811" s="1"/>
      <c r="Y811" s="1"/>
      <c r="Z811" s="1"/>
    </row>
    <row r="812">
      <c r="A812" s="1" t="str">
        <f>IFERROR(__xludf.DUMMYFUNCTION("""COMPUTED_VALUE"""),"Warden's Baton")</f>
        <v>Warden's Baton</v>
      </c>
      <c r="B812" s="1"/>
      <c r="C812" s="1" t="str">
        <f>IFERROR(__xludf.DUMMYFUNCTION("""COMPUTED_VALUE"""),"Club")</f>
        <v>Club</v>
      </c>
      <c r="D812" s="1" t="str">
        <f>IFERROR(__xludf.DUMMYFUNCTION("""COMPUTED_VALUE"""),"Hand")</f>
        <v>Hand</v>
      </c>
      <c r="E812" s="1">
        <f>IFERROR(__xludf.DUMMYFUNCTION("""COMPUTED_VALUE"""),4000.0)</f>
        <v>4000</v>
      </c>
      <c r="F812" s="1" t="str">
        <f>IFERROR(__xludf.DUMMYFUNCTION("""COMPUTED_VALUE"""),"DMG: +200000 ++X20 damage to any enemy wearing a confining collar.")</f>
        <v>DMG: +200000 ++X20 damage to any enemy wearing a confining collar.</v>
      </c>
      <c r="G812" s="1">
        <f>IFERROR(__xludf.DUMMYFUNCTION("""COMPUTED_VALUE"""),7.98E8)</f>
        <v>798000000</v>
      </c>
      <c r="H812" s="1"/>
      <c r="I812" s="1"/>
      <c r="J812" s="1"/>
      <c r="K812" s="1"/>
      <c r="L812" s="1"/>
      <c r="M812" s="1"/>
      <c r="N812" s="1"/>
      <c r="O812" s="1"/>
      <c r="P812" s="1"/>
      <c r="Q812" s="1"/>
      <c r="R812" s="1"/>
      <c r="S812" s="1"/>
      <c r="T812" s="1"/>
      <c r="U812" s="1"/>
      <c r="V812" s="1"/>
      <c r="W812" s="1"/>
      <c r="X812" s="1"/>
      <c r="Y812" s="1"/>
      <c r="Z812" s="1"/>
    </row>
    <row r="813">
      <c r="A813" s="1" t="str">
        <f>IFERROR(__xludf.DUMMYFUNCTION("""COMPUTED_VALUE"""),"Gentleman's Club")</f>
        <v>Gentleman's Club</v>
      </c>
      <c r="B813" s="1"/>
      <c r="C813" s="1" t="str">
        <f>IFERROR(__xludf.DUMMYFUNCTION("""COMPUTED_VALUE"""),"Club")</f>
        <v>Club</v>
      </c>
      <c r="D813" s="1" t="str">
        <f>IFERROR(__xludf.DUMMYFUNCTION("""COMPUTED_VALUE"""),"Hand")</f>
        <v>Hand</v>
      </c>
      <c r="E813" s="1">
        <f>IFERROR(__xludf.DUMMYFUNCTION("""COMPUTED_VALUE"""),3000.0)</f>
        <v>3000</v>
      </c>
      <c r="F813" s="1" t="str">
        <f>IFERROR(__xludf.DUMMYFUNCTION("""COMPUTED_VALUE"""),"DMG: +150000 ++Enemies hit with this weapon cannot cast spells for 2 rounds. +-Cannot be duplicated.")</f>
        <v>DMG: +150000 ++Enemies hit with this weapon cannot cast spells for 2 rounds. +-Cannot be duplicated.</v>
      </c>
      <c r="G813" s="1">
        <f>IFERROR(__xludf.DUMMYFUNCTION("""COMPUTED_VALUE"""),4.485E8)</f>
        <v>448500000</v>
      </c>
      <c r="H813" s="1"/>
      <c r="I813" s="1"/>
      <c r="J813" s="1"/>
      <c r="K813" s="1"/>
      <c r="L813" s="1"/>
      <c r="M813" s="1"/>
      <c r="N813" s="1"/>
      <c r="O813" s="1"/>
      <c r="P813" s="1"/>
      <c r="Q813" s="1"/>
      <c r="R813" s="1"/>
      <c r="S813" s="1"/>
      <c r="T813" s="1"/>
      <c r="U813" s="1"/>
      <c r="V813" s="1"/>
      <c r="W813" s="1"/>
      <c r="X813" s="1"/>
      <c r="Y813" s="1"/>
      <c r="Z813" s="1"/>
    </row>
    <row r="814">
      <c r="A814" s="1" t="str">
        <f>IFERROR(__xludf.DUMMYFUNCTION("""COMPUTED_VALUE"""),"Honest Shirt")</f>
        <v>Honest Shirt</v>
      </c>
      <c r="B814" s="1"/>
      <c r="C814" s="1" t="str">
        <f>IFERROR(__xludf.DUMMYFUNCTION("""COMPUTED_VALUE"""),"Item")</f>
        <v>Item</v>
      </c>
      <c r="D814" s="1" t="str">
        <f>IFERROR(__xludf.DUMMYFUNCTION("""COMPUTED_VALUE"""),"Torso")</f>
        <v>Torso</v>
      </c>
      <c r="E814" s="1">
        <f>IFERROR(__xludf.DUMMYFUNCTION("""COMPUTED_VALUE"""),2000.0)</f>
        <v>2000</v>
      </c>
      <c r="F814" s="1" t="str">
        <f>IFERROR(__xludf.DUMMYFUNCTION("""COMPUTED_VALUE"""),"DEF: +100000 ++25% chance any spell targeting the wearer fails.")</f>
        <v>DEF: +100000 ++25% chance any spell targeting the wearer fails.</v>
      </c>
      <c r="G814" s="1">
        <f>IFERROR(__xludf.DUMMYFUNCTION("""COMPUTED_VALUE"""),1.99E8)</f>
        <v>199000000</v>
      </c>
      <c r="H814" s="1"/>
      <c r="I814" s="1"/>
      <c r="J814" s="1"/>
      <c r="K814" s="1"/>
      <c r="L814" s="1"/>
      <c r="M814" s="1"/>
      <c r="N814" s="1"/>
      <c r="O814" s="1"/>
      <c r="P814" s="1"/>
      <c r="Q814" s="1"/>
      <c r="R814" s="1"/>
      <c r="S814" s="1"/>
      <c r="T814" s="1"/>
      <c r="U814" s="1"/>
      <c r="V814" s="1"/>
      <c r="W814" s="1"/>
      <c r="X814" s="1"/>
      <c r="Y814" s="1"/>
      <c r="Z814" s="1"/>
    </row>
    <row r="815">
      <c r="A815" s="1" t="str">
        <f>IFERROR(__xludf.DUMMYFUNCTION("""COMPUTED_VALUE"""),"Tinfoil Hat")</f>
        <v>Tinfoil Hat</v>
      </c>
      <c r="B815" s="1"/>
      <c r="C815" s="1" t="str">
        <f>IFERROR(__xludf.DUMMYFUNCTION("""COMPUTED_VALUE"""),"Item")</f>
        <v>Item</v>
      </c>
      <c r="D815" s="1" t="str">
        <f>IFERROR(__xludf.DUMMYFUNCTION("""COMPUTED_VALUE"""),"Head")</f>
        <v>Head</v>
      </c>
      <c r="E815" s="1">
        <f>IFERROR(__xludf.DUMMYFUNCTION("""COMPUTED_VALUE"""),1.0)</f>
        <v>1</v>
      </c>
      <c r="F815" s="1" t="str">
        <f>IFERROR(__xludf.DUMMYFUNCTION("""COMPUTED_VALUE""")," ++Immunity to Possession. +-Cannot be duplicated.")</f>
        <v> ++Immunity to Possession. +-Cannot be duplicated.</v>
      </c>
      <c r="G815" s="1">
        <f>IFERROR(__xludf.DUMMYFUNCTION("""COMPUTED_VALUE"""),0.0)</f>
        <v>0</v>
      </c>
      <c r="H815" s="1"/>
      <c r="I815" s="1"/>
      <c r="J815" s="1"/>
      <c r="K815" s="1"/>
      <c r="L815" s="1"/>
      <c r="M815" s="1"/>
      <c r="N815" s="1"/>
      <c r="O815" s="1"/>
      <c r="P815" s="1"/>
      <c r="Q815" s="1"/>
      <c r="R815" s="1"/>
      <c r="S815" s="1"/>
      <c r="T815" s="1"/>
      <c r="U815" s="1"/>
      <c r="V815" s="1"/>
      <c r="W815" s="1"/>
      <c r="X815" s="1"/>
      <c r="Y815" s="1"/>
      <c r="Z815" s="1"/>
    </row>
    <row r="816">
      <c r="A816" s="1" t="str">
        <f>IFERROR(__xludf.DUMMYFUNCTION("""COMPUTED_VALUE"""),"Anti-Magic Glasses")</f>
        <v>Anti-Magic Glasses</v>
      </c>
      <c r="B816" s="1"/>
      <c r="C816" s="1" t="str">
        <f>IFERROR(__xludf.DUMMYFUNCTION("""COMPUTED_VALUE"""),"Item")</f>
        <v>Item</v>
      </c>
      <c r="D816" s="1" t="str">
        <f>IFERROR(__xludf.DUMMYFUNCTION("""COMPUTED_VALUE"""),"Head")</f>
        <v>Head</v>
      </c>
      <c r="E816" s="1">
        <f>IFERROR(__xludf.DUMMYFUNCTION("""COMPUTED_VALUE"""),1.0)</f>
        <v>1</v>
      </c>
      <c r="F816" s="1" t="str">
        <f>IFERROR(__xludf.DUMMYFUNCTION("""COMPUTED_VALUE""")," ++Immunity to Blindness, Disorient, and Twilight. +-Cannot be duplicated")</f>
        <v> ++Immunity to Blindness, Disorient, and Twilight. +-Cannot be duplicated</v>
      </c>
      <c r="G816" s="1">
        <f>IFERROR(__xludf.DUMMYFUNCTION("""COMPUTED_VALUE"""),0.0)</f>
        <v>0</v>
      </c>
      <c r="H816" s="1"/>
      <c r="I816" s="1"/>
      <c r="J816" s="1"/>
      <c r="K816" s="1"/>
      <c r="L816" s="1"/>
      <c r="M816" s="1"/>
      <c r="N816" s="1"/>
      <c r="O816" s="1"/>
      <c r="P816" s="1"/>
      <c r="Q816" s="1"/>
      <c r="R816" s="1"/>
      <c r="S816" s="1"/>
      <c r="T816" s="1"/>
      <c r="U816" s="1"/>
      <c r="V816" s="1"/>
      <c r="W816" s="1"/>
      <c r="X816" s="1"/>
      <c r="Y816" s="1"/>
      <c r="Z816" s="1"/>
    </row>
    <row r="817">
      <c r="A817" s="1" t="str">
        <f>IFERROR(__xludf.DUMMYFUNCTION("""COMPUTED_VALUE"""),"Null Ring")</f>
        <v>Null Ring</v>
      </c>
      <c r="B817" s="1"/>
      <c r="C817" s="1" t="str">
        <f>IFERROR(__xludf.DUMMYFUNCTION("""COMPUTED_VALUE"""),"Item")</f>
        <v>Item</v>
      </c>
      <c r="D817" s="1" t="str">
        <f>IFERROR(__xludf.DUMMYFUNCTION("""COMPUTED_VALUE"""),"Finger")</f>
        <v>Finger</v>
      </c>
      <c r="E817" s="1">
        <f>IFERROR(__xludf.DUMMYFUNCTION("""COMPUTED_VALUE"""),1.0)</f>
        <v>1</v>
      </c>
      <c r="F817" s="1" t="str">
        <f>IFERROR(__xludf.DUMMYFUNCTION("""COMPUTED_VALUE""")," ++15% chance at start of battle to become immune to all magic casted by enemies and allies +-Wearer is incapable of casting magic +-Not able to be forged or duplicated")</f>
        <v> ++15% chance at start of battle to become immune to all magic casted by enemies and allies +-Wearer is incapable of casting magic +-Not able to be forged or duplicated</v>
      </c>
      <c r="G817" s="1">
        <f>IFERROR(__xludf.DUMMYFUNCTION("""COMPUTED_VALUE"""),0.0)</f>
        <v>0</v>
      </c>
      <c r="H817" s="1"/>
      <c r="I817" s="1"/>
      <c r="J817" s="1"/>
      <c r="K817" s="1"/>
      <c r="L817" s="1"/>
      <c r="M817" s="1"/>
      <c r="N817" s="1"/>
      <c r="O817" s="1"/>
      <c r="P817" s="1"/>
      <c r="Q817" s="1"/>
      <c r="R817" s="1"/>
      <c r="S817" s="1"/>
      <c r="T817" s="1"/>
      <c r="U817" s="1"/>
      <c r="V817" s="1"/>
      <c r="W817" s="1"/>
      <c r="X817" s="1"/>
      <c r="Y817" s="1"/>
      <c r="Z817" s="1"/>
    </row>
    <row r="818">
      <c r="A818" s="1" t="str">
        <f>IFERROR(__xludf.DUMMYFUNCTION("""COMPUTED_VALUE"""),"Quickdraw Bow")</f>
        <v>Quickdraw Bow</v>
      </c>
      <c r="B818" s="1"/>
      <c r="C818" s="1" t="str">
        <f>IFERROR(__xludf.DUMMYFUNCTION("""COMPUTED_VALUE"""),"Bow")</f>
        <v>Bow</v>
      </c>
      <c r="D818" s="1" t="str">
        <f>IFERROR(__xludf.DUMMYFUNCTION("""COMPUTED_VALUE"""),"Hand")</f>
        <v>Hand</v>
      </c>
      <c r="E818" s="1">
        <f>IFERROR(__xludf.DUMMYFUNCTION("""COMPUTED_VALUE"""),2000.0)</f>
        <v>2000</v>
      </c>
      <c r="F818" s="1" t="str">
        <f>IFERROR(__xludf.DUMMYFUNCTION("""COMPUTED_VALUE"""),"DMG: +99500, Spirit DMG: +500 ++Plus 2 to turn order roll +-Cannot be forged or duplicated")</f>
        <v>DMG: +99500, Spirit DMG: +500 ++Plus 2 to turn order roll +-Cannot be forged or duplicated</v>
      </c>
      <c r="G818" s="1">
        <f>IFERROR(__xludf.DUMMYFUNCTION("""COMPUTED_VALUE"""),1.99E8)</f>
        <v>199000000</v>
      </c>
      <c r="H818" s="1"/>
      <c r="I818" s="1"/>
      <c r="J818" s="1"/>
      <c r="K818" s="1"/>
      <c r="L818" s="1"/>
      <c r="M818" s="1"/>
      <c r="N818" s="1"/>
      <c r="O818" s="1"/>
      <c r="P818" s="1"/>
      <c r="Q818" s="1"/>
      <c r="R818" s="1"/>
      <c r="S818" s="1"/>
      <c r="T818" s="1"/>
      <c r="U818" s="1"/>
      <c r="V818" s="1"/>
      <c r="W818" s="1"/>
      <c r="X818" s="1"/>
      <c r="Y818" s="1"/>
      <c r="Z818" s="1"/>
    </row>
    <row r="819">
      <c r="A819" s="1" t="str">
        <f>IFERROR(__xludf.DUMMYFUNCTION("""COMPUTED_VALUE"""),"Chaos Bow")</f>
        <v>Chaos Bow</v>
      </c>
      <c r="B819" s="1"/>
      <c r="C819" s="1" t="str">
        <f>IFERROR(__xludf.DUMMYFUNCTION("""COMPUTED_VALUE"""),"Bow")</f>
        <v>Bow</v>
      </c>
      <c r="D819" s="1" t="str">
        <f>IFERROR(__xludf.DUMMYFUNCTION("""COMPUTED_VALUE"""),"Hand")</f>
        <v>Hand</v>
      </c>
      <c r="E819" s="1">
        <f>IFERROR(__xludf.DUMMYFUNCTION("""COMPUTED_VALUE"""),2600.0)</f>
        <v>2600</v>
      </c>
      <c r="F819" s="1" t="str">
        <f>IFERROR(__xludf.DUMMYFUNCTION("""COMPUTED_VALUE"""),"DMG: +50000, Chaos DMG: +80000 ++This bow targets a random enemy.")</f>
        <v>DMG: +50000, Chaos DMG: +80000 ++This bow targets a random enemy.</v>
      </c>
      <c r="G819" s="1">
        <f>IFERROR(__xludf.DUMMYFUNCTION("""COMPUTED_VALUE"""),3.367E8)</f>
        <v>336700000</v>
      </c>
      <c r="H819" s="1"/>
      <c r="I819" s="1"/>
      <c r="J819" s="1"/>
      <c r="K819" s="1"/>
      <c r="L819" s="1"/>
      <c r="M819" s="1"/>
      <c r="N819" s="1"/>
      <c r="O819" s="1"/>
      <c r="P819" s="1"/>
      <c r="Q819" s="1"/>
      <c r="R819" s="1"/>
      <c r="S819" s="1"/>
      <c r="T819" s="1"/>
      <c r="U819" s="1"/>
      <c r="V819" s="1"/>
      <c r="W819" s="1"/>
      <c r="X819" s="1"/>
      <c r="Y819" s="1"/>
      <c r="Z819" s="1"/>
    </row>
    <row r="820">
      <c r="A820" s="1" t="str">
        <f>IFERROR(__xludf.DUMMYFUNCTION("""COMPUTED_VALUE"""),"Crit Shot Bow")</f>
        <v>Crit Shot Bow</v>
      </c>
      <c r="B820" s="1"/>
      <c r="C820" s="1" t="str">
        <f>IFERROR(__xludf.DUMMYFUNCTION("""COMPUTED_VALUE"""),"Bow")</f>
        <v>Bow</v>
      </c>
      <c r="D820" s="1" t="str">
        <f>IFERROR(__xludf.DUMMYFUNCTION("""COMPUTED_VALUE"""),"Hand")</f>
        <v>Hand</v>
      </c>
      <c r="E820" s="1">
        <f>IFERROR(__xludf.DUMMYFUNCTION("""COMPUTED_VALUE"""),4000.0)</f>
        <v>4000</v>
      </c>
      <c r="F820" s="1" t="str">
        <f>IFERROR(__xludf.DUMMYFUNCTION("""COMPUTED_VALUE"""),"DMG: +200000 ++Deals 3x damage +-Accuracy halved")</f>
        <v>DMG: +200000 ++Deals 3x damage +-Accuracy halved</v>
      </c>
      <c r="G820" s="1">
        <f>IFERROR(__xludf.DUMMYFUNCTION("""COMPUTED_VALUE"""),7.98E8)</f>
        <v>798000000</v>
      </c>
      <c r="H820" s="1"/>
      <c r="I820" s="1"/>
      <c r="J820" s="1"/>
      <c r="K820" s="1"/>
      <c r="L820" s="1"/>
      <c r="M820" s="1"/>
      <c r="N820" s="1"/>
      <c r="O820" s="1"/>
      <c r="P820" s="1"/>
      <c r="Q820" s="1"/>
      <c r="R820" s="1"/>
      <c r="S820" s="1"/>
      <c r="T820" s="1"/>
      <c r="U820" s="1"/>
      <c r="V820" s="1"/>
      <c r="W820" s="1"/>
      <c r="X820" s="1"/>
      <c r="Y820" s="1"/>
      <c r="Z820" s="1"/>
    </row>
    <row r="821">
      <c r="A821" s="1" t="str">
        <f>IFERROR(__xludf.DUMMYFUNCTION("""COMPUTED_VALUE"""),"Incinerating Bow")</f>
        <v>Incinerating Bow</v>
      </c>
      <c r="B821" s="1"/>
      <c r="C821" s="1" t="str">
        <f>IFERROR(__xludf.DUMMYFUNCTION("""COMPUTED_VALUE"""),"Bow")</f>
        <v>Bow</v>
      </c>
      <c r="D821" s="1" t="str">
        <f>IFERROR(__xludf.DUMMYFUNCTION("""COMPUTED_VALUE"""),"Hand")</f>
        <v>Hand</v>
      </c>
      <c r="E821" s="1">
        <f>IFERROR(__xludf.DUMMYFUNCTION("""COMPUTED_VALUE"""),3800.0)</f>
        <v>3800</v>
      </c>
      <c r="F821" s="1" t="str">
        <f>IFERROR(__xludf.DUMMYFUNCTION("""COMPUTED_VALUE"""),"DMG: +90000, Fire DMG: +100000 ++Gain 1 Fire Arrow when any other arrow type is used. ++When using Fire Arrows deal 2x damage with this weapon. +-Cannot be forged or duplicated")</f>
        <v>DMG: +90000, Fire DMG: +100000 ++Gain 1 Fire Arrow when any other arrow type is used. ++When using Fire Arrows deal 2x damage with this weapon. +-Cannot be forged or duplicated</v>
      </c>
      <c r="G821" s="1">
        <f>IFERROR(__xludf.DUMMYFUNCTION("""COMPUTED_VALUE"""),7.201E8)</f>
        <v>720100000</v>
      </c>
      <c r="H821" s="1"/>
      <c r="I821" s="1"/>
      <c r="J821" s="1"/>
      <c r="K821" s="1"/>
      <c r="L821" s="1"/>
      <c r="M821" s="1"/>
      <c r="N821" s="1"/>
      <c r="O821" s="1"/>
      <c r="P821" s="1"/>
      <c r="Q821" s="1"/>
      <c r="R821" s="1"/>
      <c r="S821" s="1"/>
      <c r="T821" s="1"/>
      <c r="U821" s="1"/>
      <c r="V821" s="1"/>
      <c r="W821" s="1"/>
      <c r="X821" s="1"/>
      <c r="Y821" s="1"/>
      <c r="Z821" s="1"/>
    </row>
    <row r="822">
      <c r="A822" s="1" t="str">
        <f>IFERROR(__xludf.DUMMYFUNCTION("""COMPUTED_VALUE"""),"Bone Bow")</f>
        <v>Bone Bow</v>
      </c>
      <c r="B822" s="1"/>
      <c r="C822" s="1" t="str">
        <f>IFERROR(__xludf.DUMMYFUNCTION("""COMPUTED_VALUE"""),"Bow")</f>
        <v>Bow</v>
      </c>
      <c r="D822" s="1" t="str">
        <f>IFERROR(__xludf.DUMMYFUNCTION("""COMPUTED_VALUE"""),"Hand")</f>
        <v>Hand</v>
      </c>
      <c r="E822" s="1">
        <f>IFERROR(__xludf.DUMMYFUNCTION("""COMPUTED_VALUE"""),3400.0)</f>
        <v>3400</v>
      </c>
      <c r="F822" s="1" t="str">
        <f>IFERROR(__xludf.DUMMYFUNCTION("""COMPUTED_VALUE"""),"DMG: +10000, Blood DMG: +160000 ++ 2x damage when user isundead")</f>
        <v>DMG: +10000, Blood DMG: +160000 ++ 2x damage when user isundead</v>
      </c>
      <c r="G822" s="1">
        <f>IFERROR(__xludf.DUMMYFUNCTION("""COMPUTED_VALUE"""),5.763E8)</f>
        <v>576300000</v>
      </c>
      <c r="H822" s="1"/>
      <c r="I822" s="1"/>
      <c r="J822" s="1"/>
      <c r="K822" s="1"/>
      <c r="L822" s="1"/>
      <c r="M822" s="1"/>
      <c r="N822" s="1"/>
      <c r="O822" s="1"/>
      <c r="P822" s="1"/>
      <c r="Q822" s="1"/>
      <c r="R822" s="1"/>
      <c r="S822" s="1"/>
      <c r="T822" s="1"/>
      <c r="U822" s="1"/>
      <c r="V822" s="1"/>
      <c r="W822" s="1"/>
      <c r="X822" s="1"/>
      <c r="Y822" s="1"/>
      <c r="Z822" s="1"/>
    </row>
    <row r="823">
      <c r="A823" s="1" t="str">
        <f>IFERROR(__xludf.DUMMYFUNCTION("""COMPUTED_VALUE"""),"Assassin's Fake Harp")</f>
        <v>Assassin's Fake Harp</v>
      </c>
      <c r="B823" s="1"/>
      <c r="C823" s="1" t="str">
        <f>IFERROR(__xludf.DUMMYFUNCTION("""COMPUTED_VALUE"""),"Bow")</f>
        <v>Bow</v>
      </c>
      <c r="D823" s="1" t="str">
        <f>IFERROR(__xludf.DUMMYFUNCTION("""COMPUTED_VALUE"""),"Hand")</f>
        <v>Hand</v>
      </c>
      <c r="E823" s="1">
        <f>IFERROR(__xludf.DUMMYFUNCTION("""COMPUTED_VALUE"""),3000.0)</f>
        <v>3000</v>
      </c>
      <c r="F823" s="1" t="str">
        <f>IFERROR(__xludf.DUMMYFUNCTION("""COMPUTED_VALUE"""),"DMG: +50000, Acoustic DMG: +100000 ++Deals X2 additional damage for the first round of battle.")</f>
        <v>DMG: +50000, Acoustic DMG: +100000 ++Deals X2 additional damage for the first round of battle.</v>
      </c>
      <c r="G823" s="1">
        <f>IFERROR(__xludf.DUMMYFUNCTION("""COMPUTED_VALUE"""),4.485E8)</f>
        <v>448500000</v>
      </c>
      <c r="H823" s="1"/>
      <c r="I823" s="1"/>
      <c r="J823" s="1"/>
      <c r="K823" s="1"/>
      <c r="L823" s="1"/>
      <c r="M823" s="1"/>
      <c r="N823" s="1"/>
      <c r="O823" s="1"/>
      <c r="P823" s="1"/>
      <c r="Q823" s="1"/>
      <c r="R823" s="1"/>
      <c r="S823" s="1"/>
      <c r="T823" s="1"/>
      <c r="U823" s="1"/>
      <c r="V823" s="1"/>
      <c r="W823" s="1"/>
      <c r="X823" s="1"/>
      <c r="Y823" s="1"/>
      <c r="Z823" s="1"/>
    </row>
    <row r="824">
      <c r="A824" s="1" t="str">
        <f>IFERROR(__xludf.DUMMYFUNCTION("""COMPUTED_VALUE"""),"Broken Bow")</f>
        <v>Broken Bow</v>
      </c>
      <c r="B824" s="1"/>
      <c r="C824" s="1" t="str">
        <f>IFERROR(__xludf.DUMMYFUNCTION("""COMPUTED_VALUE"""),"Club")</f>
        <v>Club</v>
      </c>
      <c r="D824" s="1" t="str">
        <f>IFERROR(__xludf.DUMMYFUNCTION("""COMPUTED_VALUE"""),"Hand")</f>
        <v>Hand</v>
      </c>
      <c r="E824" s="1">
        <f>IFERROR(__xludf.DUMMYFUNCTION("""COMPUTED_VALUE"""),20.0)</f>
        <v>20</v>
      </c>
      <c r="F824" s="1" t="str">
        <f>IFERROR(__xludf.DUMMYFUNCTION("""COMPUTED_VALUE"""),"DMG: +1000")</f>
        <v>DMG: +1000</v>
      </c>
      <c r="G824" s="1">
        <f>IFERROR(__xludf.DUMMYFUNCTION("""COMPUTED_VALUE"""),10000.0)</f>
        <v>10000</v>
      </c>
      <c r="H824" s="1"/>
      <c r="I824" s="1"/>
      <c r="J824" s="1"/>
      <c r="K824" s="1"/>
      <c r="L824" s="1"/>
      <c r="M824" s="1"/>
      <c r="N824" s="1"/>
      <c r="O824" s="1"/>
      <c r="P824" s="1"/>
      <c r="Q824" s="1"/>
      <c r="R824" s="1"/>
      <c r="S824" s="1"/>
      <c r="T824" s="1"/>
      <c r="U824" s="1"/>
      <c r="V824" s="1"/>
      <c r="W824" s="1"/>
      <c r="X824" s="1"/>
      <c r="Y824" s="1"/>
      <c r="Z824" s="1"/>
    </row>
    <row r="825">
      <c r="A825" s="1" t="str">
        <f>IFERROR(__xludf.DUMMYFUNCTION("""COMPUTED_VALUE"""),"Lizard Wizard Hat")</f>
        <v>Lizard Wizard Hat</v>
      </c>
      <c r="B825" s="1"/>
      <c r="C825" s="1" t="str">
        <f>IFERROR(__xludf.DUMMYFUNCTION("""COMPUTED_VALUE"""),"Item")</f>
        <v>Item</v>
      </c>
      <c r="D825" s="1" t="str">
        <f>IFERROR(__xludf.DUMMYFUNCTION("""COMPUTED_VALUE"""),"Head")</f>
        <v>Head</v>
      </c>
      <c r="E825" s="1">
        <f>IFERROR(__xludf.DUMMYFUNCTION("""COMPUTED_VALUE"""),200.0)</f>
        <v>200</v>
      </c>
      <c r="F825" s="1" t="str">
        <f>IFERROR(__xludf.DUMMYFUNCTION("""COMPUTED_VALUE"""),"DEF: +10000 ++7500 hp and sp, X2 poison damage")</f>
        <v>DEF: +10000 ++7500 hp and sp, X2 poison damage</v>
      </c>
      <c r="G825" s="1">
        <f>IFERROR(__xludf.DUMMYFUNCTION("""COMPUTED_VALUE"""),1900000.0)</f>
        <v>1900000</v>
      </c>
      <c r="H825" s="1"/>
      <c r="I825" s="1"/>
      <c r="J825" s="1"/>
      <c r="K825" s="1"/>
      <c r="L825" s="1"/>
      <c r="M825" s="1"/>
      <c r="N825" s="1"/>
      <c r="O825" s="1"/>
      <c r="P825" s="1"/>
      <c r="Q825" s="1"/>
      <c r="R825" s="1"/>
      <c r="S825" s="1"/>
      <c r="T825" s="1"/>
      <c r="U825" s="1"/>
      <c r="V825" s="1"/>
      <c r="W825" s="1"/>
      <c r="X825" s="1"/>
      <c r="Y825" s="1"/>
      <c r="Z825" s="1"/>
    </row>
    <row r="826">
      <c r="A826" s="1" t="str">
        <f>IFERROR(__xludf.DUMMYFUNCTION("""COMPUTED_VALUE"""),"Lizard Wizard Robes")</f>
        <v>Lizard Wizard Robes</v>
      </c>
      <c r="B826" s="1"/>
      <c r="C826" s="1" t="str">
        <f>IFERROR(__xludf.DUMMYFUNCTION("""COMPUTED_VALUE"""),"Item")</f>
        <v>Item</v>
      </c>
      <c r="D826" s="1" t="str">
        <f>IFERROR(__xludf.DUMMYFUNCTION("""COMPUTED_VALUE"""),"Torso")</f>
        <v>Torso</v>
      </c>
      <c r="E826" s="1">
        <f>IFERROR(__xludf.DUMMYFUNCTION("""COMPUTED_VALUE"""),200.0)</f>
        <v>200</v>
      </c>
      <c r="F826" s="1" t="str">
        <f>IFERROR(__xludf.DUMMYFUNCTION("""COMPUTED_VALUE"""),"DEF: +10000 ++7500 hp and sp, X2 poison damage")</f>
        <v>DEF: +10000 ++7500 hp and sp, X2 poison damage</v>
      </c>
      <c r="G826" s="1">
        <f>IFERROR(__xludf.DUMMYFUNCTION("""COMPUTED_VALUE"""),1900000.0)</f>
        <v>1900000</v>
      </c>
      <c r="H826" s="1"/>
      <c r="I826" s="1"/>
      <c r="J826" s="1"/>
      <c r="K826" s="1"/>
      <c r="L826" s="1"/>
      <c r="M826" s="1"/>
      <c r="N826" s="1"/>
      <c r="O826" s="1"/>
      <c r="P826" s="1"/>
      <c r="Q826" s="1"/>
      <c r="R826" s="1"/>
      <c r="S826" s="1"/>
      <c r="T826" s="1"/>
      <c r="U826" s="1"/>
      <c r="V826" s="1"/>
      <c r="W826" s="1"/>
      <c r="X826" s="1"/>
      <c r="Y826" s="1"/>
      <c r="Z826" s="1"/>
    </row>
    <row r="827">
      <c r="A827" s="1" t="str">
        <f>IFERROR(__xludf.DUMMYFUNCTION("""COMPUTED_VALUE"""),"Lizard Wizard Leggings")</f>
        <v>Lizard Wizard Leggings</v>
      </c>
      <c r="B827" s="1"/>
      <c r="C827" s="1" t="str">
        <f>IFERROR(__xludf.DUMMYFUNCTION("""COMPUTED_VALUE"""),"Item")</f>
        <v>Item</v>
      </c>
      <c r="D827" s="1" t="str">
        <f>IFERROR(__xludf.DUMMYFUNCTION("""COMPUTED_VALUE"""),"Legs")</f>
        <v>Legs</v>
      </c>
      <c r="E827" s="1">
        <f>IFERROR(__xludf.DUMMYFUNCTION("""COMPUTED_VALUE"""),200.0)</f>
        <v>200</v>
      </c>
      <c r="F827" s="1" t="str">
        <f>IFERROR(__xludf.DUMMYFUNCTION("""COMPUTED_VALUE"""),"DEF: +10000 ++7500 hp and sp, X2 poison damage")</f>
        <v>DEF: +10000 ++7500 hp and sp, X2 poison damage</v>
      </c>
      <c r="G827" s="1">
        <f>IFERROR(__xludf.DUMMYFUNCTION("""COMPUTED_VALUE"""),1900000.0)</f>
        <v>1900000</v>
      </c>
      <c r="H827" s="1"/>
      <c r="I827" s="1"/>
      <c r="J827" s="1"/>
      <c r="K827" s="1"/>
      <c r="L827" s="1"/>
      <c r="M827" s="1"/>
      <c r="N827" s="1"/>
      <c r="O827" s="1"/>
      <c r="P827" s="1"/>
      <c r="Q827" s="1"/>
      <c r="R827" s="1"/>
      <c r="S827" s="1"/>
      <c r="T827" s="1"/>
      <c r="U827" s="1"/>
      <c r="V827" s="1"/>
      <c r="W827" s="1"/>
      <c r="X827" s="1"/>
      <c r="Y827" s="1"/>
      <c r="Z827" s="1"/>
    </row>
    <row r="828">
      <c r="A828" s="1" t="str">
        <f>IFERROR(__xludf.DUMMYFUNCTION("""COMPUTED_VALUE"""),"Lizard Wizard Pointed Shoes")</f>
        <v>Lizard Wizard Pointed Shoes</v>
      </c>
      <c r="B828" s="1"/>
      <c r="C828" s="1" t="str">
        <f>IFERROR(__xludf.DUMMYFUNCTION("""COMPUTED_VALUE"""),"Item")</f>
        <v>Item</v>
      </c>
      <c r="D828" s="1" t="str">
        <f>IFERROR(__xludf.DUMMYFUNCTION("""COMPUTED_VALUE"""),"Feet")</f>
        <v>Feet</v>
      </c>
      <c r="E828" s="1">
        <f>IFERROR(__xludf.DUMMYFUNCTION("""COMPUTED_VALUE"""),200.0)</f>
        <v>200</v>
      </c>
      <c r="F828" s="1" t="str">
        <f>IFERROR(__xludf.DUMMYFUNCTION("""COMPUTED_VALUE"""),"DEF: +10000 ++7500 hp and sp, X2 poison damage")</f>
        <v>DEF: +10000 ++7500 hp and sp, X2 poison damage</v>
      </c>
      <c r="G828" s="1">
        <f>IFERROR(__xludf.DUMMYFUNCTION("""COMPUTED_VALUE"""),1900000.0)</f>
        <v>1900000</v>
      </c>
      <c r="H828" s="1"/>
      <c r="I828" s="1"/>
      <c r="J828" s="1"/>
      <c r="K828" s="1"/>
      <c r="L828" s="1"/>
      <c r="M828" s="1"/>
      <c r="N828" s="1"/>
      <c r="O828" s="1"/>
      <c r="P828" s="1"/>
      <c r="Q828" s="1"/>
      <c r="R828" s="1"/>
      <c r="S828" s="1"/>
      <c r="T828" s="1"/>
      <c r="U828" s="1"/>
      <c r="V828" s="1"/>
      <c r="W828" s="1"/>
      <c r="X828" s="1"/>
      <c r="Y828" s="1"/>
      <c r="Z828" s="1"/>
    </row>
    <row r="829">
      <c r="A829" s="1" t="str">
        <f>IFERROR(__xludf.DUMMYFUNCTION("""COMPUTED_VALUE"""),"Lizard Wizard Staff of Corroding Blizzard")</f>
        <v>Lizard Wizard Staff of Corroding Blizzard</v>
      </c>
      <c r="B829" s="1"/>
      <c r="C829" s="1" t="str">
        <f>IFERROR(__xludf.DUMMYFUNCTION("""COMPUTED_VALUE"""),"Staff")</f>
        <v>Staff</v>
      </c>
      <c r="D829" s="1" t="str">
        <f>IFERROR(__xludf.DUMMYFUNCTION("""COMPUTED_VALUE"""),"Hand")</f>
        <v>Hand</v>
      </c>
      <c r="E829" s="1">
        <f>IFERROR(__xludf.DUMMYFUNCTION("""COMPUTED_VALUE"""),3000.0)</f>
        <v>3000</v>
      </c>
      <c r="F829" s="1" t="str">
        <f>IFERROR(__xludf.DUMMYFUNCTION("""COMPUTED_VALUE"""),", Light DMG: +50000, Nature DMG: +100000 ++Lizard Wizard's Corrosion Explosion!: Inflicts 5000XWisdom Poison on all enemies sp cost: 1000XWisdom sp. ++Lizard Wizard's Shiny: X5 to all Poison and Nature Damage ")</f>
        <v>, Light DMG: +50000, Nature DMG: +100000 ++Lizard Wizard's Corrosion Explosion!: Inflicts 5000XWisdom Poison on all enemies sp cost: 1000XWisdom sp. ++Lizard Wizard's Shiny: X5 to all Poison and Nature Damage </v>
      </c>
      <c r="G829" s="1">
        <f>IFERROR(__xludf.DUMMYFUNCTION("""COMPUTED_VALUE"""),4.485E8)</f>
        <v>448500000</v>
      </c>
      <c r="H829" s="1"/>
      <c r="I829" s="1"/>
      <c r="J829" s="1"/>
      <c r="K829" s="1"/>
      <c r="L829" s="1"/>
      <c r="M829" s="1"/>
      <c r="N829" s="1"/>
      <c r="O829" s="1"/>
      <c r="P829" s="1"/>
      <c r="Q829" s="1"/>
      <c r="R829" s="1"/>
      <c r="S829" s="1"/>
      <c r="T829" s="1"/>
      <c r="U829" s="1"/>
      <c r="V829" s="1"/>
      <c r="W829" s="1"/>
      <c r="X829" s="1"/>
      <c r="Y829" s="1"/>
      <c r="Z829" s="1"/>
    </row>
    <row r="830">
      <c r="A830" s="1" t="str">
        <f>IFERROR(__xludf.DUMMYFUNCTION("""COMPUTED_VALUE"""),"Lizard Wizard's Prized Ring")</f>
        <v>Lizard Wizard's Prized Ring</v>
      </c>
      <c r="B830" s="1" t="str">
        <f>IFERROR(__xludf.DUMMYFUNCTION("""COMPUTED_VALUE"""),"""The Most Prized shiny of all lizard wizard kind!"" ~Lizard Wizzard Gizzard")</f>
        <v>"The Most Prized shiny of all lizard wizard kind!" ~Lizard Wizzard Gizzard</v>
      </c>
      <c r="C830" s="1" t="str">
        <f>IFERROR(__xludf.DUMMYFUNCTION("""COMPUTED_VALUE"""),"Item")</f>
        <v>Item</v>
      </c>
      <c r="D830" s="1" t="str">
        <f>IFERROR(__xludf.DUMMYFUNCTION("""COMPUTED_VALUE"""),"Finger")</f>
        <v>Finger</v>
      </c>
      <c r="E830" s="1">
        <f>IFERROR(__xludf.DUMMYFUNCTION("""COMPUTED_VALUE"""),2000.0)</f>
        <v>2000</v>
      </c>
      <c r="F830" s="1" t="str">
        <f>IFERROR(__xludf.DUMMYFUNCTION("""COMPUTED_VALUE"""),"DEF: +100000 ++X5 Poison and Nature damage, +5 Wisdom for every enemy poisoned.")</f>
        <v>DEF: +100000 ++X5 Poison and Nature damage, +5 Wisdom for every enemy poisoned.</v>
      </c>
      <c r="G830" s="1">
        <f>IFERROR(__xludf.DUMMYFUNCTION("""COMPUTED_VALUE"""),1.99E8)</f>
        <v>199000000</v>
      </c>
      <c r="H830" s="1"/>
      <c r="I830" s="1"/>
      <c r="J830" s="1"/>
      <c r="K830" s="1"/>
      <c r="L830" s="1"/>
      <c r="M830" s="1"/>
      <c r="N830" s="1"/>
      <c r="O830" s="1"/>
      <c r="P830" s="1"/>
      <c r="Q830" s="1"/>
      <c r="R830" s="1"/>
      <c r="S830" s="1"/>
      <c r="T830" s="1"/>
      <c r="U830" s="1"/>
      <c r="V830" s="1"/>
      <c r="W830" s="1"/>
      <c r="X830" s="1"/>
      <c r="Y830" s="1"/>
      <c r="Z830" s="1"/>
    </row>
    <row r="831">
      <c r="A831" s="1" t="str">
        <f>IFERROR(__xludf.DUMMYFUNCTION("""COMPUTED_VALUE"""),"Lizard Thief's Bandana")</f>
        <v>Lizard Thief's Bandana</v>
      </c>
      <c r="B831" s="1"/>
      <c r="C831" s="1" t="str">
        <f>IFERROR(__xludf.DUMMYFUNCTION("""COMPUTED_VALUE"""),"Item")</f>
        <v>Item</v>
      </c>
      <c r="D831" s="1" t="str">
        <f>IFERROR(__xludf.DUMMYFUNCTION("""COMPUTED_VALUE"""),"Head")</f>
        <v>Head</v>
      </c>
      <c r="E831" s="1">
        <f>IFERROR(__xludf.DUMMYFUNCTION("""COMPUTED_VALUE"""),2000.0)</f>
        <v>2000</v>
      </c>
      <c r="F831" s="1" t="str">
        <f>IFERROR(__xludf.DUMMYFUNCTION("""COMPUTED_VALUE"""),"DEF: +100000 ++15000 ATK and ACC  ++X4 Knife Damage")</f>
        <v>DEF: +100000 ++15000 ATK and ACC  ++X4 Knife Damage</v>
      </c>
      <c r="G831" s="1">
        <f>IFERROR(__xludf.DUMMYFUNCTION("""COMPUTED_VALUE"""),1.99E8)</f>
        <v>199000000</v>
      </c>
      <c r="H831" s="1"/>
      <c r="I831" s="1"/>
      <c r="J831" s="1"/>
      <c r="K831" s="1"/>
      <c r="L831" s="1"/>
      <c r="M831" s="1"/>
      <c r="N831" s="1"/>
      <c r="O831" s="1"/>
      <c r="P831" s="1"/>
      <c r="Q831" s="1"/>
      <c r="R831" s="1"/>
      <c r="S831" s="1"/>
      <c r="T831" s="1"/>
      <c r="U831" s="1"/>
      <c r="V831" s="1"/>
      <c r="W831" s="1"/>
      <c r="X831" s="1"/>
      <c r="Y831" s="1"/>
      <c r="Z831" s="1"/>
    </row>
    <row r="832">
      <c r="A832" s="1" t="str">
        <f>IFERROR(__xludf.DUMMYFUNCTION("""COMPUTED_VALUE"""),"Lizard Thief's Leathers")</f>
        <v>Lizard Thief's Leathers</v>
      </c>
      <c r="B832" s="1"/>
      <c r="C832" s="1" t="str">
        <f>IFERROR(__xludf.DUMMYFUNCTION("""COMPUTED_VALUE"""),"Item")</f>
        <v>Item</v>
      </c>
      <c r="D832" s="1" t="str">
        <f>IFERROR(__xludf.DUMMYFUNCTION("""COMPUTED_VALUE"""),"Torso")</f>
        <v>Torso</v>
      </c>
      <c r="E832" s="1">
        <f>IFERROR(__xludf.DUMMYFUNCTION("""COMPUTED_VALUE"""),2000.0)</f>
        <v>2000</v>
      </c>
      <c r="F832" s="1" t="str">
        <f>IFERROR(__xludf.DUMMYFUNCTION("""COMPUTED_VALUE"""),"DEF: +100000 ++15000 ATK and ACC ++X4 Knife Damage")</f>
        <v>DEF: +100000 ++15000 ATK and ACC ++X4 Knife Damage</v>
      </c>
      <c r="G832" s="1">
        <f>IFERROR(__xludf.DUMMYFUNCTION("""COMPUTED_VALUE"""),1.99E8)</f>
        <v>199000000</v>
      </c>
      <c r="H832" s="1"/>
      <c r="I832" s="1"/>
      <c r="J832" s="1"/>
      <c r="K832" s="1"/>
      <c r="L832" s="1"/>
      <c r="M832" s="1"/>
      <c r="N832" s="1"/>
      <c r="O832" s="1"/>
      <c r="P832" s="1"/>
      <c r="Q832" s="1"/>
      <c r="R832" s="1"/>
      <c r="S832" s="1"/>
      <c r="T832" s="1"/>
      <c r="U832" s="1"/>
      <c r="V832" s="1"/>
      <c r="W832" s="1"/>
      <c r="X832" s="1"/>
      <c r="Y832" s="1"/>
      <c r="Z832" s="1"/>
    </row>
    <row r="833">
      <c r="A833" s="1" t="str">
        <f>IFERROR(__xludf.DUMMYFUNCTION("""COMPUTED_VALUE"""),"Lizard Thief's Pants")</f>
        <v>Lizard Thief's Pants</v>
      </c>
      <c r="B833" s="1"/>
      <c r="C833" s="1" t="str">
        <f>IFERROR(__xludf.DUMMYFUNCTION("""COMPUTED_VALUE"""),"Item")</f>
        <v>Item</v>
      </c>
      <c r="D833" s="1" t="str">
        <f>IFERROR(__xludf.DUMMYFUNCTION("""COMPUTED_VALUE"""),"Legs")</f>
        <v>Legs</v>
      </c>
      <c r="E833" s="1">
        <f>IFERROR(__xludf.DUMMYFUNCTION("""COMPUTED_VALUE"""),2000.0)</f>
        <v>2000</v>
      </c>
      <c r="F833" s="1" t="str">
        <f>IFERROR(__xludf.DUMMYFUNCTION("""COMPUTED_VALUE"""),"DEF: +100000 ++15000 ATK and ACC ++X4 Knife Damage")</f>
        <v>DEF: +100000 ++15000 ATK and ACC ++X4 Knife Damage</v>
      </c>
      <c r="G833" s="1">
        <f>IFERROR(__xludf.DUMMYFUNCTION("""COMPUTED_VALUE"""),1.99E8)</f>
        <v>199000000</v>
      </c>
      <c r="H833" s="1"/>
      <c r="I833" s="1"/>
      <c r="J833" s="1"/>
      <c r="K833" s="1"/>
      <c r="L833" s="1"/>
      <c r="M833" s="1"/>
      <c r="N833" s="1"/>
      <c r="O833" s="1"/>
      <c r="P833" s="1"/>
      <c r="Q833" s="1"/>
      <c r="R833" s="1"/>
      <c r="S833" s="1"/>
      <c r="T833" s="1"/>
      <c r="U833" s="1"/>
      <c r="V833" s="1"/>
      <c r="W833" s="1"/>
      <c r="X833" s="1"/>
      <c r="Y833" s="1"/>
      <c r="Z833" s="1"/>
    </row>
    <row r="834">
      <c r="A834" s="1" t="str">
        <f>IFERROR(__xludf.DUMMYFUNCTION("""COMPUTED_VALUE"""),"Lizard Thief's Boots")</f>
        <v>Lizard Thief's Boots</v>
      </c>
      <c r="B834" s="1"/>
      <c r="C834" s="1" t="str">
        <f>IFERROR(__xludf.DUMMYFUNCTION("""COMPUTED_VALUE"""),"Item")</f>
        <v>Item</v>
      </c>
      <c r="D834" s="1" t="str">
        <f>IFERROR(__xludf.DUMMYFUNCTION("""COMPUTED_VALUE"""),"Feet")</f>
        <v>Feet</v>
      </c>
      <c r="E834" s="1">
        <f>IFERROR(__xludf.DUMMYFUNCTION("""COMPUTED_VALUE"""),2000.0)</f>
        <v>2000</v>
      </c>
      <c r="F834" s="1" t="str">
        <f>IFERROR(__xludf.DUMMYFUNCTION("""COMPUTED_VALUE"""),"DEF: +100000 ++15000 ATK and ACC ++X4 Knife Damage")</f>
        <v>DEF: +100000 ++15000 ATK and ACC ++X4 Knife Damage</v>
      </c>
      <c r="G834" s="1">
        <f>IFERROR(__xludf.DUMMYFUNCTION("""COMPUTED_VALUE"""),1.99E8)</f>
        <v>199000000</v>
      </c>
      <c r="H834" s="1"/>
      <c r="I834" s="1"/>
      <c r="J834" s="1"/>
      <c r="K834" s="1"/>
      <c r="L834" s="1"/>
      <c r="M834" s="1"/>
      <c r="N834" s="1"/>
      <c r="O834" s="1"/>
      <c r="P834" s="1"/>
      <c r="Q834" s="1"/>
      <c r="R834" s="1"/>
      <c r="S834" s="1"/>
      <c r="T834" s="1"/>
      <c r="U834" s="1"/>
      <c r="V834" s="1"/>
      <c r="W834" s="1"/>
      <c r="X834" s="1"/>
      <c r="Y834" s="1"/>
      <c r="Z834" s="1"/>
    </row>
    <row r="835">
      <c r="A835" s="1" t="str">
        <f>IFERROR(__xludf.DUMMYFUNCTION("""COMPUTED_VALUE"""),"Lizard Thief's Shiny Swiper")</f>
        <v>Lizard Thief's Shiny Swiper</v>
      </c>
      <c r="B835" s="1"/>
      <c r="C835" s="1" t="str">
        <f>IFERROR(__xludf.DUMMYFUNCTION("""COMPUTED_VALUE"""),"Knife")</f>
        <v>Knife</v>
      </c>
      <c r="D835" s="1" t="str">
        <f>IFERROR(__xludf.DUMMYFUNCTION("""COMPUTED_VALUE"""),"Hand")</f>
        <v>Hand</v>
      </c>
      <c r="E835" s="1">
        <f>IFERROR(__xludf.DUMMYFUNCTION("""COMPUTED_VALUE"""),3000.0)</f>
        <v>3000</v>
      </c>
      <c r="F835" s="1" t="str">
        <f>IFERROR(__xludf.DUMMYFUNCTION("""COMPUTED_VALUE"""),"DMG: +150000 ++Shiny Snatchery - +5 to all rolls when stealing an item. ++If the wearer successfully steals an item from an enemy +5 mobility for the next 3 rounds. +-effects do not stack")</f>
        <v>DMG: +150000 ++Shiny Snatchery - +5 to all rolls when stealing an item. ++If the wearer successfully steals an item from an enemy +5 mobility for the next 3 rounds. +-effects do not stack</v>
      </c>
      <c r="G835" s="1">
        <f>IFERROR(__xludf.DUMMYFUNCTION("""COMPUTED_VALUE"""),4.485E8)</f>
        <v>448500000</v>
      </c>
      <c r="H835" s="1"/>
      <c r="I835" s="1"/>
      <c r="J835" s="1"/>
      <c r="K835" s="1"/>
      <c r="L835" s="1"/>
      <c r="M835" s="1"/>
      <c r="N835" s="1"/>
      <c r="O835" s="1"/>
      <c r="P835" s="1"/>
      <c r="Q835" s="1"/>
      <c r="R835" s="1"/>
      <c r="S835" s="1"/>
      <c r="T835" s="1"/>
      <c r="U835" s="1"/>
      <c r="V835" s="1"/>
      <c r="W835" s="1"/>
      <c r="X835" s="1"/>
      <c r="Y835" s="1"/>
      <c r="Z835" s="1"/>
    </row>
    <row r="836">
      <c r="A836" s="1" t="str">
        <f>IFERROR(__xludf.DUMMYFUNCTION("""COMPUTED_VALUE"""),"Wyrmstone Club")</f>
        <v>Wyrmstone Club</v>
      </c>
      <c r="B836" s="1"/>
      <c r="C836" s="1" t="str">
        <f>IFERROR(__xludf.DUMMYFUNCTION("""COMPUTED_VALUE"""),"Club")</f>
        <v>Club</v>
      </c>
      <c r="D836" s="1" t="str">
        <f>IFERROR(__xludf.DUMMYFUNCTION("""COMPUTED_VALUE"""),"Hand")</f>
        <v>Hand</v>
      </c>
      <c r="E836" s="1">
        <f>IFERROR(__xludf.DUMMYFUNCTION("""COMPUTED_VALUE"""),2000.0)</f>
        <v>2000</v>
      </c>
      <c r="F836" s="1" t="str">
        <f>IFERROR(__xludf.DUMMYFUNCTION("""COMPUTED_VALUE"""),"DMG: +100000 +- Half damage against dragons")</f>
        <v>DMG: +100000 +- Half damage against dragons</v>
      </c>
      <c r="G836" s="1">
        <f>IFERROR(__xludf.DUMMYFUNCTION("""COMPUTED_VALUE"""),1.99E8)</f>
        <v>199000000</v>
      </c>
      <c r="H836" s="1"/>
      <c r="I836" s="1"/>
      <c r="J836" s="1"/>
      <c r="K836" s="1"/>
      <c r="L836" s="1"/>
      <c r="M836" s="1"/>
      <c r="N836" s="1"/>
      <c r="O836" s="1"/>
      <c r="P836" s="1"/>
      <c r="Q836" s="1"/>
      <c r="R836" s="1"/>
      <c r="S836" s="1"/>
      <c r="T836" s="1"/>
      <c r="U836" s="1"/>
      <c r="V836" s="1"/>
      <c r="W836" s="1"/>
      <c r="X836" s="1"/>
      <c r="Y836" s="1"/>
      <c r="Z836" s="1"/>
    </row>
    <row r="837">
      <c r="A837" s="1" t="str">
        <f>IFERROR(__xludf.DUMMYFUNCTION("""COMPUTED_VALUE"""),"Wyrmstone Mail")</f>
        <v>Wyrmstone Mail</v>
      </c>
      <c r="B837" s="1"/>
      <c r="C837" s="1" t="str">
        <f>IFERROR(__xludf.DUMMYFUNCTION("""COMPUTED_VALUE"""),"Item")</f>
        <v>Item</v>
      </c>
      <c r="D837" s="1" t="str">
        <f>IFERROR(__xludf.DUMMYFUNCTION("""COMPUTED_VALUE"""),"Torso")</f>
        <v>Torso</v>
      </c>
      <c r="E837" s="1">
        <f>IFERROR(__xludf.DUMMYFUNCTION("""COMPUTED_VALUE"""),2800.0)</f>
        <v>2800</v>
      </c>
      <c r="F837" s="1" t="str">
        <f>IFERROR(__xludf.DUMMYFUNCTION("""COMPUTED_VALUE"""),"DEF: +140000 ++Half damage received from dragons +-Cannot be forged or duplicated")</f>
        <v>DEF: +140000 ++Half damage received from dragons +-Cannot be forged or duplicated</v>
      </c>
      <c r="G837" s="1">
        <f>IFERROR(__xludf.DUMMYFUNCTION("""COMPUTED_VALUE"""),3.906E8)</f>
        <v>390600000</v>
      </c>
      <c r="H837" s="1"/>
      <c r="I837" s="1"/>
      <c r="J837" s="1"/>
      <c r="K837" s="1"/>
      <c r="L837" s="1"/>
      <c r="M837" s="1"/>
      <c r="N837" s="1"/>
      <c r="O837" s="1"/>
      <c r="P837" s="1"/>
      <c r="Q837" s="1"/>
      <c r="R837" s="1"/>
      <c r="S837" s="1"/>
      <c r="T837" s="1"/>
      <c r="U837" s="1"/>
      <c r="V837" s="1"/>
      <c r="W837" s="1"/>
      <c r="X837" s="1"/>
      <c r="Y837" s="1"/>
      <c r="Z837" s="1"/>
    </row>
    <row r="838">
      <c r="A838" s="1" t="str">
        <f>IFERROR(__xludf.DUMMYFUNCTION("""COMPUTED_VALUE"""),"Wyrmstone Helm")</f>
        <v>Wyrmstone Helm</v>
      </c>
      <c r="B838" s="1"/>
      <c r="C838" s="1" t="str">
        <f>IFERROR(__xludf.DUMMYFUNCTION("""COMPUTED_VALUE"""),"Item")</f>
        <v>Item</v>
      </c>
      <c r="D838" s="1" t="str">
        <f>IFERROR(__xludf.DUMMYFUNCTION("""COMPUTED_VALUE"""),"Head")</f>
        <v>Head</v>
      </c>
      <c r="E838" s="1">
        <f>IFERROR(__xludf.DUMMYFUNCTION("""COMPUTED_VALUE"""),2400.0)</f>
        <v>2400</v>
      </c>
      <c r="F838" s="1" t="str">
        <f>IFERROR(__xludf.DUMMYFUNCTION("""COMPUTED_VALUE"""),"DEF: +120000 +-Cannot be forged or duplicated")</f>
        <v>DEF: +120000 +-Cannot be forged or duplicated</v>
      </c>
      <c r="G838" s="1">
        <f>IFERROR(__xludf.DUMMYFUNCTION("""COMPUTED_VALUE"""),2.868E8)</f>
        <v>286800000</v>
      </c>
      <c r="H838" s="1"/>
      <c r="I838" s="1"/>
      <c r="J838" s="1"/>
      <c r="K838" s="1"/>
      <c r="L838" s="1"/>
      <c r="M838" s="1"/>
      <c r="N838" s="1"/>
      <c r="O838" s="1"/>
      <c r="P838" s="1"/>
      <c r="Q838" s="1"/>
      <c r="R838" s="1"/>
      <c r="S838" s="1"/>
      <c r="T838" s="1"/>
      <c r="U838" s="1"/>
      <c r="V838" s="1"/>
      <c r="W838" s="1"/>
      <c r="X838" s="1"/>
      <c r="Y838" s="1"/>
      <c r="Z838" s="1"/>
    </row>
    <row r="839">
      <c r="A839" s="1" t="str">
        <f>IFERROR(__xludf.DUMMYFUNCTION("""COMPUTED_VALUE"""),"Wyrmstone Buckler")</f>
        <v>Wyrmstone Buckler</v>
      </c>
      <c r="B839" s="1"/>
      <c r="C839" s="1" t="str">
        <f>IFERROR(__xludf.DUMMYFUNCTION("""COMPUTED_VALUE"""),"Buckler")</f>
        <v>Buckler</v>
      </c>
      <c r="D839" s="1" t="str">
        <f>IFERROR(__xludf.DUMMYFUNCTION("""COMPUTED_VALUE"""),"Hand")</f>
        <v>Hand</v>
      </c>
      <c r="E839" s="1">
        <f>IFERROR(__xludf.DUMMYFUNCTION("""COMPUTED_VALUE"""),3000.0)</f>
        <v>3000</v>
      </c>
      <c r="F839" s="1" t="str">
        <f>IFERROR(__xludf.DUMMYFUNCTION("""COMPUTED_VALUE"""),"DEF: +150000 ++25% chance to parry dragons' attacks +-Cannot be forged or duplicated")</f>
        <v>DEF: +150000 ++25% chance to parry dragons' attacks +-Cannot be forged or duplicated</v>
      </c>
      <c r="G839" s="1">
        <f>IFERROR(__xludf.DUMMYFUNCTION("""COMPUTED_VALUE"""),4.485E8)</f>
        <v>448500000</v>
      </c>
      <c r="H839" s="1"/>
      <c r="I839" s="1"/>
      <c r="J839" s="1"/>
      <c r="K839" s="1"/>
      <c r="L839" s="1"/>
      <c r="M839" s="1"/>
      <c r="N839" s="1"/>
      <c r="O839" s="1"/>
      <c r="P839" s="1"/>
      <c r="Q839" s="1"/>
      <c r="R839" s="1"/>
      <c r="S839" s="1"/>
      <c r="T839" s="1"/>
      <c r="U839" s="1"/>
      <c r="V839" s="1"/>
      <c r="W839" s="1"/>
      <c r="X839" s="1"/>
      <c r="Y839" s="1"/>
      <c r="Z839" s="1"/>
    </row>
    <row r="840">
      <c r="A840" s="1" t="str">
        <f>IFERROR(__xludf.DUMMYFUNCTION("""COMPUTED_VALUE"""),"Wyrmstone Gauntlet")</f>
        <v>Wyrmstone Gauntlet</v>
      </c>
      <c r="B840" s="1"/>
      <c r="C840" s="1" t="str">
        <f>IFERROR(__xludf.DUMMYFUNCTION("""COMPUTED_VALUE"""),"Gauntlet")</f>
        <v>Gauntlet</v>
      </c>
      <c r="D840" s="1" t="str">
        <f>IFERROR(__xludf.DUMMYFUNCTION("""COMPUTED_VALUE"""),"Hand")</f>
        <v>Hand</v>
      </c>
      <c r="E840" s="1">
        <f>IFERROR(__xludf.DUMMYFUNCTION("""COMPUTED_VALUE"""),3000.0)</f>
        <v>3000</v>
      </c>
      <c r="F840" s="1" t="str">
        <f>IFERROR(__xludf.DUMMYFUNCTION("""COMPUTED_VALUE"""),"DEF: +125000, Light DEF: +25000")</f>
        <v>DEF: +125000, Light DEF: +25000</v>
      </c>
      <c r="G840" s="1">
        <f>IFERROR(__xludf.DUMMYFUNCTION("""COMPUTED_VALUE"""),4.485E8)</f>
        <v>448500000</v>
      </c>
      <c r="H840" s="1"/>
      <c r="I840" s="1"/>
      <c r="J840" s="1"/>
      <c r="K840" s="1"/>
      <c r="L840" s="1"/>
      <c r="M840" s="1"/>
      <c r="N840" s="1"/>
      <c r="O840" s="1"/>
      <c r="P840" s="1"/>
      <c r="Q840" s="1"/>
      <c r="R840" s="1"/>
      <c r="S840" s="1"/>
      <c r="T840" s="1"/>
      <c r="U840" s="1"/>
      <c r="V840" s="1"/>
      <c r="W840" s="1"/>
      <c r="X840" s="1"/>
      <c r="Y840" s="1"/>
      <c r="Z840" s="1"/>
    </row>
    <row r="841">
      <c r="A841" s="1" t="str">
        <f>IFERROR(__xludf.DUMMYFUNCTION("""COMPUTED_VALUE"""),"Wyrmstone Leggings")</f>
        <v>Wyrmstone Leggings</v>
      </c>
      <c r="B841" s="1"/>
      <c r="C841" s="1" t="str">
        <f>IFERROR(__xludf.DUMMYFUNCTION("""COMPUTED_VALUE"""),"Item")</f>
        <v>Item</v>
      </c>
      <c r="D841" s="1" t="str">
        <f>IFERROR(__xludf.DUMMYFUNCTION("""COMPUTED_VALUE"""),"Legs")</f>
        <v>Legs</v>
      </c>
      <c r="E841" s="1">
        <f>IFERROR(__xludf.DUMMYFUNCTION("""COMPUTED_VALUE"""),2000.0)</f>
        <v>2000</v>
      </c>
      <c r="F841" s="1" t="str">
        <f>IFERROR(__xludf.DUMMYFUNCTION("""COMPUTED_VALUE"""),"DEF: +100000")</f>
        <v>DEF: +100000</v>
      </c>
      <c r="G841" s="1">
        <f>IFERROR(__xludf.DUMMYFUNCTION("""COMPUTED_VALUE"""),1.99E8)</f>
        <v>199000000</v>
      </c>
      <c r="H841" s="1"/>
      <c r="I841" s="1"/>
      <c r="J841" s="1"/>
      <c r="K841" s="1"/>
      <c r="L841" s="1"/>
      <c r="M841" s="1"/>
      <c r="N841" s="1"/>
      <c r="O841" s="1"/>
      <c r="P841" s="1"/>
      <c r="Q841" s="1"/>
      <c r="R841" s="1"/>
      <c r="S841" s="1"/>
      <c r="T841" s="1"/>
      <c r="U841" s="1"/>
      <c r="V841" s="1"/>
      <c r="W841" s="1"/>
      <c r="X841" s="1"/>
      <c r="Y841" s="1"/>
      <c r="Z841" s="1"/>
    </row>
    <row r="842">
      <c r="A842" s="1" t="str">
        <f>IFERROR(__xludf.DUMMYFUNCTION("""COMPUTED_VALUE"""),"Wyrmstone Lance")</f>
        <v>Wyrmstone Lance</v>
      </c>
      <c r="B842" s="1"/>
      <c r="C842" s="1" t="str">
        <f>IFERROR(__xludf.DUMMYFUNCTION("""COMPUTED_VALUE"""),"Spear")</f>
        <v>Spear</v>
      </c>
      <c r="D842" s="1" t="str">
        <f>IFERROR(__xludf.DUMMYFUNCTION("""COMPUTED_VALUE"""),"Hand")</f>
        <v>Hand</v>
      </c>
      <c r="E842" s="1">
        <f>IFERROR(__xludf.DUMMYFUNCTION("""COMPUTED_VALUE"""),2000.0)</f>
        <v>2000</v>
      </c>
      <c r="F842" s="1" t="str">
        <f>IFERROR(__xludf.DUMMYFUNCTION("""COMPUTED_VALUE"""),"DMG: +100000 ++Damage doubles if used two turns in a row +-Cannot be forged or duplicated")</f>
        <v>DMG: +100000 ++Damage doubles if used two turns in a row +-Cannot be forged or duplicated</v>
      </c>
      <c r="G842" s="1">
        <f>IFERROR(__xludf.DUMMYFUNCTION("""COMPUTED_VALUE"""),1.99E8)</f>
        <v>199000000</v>
      </c>
      <c r="H842" s="1"/>
      <c r="I842" s="1"/>
      <c r="J842" s="1"/>
      <c r="K842" s="1"/>
      <c r="L842" s="1"/>
      <c r="M842" s="1"/>
      <c r="N842" s="1"/>
      <c r="O842" s="1"/>
      <c r="P842" s="1"/>
      <c r="Q842" s="1"/>
      <c r="R842" s="1"/>
      <c r="S842" s="1"/>
      <c r="T842" s="1"/>
      <c r="U842" s="1"/>
      <c r="V842" s="1"/>
      <c r="W842" s="1"/>
      <c r="X842" s="1"/>
      <c r="Y842" s="1"/>
      <c r="Z842" s="1"/>
    </row>
    <row r="843">
      <c r="A843" s="1" t="str">
        <f>IFERROR(__xludf.DUMMYFUNCTION("""COMPUTED_VALUE"""),"Wyrmstone Nails")</f>
        <v>Wyrmstone Nails</v>
      </c>
      <c r="B843" s="1"/>
      <c r="C843" s="1" t="str">
        <f>IFERROR(__xludf.DUMMYFUNCTION("""COMPUTED_VALUE"""),"Claw")</f>
        <v>Claw</v>
      </c>
      <c r="D843" s="1" t="str">
        <f>IFERROR(__xludf.DUMMYFUNCTION("""COMPUTED_VALUE"""),"Hand")</f>
        <v>Hand</v>
      </c>
      <c r="E843" s="1">
        <f>IFERROR(__xludf.DUMMYFUNCTION("""COMPUTED_VALUE"""),2600.0)</f>
        <v>2600</v>
      </c>
      <c r="F843" s="1" t="str">
        <f>IFERROR(__xludf.DUMMYFUNCTION("""COMPUTED_VALUE"""),"DMG: +130000")</f>
        <v>DMG: +130000</v>
      </c>
      <c r="G843" s="1">
        <f>IFERROR(__xludf.DUMMYFUNCTION("""COMPUTED_VALUE"""),3.367E8)</f>
        <v>336700000</v>
      </c>
      <c r="H843" s="1"/>
      <c r="I843" s="1"/>
      <c r="J843" s="1"/>
      <c r="K843" s="1"/>
      <c r="L843" s="1"/>
      <c r="M843" s="1"/>
      <c r="N843" s="1"/>
      <c r="O843" s="1"/>
      <c r="P843" s="1"/>
      <c r="Q843" s="1"/>
      <c r="R843" s="1"/>
      <c r="S843" s="1"/>
      <c r="T843" s="1"/>
      <c r="U843" s="1"/>
      <c r="V843" s="1"/>
      <c r="W843" s="1"/>
      <c r="X843" s="1"/>
      <c r="Y843" s="1"/>
      <c r="Z843" s="1"/>
    </row>
    <row r="844">
      <c r="A844" s="1" t="str">
        <f>IFERROR(__xludf.DUMMYFUNCTION("""COMPUTED_VALUE"""),"Lizard Warrior's Scale Helm")</f>
        <v>Lizard Warrior's Scale Helm</v>
      </c>
      <c r="B844" s="1"/>
      <c r="C844" s="1" t="str">
        <f>IFERROR(__xludf.DUMMYFUNCTION("""COMPUTED_VALUE"""),"Item")</f>
        <v>Item</v>
      </c>
      <c r="D844" s="1" t="str">
        <f>IFERROR(__xludf.DUMMYFUNCTION("""COMPUTED_VALUE"""),"Head")</f>
        <v>Head</v>
      </c>
      <c r="E844" s="1">
        <f>IFERROR(__xludf.DUMMYFUNCTION("""COMPUTED_VALUE"""),3000.0)</f>
        <v>3000</v>
      </c>
      <c r="F844" s="1" t="str">
        <f>IFERROR(__xludf.DUMMYFUNCTION("""COMPUTED_VALUE"""),"DEF: +100000, Nature DEF: +50000")</f>
        <v>DEF: +100000, Nature DEF: +50000</v>
      </c>
      <c r="G844" s="1">
        <f>IFERROR(__xludf.DUMMYFUNCTION("""COMPUTED_VALUE"""),4.485E8)</f>
        <v>448500000</v>
      </c>
      <c r="H844" s="1"/>
      <c r="I844" s="1"/>
      <c r="J844" s="1"/>
      <c r="K844" s="1"/>
      <c r="L844" s="1"/>
      <c r="M844" s="1"/>
      <c r="N844" s="1"/>
      <c r="O844" s="1"/>
      <c r="P844" s="1"/>
      <c r="Q844" s="1"/>
      <c r="R844" s="1"/>
      <c r="S844" s="1"/>
      <c r="T844" s="1"/>
      <c r="U844" s="1"/>
      <c r="V844" s="1"/>
      <c r="W844" s="1"/>
      <c r="X844" s="1"/>
      <c r="Y844" s="1"/>
      <c r="Z844" s="1"/>
    </row>
    <row r="845">
      <c r="A845" s="1" t="str">
        <f>IFERROR(__xludf.DUMMYFUNCTION("""COMPUTED_VALUE"""),"Lizard Warrior's Scaled Pauldrons")</f>
        <v>Lizard Warrior's Scaled Pauldrons</v>
      </c>
      <c r="B845" s="1"/>
      <c r="C845" s="1" t="str">
        <f>IFERROR(__xludf.DUMMYFUNCTION("""COMPUTED_VALUE"""),"Item")</f>
        <v>Item</v>
      </c>
      <c r="D845" s="1" t="str">
        <f>IFERROR(__xludf.DUMMYFUNCTION("""COMPUTED_VALUE"""),"Shoulders")</f>
        <v>Shoulders</v>
      </c>
      <c r="E845" s="1">
        <f>IFERROR(__xludf.DUMMYFUNCTION("""COMPUTED_VALUE"""),3000.0)</f>
        <v>3000</v>
      </c>
      <c r="F845" s="1" t="str">
        <f>IFERROR(__xludf.DUMMYFUNCTION("""COMPUTED_VALUE"""),"DEF: +100000, Nature DEF: +50000")</f>
        <v>DEF: +100000, Nature DEF: +50000</v>
      </c>
      <c r="G845" s="1">
        <f>IFERROR(__xludf.DUMMYFUNCTION("""COMPUTED_VALUE"""),4.485E8)</f>
        <v>448500000</v>
      </c>
      <c r="H845" s="1"/>
      <c r="I845" s="1"/>
      <c r="J845" s="1"/>
      <c r="K845" s="1"/>
      <c r="L845" s="1"/>
      <c r="M845" s="1"/>
      <c r="N845" s="1"/>
      <c r="O845" s="1"/>
      <c r="P845" s="1"/>
      <c r="Q845" s="1"/>
      <c r="R845" s="1"/>
      <c r="S845" s="1"/>
      <c r="T845" s="1"/>
      <c r="U845" s="1"/>
      <c r="V845" s="1"/>
      <c r="W845" s="1"/>
      <c r="X845" s="1"/>
      <c r="Y845" s="1"/>
      <c r="Z845" s="1"/>
    </row>
    <row r="846">
      <c r="A846" s="1" t="str">
        <f>IFERROR(__xludf.DUMMYFUNCTION("""COMPUTED_VALUE"""),"Lizard Warrior's Scaled Chest")</f>
        <v>Lizard Warrior's Scaled Chest</v>
      </c>
      <c r="B846" s="1"/>
      <c r="C846" s="1" t="str">
        <f>IFERROR(__xludf.DUMMYFUNCTION("""COMPUTED_VALUE"""),"Item")</f>
        <v>Item</v>
      </c>
      <c r="D846" s="1" t="str">
        <f>IFERROR(__xludf.DUMMYFUNCTION("""COMPUTED_VALUE"""),"Torso")</f>
        <v>Torso</v>
      </c>
      <c r="E846" s="1">
        <f>IFERROR(__xludf.DUMMYFUNCTION("""COMPUTED_VALUE"""),3000.0)</f>
        <v>3000</v>
      </c>
      <c r="F846" s="1" t="str">
        <f>IFERROR(__xludf.DUMMYFUNCTION("""COMPUTED_VALUE"""),"DEF: +100000, Nature DEF: +50000 ++When the wearer is attacked, the one that attacked them takes 15000 poison for 3 rounds")</f>
        <v>DEF: +100000, Nature DEF: +50000 ++When the wearer is attacked, the one that attacked them takes 15000 poison for 3 rounds</v>
      </c>
      <c r="G846" s="1">
        <f>IFERROR(__xludf.DUMMYFUNCTION("""COMPUTED_VALUE"""),4.485E8)</f>
        <v>448500000</v>
      </c>
      <c r="H846" s="1"/>
      <c r="I846" s="1"/>
      <c r="J846" s="1"/>
      <c r="K846" s="1"/>
      <c r="L846" s="1"/>
      <c r="M846" s="1"/>
      <c r="N846" s="1"/>
      <c r="O846" s="1"/>
      <c r="P846" s="1"/>
      <c r="Q846" s="1"/>
      <c r="R846" s="1"/>
      <c r="S846" s="1"/>
      <c r="T846" s="1"/>
      <c r="U846" s="1"/>
      <c r="V846" s="1"/>
      <c r="W846" s="1"/>
      <c r="X846" s="1"/>
      <c r="Y846" s="1"/>
      <c r="Z846" s="1"/>
    </row>
    <row r="847">
      <c r="A847" s="1" t="str">
        <f>IFERROR(__xludf.DUMMYFUNCTION("""COMPUTED_VALUE"""),"Lizard Warrior's Scaled Arms")</f>
        <v>Lizard Warrior's Scaled Arms</v>
      </c>
      <c r="B847" s="1"/>
      <c r="C847" s="1" t="str">
        <f>IFERROR(__xludf.DUMMYFUNCTION("""COMPUTED_VALUE"""),"Item")</f>
        <v>Item</v>
      </c>
      <c r="D847" s="1" t="str">
        <f>IFERROR(__xludf.DUMMYFUNCTION("""COMPUTED_VALUE"""),"Arms")</f>
        <v>Arms</v>
      </c>
      <c r="E847" s="1">
        <f>IFERROR(__xludf.DUMMYFUNCTION("""COMPUTED_VALUE"""),3000.0)</f>
        <v>3000</v>
      </c>
      <c r="F847" s="1" t="str">
        <f>IFERROR(__xludf.DUMMYFUNCTION("""COMPUTED_VALUE"""),"DEF: +100000, Nature DEF: +50000 ++7500 DEF for every enemy currently poisoned (Max 37500)")</f>
        <v>DEF: +100000, Nature DEF: +50000 ++7500 DEF for every enemy currently poisoned (Max 37500)</v>
      </c>
      <c r="G847" s="1">
        <f>IFERROR(__xludf.DUMMYFUNCTION("""COMPUTED_VALUE"""),4.485E8)</f>
        <v>448500000</v>
      </c>
      <c r="H847" s="1"/>
      <c r="I847" s="1"/>
      <c r="J847" s="1"/>
      <c r="K847" s="1"/>
      <c r="L847" s="1"/>
      <c r="M847" s="1"/>
      <c r="N847" s="1"/>
      <c r="O847" s="1"/>
      <c r="P847" s="1"/>
      <c r="Q847" s="1"/>
      <c r="R847" s="1"/>
      <c r="S847" s="1"/>
      <c r="T847" s="1"/>
      <c r="U847" s="1"/>
      <c r="V847" s="1"/>
      <c r="W847" s="1"/>
      <c r="X847" s="1"/>
      <c r="Y847" s="1"/>
      <c r="Z847" s="1"/>
    </row>
    <row r="848">
      <c r="A848" s="1" t="str">
        <f>IFERROR(__xludf.DUMMYFUNCTION("""COMPUTED_VALUE"""),"Lizard Warrior's Bracelets")</f>
        <v>Lizard Warrior's Bracelets</v>
      </c>
      <c r="B848" s="1"/>
      <c r="C848" s="1" t="str">
        <f>IFERROR(__xludf.DUMMYFUNCTION("""COMPUTED_VALUE"""),"Item")</f>
        <v>Item</v>
      </c>
      <c r="D848" s="1" t="str">
        <f>IFERROR(__xludf.DUMMYFUNCTION("""COMPUTED_VALUE"""),"Arms")</f>
        <v>Arms</v>
      </c>
      <c r="E848" s="1">
        <f>IFERROR(__xludf.DUMMYFUNCTION("""COMPUTED_VALUE"""),3000.0)</f>
        <v>3000</v>
      </c>
      <c r="F848" s="1" t="str">
        <f>IFERROR(__xludf.DUMMYFUNCTION("""COMPUTED_VALUE"""),"DEF: +100000, Nature DEF: +50000 ++5000 ACC for every enemy currently poisoned (Max 25000)")</f>
        <v>DEF: +100000, Nature DEF: +50000 ++5000 ACC for every enemy currently poisoned (Max 25000)</v>
      </c>
      <c r="G848" s="1">
        <f>IFERROR(__xludf.DUMMYFUNCTION("""COMPUTED_VALUE"""),4.485E8)</f>
        <v>448500000</v>
      </c>
      <c r="H848" s="1"/>
      <c r="I848" s="1"/>
      <c r="J848" s="1"/>
      <c r="K848" s="1"/>
      <c r="L848" s="1"/>
      <c r="M848" s="1"/>
      <c r="N848" s="1"/>
      <c r="O848" s="1"/>
      <c r="P848" s="1"/>
      <c r="Q848" s="1"/>
      <c r="R848" s="1"/>
      <c r="S848" s="1"/>
      <c r="T848" s="1"/>
      <c r="U848" s="1"/>
      <c r="V848" s="1"/>
      <c r="W848" s="1"/>
      <c r="X848" s="1"/>
      <c r="Y848" s="1"/>
      <c r="Z848" s="1"/>
    </row>
    <row r="849">
      <c r="A849" s="1" t="str">
        <f>IFERROR(__xludf.DUMMYFUNCTION("""COMPUTED_VALUE"""),"Lizard Warrior's Scaled Legs")</f>
        <v>Lizard Warrior's Scaled Legs</v>
      </c>
      <c r="B849" s="1"/>
      <c r="C849" s="1" t="str">
        <f>IFERROR(__xludf.DUMMYFUNCTION("""COMPUTED_VALUE"""),"Item")</f>
        <v>Item</v>
      </c>
      <c r="D849" s="1" t="str">
        <f>IFERROR(__xludf.DUMMYFUNCTION("""COMPUTED_VALUE"""),"Legs")</f>
        <v>Legs</v>
      </c>
      <c r="E849" s="1">
        <f>IFERROR(__xludf.DUMMYFUNCTION("""COMPUTED_VALUE"""),3000.0)</f>
        <v>3000</v>
      </c>
      <c r="F849" s="1" t="str">
        <f>IFERROR(__xludf.DUMMYFUNCTION("""COMPUTED_VALUE"""),"DEF: +100000, Nature DEF: +50000 ++5000 ATK for every enemy currently poisoned (Max 25000)")</f>
        <v>DEF: +100000, Nature DEF: +50000 ++5000 ATK for every enemy currently poisoned (Max 25000)</v>
      </c>
      <c r="G849" s="1">
        <f>IFERROR(__xludf.DUMMYFUNCTION("""COMPUTED_VALUE"""),4.485E8)</f>
        <v>448500000</v>
      </c>
      <c r="H849" s="1"/>
      <c r="I849" s="1"/>
      <c r="J849" s="1"/>
      <c r="K849" s="1"/>
      <c r="L849" s="1"/>
      <c r="M849" s="1"/>
      <c r="N849" s="1"/>
      <c r="O849" s="1"/>
      <c r="P849" s="1"/>
      <c r="Q849" s="1"/>
      <c r="R849" s="1"/>
      <c r="S849" s="1"/>
      <c r="T849" s="1"/>
      <c r="U849" s="1"/>
      <c r="V849" s="1"/>
      <c r="W849" s="1"/>
      <c r="X849" s="1"/>
      <c r="Y849" s="1"/>
      <c r="Z849" s="1"/>
    </row>
    <row r="850">
      <c r="A850" s="1" t="str">
        <f>IFERROR(__xludf.DUMMYFUNCTION("""COMPUTED_VALUE"""),"Lizard Warrior's Scaled Boots")</f>
        <v>Lizard Warrior's Scaled Boots</v>
      </c>
      <c r="B850" s="1"/>
      <c r="C850" s="1" t="str">
        <f>IFERROR(__xludf.DUMMYFUNCTION("""COMPUTED_VALUE"""),"Item")</f>
        <v>Item</v>
      </c>
      <c r="D850" s="1" t="str">
        <f>IFERROR(__xludf.DUMMYFUNCTION("""COMPUTED_VALUE"""),"Feet")</f>
        <v>Feet</v>
      </c>
      <c r="E850" s="1">
        <f>IFERROR(__xludf.DUMMYFUNCTION("""COMPUTED_VALUE"""),3000.0)</f>
        <v>3000</v>
      </c>
      <c r="F850" s="1" t="str">
        <f>IFERROR(__xludf.DUMMYFUNCTION("""COMPUTED_VALUE"""),"DEF: +100000, Nature DEF: +50000 ++1 Mobility for every enemy currently poisoned (Max 5)")</f>
        <v>DEF: +100000, Nature DEF: +50000 ++1 Mobility for every enemy currently poisoned (Max 5)</v>
      </c>
      <c r="G850" s="1">
        <f>IFERROR(__xludf.DUMMYFUNCTION("""COMPUTED_VALUE"""),4.485E8)</f>
        <v>448500000</v>
      </c>
      <c r="H850" s="1"/>
      <c r="I850" s="1"/>
      <c r="J850" s="1"/>
      <c r="K850" s="1"/>
      <c r="L850" s="1"/>
      <c r="M850" s="1"/>
      <c r="N850" s="1"/>
      <c r="O850" s="1"/>
      <c r="P850" s="1"/>
      <c r="Q850" s="1"/>
      <c r="R850" s="1"/>
      <c r="S850" s="1"/>
      <c r="T850" s="1"/>
      <c r="U850" s="1"/>
      <c r="V850" s="1"/>
      <c r="W850" s="1"/>
      <c r="X850" s="1"/>
      <c r="Y850" s="1"/>
      <c r="Z850" s="1"/>
    </row>
    <row r="851">
      <c r="A851" s="1" t="str">
        <f>IFERROR(__xludf.DUMMYFUNCTION("""COMPUTED_VALUE"""),"Lizard Warrior's Claw")</f>
        <v>Lizard Warrior's Claw</v>
      </c>
      <c r="B851" s="1"/>
      <c r="C851" s="1" t="str">
        <f>IFERROR(__xludf.DUMMYFUNCTION("""COMPUTED_VALUE"""),"Claw")</f>
        <v>Claw</v>
      </c>
      <c r="D851" s="1" t="str">
        <f>IFERROR(__xludf.DUMMYFUNCTION("""COMPUTED_VALUE"""),"Hand")</f>
        <v>Hand</v>
      </c>
      <c r="E851" s="1">
        <f>IFERROR(__xludf.DUMMYFUNCTION("""COMPUTED_VALUE"""),3000.0)</f>
        <v>3000</v>
      </c>
      <c r="F851" s="1" t="str">
        <f>IFERROR(__xludf.DUMMYFUNCTION("""COMPUTED_VALUE"""),"DMG: +100000, Nature DMG: +50000 ++X20 damage against poisoned enemies, All damage dealt against poisoned enemies with this item is poison damage.")</f>
        <v>DMG: +100000, Nature DMG: +50000 ++X20 damage against poisoned enemies, All damage dealt against poisoned enemies with this item is poison damage.</v>
      </c>
      <c r="G851" s="1">
        <f>IFERROR(__xludf.DUMMYFUNCTION("""COMPUTED_VALUE"""),4.485E8)</f>
        <v>448500000</v>
      </c>
      <c r="H851" s="1"/>
      <c r="I851" s="1"/>
      <c r="J851" s="1"/>
      <c r="K851" s="1"/>
      <c r="L851" s="1"/>
      <c r="M851" s="1"/>
      <c r="N851" s="1"/>
      <c r="O851" s="1"/>
      <c r="P851" s="1"/>
      <c r="Q851" s="1"/>
      <c r="R851" s="1"/>
      <c r="S851" s="1"/>
      <c r="T851" s="1"/>
      <c r="U851" s="1"/>
      <c r="V851" s="1"/>
      <c r="W851" s="1"/>
      <c r="X851" s="1"/>
      <c r="Y851" s="1"/>
      <c r="Z851" s="1"/>
    </row>
    <row r="852">
      <c r="A852" s="1" t="str">
        <f>IFERROR(__xludf.DUMMYFUNCTION("""COMPUTED_VALUE"""),"Lizard Warrior Guantlet")</f>
        <v>Lizard Warrior Guantlet</v>
      </c>
      <c r="B852" s="1"/>
      <c r="C852" s="1" t="str">
        <f>IFERROR(__xludf.DUMMYFUNCTION("""COMPUTED_VALUE"""),"Gauntlet")</f>
        <v>Gauntlet</v>
      </c>
      <c r="D852" s="1" t="str">
        <f>IFERROR(__xludf.DUMMYFUNCTION("""COMPUTED_VALUE"""),"Hand")</f>
        <v>Hand</v>
      </c>
      <c r="E852" s="1">
        <f>IFERROR(__xludf.DUMMYFUNCTION("""COMPUTED_VALUE"""),3000.0)</f>
        <v>3000</v>
      </c>
      <c r="F852" s="1" t="str">
        <f>IFERROR(__xludf.DUMMYFUNCTION("""COMPUTED_VALUE"""),"DEF: +100000, Nature DEF: +50000 ++50% chance to be unaffected by a weapon attack from a poisoned enemy")</f>
        <v>DEF: +100000, Nature DEF: +50000 ++50% chance to be unaffected by a weapon attack from a poisoned enemy</v>
      </c>
      <c r="G852" s="1">
        <f>IFERROR(__xludf.DUMMYFUNCTION("""COMPUTED_VALUE"""),4.485E8)</f>
        <v>448500000</v>
      </c>
      <c r="H852" s="1"/>
      <c r="I852" s="1"/>
      <c r="J852" s="1"/>
      <c r="K852" s="1"/>
      <c r="L852" s="1"/>
      <c r="M852" s="1"/>
      <c r="N852" s="1"/>
      <c r="O852" s="1"/>
      <c r="P852" s="1"/>
      <c r="Q852" s="1"/>
      <c r="R852" s="1"/>
      <c r="S852" s="1"/>
      <c r="T852" s="1"/>
      <c r="U852" s="1"/>
      <c r="V852" s="1"/>
      <c r="W852" s="1"/>
      <c r="X852" s="1"/>
      <c r="Y852" s="1"/>
      <c r="Z852" s="1"/>
    </row>
    <row r="853">
      <c r="A853" s="1" t="str">
        <f>IFERROR(__xludf.DUMMYFUNCTION("""COMPUTED_VALUE"""),"Igaunian Assassin's Cowl")</f>
        <v>Igaunian Assassin's Cowl</v>
      </c>
      <c r="B853" s="1"/>
      <c r="C853" s="1" t="str">
        <f>IFERROR(__xludf.DUMMYFUNCTION("""COMPUTED_VALUE"""),"Item")</f>
        <v>Item</v>
      </c>
      <c r="D853" s="1" t="str">
        <f>IFERROR(__xludf.DUMMYFUNCTION("""COMPUTED_VALUE"""),"Head")</f>
        <v>Head</v>
      </c>
      <c r="E853" s="1">
        <f>IFERROR(__xludf.DUMMYFUNCTION("""COMPUTED_VALUE"""),2000.0)</f>
        <v>2000</v>
      </c>
      <c r="F853" s="1" t="str">
        <f>IFERROR(__xludf.DUMMYFUNCTION("""COMPUTED_VALUE"""),"DEF: +75000, Nature DEF: +25000 ++15000 ATK and ACC ++X4 Knife and Boomerang damage ++5 to all weapon attacks if concealed")</f>
        <v>DEF: +75000, Nature DEF: +25000 ++15000 ATK and ACC ++X4 Knife and Boomerang damage ++5 to all weapon attacks if concealed</v>
      </c>
      <c r="G853" s="1">
        <f>IFERROR(__xludf.DUMMYFUNCTION("""COMPUTED_VALUE"""),1.99E8)</f>
        <v>199000000</v>
      </c>
      <c r="H853" s="1"/>
      <c r="I853" s="1"/>
      <c r="J853" s="1"/>
      <c r="K853" s="1"/>
      <c r="L853" s="1"/>
      <c r="M853" s="1"/>
      <c r="N853" s="1"/>
      <c r="O853" s="1"/>
      <c r="P853" s="1"/>
      <c r="Q853" s="1"/>
      <c r="R853" s="1"/>
      <c r="S853" s="1"/>
      <c r="T853" s="1"/>
      <c r="U853" s="1"/>
      <c r="V853" s="1"/>
      <c r="W853" s="1"/>
      <c r="X853" s="1"/>
      <c r="Y853" s="1"/>
      <c r="Z853" s="1"/>
    </row>
    <row r="854">
      <c r="A854" s="1" t="str">
        <f>IFERROR(__xludf.DUMMYFUNCTION("""COMPUTED_VALUE"""),"Igaunian Assassin's Cloths")</f>
        <v>Igaunian Assassin's Cloths</v>
      </c>
      <c r="B854" s="1"/>
      <c r="C854" s="1" t="str">
        <f>IFERROR(__xludf.DUMMYFUNCTION("""COMPUTED_VALUE"""),"Item")</f>
        <v>Item</v>
      </c>
      <c r="D854" s="1" t="str">
        <f>IFERROR(__xludf.DUMMYFUNCTION("""COMPUTED_VALUE"""),"Torso")</f>
        <v>Torso</v>
      </c>
      <c r="E854" s="1">
        <f>IFERROR(__xludf.DUMMYFUNCTION("""COMPUTED_VALUE"""),2000.0)</f>
        <v>2000</v>
      </c>
      <c r="F854" s="1" t="str">
        <f>IFERROR(__xludf.DUMMYFUNCTION("""COMPUTED_VALUE"""),"DEF: +75000, Nature DEF: +25000 ++15000 ATK and ACC ++X4 Knife and Boomerang damage")</f>
        <v>DEF: +75000, Nature DEF: +25000 ++15000 ATK and ACC ++X4 Knife and Boomerang damage</v>
      </c>
      <c r="G854" s="1">
        <f>IFERROR(__xludf.DUMMYFUNCTION("""COMPUTED_VALUE"""),1.99E8)</f>
        <v>199000000</v>
      </c>
      <c r="H854" s="1"/>
      <c r="I854" s="1"/>
      <c r="J854" s="1"/>
      <c r="K854" s="1"/>
      <c r="L854" s="1"/>
      <c r="M854" s="1"/>
      <c r="N854" s="1"/>
      <c r="O854" s="1"/>
      <c r="P854" s="1"/>
      <c r="Q854" s="1"/>
      <c r="R854" s="1"/>
      <c r="S854" s="1"/>
      <c r="T854" s="1"/>
      <c r="U854" s="1"/>
      <c r="V854" s="1"/>
      <c r="W854" s="1"/>
      <c r="X854" s="1"/>
      <c r="Y854" s="1"/>
      <c r="Z854" s="1"/>
    </row>
    <row r="855">
      <c r="A855" s="1" t="str">
        <f>IFERROR(__xludf.DUMMYFUNCTION("""COMPUTED_VALUE"""),"Iguanian Assassin's Pants")</f>
        <v>Iguanian Assassin's Pants</v>
      </c>
      <c r="B855" s="1"/>
      <c r="C855" s="1" t="str">
        <f>IFERROR(__xludf.DUMMYFUNCTION("""COMPUTED_VALUE"""),"Item")</f>
        <v>Item</v>
      </c>
      <c r="D855" s="1" t="str">
        <f>IFERROR(__xludf.DUMMYFUNCTION("""COMPUTED_VALUE"""),"Legs")</f>
        <v>Legs</v>
      </c>
      <c r="E855" s="1">
        <f>IFERROR(__xludf.DUMMYFUNCTION("""COMPUTED_VALUE"""),2000.0)</f>
        <v>2000</v>
      </c>
      <c r="F855" s="1" t="str">
        <f>IFERROR(__xludf.DUMMYFUNCTION("""COMPUTED_VALUE"""),"DEF: +75000, Nature DEF: +25000 ++15000 ATK and ACC ++X4 Knife and Boomerang damage")</f>
        <v>DEF: +75000, Nature DEF: +25000 ++15000 ATK and ACC ++X4 Knife and Boomerang damage</v>
      </c>
      <c r="G855" s="1">
        <f>IFERROR(__xludf.DUMMYFUNCTION("""COMPUTED_VALUE"""),1.99E8)</f>
        <v>199000000</v>
      </c>
      <c r="H855" s="1"/>
      <c r="I855" s="1"/>
      <c r="J855" s="1"/>
      <c r="K855" s="1"/>
      <c r="L855" s="1"/>
      <c r="M855" s="1"/>
      <c r="N855" s="1"/>
      <c r="O855" s="1"/>
      <c r="P855" s="1"/>
      <c r="Q855" s="1"/>
      <c r="R855" s="1"/>
      <c r="S855" s="1"/>
      <c r="T855" s="1"/>
      <c r="U855" s="1"/>
      <c r="V855" s="1"/>
      <c r="W855" s="1"/>
      <c r="X855" s="1"/>
      <c r="Y855" s="1"/>
      <c r="Z855" s="1"/>
    </row>
    <row r="856">
      <c r="A856" s="1" t="str">
        <f>IFERROR(__xludf.DUMMYFUNCTION("""COMPUTED_VALUE"""),"Iguanian Assassin's Boots")</f>
        <v>Iguanian Assassin's Boots</v>
      </c>
      <c r="B856" s="1"/>
      <c r="C856" s="1" t="str">
        <f>IFERROR(__xludf.DUMMYFUNCTION("""COMPUTED_VALUE"""),"Item")</f>
        <v>Item</v>
      </c>
      <c r="D856" s="1" t="str">
        <f>IFERROR(__xludf.DUMMYFUNCTION("""COMPUTED_VALUE"""),"Feet")</f>
        <v>Feet</v>
      </c>
      <c r="E856" s="1">
        <f>IFERROR(__xludf.DUMMYFUNCTION("""COMPUTED_VALUE"""),2000.0)</f>
        <v>2000</v>
      </c>
      <c r="F856" s="1" t="str">
        <f>IFERROR(__xludf.DUMMYFUNCTION("""COMPUTED_VALUE"""),"DEF: +75000, Nature DEF: +25000 ++15000 ATK and ACC ++X4 Knife and Boomerang damage")</f>
        <v>DEF: +75000, Nature DEF: +25000 ++15000 ATK and ACC ++X4 Knife and Boomerang damage</v>
      </c>
      <c r="G856" s="1">
        <f>IFERROR(__xludf.DUMMYFUNCTION("""COMPUTED_VALUE"""),1.99E8)</f>
        <v>199000000</v>
      </c>
      <c r="H856" s="1"/>
      <c r="I856" s="1"/>
      <c r="J856" s="1"/>
      <c r="K856" s="1"/>
      <c r="L856" s="1"/>
      <c r="M856" s="1"/>
      <c r="N856" s="1"/>
      <c r="O856" s="1"/>
      <c r="P856" s="1"/>
      <c r="Q856" s="1"/>
      <c r="R856" s="1"/>
      <c r="S856" s="1"/>
      <c r="T856" s="1"/>
      <c r="U856" s="1"/>
      <c r="V856" s="1"/>
      <c r="W856" s="1"/>
      <c r="X856" s="1"/>
      <c r="Y856" s="1"/>
      <c r="Z856" s="1"/>
    </row>
    <row r="857">
      <c r="A857" s="1" t="str">
        <f>IFERROR(__xludf.DUMMYFUNCTION("""COMPUTED_VALUE"""),"Iguanian Assassin's Chakram")</f>
        <v>Iguanian Assassin's Chakram</v>
      </c>
      <c r="B857" s="1"/>
      <c r="C857" s="1" t="str">
        <f>IFERROR(__xludf.DUMMYFUNCTION("""COMPUTED_VALUE"""),"Boomerang")</f>
        <v>Boomerang</v>
      </c>
      <c r="D857" s="1" t="str">
        <f>IFERROR(__xludf.DUMMYFUNCTION("""COMPUTED_VALUE"""),"Hand")</f>
        <v>Hand</v>
      </c>
      <c r="E857" s="1">
        <f>IFERROR(__xludf.DUMMYFUNCTION("""COMPUTED_VALUE"""),3000.0)</f>
        <v>3000</v>
      </c>
      <c r="F857" s="1" t="str">
        <f>IFERROR(__xludf.DUMMYFUNCTION("""COMPUTED_VALUE"""),"DMG: +100000, Nature DMG: +50000 ++Increases the weapon effect chance by 10%")</f>
        <v>DMG: +100000, Nature DMG: +50000 ++Increases the weapon effect chance by 10%</v>
      </c>
      <c r="G857" s="1">
        <f>IFERROR(__xludf.DUMMYFUNCTION("""COMPUTED_VALUE"""),4.485E8)</f>
        <v>448500000</v>
      </c>
      <c r="H857" s="1"/>
      <c r="I857" s="1"/>
      <c r="J857" s="1"/>
      <c r="K857" s="1"/>
      <c r="L857" s="1"/>
      <c r="M857" s="1"/>
      <c r="N857" s="1"/>
      <c r="O857" s="1"/>
      <c r="P857" s="1"/>
      <c r="Q857" s="1"/>
      <c r="R857" s="1"/>
      <c r="S857" s="1"/>
      <c r="T857" s="1"/>
      <c r="U857" s="1"/>
      <c r="V857" s="1"/>
      <c r="W857" s="1"/>
      <c r="X857" s="1"/>
      <c r="Y857" s="1"/>
      <c r="Z857" s="1"/>
    </row>
    <row r="858">
      <c r="A858" s="1" t="str">
        <f>IFERROR(__xludf.DUMMYFUNCTION("""COMPUTED_VALUE"""),"Iguanian Assassin's Slicer")</f>
        <v>Iguanian Assassin's Slicer</v>
      </c>
      <c r="B858" s="1"/>
      <c r="C858" s="1" t="str">
        <f>IFERROR(__xludf.DUMMYFUNCTION("""COMPUTED_VALUE"""),"Knife")</f>
        <v>Knife</v>
      </c>
      <c r="D858" s="1" t="str">
        <f>IFERROR(__xludf.DUMMYFUNCTION("""COMPUTED_VALUE"""),"Hand")</f>
        <v>Hand</v>
      </c>
      <c r="E858" s="1">
        <f>IFERROR(__xludf.DUMMYFUNCTION("""COMPUTED_VALUE"""),3000.0)</f>
        <v>3000</v>
      </c>
      <c r="F858" s="1" t="str">
        <f>IFERROR(__xludf.DUMMYFUNCTION("""COMPUTED_VALUE"""),"DMG: +100000, Nature DMG: +50000 ++Guarantees the Bleed effect of the knife weapon type and doubles the bleed caused +-Cannot be Forged")</f>
        <v>DMG: +100000, Nature DMG: +50000 ++Guarantees the Bleed effect of the knife weapon type and doubles the bleed caused +-Cannot be Forged</v>
      </c>
      <c r="G858" s="1">
        <f>IFERROR(__xludf.DUMMYFUNCTION("""COMPUTED_VALUE"""),4.485E8)</f>
        <v>448500000</v>
      </c>
      <c r="H858" s="1"/>
      <c r="I858" s="1"/>
      <c r="J858" s="1"/>
      <c r="K858" s="1"/>
      <c r="L858" s="1"/>
      <c r="M858" s="1"/>
      <c r="N858" s="1"/>
      <c r="O858" s="1"/>
      <c r="P858" s="1"/>
      <c r="Q858" s="1"/>
      <c r="R858" s="1"/>
      <c r="S858" s="1"/>
      <c r="T858" s="1"/>
      <c r="U858" s="1"/>
      <c r="V858" s="1"/>
      <c r="W858" s="1"/>
      <c r="X858" s="1"/>
      <c r="Y858" s="1"/>
      <c r="Z858" s="1"/>
    </row>
    <row r="859">
      <c r="A859" s="1" t="str">
        <f>IFERROR(__xludf.DUMMYFUNCTION("""COMPUTED_VALUE"""),"Wyverntooth Smasher")</f>
        <v>Wyverntooth Smasher</v>
      </c>
      <c r="B859" s="1"/>
      <c r="C859" s="1" t="str">
        <f>IFERROR(__xludf.DUMMYFUNCTION("""COMPUTED_VALUE"""),"Axe")</f>
        <v>Axe</v>
      </c>
      <c r="D859" s="1" t="str">
        <f>IFERROR(__xludf.DUMMYFUNCTION("""COMPUTED_VALUE"""),"Hand")</f>
        <v>Hand</v>
      </c>
      <c r="E859" s="1">
        <f>IFERROR(__xludf.DUMMYFUNCTION("""COMPUTED_VALUE"""),2400.0)</f>
        <v>2400</v>
      </c>
      <c r="F859" s="1" t="str">
        <f>IFERROR(__xludf.DUMMYFUNCTION("""COMPUTED_VALUE"""),"DMG: +30000, Chaos DMG: +90000")</f>
        <v>DMG: +30000, Chaos DMG: +90000</v>
      </c>
      <c r="G859" s="1">
        <f>IFERROR(__xludf.DUMMYFUNCTION("""COMPUTED_VALUE"""),2.868E8)</f>
        <v>286800000</v>
      </c>
      <c r="H859" s="1"/>
      <c r="I859" s="1"/>
      <c r="J859" s="1"/>
      <c r="K859" s="1"/>
      <c r="L859" s="1"/>
      <c r="M859" s="1"/>
      <c r="N859" s="1"/>
      <c r="O859" s="1"/>
      <c r="P859" s="1"/>
      <c r="Q859" s="1"/>
      <c r="R859" s="1"/>
      <c r="S859" s="1"/>
      <c r="T859" s="1"/>
      <c r="U859" s="1"/>
      <c r="V859" s="1"/>
      <c r="W859" s="1"/>
      <c r="X859" s="1"/>
      <c r="Y859" s="1"/>
      <c r="Z859" s="1"/>
    </row>
    <row r="860">
      <c r="A860" s="1" t="str">
        <f>IFERROR(__xludf.DUMMYFUNCTION("""COMPUTED_VALUE"""),"Wyvernblade")</f>
        <v>Wyvernblade</v>
      </c>
      <c r="B860" s="1"/>
      <c r="C860" s="1" t="str">
        <f>IFERROR(__xludf.DUMMYFUNCTION("""COMPUTED_VALUE"""),"Knife")</f>
        <v>Knife</v>
      </c>
      <c r="D860" s="1" t="str">
        <f>IFERROR(__xludf.DUMMYFUNCTION("""COMPUTED_VALUE"""),"Hand")</f>
        <v>Hand</v>
      </c>
      <c r="E860" s="1">
        <f>IFERROR(__xludf.DUMMYFUNCTION("""COMPUTED_VALUE"""),2600.0)</f>
        <v>2600</v>
      </c>
      <c r="F860" s="1" t="str">
        <f>IFERROR(__xludf.DUMMYFUNCTION("""COMPUTED_VALUE"""),", Melee DMG: +130000")</f>
        <v>, Melee DMG: +130000</v>
      </c>
      <c r="G860" s="1">
        <f>IFERROR(__xludf.DUMMYFUNCTION("""COMPUTED_VALUE"""),3.367E8)</f>
        <v>336700000</v>
      </c>
      <c r="H860" s="1"/>
      <c r="I860" s="1"/>
      <c r="J860" s="1"/>
      <c r="K860" s="1"/>
      <c r="L860" s="1"/>
      <c r="M860" s="1"/>
      <c r="N860" s="1"/>
      <c r="O860" s="1"/>
      <c r="P860" s="1"/>
      <c r="Q860" s="1"/>
      <c r="R860" s="1"/>
      <c r="S860" s="1"/>
      <c r="T860" s="1"/>
      <c r="U860" s="1"/>
      <c r="V860" s="1"/>
      <c r="W860" s="1"/>
      <c r="X860" s="1"/>
      <c r="Y860" s="1"/>
      <c r="Z860" s="1"/>
    </row>
    <row r="861">
      <c r="A861" s="1" t="str">
        <f>IFERROR(__xludf.DUMMYFUNCTION("""COMPUTED_VALUE"""),"Wyvernscale Ring")</f>
        <v>Wyvernscale Ring</v>
      </c>
      <c r="B861" s="1"/>
      <c r="C861" s="1" t="str">
        <f>IFERROR(__xludf.DUMMYFUNCTION("""COMPUTED_VALUE"""),"Item")</f>
        <v>Item</v>
      </c>
      <c r="D861" s="1" t="str">
        <f>IFERROR(__xludf.DUMMYFUNCTION("""COMPUTED_VALUE"""),"Finger")</f>
        <v>Finger</v>
      </c>
      <c r="E861" s="1">
        <f>IFERROR(__xludf.DUMMYFUNCTION("""COMPUTED_VALUE"""),2000.0)</f>
        <v>2000</v>
      </c>
      <c r="F861" s="1" t="str">
        <f>IFERROR(__xludf.DUMMYFUNCTION("""COMPUTED_VALUE"""),", Melee DEF: +100000 ++50% chance to negate any damage from a wyvern +-Cannot be forged or duplicated")</f>
        <v>, Melee DEF: +100000 ++50% chance to negate any damage from a wyvern +-Cannot be forged or duplicated</v>
      </c>
      <c r="G861" s="1">
        <f>IFERROR(__xludf.DUMMYFUNCTION("""COMPUTED_VALUE"""),1.99E8)</f>
        <v>199000000</v>
      </c>
      <c r="H861" s="1"/>
      <c r="I861" s="1"/>
      <c r="J861" s="1"/>
      <c r="K861" s="1"/>
      <c r="L861" s="1"/>
      <c r="M861" s="1"/>
      <c r="N861" s="1"/>
      <c r="O861" s="1"/>
      <c r="P861" s="1"/>
      <c r="Q861" s="1"/>
      <c r="R861" s="1"/>
      <c r="S861" s="1"/>
      <c r="T861" s="1"/>
      <c r="U861" s="1"/>
      <c r="V861" s="1"/>
      <c r="W861" s="1"/>
      <c r="X861" s="1"/>
      <c r="Y861" s="1"/>
      <c r="Z861" s="1"/>
    </row>
    <row r="862">
      <c r="A862" s="1" t="str">
        <f>IFERROR(__xludf.DUMMYFUNCTION("""COMPUTED_VALUE"""),"Wyvern Hood")</f>
        <v>Wyvern Hood</v>
      </c>
      <c r="B862" s="1"/>
      <c r="C862" s="1" t="str">
        <f>IFERROR(__xludf.DUMMYFUNCTION("""COMPUTED_VALUE"""),"Item")</f>
        <v>Item</v>
      </c>
      <c r="D862" s="1" t="str">
        <f>IFERROR(__xludf.DUMMYFUNCTION("""COMPUTED_VALUE"""),"Head")</f>
        <v>Head</v>
      </c>
      <c r="E862" s="1">
        <f>IFERROR(__xludf.DUMMYFUNCTION("""COMPUTED_VALUE"""),1.0)</f>
        <v>1</v>
      </c>
      <c r="F862" s="1" t="str">
        <f>IFERROR(__xludf.DUMMYFUNCTION("""COMPUTED_VALUE""")," ++When in a party of 4 or more, enemy wyverns cannot target the wearer +-Cannot be forged or duplicated")</f>
        <v> ++When in a party of 4 or more, enemy wyverns cannot target the wearer +-Cannot be forged or duplicated</v>
      </c>
      <c r="G862" s="1">
        <f>IFERROR(__xludf.DUMMYFUNCTION("""COMPUTED_VALUE"""),0.0)</f>
        <v>0</v>
      </c>
      <c r="H862" s="1"/>
      <c r="I862" s="1"/>
      <c r="J862" s="1"/>
      <c r="K862" s="1"/>
      <c r="L862" s="1"/>
      <c r="M862" s="1"/>
      <c r="N862" s="1"/>
      <c r="O862" s="1"/>
      <c r="P862" s="1"/>
      <c r="Q862" s="1"/>
      <c r="R862" s="1"/>
      <c r="S862" s="1"/>
      <c r="T862" s="1"/>
      <c r="U862" s="1"/>
      <c r="V862" s="1"/>
      <c r="W862" s="1"/>
      <c r="X862" s="1"/>
      <c r="Y862" s="1"/>
      <c r="Z862" s="1"/>
    </row>
    <row r="863">
      <c r="A863" s="1" t="str">
        <f>IFERROR(__xludf.DUMMYFUNCTION("""COMPUTED_VALUE"""),"Wyvernarang")</f>
        <v>Wyvernarang</v>
      </c>
      <c r="B863" s="1"/>
      <c r="C863" s="1" t="str">
        <f>IFERROR(__xludf.DUMMYFUNCTION("""COMPUTED_VALUE"""),"Boomerang")</f>
        <v>Boomerang</v>
      </c>
      <c r="D863" s="1" t="str">
        <f>IFERROR(__xludf.DUMMYFUNCTION("""COMPUTED_VALUE"""),"Hand")</f>
        <v>Hand</v>
      </c>
      <c r="E863" s="1">
        <f>IFERROR(__xludf.DUMMYFUNCTION("""COMPUTED_VALUE"""),3000.0)</f>
        <v>3000</v>
      </c>
      <c r="F863" s="1" t="str">
        <f>IFERROR(__xludf.DUMMYFUNCTION("""COMPUTED_VALUE"""),"DMG: +50000, Spirit DMG: +50000, Chaos DMG: +50000")</f>
        <v>DMG: +50000, Spirit DMG: +50000, Chaos DMG: +50000</v>
      </c>
      <c r="G863" s="1">
        <f>IFERROR(__xludf.DUMMYFUNCTION("""COMPUTED_VALUE"""),4.485E8)</f>
        <v>448500000</v>
      </c>
      <c r="H863" s="1"/>
      <c r="I863" s="1"/>
      <c r="J863" s="1"/>
      <c r="K863" s="1"/>
      <c r="L863" s="1"/>
      <c r="M863" s="1"/>
      <c r="N863" s="1"/>
      <c r="O863" s="1"/>
      <c r="P863" s="1"/>
      <c r="Q863" s="1"/>
      <c r="R863" s="1"/>
      <c r="S863" s="1"/>
      <c r="T863" s="1"/>
      <c r="U863" s="1"/>
      <c r="V863" s="1"/>
      <c r="W863" s="1"/>
      <c r="X863" s="1"/>
      <c r="Y863" s="1"/>
      <c r="Z863" s="1"/>
    </row>
    <row r="864">
      <c r="A864" s="1" t="str">
        <f>IFERROR(__xludf.DUMMYFUNCTION("""COMPUTED_VALUE"""),"Iguanian Assassin's Memento")</f>
        <v>Iguanian Assassin's Memento</v>
      </c>
      <c r="B864" s="1" t="str">
        <f>IFERROR(__xludf.DUMMYFUNCTION("""COMPUTED_VALUE"""),"From this necklace hangs a series of teeth, each one taken from an iguanian assassin's victim.")</f>
        <v>From this necklace hangs a series of teeth, each one taken from an iguanian assassin's victim.</v>
      </c>
      <c r="C864" s="1"/>
      <c r="D864" s="1" t="str">
        <f>IFERROR(__xludf.DUMMYFUNCTION("""COMPUTED_VALUE"""),"Neck")</f>
        <v>Neck</v>
      </c>
      <c r="E864" s="1">
        <f>IFERROR(__xludf.DUMMYFUNCTION("""COMPUTED_VALUE"""),1.0)</f>
        <v>1</v>
      </c>
      <c r="F864" s="1" t="str">
        <f>IFERROR(__xludf.DUMMYFUNCTION("""COMPUTED_VALUE""")," ++For every enemy killed with this item equipped +1 permanent ATK (0/100000)")</f>
        <v> ++For every enemy killed with this item equipped +1 permanent ATK (0/100000)</v>
      </c>
      <c r="G864" s="1">
        <f>IFERROR(__xludf.DUMMYFUNCTION("""COMPUTED_VALUE"""),0.0)</f>
        <v>0</v>
      </c>
      <c r="H864" s="1"/>
      <c r="I864" s="1"/>
      <c r="J864" s="1"/>
      <c r="K864" s="1"/>
      <c r="L864" s="1"/>
      <c r="M864" s="1"/>
      <c r="N864" s="1"/>
      <c r="O864" s="1"/>
      <c r="P864" s="1"/>
      <c r="Q864" s="1"/>
      <c r="R864" s="1"/>
      <c r="S864" s="1"/>
      <c r="T864" s="1"/>
      <c r="U864" s="1"/>
      <c r="V864" s="1"/>
      <c r="W864" s="1"/>
      <c r="X864" s="1"/>
      <c r="Y864" s="1"/>
      <c r="Z864" s="1"/>
    </row>
    <row r="865">
      <c r="A865" s="1" t="str">
        <f>IFERROR(__xludf.DUMMYFUNCTION("""COMPUTED_VALUE"""),"Salamander Boots")</f>
        <v>Salamander Boots</v>
      </c>
      <c r="B865" s="1"/>
      <c r="C865" s="1" t="str">
        <f>IFERROR(__xludf.DUMMYFUNCTION("""COMPUTED_VALUE"""),"Item")</f>
        <v>Item</v>
      </c>
      <c r="D865" s="1" t="str">
        <f>IFERROR(__xludf.DUMMYFUNCTION("""COMPUTED_VALUE"""),"Feet")</f>
        <v>Feet</v>
      </c>
      <c r="E865" s="1">
        <f>IFERROR(__xludf.DUMMYFUNCTION("""COMPUTED_VALUE"""),2000.0)</f>
        <v>2000</v>
      </c>
      <c r="F865" s="1" t="str">
        <f>IFERROR(__xludf.DUMMYFUNCTION("""COMPUTED_VALUE"""),", Fire DEF: +100000")</f>
        <v>, Fire DEF: +100000</v>
      </c>
      <c r="G865" s="1">
        <f>IFERROR(__xludf.DUMMYFUNCTION("""COMPUTED_VALUE"""),1.99E8)</f>
        <v>199000000</v>
      </c>
      <c r="H865" s="1"/>
      <c r="I865" s="1"/>
      <c r="J865" s="1"/>
      <c r="K865" s="1"/>
      <c r="L865" s="1"/>
      <c r="M865" s="1"/>
      <c r="N865" s="1"/>
      <c r="O865" s="1"/>
      <c r="P865" s="1"/>
      <c r="Q865" s="1"/>
      <c r="R865" s="1"/>
      <c r="S865" s="1"/>
      <c r="T865" s="1"/>
      <c r="U865" s="1"/>
      <c r="V865" s="1"/>
      <c r="W865" s="1"/>
      <c r="X865" s="1"/>
      <c r="Y865" s="1"/>
      <c r="Z865" s="1"/>
    </row>
    <row r="866">
      <c r="A866" s="1" t="str">
        <f>IFERROR(__xludf.DUMMYFUNCTION("""COMPUTED_VALUE"""),"Salamanderscale Chainmail")</f>
        <v>Salamanderscale Chainmail</v>
      </c>
      <c r="B866" s="1"/>
      <c r="C866" s="1" t="str">
        <f>IFERROR(__xludf.DUMMYFUNCTION("""COMPUTED_VALUE"""),"Item")</f>
        <v>Item</v>
      </c>
      <c r="D866" s="1" t="str">
        <f>IFERROR(__xludf.DUMMYFUNCTION("""COMPUTED_VALUE"""),"Torso")</f>
        <v>Torso</v>
      </c>
      <c r="E866" s="1">
        <f>IFERROR(__xludf.DUMMYFUNCTION("""COMPUTED_VALUE"""),2000.0)</f>
        <v>2000</v>
      </c>
      <c r="F866" s="1" t="str">
        <f>IFERROR(__xludf.DUMMYFUNCTION("""COMPUTED_VALUE"""),", Fire DEF: +120000, Water DEF: +-10000, Storm DEF: +-10000 +-Water and Storm deal additional 20000 damage to the wearer")</f>
        <v>, Fire DEF: +120000, Water DEF: +-10000, Storm DEF: +-10000 +-Water and Storm deal additional 20000 damage to the wearer</v>
      </c>
      <c r="G866" s="1">
        <f>IFERROR(__xludf.DUMMYFUNCTION("""COMPUTED_VALUE"""),1.99E8)</f>
        <v>199000000</v>
      </c>
      <c r="H866" s="1"/>
      <c r="I866" s="1"/>
      <c r="J866" s="1"/>
      <c r="K866" s="1"/>
      <c r="L866" s="1"/>
      <c r="M866" s="1"/>
      <c r="N866" s="1"/>
      <c r="O866" s="1"/>
      <c r="P866" s="1"/>
      <c r="Q866" s="1"/>
      <c r="R866" s="1"/>
      <c r="S866" s="1"/>
      <c r="T866" s="1"/>
      <c r="U866" s="1"/>
      <c r="V866" s="1"/>
      <c r="W866" s="1"/>
      <c r="X866" s="1"/>
      <c r="Y866" s="1"/>
      <c r="Z866" s="1"/>
    </row>
    <row r="867">
      <c r="A867" s="1" t="str">
        <f>IFERROR(__xludf.DUMMYFUNCTION("""COMPUTED_VALUE"""),"Iguanian Brawler's Headband")</f>
        <v>Iguanian Brawler's Headband</v>
      </c>
      <c r="B867" s="1"/>
      <c r="C867" s="1" t="str">
        <f>IFERROR(__xludf.DUMMYFUNCTION("""COMPUTED_VALUE"""),"Item")</f>
        <v>Item</v>
      </c>
      <c r="D867" s="1" t="str">
        <f>IFERROR(__xludf.DUMMYFUNCTION("""COMPUTED_VALUE"""),"Head")</f>
        <v>Head</v>
      </c>
      <c r="E867" s="1">
        <f>IFERROR(__xludf.DUMMYFUNCTION("""COMPUTED_VALUE"""),3000.0)</f>
        <v>3000</v>
      </c>
      <c r="F867" s="1" t="str">
        <f>IFERROR(__xludf.DUMMYFUNCTION("""COMPUTED_VALUE"""),"DEF: +150000, Water DEF: +50000, Nature DEF: +-50000")</f>
        <v>DEF: +150000, Water DEF: +50000, Nature DEF: +-50000</v>
      </c>
      <c r="G867" s="1">
        <f>IFERROR(__xludf.DUMMYFUNCTION("""COMPUTED_VALUE"""),4.485E8)</f>
        <v>448500000</v>
      </c>
      <c r="H867" s="1"/>
      <c r="I867" s="1"/>
      <c r="J867" s="1"/>
      <c r="K867" s="1"/>
      <c r="L867" s="1"/>
      <c r="M867" s="1"/>
      <c r="N867" s="1"/>
      <c r="O867" s="1"/>
      <c r="P867" s="1"/>
      <c r="Q867" s="1"/>
      <c r="R867" s="1"/>
      <c r="S867" s="1"/>
      <c r="T867" s="1"/>
      <c r="U867" s="1"/>
      <c r="V867" s="1"/>
      <c r="W867" s="1"/>
      <c r="X867" s="1"/>
      <c r="Y867" s="1"/>
      <c r="Z867" s="1"/>
    </row>
    <row r="868">
      <c r="A868" s="1" t="str">
        <f>IFERROR(__xludf.DUMMYFUNCTION("""COMPUTED_VALUE"""),"Iguanian Brawler's Cape")</f>
        <v>Iguanian Brawler's Cape</v>
      </c>
      <c r="B868" s="1"/>
      <c r="C868" s="1" t="str">
        <f>IFERROR(__xludf.DUMMYFUNCTION("""COMPUTED_VALUE"""),"Item")</f>
        <v>Item</v>
      </c>
      <c r="D868" s="1" t="str">
        <f>IFERROR(__xludf.DUMMYFUNCTION("""COMPUTED_VALUE"""),"Shoulders")</f>
        <v>Shoulders</v>
      </c>
      <c r="E868" s="1">
        <f>IFERROR(__xludf.DUMMYFUNCTION("""COMPUTED_VALUE"""),3000.0)</f>
        <v>3000</v>
      </c>
      <c r="F868" s="1" t="str">
        <f>IFERROR(__xludf.DUMMYFUNCTION("""COMPUTED_VALUE"""),"DEF: +150000, Water DEF: +50000, Nature DEF: +-50000")</f>
        <v>DEF: +150000, Water DEF: +50000, Nature DEF: +-50000</v>
      </c>
      <c r="G868" s="1">
        <f>IFERROR(__xludf.DUMMYFUNCTION("""COMPUTED_VALUE"""),4.485E8)</f>
        <v>448500000</v>
      </c>
      <c r="H868" s="1"/>
      <c r="I868" s="1"/>
      <c r="J868" s="1"/>
      <c r="K868" s="1"/>
      <c r="L868" s="1"/>
      <c r="M868" s="1"/>
      <c r="N868" s="1"/>
      <c r="O868" s="1"/>
      <c r="P868" s="1"/>
      <c r="Q868" s="1"/>
      <c r="R868" s="1"/>
      <c r="S868" s="1"/>
      <c r="T868" s="1"/>
      <c r="U868" s="1"/>
      <c r="V868" s="1"/>
      <c r="W868" s="1"/>
      <c r="X868" s="1"/>
      <c r="Y868" s="1"/>
      <c r="Z868" s="1"/>
    </row>
    <row r="869">
      <c r="A869" s="1" t="str">
        <f>IFERROR(__xludf.DUMMYFUNCTION("""COMPUTED_VALUE"""),"Iguanian Brawler's Sash")</f>
        <v>Iguanian Brawler's Sash</v>
      </c>
      <c r="B869" s="1"/>
      <c r="C869" s="1" t="str">
        <f>IFERROR(__xludf.DUMMYFUNCTION("""COMPUTED_VALUE"""),"Item")</f>
        <v>Item</v>
      </c>
      <c r="D869" s="1" t="str">
        <f>IFERROR(__xludf.DUMMYFUNCTION("""COMPUTED_VALUE"""),"Torso")</f>
        <v>Torso</v>
      </c>
      <c r="E869" s="1">
        <f>IFERROR(__xludf.DUMMYFUNCTION("""COMPUTED_VALUE"""),3000.0)</f>
        <v>3000</v>
      </c>
      <c r="F869" s="1" t="str">
        <f>IFERROR(__xludf.DUMMYFUNCTION("""COMPUTED_VALUE"""),"DEF: +150000, Water DEF: +50000, Nature DEF: +-50000")</f>
        <v>DEF: +150000, Water DEF: +50000, Nature DEF: +-50000</v>
      </c>
      <c r="G869" s="1">
        <f>IFERROR(__xludf.DUMMYFUNCTION("""COMPUTED_VALUE"""),4.485E8)</f>
        <v>448500000</v>
      </c>
      <c r="H869" s="1"/>
      <c r="I869" s="1"/>
      <c r="J869" s="1"/>
      <c r="K869" s="1"/>
      <c r="L869" s="1"/>
      <c r="M869" s="1"/>
      <c r="N869" s="1"/>
      <c r="O869" s="1"/>
      <c r="P869" s="1"/>
      <c r="Q869" s="1"/>
      <c r="R869" s="1"/>
      <c r="S869" s="1"/>
      <c r="T869" s="1"/>
      <c r="U869" s="1"/>
      <c r="V869" s="1"/>
      <c r="W869" s="1"/>
      <c r="X869" s="1"/>
      <c r="Y869" s="1"/>
      <c r="Z869" s="1"/>
    </row>
    <row r="870">
      <c r="A870" s="1" t="str">
        <f>IFERROR(__xludf.DUMMYFUNCTION("""COMPUTED_VALUE"""),"Iguanian Brawler's Arm Wraps")</f>
        <v>Iguanian Brawler's Arm Wraps</v>
      </c>
      <c r="B870" s="1"/>
      <c r="C870" s="1" t="str">
        <f>IFERROR(__xludf.DUMMYFUNCTION("""COMPUTED_VALUE"""),"Item")</f>
        <v>Item</v>
      </c>
      <c r="D870" s="1" t="str">
        <f>IFERROR(__xludf.DUMMYFUNCTION("""COMPUTED_VALUE"""),"Arms")</f>
        <v>Arms</v>
      </c>
      <c r="E870" s="1">
        <f>IFERROR(__xludf.DUMMYFUNCTION("""COMPUTED_VALUE"""),3000.0)</f>
        <v>3000</v>
      </c>
      <c r="F870" s="1" t="str">
        <f>IFERROR(__xludf.DUMMYFUNCTION("""COMPUTED_VALUE"""),"DEF: +150000, Water DEF: +50000, Nature DEF: +-50000")</f>
        <v>DEF: +150000, Water DEF: +50000, Nature DEF: +-50000</v>
      </c>
      <c r="G870" s="1">
        <f>IFERROR(__xludf.DUMMYFUNCTION("""COMPUTED_VALUE"""),4.485E8)</f>
        <v>448500000</v>
      </c>
      <c r="H870" s="1"/>
      <c r="I870" s="1"/>
      <c r="J870" s="1"/>
      <c r="K870" s="1"/>
      <c r="L870" s="1"/>
      <c r="M870" s="1"/>
      <c r="N870" s="1"/>
      <c r="O870" s="1"/>
      <c r="P870" s="1"/>
      <c r="Q870" s="1"/>
      <c r="R870" s="1"/>
      <c r="S870" s="1"/>
      <c r="T870" s="1"/>
      <c r="U870" s="1"/>
      <c r="V870" s="1"/>
      <c r="W870" s="1"/>
      <c r="X870" s="1"/>
      <c r="Y870" s="1"/>
      <c r="Z870" s="1"/>
    </row>
    <row r="871">
      <c r="A871" s="1" t="str">
        <f>IFERROR(__xludf.DUMMYFUNCTION("""COMPUTED_VALUE"""),"Iguanian Brawler's Shorts")</f>
        <v>Iguanian Brawler's Shorts</v>
      </c>
      <c r="B871" s="1"/>
      <c r="C871" s="1" t="str">
        <f>IFERROR(__xludf.DUMMYFUNCTION("""COMPUTED_VALUE"""),"Item")</f>
        <v>Item</v>
      </c>
      <c r="D871" s="1" t="str">
        <f>IFERROR(__xludf.DUMMYFUNCTION("""COMPUTED_VALUE"""),"Legs")</f>
        <v>Legs</v>
      </c>
      <c r="E871" s="1">
        <f>IFERROR(__xludf.DUMMYFUNCTION("""COMPUTED_VALUE"""),3000.0)</f>
        <v>3000</v>
      </c>
      <c r="F871" s="1" t="str">
        <f>IFERROR(__xludf.DUMMYFUNCTION("""COMPUTED_VALUE"""),"DEF: +150000, Water DEF: +50000, Nature DEF: +-50000")</f>
        <v>DEF: +150000, Water DEF: +50000, Nature DEF: +-50000</v>
      </c>
      <c r="G871" s="1">
        <f>IFERROR(__xludf.DUMMYFUNCTION("""COMPUTED_VALUE"""),4.485E8)</f>
        <v>448500000</v>
      </c>
      <c r="H871" s="1"/>
      <c r="I871" s="1"/>
      <c r="J871" s="1"/>
      <c r="K871" s="1"/>
      <c r="L871" s="1"/>
      <c r="M871" s="1"/>
      <c r="N871" s="1"/>
      <c r="O871" s="1"/>
      <c r="P871" s="1"/>
      <c r="Q871" s="1"/>
      <c r="R871" s="1"/>
      <c r="S871" s="1"/>
      <c r="T871" s="1"/>
      <c r="U871" s="1"/>
      <c r="V871" s="1"/>
      <c r="W871" s="1"/>
      <c r="X871" s="1"/>
      <c r="Y871" s="1"/>
      <c r="Z871" s="1"/>
    </row>
    <row r="872">
      <c r="A872" s="1" t="str">
        <f>IFERROR(__xludf.DUMMYFUNCTION("""COMPUTED_VALUE"""),"Iguanian Brawler's Sandals")</f>
        <v>Iguanian Brawler's Sandals</v>
      </c>
      <c r="B872" s="1"/>
      <c r="C872" s="1" t="str">
        <f>IFERROR(__xludf.DUMMYFUNCTION("""COMPUTED_VALUE"""),"Item")</f>
        <v>Item</v>
      </c>
      <c r="D872" s="1" t="str">
        <f>IFERROR(__xludf.DUMMYFUNCTION("""COMPUTED_VALUE"""),"Feet")</f>
        <v>Feet</v>
      </c>
      <c r="E872" s="1">
        <f>IFERROR(__xludf.DUMMYFUNCTION("""COMPUTED_VALUE"""),3000.0)</f>
        <v>3000</v>
      </c>
      <c r="F872" s="1" t="str">
        <f>IFERROR(__xludf.DUMMYFUNCTION("""COMPUTED_VALUE"""),"DEF: +150000, Water DEF: +50000, Nature DEF: +-50000")</f>
        <v>DEF: +150000, Water DEF: +50000, Nature DEF: +-50000</v>
      </c>
      <c r="G872" s="1">
        <f>IFERROR(__xludf.DUMMYFUNCTION("""COMPUTED_VALUE"""),4.485E8)</f>
        <v>448500000</v>
      </c>
      <c r="H872" s="1"/>
      <c r="I872" s="1"/>
      <c r="J872" s="1"/>
      <c r="K872" s="1"/>
      <c r="L872" s="1"/>
      <c r="M872" s="1"/>
      <c r="N872" s="1"/>
      <c r="O872" s="1"/>
      <c r="P872" s="1"/>
      <c r="Q872" s="1"/>
      <c r="R872" s="1"/>
      <c r="S872" s="1"/>
      <c r="T872" s="1"/>
      <c r="U872" s="1"/>
      <c r="V872" s="1"/>
      <c r="W872" s="1"/>
      <c r="X872" s="1"/>
      <c r="Y872" s="1"/>
      <c r="Z872" s="1"/>
    </row>
    <row r="873">
      <c r="A873" s="1" t="str">
        <f>IFERROR(__xludf.DUMMYFUNCTION("""COMPUTED_VALUE"""),"Iguanian Brawler's Knuckles")</f>
        <v>Iguanian Brawler's Knuckles</v>
      </c>
      <c r="B873" s="1"/>
      <c r="C873" s="1" t="str">
        <f>IFERROR(__xludf.DUMMYFUNCTION("""COMPUTED_VALUE"""),"Gauntlet")</f>
        <v>Gauntlet</v>
      </c>
      <c r="D873" s="1" t="str">
        <f>IFERROR(__xludf.DUMMYFUNCTION("""COMPUTED_VALUE"""),"Hand")</f>
        <v>Hand</v>
      </c>
      <c r="E873" s="1">
        <f>IFERROR(__xludf.DUMMYFUNCTION("""COMPUTED_VALUE"""),3000.0)</f>
        <v>3000</v>
      </c>
      <c r="F873" s="1" t="str">
        <f>IFERROR(__xludf.DUMMYFUNCTION("""COMPUTED_VALUE"""),"DEF: +100000, Water DEF: +50000")</f>
        <v>DEF: +100000, Water DEF: +50000</v>
      </c>
      <c r="G873" s="1">
        <f>IFERROR(__xludf.DUMMYFUNCTION("""COMPUTED_VALUE"""),4.485E8)</f>
        <v>448500000</v>
      </c>
      <c r="H873" s="1"/>
      <c r="I873" s="1"/>
      <c r="J873" s="1"/>
      <c r="K873" s="1"/>
      <c r="L873" s="1"/>
      <c r="M873" s="1"/>
      <c r="N873" s="1"/>
      <c r="O873" s="1"/>
      <c r="P873" s="1"/>
      <c r="Q873" s="1"/>
      <c r="R873" s="1"/>
      <c r="S873" s="1"/>
      <c r="T873" s="1"/>
      <c r="U873" s="1"/>
      <c r="V873" s="1"/>
      <c r="W873" s="1"/>
      <c r="X873" s="1"/>
      <c r="Y873" s="1"/>
      <c r="Z873" s="1"/>
    </row>
    <row r="874">
      <c r="A874" s="1" t="str">
        <f>IFERROR(__xludf.DUMMYFUNCTION("""COMPUTED_VALUE"""),"Iguanian Brawler's Ring")</f>
        <v>Iguanian Brawler's Ring</v>
      </c>
      <c r="B874" s="1"/>
      <c r="C874" s="1"/>
      <c r="D874" s="1" t="str">
        <f>IFERROR(__xludf.DUMMYFUNCTION("""COMPUTED_VALUE"""),"Finger")</f>
        <v>Finger</v>
      </c>
      <c r="E874" s="1">
        <f>IFERROR(__xludf.DUMMYFUNCTION("""COMPUTED_VALUE"""),1.0)</f>
        <v>1</v>
      </c>
      <c r="F874" s="1" t="str">
        <f>IFERROR(__xludf.DUMMYFUNCTION("""COMPUTED_VALUE""")," ++X10 Natural Attack damage")</f>
        <v> ++X10 Natural Attack damage</v>
      </c>
      <c r="G874" s="1">
        <f>IFERROR(__xludf.DUMMYFUNCTION("""COMPUTED_VALUE"""),0.0)</f>
        <v>0</v>
      </c>
      <c r="H874" s="1"/>
      <c r="I874" s="1"/>
      <c r="J874" s="1"/>
      <c r="K874" s="1"/>
      <c r="L874" s="1"/>
      <c r="M874" s="1"/>
      <c r="N874" s="1"/>
      <c r="O874" s="1"/>
      <c r="P874" s="1"/>
      <c r="Q874" s="1"/>
      <c r="R874" s="1"/>
      <c r="S874" s="1"/>
      <c r="T874" s="1"/>
      <c r="U874" s="1"/>
      <c r="V874" s="1"/>
      <c r="W874" s="1"/>
      <c r="X874" s="1"/>
      <c r="Y874" s="1"/>
      <c r="Z874" s="1"/>
    </row>
    <row r="875">
      <c r="A875" s="1" t="str">
        <f>IFERROR(__xludf.DUMMYFUNCTION("""COMPUTED_VALUE"""),"Cursed Ring of Sudden Death")</f>
        <v>Cursed Ring of Sudden Death</v>
      </c>
      <c r="B875" s="1"/>
      <c r="C875" s="1" t="str">
        <f>IFERROR(__xludf.DUMMYFUNCTION("""COMPUTED_VALUE"""),"Item")</f>
        <v>Item</v>
      </c>
      <c r="D875" s="1" t="str">
        <f>IFERROR(__xludf.DUMMYFUNCTION("""COMPUTED_VALUE"""),"Finger")</f>
        <v>Finger</v>
      </c>
      <c r="E875" s="1">
        <f>IFERROR(__xludf.DUMMYFUNCTION("""COMPUTED_VALUE"""),1.0)</f>
        <v>1</v>
      </c>
      <c r="F875" s="1" t="str">
        <f>IFERROR(__xludf.DUMMYFUNCTION("""COMPUTED_VALUE""")," ++Can be manually activated at the beginning of battle, before turn order is set. When activated, all damage dealt to or by the wearer results in instant death for the battle. +-Cannot be forged or duplicated")</f>
        <v> ++Can be manually activated at the beginning of battle, before turn order is set. When activated, all damage dealt to or by the wearer results in instant death for the battle. +-Cannot be forged or duplicated</v>
      </c>
      <c r="G875" s="1">
        <f>IFERROR(__xludf.DUMMYFUNCTION("""COMPUTED_VALUE"""),0.0)</f>
        <v>0</v>
      </c>
      <c r="H875" s="1"/>
      <c r="I875" s="1"/>
      <c r="J875" s="1"/>
      <c r="K875" s="1"/>
      <c r="L875" s="1"/>
      <c r="M875" s="1"/>
      <c r="N875" s="1"/>
      <c r="O875" s="1"/>
      <c r="P875" s="1"/>
      <c r="Q875" s="1"/>
      <c r="R875" s="1"/>
      <c r="S875" s="1"/>
      <c r="T875" s="1"/>
      <c r="U875" s="1"/>
      <c r="V875" s="1"/>
      <c r="W875" s="1"/>
      <c r="X875" s="1"/>
      <c r="Y875" s="1"/>
      <c r="Z875" s="1"/>
    </row>
    <row r="876">
      <c r="A876" s="1" t="str">
        <f>IFERROR(__xludf.DUMMYFUNCTION("""COMPUTED_VALUE"""),"Ring of Action")</f>
        <v>Ring of Action</v>
      </c>
      <c r="B876" s="1"/>
      <c r="C876" s="1" t="str">
        <f>IFERROR(__xludf.DUMMYFUNCTION("""COMPUTED_VALUE"""),"Item")</f>
        <v>Item</v>
      </c>
      <c r="D876" s="1" t="str">
        <f>IFERROR(__xludf.DUMMYFUNCTION("""COMPUTED_VALUE"""),"Finger")</f>
        <v>Finger</v>
      </c>
      <c r="E876" s="1">
        <f>IFERROR(__xludf.DUMMYFUNCTION("""COMPUTED_VALUE"""),1.0)</f>
        <v>1</v>
      </c>
      <c r="F876" s="1" t="str">
        <f>IFERROR(__xludf.DUMMYFUNCTION("""COMPUTED_VALUE""")," ++10000 SP")</f>
        <v> ++10000 SP</v>
      </c>
      <c r="G876" s="1">
        <f>IFERROR(__xludf.DUMMYFUNCTION("""COMPUTED_VALUE"""),0.0)</f>
        <v>0</v>
      </c>
      <c r="H876" s="1"/>
      <c r="I876" s="1"/>
      <c r="J876" s="1"/>
      <c r="K876" s="1"/>
      <c r="L876" s="1"/>
      <c r="M876" s="1"/>
      <c r="N876" s="1"/>
      <c r="O876" s="1"/>
      <c r="P876" s="1"/>
      <c r="Q876" s="1"/>
      <c r="R876" s="1"/>
      <c r="S876" s="1"/>
      <c r="T876" s="1"/>
      <c r="U876" s="1"/>
      <c r="V876" s="1"/>
      <c r="W876" s="1"/>
      <c r="X876" s="1"/>
      <c r="Y876" s="1"/>
      <c r="Z876" s="1"/>
    </row>
    <row r="877">
      <c r="A877" s="1" t="str">
        <f>IFERROR(__xludf.DUMMYFUNCTION("""COMPUTED_VALUE"""),"Iguanian Mage Hat")</f>
        <v>Iguanian Mage Hat</v>
      </c>
      <c r="B877" s="1"/>
      <c r="C877" s="1" t="str">
        <f>IFERROR(__xludf.DUMMYFUNCTION("""COMPUTED_VALUE"""),"Item")</f>
        <v>Item</v>
      </c>
      <c r="D877" s="1"/>
      <c r="E877" s="1">
        <f>IFERROR(__xludf.DUMMYFUNCTION("""COMPUTED_VALUE"""),1.0)</f>
        <v>1</v>
      </c>
      <c r="F877" s="1" t="str">
        <f>IFERROR(__xludf.DUMMYFUNCTION("""COMPUTED_VALUE""")," ++10000 hp and sp")</f>
        <v> ++10000 hp and sp</v>
      </c>
      <c r="G877" s="1">
        <f>IFERROR(__xludf.DUMMYFUNCTION("""COMPUTED_VALUE"""),0.0)</f>
        <v>0</v>
      </c>
      <c r="H877" s="1"/>
      <c r="I877" s="1"/>
      <c r="J877" s="1"/>
      <c r="K877" s="1"/>
      <c r="L877" s="1"/>
      <c r="M877" s="1"/>
      <c r="N877" s="1"/>
      <c r="O877" s="1"/>
      <c r="P877" s="1"/>
      <c r="Q877" s="1"/>
      <c r="R877" s="1"/>
      <c r="S877" s="1"/>
      <c r="T877" s="1"/>
      <c r="U877" s="1"/>
      <c r="V877" s="1"/>
      <c r="W877" s="1"/>
      <c r="X877" s="1"/>
      <c r="Y877" s="1"/>
      <c r="Z877" s="1"/>
    </row>
    <row r="878">
      <c r="A878" s="1" t="str">
        <f>IFERROR(__xludf.DUMMYFUNCTION("""COMPUTED_VALUE"""),"Iguanian Mage Robes")</f>
        <v>Iguanian Mage Robes</v>
      </c>
      <c r="B878" s="1"/>
      <c r="C878" s="1" t="str">
        <f>IFERROR(__xludf.DUMMYFUNCTION("""COMPUTED_VALUE"""),"Item")</f>
        <v>Item</v>
      </c>
      <c r="D878" s="1"/>
      <c r="E878" s="1">
        <f>IFERROR(__xludf.DUMMYFUNCTION("""COMPUTED_VALUE"""),1.0)</f>
        <v>1</v>
      </c>
      <c r="F878" s="1" t="str">
        <f>IFERROR(__xludf.DUMMYFUNCTION("""COMPUTED_VALUE""")," ++10000 hp and sp")</f>
        <v> ++10000 hp and sp</v>
      </c>
      <c r="G878" s="1">
        <f>IFERROR(__xludf.DUMMYFUNCTION("""COMPUTED_VALUE"""),0.0)</f>
        <v>0</v>
      </c>
      <c r="H878" s="1"/>
      <c r="I878" s="1"/>
      <c r="J878" s="1"/>
      <c r="K878" s="1"/>
      <c r="L878" s="1"/>
      <c r="M878" s="1"/>
      <c r="N878" s="1"/>
      <c r="O878" s="1"/>
      <c r="P878" s="1"/>
      <c r="Q878" s="1"/>
      <c r="R878" s="1"/>
      <c r="S878" s="1"/>
      <c r="T878" s="1"/>
      <c r="U878" s="1"/>
      <c r="V878" s="1"/>
      <c r="W878" s="1"/>
      <c r="X878" s="1"/>
      <c r="Y878" s="1"/>
      <c r="Z878" s="1"/>
    </row>
    <row r="879">
      <c r="A879" s="1" t="str">
        <f>IFERROR(__xludf.DUMMYFUNCTION("""COMPUTED_VALUE"""),"Iguanian Mage Leggings")</f>
        <v>Iguanian Mage Leggings</v>
      </c>
      <c r="B879" s="1"/>
      <c r="C879" s="1" t="str">
        <f>IFERROR(__xludf.DUMMYFUNCTION("""COMPUTED_VALUE"""),"Item")</f>
        <v>Item</v>
      </c>
      <c r="D879" s="1"/>
      <c r="E879" s="1">
        <f>IFERROR(__xludf.DUMMYFUNCTION("""COMPUTED_VALUE"""),1.0)</f>
        <v>1</v>
      </c>
      <c r="F879" s="1" t="str">
        <f>IFERROR(__xludf.DUMMYFUNCTION("""COMPUTED_VALUE""")," ++10000 hp and sp")</f>
        <v> ++10000 hp and sp</v>
      </c>
      <c r="G879" s="1">
        <f>IFERROR(__xludf.DUMMYFUNCTION("""COMPUTED_VALUE"""),0.0)</f>
        <v>0</v>
      </c>
      <c r="H879" s="1"/>
      <c r="I879" s="1"/>
      <c r="J879" s="1"/>
      <c r="K879" s="1"/>
      <c r="L879" s="1"/>
      <c r="M879" s="1"/>
      <c r="N879" s="1"/>
      <c r="O879" s="1"/>
      <c r="P879" s="1"/>
      <c r="Q879" s="1"/>
      <c r="R879" s="1"/>
      <c r="S879" s="1"/>
      <c r="T879" s="1"/>
      <c r="U879" s="1"/>
      <c r="V879" s="1"/>
      <c r="W879" s="1"/>
      <c r="X879" s="1"/>
      <c r="Y879" s="1"/>
      <c r="Z879" s="1"/>
    </row>
    <row r="880">
      <c r="A880" s="1" t="str">
        <f>IFERROR(__xludf.DUMMYFUNCTION("""COMPUTED_VALUE"""),"Iguanian Mage Pointed Shoes")</f>
        <v>Iguanian Mage Pointed Shoes</v>
      </c>
      <c r="B880" s="1"/>
      <c r="C880" s="1" t="str">
        <f>IFERROR(__xludf.DUMMYFUNCTION("""COMPUTED_VALUE"""),"Item")</f>
        <v>Item</v>
      </c>
      <c r="D880" s="1"/>
      <c r="E880" s="1">
        <f>IFERROR(__xludf.DUMMYFUNCTION("""COMPUTED_VALUE"""),1.0)</f>
        <v>1</v>
      </c>
      <c r="F880" s="1" t="str">
        <f>IFERROR(__xludf.DUMMYFUNCTION("""COMPUTED_VALUE""")," ++10000 hp and sp")</f>
        <v> ++10000 hp and sp</v>
      </c>
      <c r="G880" s="1">
        <f>IFERROR(__xludf.DUMMYFUNCTION("""COMPUTED_VALUE"""),0.0)</f>
        <v>0</v>
      </c>
      <c r="H880" s="1"/>
      <c r="I880" s="1"/>
      <c r="J880" s="1"/>
      <c r="K880" s="1"/>
      <c r="L880" s="1"/>
      <c r="M880" s="1"/>
      <c r="N880" s="1"/>
      <c r="O880" s="1"/>
      <c r="P880" s="1"/>
      <c r="Q880" s="1"/>
      <c r="R880" s="1"/>
      <c r="S880" s="1"/>
      <c r="T880" s="1"/>
      <c r="U880" s="1"/>
      <c r="V880" s="1"/>
      <c r="W880" s="1"/>
      <c r="X880" s="1"/>
      <c r="Y880" s="1"/>
      <c r="Z880" s="1"/>
    </row>
    <row r="881">
      <c r="A881" s="1" t="str">
        <f>IFERROR(__xludf.DUMMYFUNCTION("""COMPUTED_VALUE"""),"Iguanian Mage Staff of Hail")</f>
        <v>Iguanian Mage Staff of Hail</v>
      </c>
      <c r="B881" s="1"/>
      <c r="C881" s="1" t="str">
        <f>IFERROR(__xludf.DUMMYFUNCTION("""COMPUTED_VALUE"""),"Staff")</f>
        <v>Staff</v>
      </c>
      <c r="D881" s="1"/>
      <c r="E881" s="1">
        <f>IFERROR(__xludf.DUMMYFUNCTION("""COMPUTED_VALUE"""),1.0)</f>
        <v>1</v>
      </c>
      <c r="F881" s="1" t="str">
        <f>IFERROR(__xludf.DUMMYFUNCTION("""COMPUTED_VALUE""")," ++Iguanian Tidecall: Inflicts 25000XWisdom Water damage on all enemies sp cost: 1000XWisdom sp. ++Iguanian Mage's Staff: X5 to all Water and Storm Damage ")</f>
        <v> ++Iguanian Tidecall: Inflicts 25000XWisdom Water damage on all enemies sp cost: 1000XWisdom sp. ++Iguanian Mage's Staff: X5 to all Water and Storm Damage </v>
      </c>
      <c r="G881" s="1">
        <f>IFERROR(__xludf.DUMMYFUNCTION("""COMPUTED_VALUE"""),0.0)</f>
        <v>0</v>
      </c>
      <c r="H881" s="1"/>
      <c r="I881" s="1"/>
      <c r="J881" s="1"/>
      <c r="K881" s="1"/>
      <c r="L881" s="1"/>
      <c r="M881" s="1"/>
      <c r="N881" s="1"/>
      <c r="O881" s="1"/>
      <c r="P881" s="1"/>
      <c r="Q881" s="1"/>
      <c r="R881" s="1"/>
      <c r="S881" s="1"/>
      <c r="T881" s="1"/>
      <c r="U881" s="1"/>
      <c r="V881" s="1"/>
      <c r="W881" s="1"/>
      <c r="X881" s="1"/>
      <c r="Y881" s="1"/>
      <c r="Z881" s="1"/>
    </row>
    <row r="882">
      <c r="A882" s="1" t="str">
        <f>IFERROR(__xludf.DUMMYFUNCTION("""COMPUTED_VALUE"""),"Blood Finger Ring")</f>
        <v>Blood Finger Ring</v>
      </c>
      <c r="B882" s="1"/>
      <c r="C882" s="1" t="str">
        <f>IFERROR(__xludf.DUMMYFUNCTION("""COMPUTED_VALUE"""),"Item")</f>
        <v>Item</v>
      </c>
      <c r="D882" s="1" t="str">
        <f>IFERROR(__xludf.DUMMYFUNCTION("""COMPUTED_VALUE"""),"Finger")</f>
        <v>Finger</v>
      </c>
      <c r="E882" s="1">
        <f>IFERROR(__xludf.DUMMYFUNCTION("""COMPUTED_VALUE"""),1.0)</f>
        <v>1</v>
      </c>
      <c r="F882" s="1" t="str">
        <f>IFERROR(__xludf.DUMMYFUNCTION("""COMPUTED_VALUE""")," ++Once per battle, if HP&lt;110, heal 10000 HP +-Cannot be forged or duplicated")</f>
        <v> ++Once per battle, if HP&lt;110, heal 10000 HP +-Cannot be forged or duplicated</v>
      </c>
      <c r="G882" s="1">
        <f>IFERROR(__xludf.DUMMYFUNCTION("""COMPUTED_VALUE"""),0.0)</f>
        <v>0</v>
      </c>
      <c r="H882" s="1"/>
      <c r="I882" s="1"/>
      <c r="J882" s="1"/>
      <c r="K882" s="1"/>
      <c r="L882" s="1"/>
      <c r="M882" s="1"/>
      <c r="N882" s="1"/>
      <c r="O882" s="1"/>
      <c r="P882" s="1"/>
      <c r="Q882" s="1"/>
      <c r="R882" s="1"/>
      <c r="S882" s="1"/>
      <c r="T882" s="1"/>
      <c r="U882" s="1"/>
      <c r="V882" s="1"/>
      <c r="W882" s="1"/>
      <c r="X882" s="1"/>
      <c r="Y882" s="1"/>
      <c r="Z882" s="1"/>
    </row>
    <row r="883">
      <c r="A883" s="1" t="str">
        <f>IFERROR(__xludf.DUMMYFUNCTION("""COMPUTED_VALUE"""),"Finger Food Ring")</f>
        <v>Finger Food Ring</v>
      </c>
      <c r="B883" s="1"/>
      <c r="C883" s="1" t="str">
        <f>IFERROR(__xludf.DUMMYFUNCTION("""COMPUTED_VALUE"""),"Item")</f>
        <v>Item</v>
      </c>
      <c r="D883" s="1" t="str">
        <f>IFERROR(__xludf.DUMMYFUNCTION("""COMPUTED_VALUE"""),"Finger")</f>
        <v>Finger</v>
      </c>
      <c r="E883" s="1">
        <f>IFERROR(__xludf.DUMMYFUNCTION("""COMPUTED_VALUE"""),1.0)</f>
        <v>1</v>
      </c>
      <c r="F883" s="1" t="str">
        <f>IFERROR(__xludf.DUMMYFUNCTION("""COMPUTED_VALUE""")," ++Once per journey, consume one piece of food without it being removed from inventory +-Cannot be forged or duplicated")</f>
        <v> ++Once per journey, consume one piece of food without it being removed from inventory +-Cannot be forged or duplicated</v>
      </c>
      <c r="G883" s="1">
        <f>IFERROR(__xludf.DUMMYFUNCTION("""COMPUTED_VALUE"""),0.0)</f>
        <v>0</v>
      </c>
      <c r="H883" s="1"/>
      <c r="I883" s="1"/>
      <c r="J883" s="1"/>
      <c r="K883" s="1"/>
      <c r="L883" s="1"/>
      <c r="M883" s="1"/>
      <c r="N883" s="1"/>
      <c r="O883" s="1"/>
      <c r="P883" s="1"/>
      <c r="Q883" s="1"/>
      <c r="R883" s="1"/>
      <c r="S883" s="1"/>
      <c r="T883" s="1"/>
      <c r="U883" s="1"/>
      <c r="V883" s="1"/>
      <c r="W883" s="1"/>
      <c r="X883" s="1"/>
      <c r="Y883" s="1"/>
      <c r="Z883" s="1"/>
    </row>
    <row r="884">
      <c r="A884" s="1" t="str">
        <f>IFERROR(__xludf.DUMMYFUNCTION("""COMPUTED_VALUE"""),"Ring of Power")</f>
        <v>Ring of Power</v>
      </c>
      <c r="B884" s="1"/>
      <c r="C884" s="1" t="str">
        <f>IFERROR(__xludf.DUMMYFUNCTION("""COMPUTED_VALUE"""),"Item")</f>
        <v>Item</v>
      </c>
      <c r="D884" s="1" t="str">
        <f>IFERROR(__xludf.DUMMYFUNCTION("""COMPUTED_VALUE"""),"Finger")</f>
        <v>Finger</v>
      </c>
      <c r="E884" s="1">
        <f>IFERROR(__xludf.DUMMYFUNCTION("""COMPUTED_VALUE"""),1.0)</f>
        <v>1</v>
      </c>
      <c r="F884" s="1" t="str">
        <f>IFERROR(__xludf.DUMMYFUNCTION("""COMPUTED_VALUE""")," ++1500 ATK and ACC")</f>
        <v> ++1500 ATK and ACC</v>
      </c>
      <c r="G884" s="1">
        <f>IFERROR(__xludf.DUMMYFUNCTION("""COMPUTED_VALUE"""),0.0)</f>
        <v>0</v>
      </c>
      <c r="H884" s="1"/>
      <c r="I884" s="1"/>
      <c r="J884" s="1"/>
      <c r="K884" s="1"/>
      <c r="L884" s="1"/>
      <c r="M884" s="1"/>
      <c r="N884" s="1"/>
      <c r="O884" s="1"/>
      <c r="P884" s="1"/>
      <c r="Q884" s="1"/>
      <c r="R884" s="1"/>
      <c r="S884" s="1"/>
      <c r="T884" s="1"/>
      <c r="U884" s="1"/>
      <c r="V884" s="1"/>
      <c r="W884" s="1"/>
      <c r="X884" s="1"/>
      <c r="Y884" s="1"/>
      <c r="Z884" s="1"/>
    </row>
    <row r="885">
      <c r="A885" s="1" t="str">
        <f>IFERROR(__xludf.DUMMYFUNCTION("""COMPUTED_VALUE"""),"Axe of Red")</f>
        <v>Axe of Red</v>
      </c>
      <c r="B885" s="1"/>
      <c r="C885" s="1" t="str">
        <f>IFERROR(__xludf.DUMMYFUNCTION("""COMPUTED_VALUE"""),"Axe")</f>
        <v>Axe</v>
      </c>
      <c r="D885" s="1" t="str">
        <f>IFERROR(__xludf.DUMMYFUNCTION("""COMPUTED_VALUE"""),"Hand")</f>
        <v>Hand</v>
      </c>
      <c r="E885" s="1">
        <f>IFERROR(__xludf.DUMMYFUNCTION("""COMPUTED_VALUE"""),4500.0)</f>
        <v>4500</v>
      </c>
      <c r="F885" s="1" t="str">
        <f>IFERROR(__xludf.DUMMYFUNCTION("""COMPUTED_VALUE"""),", Fire DMG: +75000, Chaos DMG: +75000, Blood DMG: +75000")</f>
        <v>, Fire DMG: +75000, Chaos DMG: +75000, Blood DMG: +75000</v>
      </c>
      <c r="G885" s="1">
        <f>IFERROR(__xludf.DUMMYFUNCTION("""COMPUTED_VALUE"""),1.01025E9)</f>
        <v>1010250000</v>
      </c>
      <c r="H885" s="1"/>
      <c r="I885" s="1"/>
      <c r="J885" s="1"/>
      <c r="K885" s="1"/>
      <c r="L885" s="1"/>
      <c r="M885" s="1"/>
      <c r="N885" s="1"/>
      <c r="O885" s="1"/>
      <c r="P885" s="1"/>
      <c r="Q885" s="1"/>
      <c r="R885" s="1"/>
      <c r="S885" s="1"/>
      <c r="T885" s="1"/>
      <c r="U885" s="1"/>
      <c r="V885" s="1"/>
      <c r="W885" s="1"/>
      <c r="X885" s="1"/>
      <c r="Y885" s="1"/>
      <c r="Z885" s="1"/>
    </row>
    <row r="886">
      <c r="A886" s="1" t="str">
        <f>IFERROR(__xludf.DUMMYFUNCTION("""COMPUTED_VALUE"""),"Wyrmscale Staff")</f>
        <v>Wyrmscale Staff</v>
      </c>
      <c r="B886" s="1"/>
      <c r="C886" s="1" t="str">
        <f>IFERROR(__xludf.DUMMYFUNCTION("""COMPUTED_VALUE"""),"Staff")</f>
        <v>Staff</v>
      </c>
      <c r="D886" s="1" t="str">
        <f>IFERROR(__xludf.DUMMYFUNCTION("""COMPUTED_VALUE"""),"Hand")</f>
        <v>Hand</v>
      </c>
      <c r="E886" s="1">
        <f>IFERROR(__xludf.DUMMYFUNCTION("""COMPUTED_VALUE"""),1.0)</f>
        <v>1</v>
      </c>
      <c r="F886" s="1" t="str">
        <f>IFERROR(__xludf.DUMMYFUNCTION("""COMPUTED_VALUE""")," ++Spells have double effect when cast on dragons +-Cannot be forged or duplicated")</f>
        <v> ++Spells have double effect when cast on dragons +-Cannot be forged or duplicated</v>
      </c>
      <c r="G886" s="1">
        <f>IFERROR(__xludf.DUMMYFUNCTION("""COMPUTED_VALUE"""),0.0)</f>
        <v>0</v>
      </c>
      <c r="H886" s="1"/>
      <c r="I886" s="1"/>
      <c r="J886" s="1"/>
      <c r="K886" s="1"/>
      <c r="L886" s="1"/>
      <c r="M886" s="1"/>
      <c r="N886" s="1"/>
      <c r="O886" s="1"/>
      <c r="P886" s="1"/>
      <c r="Q886" s="1"/>
      <c r="R886" s="1"/>
      <c r="S886" s="1"/>
      <c r="T886" s="1"/>
      <c r="U886" s="1"/>
      <c r="V886" s="1"/>
      <c r="W886" s="1"/>
      <c r="X886" s="1"/>
      <c r="Y886" s="1"/>
      <c r="Z886" s="1"/>
    </row>
    <row r="887">
      <c r="A887" s="1" t="str">
        <f>IFERROR(__xludf.DUMMYFUNCTION("""COMPUTED_VALUE"""),"Wyrmscale Wand")</f>
        <v>Wyrmscale Wand</v>
      </c>
      <c r="B887" s="1"/>
      <c r="C887" s="1" t="str">
        <f>IFERROR(__xludf.DUMMYFUNCTION("""COMPUTED_VALUE"""),"Wand")</f>
        <v>Wand</v>
      </c>
      <c r="D887" s="1" t="str">
        <f>IFERROR(__xludf.DUMMYFUNCTION("""COMPUTED_VALUE"""),"Hand")</f>
        <v>Hand</v>
      </c>
      <c r="E887" s="1">
        <f>IFERROR(__xludf.DUMMYFUNCTION("""COMPUTED_VALUE"""),1.0)</f>
        <v>1</v>
      </c>
      <c r="F887" s="1" t="str">
        <f>IFERROR(__xludf.DUMMYFUNCTION("""COMPUTED_VALUE""")," ++Half the SP/HP cost of spells when in the presence of a dragon +-Cannot be forged or duplicated")</f>
        <v> ++Half the SP/HP cost of spells when in the presence of a dragon +-Cannot be forged or duplicated</v>
      </c>
      <c r="G887" s="1">
        <f>IFERROR(__xludf.DUMMYFUNCTION("""COMPUTED_VALUE"""),0.0)</f>
        <v>0</v>
      </c>
      <c r="H887" s="1"/>
      <c r="I887" s="1"/>
      <c r="J887" s="1"/>
      <c r="K887" s="1"/>
      <c r="L887" s="1"/>
      <c r="M887" s="1"/>
      <c r="N887" s="1"/>
      <c r="O887" s="1"/>
      <c r="P887" s="1"/>
      <c r="Q887" s="1"/>
      <c r="R887" s="1"/>
      <c r="S887" s="1"/>
      <c r="T887" s="1"/>
      <c r="U887" s="1"/>
      <c r="V887" s="1"/>
      <c r="W887" s="1"/>
      <c r="X887" s="1"/>
      <c r="Y887" s="1"/>
      <c r="Z887" s="1"/>
    </row>
    <row r="888">
      <c r="A888" s="1"/>
      <c r="B888" s="1" t="str">
        <f>IFERROR(__xludf.DUMMYFUNCTION("""COMPUTED_VALUE"""),"")</f>
        <v/>
      </c>
      <c r="C888" s="1" t="str">
        <f>IFERROR(__xludf.DUMMYFUNCTION("""COMPUTED_VALUE"""),"")</f>
        <v/>
      </c>
      <c r="D888" s="1" t="str">
        <f>IFERROR(__xludf.DUMMYFUNCTION("""COMPUTED_VALUE"""),"")</f>
        <v/>
      </c>
      <c r="E888" s="1" t="str">
        <f>IFERROR(__xludf.DUMMYFUNCTION("""COMPUTED_VALUE"""),"")</f>
        <v/>
      </c>
      <c r="F888" s="1" t="str">
        <f>IFERROR(__xludf.DUMMYFUNCTION("""COMPUTED_VALUE"""),"")</f>
        <v/>
      </c>
      <c r="G888" s="1" t="str">
        <f>IFERROR(__xludf.DUMMYFUNCTION("""COMPUTED_VALUE"""),"")</f>
        <v/>
      </c>
      <c r="H888" s="1"/>
      <c r="I888" s="1"/>
      <c r="J888" s="1"/>
      <c r="K888" s="1"/>
      <c r="L888" s="1"/>
      <c r="M888" s="1"/>
      <c r="N888" s="1"/>
      <c r="O888" s="1"/>
      <c r="P888" s="1"/>
      <c r="Q888" s="1"/>
      <c r="R888" s="1"/>
      <c r="S888" s="1"/>
      <c r="T888" s="1"/>
      <c r="U888" s="1"/>
      <c r="V888" s="1"/>
      <c r="W888" s="1"/>
      <c r="X888" s="1"/>
      <c r="Y888" s="1"/>
      <c r="Z888" s="1"/>
    </row>
    <row r="889">
      <c r="A889" s="1"/>
      <c r="B889" s="1" t="str">
        <f>IFERROR(__xludf.DUMMYFUNCTION("""COMPUTED_VALUE"""),"")</f>
        <v/>
      </c>
      <c r="C889" s="1" t="str">
        <f>IFERROR(__xludf.DUMMYFUNCTION("""COMPUTED_VALUE"""),"")</f>
        <v/>
      </c>
      <c r="D889" s="1" t="str">
        <f>IFERROR(__xludf.DUMMYFUNCTION("""COMPUTED_VALUE"""),"")</f>
        <v/>
      </c>
      <c r="E889" s="1" t="str">
        <f>IFERROR(__xludf.DUMMYFUNCTION("""COMPUTED_VALUE"""),"")</f>
        <v/>
      </c>
      <c r="F889" s="1" t="str">
        <f>IFERROR(__xludf.DUMMYFUNCTION("""COMPUTED_VALUE"""),"")</f>
        <v/>
      </c>
      <c r="G889" s="1" t="str">
        <f>IFERROR(__xludf.DUMMYFUNCTION("""COMPUTED_VALUE"""),"")</f>
        <v/>
      </c>
      <c r="H889" s="1"/>
      <c r="I889" s="1"/>
      <c r="J889" s="1"/>
      <c r="K889" s="1"/>
      <c r="L889" s="1"/>
      <c r="M889" s="1"/>
      <c r="N889" s="1"/>
      <c r="O889" s="1"/>
      <c r="P889" s="1"/>
      <c r="Q889" s="1"/>
      <c r="R889" s="1"/>
      <c r="S889" s="1"/>
      <c r="T889" s="1"/>
      <c r="U889" s="1"/>
      <c r="V889" s="1"/>
      <c r="W889" s="1"/>
      <c r="X889" s="1"/>
      <c r="Y889" s="1"/>
      <c r="Z889" s="1"/>
    </row>
    <row r="890">
      <c r="A890" s="1"/>
      <c r="B890" s="1" t="str">
        <f>IFERROR(__xludf.DUMMYFUNCTION("""COMPUTED_VALUE"""),"")</f>
        <v/>
      </c>
      <c r="C890" s="1" t="str">
        <f>IFERROR(__xludf.DUMMYFUNCTION("""COMPUTED_VALUE"""),"")</f>
        <v/>
      </c>
      <c r="D890" s="1" t="str">
        <f>IFERROR(__xludf.DUMMYFUNCTION("""COMPUTED_VALUE"""),"")</f>
        <v/>
      </c>
      <c r="E890" s="1" t="str">
        <f>IFERROR(__xludf.DUMMYFUNCTION("""COMPUTED_VALUE"""),"")</f>
        <v/>
      </c>
      <c r="F890" s="1" t="str">
        <f>IFERROR(__xludf.DUMMYFUNCTION("""COMPUTED_VALUE"""),"")</f>
        <v/>
      </c>
      <c r="G890" s="1" t="str">
        <f>IFERROR(__xludf.DUMMYFUNCTION("""COMPUTED_VALUE"""),"")</f>
        <v/>
      </c>
      <c r="H890" s="1"/>
      <c r="I890" s="1"/>
      <c r="J890" s="1"/>
      <c r="K890" s="1"/>
      <c r="L890" s="1"/>
      <c r="M890" s="1"/>
      <c r="N890" s="1"/>
      <c r="O890" s="1"/>
      <c r="P890" s="1"/>
      <c r="Q890" s="1"/>
      <c r="R890" s="1"/>
      <c r="S890" s="1"/>
      <c r="T890" s="1"/>
      <c r="U890" s="1"/>
      <c r="V890" s="1"/>
      <c r="W890" s="1"/>
      <c r="X890" s="1"/>
      <c r="Y890" s="1"/>
      <c r="Z890" s="1"/>
    </row>
    <row r="891">
      <c r="A891" s="1"/>
      <c r="B891" s="1" t="str">
        <f>IFERROR(__xludf.DUMMYFUNCTION("""COMPUTED_VALUE"""),"")</f>
        <v/>
      </c>
      <c r="C891" s="1" t="str">
        <f>IFERROR(__xludf.DUMMYFUNCTION("""COMPUTED_VALUE"""),"")</f>
        <v/>
      </c>
      <c r="D891" s="1" t="str">
        <f>IFERROR(__xludf.DUMMYFUNCTION("""COMPUTED_VALUE"""),"")</f>
        <v/>
      </c>
      <c r="E891" s="1" t="str">
        <f>IFERROR(__xludf.DUMMYFUNCTION("""COMPUTED_VALUE"""),"")</f>
        <v/>
      </c>
      <c r="F891" s="1" t="str">
        <f>IFERROR(__xludf.DUMMYFUNCTION("""COMPUTED_VALUE"""),"")</f>
        <v/>
      </c>
      <c r="G891" s="1" t="str">
        <f>IFERROR(__xludf.DUMMYFUNCTION("""COMPUTED_VALUE"""),"")</f>
        <v/>
      </c>
      <c r="H891" s="1"/>
      <c r="I891" s="1"/>
      <c r="J891" s="1"/>
      <c r="K891" s="1"/>
      <c r="L891" s="1"/>
      <c r="M891" s="1"/>
      <c r="N891" s="1"/>
      <c r="O891" s="1"/>
      <c r="P891" s="1"/>
      <c r="Q891" s="1"/>
      <c r="R891" s="1"/>
      <c r="S891" s="1"/>
      <c r="T891" s="1"/>
      <c r="U891" s="1"/>
      <c r="V891" s="1"/>
      <c r="W891" s="1"/>
      <c r="X891" s="1"/>
      <c r="Y891" s="1"/>
      <c r="Z891" s="1"/>
    </row>
    <row r="892">
      <c r="A892" s="1"/>
      <c r="B892" s="1" t="str">
        <f>IFERROR(__xludf.DUMMYFUNCTION("""COMPUTED_VALUE"""),"")</f>
        <v/>
      </c>
      <c r="C892" s="1" t="str">
        <f>IFERROR(__xludf.DUMMYFUNCTION("""COMPUTED_VALUE"""),"")</f>
        <v/>
      </c>
      <c r="D892" s="1" t="str">
        <f>IFERROR(__xludf.DUMMYFUNCTION("""COMPUTED_VALUE"""),"")</f>
        <v/>
      </c>
      <c r="E892" s="1" t="str">
        <f>IFERROR(__xludf.DUMMYFUNCTION("""COMPUTED_VALUE"""),"")</f>
        <v/>
      </c>
      <c r="F892" s="1" t="str">
        <f>IFERROR(__xludf.DUMMYFUNCTION("""COMPUTED_VALUE"""),"")</f>
        <v/>
      </c>
      <c r="G892" s="1" t="str">
        <f>IFERROR(__xludf.DUMMYFUNCTION("""COMPUTED_VALUE"""),"")</f>
        <v/>
      </c>
      <c r="H892" s="1"/>
      <c r="I892" s="1"/>
      <c r="J892" s="1"/>
      <c r="K892" s="1"/>
      <c r="L892" s="1"/>
      <c r="M892" s="1"/>
      <c r="N892" s="1"/>
      <c r="O892" s="1"/>
      <c r="P892" s="1"/>
      <c r="Q892" s="1"/>
      <c r="R892" s="1"/>
      <c r="S892" s="1"/>
      <c r="T892" s="1"/>
      <c r="U892" s="1"/>
      <c r="V892" s="1"/>
      <c r="W892" s="1"/>
      <c r="X892" s="1"/>
      <c r="Y892" s="1"/>
      <c r="Z892" s="1"/>
    </row>
    <row r="893">
      <c r="A893" s="1"/>
      <c r="B893" s="1" t="str">
        <f>IFERROR(__xludf.DUMMYFUNCTION("""COMPUTED_VALUE"""),"")</f>
        <v/>
      </c>
      <c r="C893" s="1" t="str">
        <f>IFERROR(__xludf.DUMMYFUNCTION("""COMPUTED_VALUE"""),"")</f>
        <v/>
      </c>
      <c r="D893" s="1" t="str">
        <f>IFERROR(__xludf.DUMMYFUNCTION("""COMPUTED_VALUE"""),"")</f>
        <v/>
      </c>
      <c r="E893" s="1" t="str">
        <f>IFERROR(__xludf.DUMMYFUNCTION("""COMPUTED_VALUE"""),"")</f>
        <v/>
      </c>
      <c r="F893" s="1" t="str">
        <f>IFERROR(__xludf.DUMMYFUNCTION("""COMPUTED_VALUE"""),"")</f>
        <v/>
      </c>
      <c r="G893" s="1" t="str">
        <f>IFERROR(__xludf.DUMMYFUNCTION("""COMPUTED_VALUE"""),"")</f>
        <v/>
      </c>
      <c r="H893" s="1"/>
      <c r="I893" s="1"/>
      <c r="J893" s="1"/>
      <c r="K893" s="1"/>
      <c r="L893" s="1"/>
      <c r="M893" s="1"/>
      <c r="N893" s="1"/>
      <c r="O893" s="1"/>
      <c r="P893" s="1"/>
      <c r="Q893" s="1"/>
      <c r="R893" s="1"/>
      <c r="S893" s="1"/>
      <c r="T893" s="1"/>
      <c r="U893" s="1"/>
      <c r="V893" s="1"/>
      <c r="W893" s="1"/>
      <c r="X893" s="1"/>
      <c r="Y893" s="1"/>
      <c r="Z893" s="1"/>
    </row>
    <row r="894">
      <c r="A894" s="1"/>
      <c r="B894" s="1" t="str">
        <f>IFERROR(__xludf.DUMMYFUNCTION("""COMPUTED_VALUE"""),"")</f>
        <v/>
      </c>
      <c r="C894" s="1" t="str">
        <f>IFERROR(__xludf.DUMMYFUNCTION("""COMPUTED_VALUE"""),"")</f>
        <v/>
      </c>
      <c r="D894" s="1" t="str">
        <f>IFERROR(__xludf.DUMMYFUNCTION("""COMPUTED_VALUE"""),"")</f>
        <v/>
      </c>
      <c r="E894" s="1" t="str">
        <f>IFERROR(__xludf.DUMMYFUNCTION("""COMPUTED_VALUE"""),"")</f>
        <v/>
      </c>
      <c r="F894" s="1" t="str">
        <f>IFERROR(__xludf.DUMMYFUNCTION("""COMPUTED_VALUE"""),"")</f>
        <v/>
      </c>
      <c r="G894" s="1" t="str">
        <f>IFERROR(__xludf.DUMMYFUNCTION("""COMPUTED_VALUE"""),"")</f>
        <v/>
      </c>
      <c r="H894" s="1"/>
      <c r="I894" s="1"/>
      <c r="J894" s="1"/>
      <c r="K894" s="1"/>
      <c r="L894" s="1"/>
      <c r="M894" s="1"/>
      <c r="N894" s="1"/>
      <c r="O894" s="1"/>
      <c r="P894" s="1"/>
      <c r="Q894" s="1"/>
      <c r="R894" s="1"/>
      <c r="S894" s="1"/>
      <c r="T894" s="1"/>
      <c r="U894" s="1"/>
      <c r="V894" s="1"/>
      <c r="W894" s="1"/>
      <c r="X894" s="1"/>
      <c r="Y894" s="1"/>
      <c r="Z894" s="1"/>
    </row>
    <row r="895">
      <c r="A895" s="1"/>
      <c r="B895" s="1" t="str">
        <f>IFERROR(__xludf.DUMMYFUNCTION("""COMPUTED_VALUE"""),"")</f>
        <v/>
      </c>
      <c r="C895" s="1" t="str">
        <f>IFERROR(__xludf.DUMMYFUNCTION("""COMPUTED_VALUE"""),"")</f>
        <v/>
      </c>
      <c r="D895" s="1" t="str">
        <f>IFERROR(__xludf.DUMMYFUNCTION("""COMPUTED_VALUE"""),"")</f>
        <v/>
      </c>
      <c r="E895" s="1" t="str">
        <f>IFERROR(__xludf.DUMMYFUNCTION("""COMPUTED_VALUE"""),"")</f>
        <v/>
      </c>
      <c r="F895" s="1" t="str">
        <f>IFERROR(__xludf.DUMMYFUNCTION("""COMPUTED_VALUE"""),"")</f>
        <v/>
      </c>
      <c r="G895" s="1" t="str">
        <f>IFERROR(__xludf.DUMMYFUNCTION("""COMPUTED_VALUE"""),"")</f>
        <v/>
      </c>
      <c r="H895" s="1"/>
      <c r="I895" s="1"/>
      <c r="J895" s="1"/>
      <c r="K895" s="1"/>
      <c r="L895" s="1"/>
      <c r="M895" s="1"/>
      <c r="N895" s="1"/>
      <c r="O895" s="1"/>
      <c r="P895" s="1"/>
      <c r="Q895" s="1"/>
      <c r="R895" s="1"/>
      <c r="S895" s="1"/>
      <c r="T895" s="1"/>
      <c r="U895" s="1"/>
      <c r="V895" s="1"/>
      <c r="W895" s="1"/>
      <c r="X895" s="1"/>
      <c r="Y895" s="1"/>
      <c r="Z895" s="1"/>
    </row>
    <row r="896">
      <c r="A896" s="1"/>
      <c r="B896" s="1" t="str">
        <f>IFERROR(__xludf.DUMMYFUNCTION("""COMPUTED_VALUE"""),"")</f>
        <v/>
      </c>
      <c r="C896" s="1" t="str">
        <f>IFERROR(__xludf.DUMMYFUNCTION("""COMPUTED_VALUE"""),"")</f>
        <v/>
      </c>
      <c r="D896" s="1" t="str">
        <f>IFERROR(__xludf.DUMMYFUNCTION("""COMPUTED_VALUE"""),"")</f>
        <v/>
      </c>
      <c r="E896" s="1" t="str">
        <f>IFERROR(__xludf.DUMMYFUNCTION("""COMPUTED_VALUE"""),"")</f>
        <v/>
      </c>
      <c r="F896" s="1" t="str">
        <f>IFERROR(__xludf.DUMMYFUNCTION("""COMPUTED_VALUE"""),"")</f>
        <v/>
      </c>
      <c r="G896" s="1" t="str">
        <f>IFERROR(__xludf.DUMMYFUNCTION("""COMPUTED_VALUE"""),"")</f>
        <v/>
      </c>
      <c r="H896" s="1"/>
      <c r="I896" s="1"/>
      <c r="J896" s="1"/>
      <c r="K896" s="1"/>
      <c r="L896" s="1"/>
      <c r="M896" s="1"/>
      <c r="N896" s="1"/>
      <c r="O896" s="1"/>
      <c r="P896" s="1"/>
      <c r="Q896" s="1"/>
      <c r="R896" s="1"/>
      <c r="S896" s="1"/>
      <c r="T896" s="1"/>
      <c r="U896" s="1"/>
      <c r="V896" s="1"/>
      <c r="W896" s="1"/>
      <c r="X896" s="1"/>
      <c r="Y896" s="1"/>
      <c r="Z896" s="1"/>
    </row>
    <row r="897">
      <c r="A897" s="1"/>
      <c r="B897" s="1" t="str">
        <f>IFERROR(__xludf.DUMMYFUNCTION("""COMPUTED_VALUE"""),"")</f>
        <v/>
      </c>
      <c r="C897" s="1" t="str">
        <f>IFERROR(__xludf.DUMMYFUNCTION("""COMPUTED_VALUE"""),"")</f>
        <v/>
      </c>
      <c r="D897" s="1" t="str">
        <f>IFERROR(__xludf.DUMMYFUNCTION("""COMPUTED_VALUE"""),"")</f>
        <v/>
      </c>
      <c r="E897" s="1" t="str">
        <f>IFERROR(__xludf.DUMMYFUNCTION("""COMPUTED_VALUE"""),"")</f>
        <v/>
      </c>
      <c r="F897" s="1" t="str">
        <f>IFERROR(__xludf.DUMMYFUNCTION("""COMPUTED_VALUE"""),"")</f>
        <v/>
      </c>
      <c r="G897" s="1" t="str">
        <f>IFERROR(__xludf.DUMMYFUNCTION("""COMPUTED_VALUE"""),"")</f>
        <v/>
      </c>
      <c r="H897" s="1"/>
      <c r="I897" s="1"/>
      <c r="J897" s="1"/>
      <c r="K897" s="1"/>
      <c r="L897" s="1"/>
      <c r="M897" s="1"/>
      <c r="N897" s="1"/>
      <c r="O897" s="1"/>
      <c r="P897" s="1"/>
      <c r="Q897" s="1"/>
      <c r="R897" s="1"/>
      <c r="S897" s="1"/>
      <c r="T897" s="1"/>
      <c r="U897" s="1"/>
      <c r="V897" s="1"/>
      <c r="W897" s="1"/>
      <c r="X897" s="1"/>
      <c r="Y897" s="1"/>
      <c r="Z897" s="1"/>
    </row>
    <row r="898">
      <c r="A898" s="1"/>
      <c r="B898" s="1" t="str">
        <f>IFERROR(__xludf.DUMMYFUNCTION("""COMPUTED_VALUE"""),"")</f>
        <v/>
      </c>
      <c r="C898" s="1" t="str">
        <f>IFERROR(__xludf.DUMMYFUNCTION("""COMPUTED_VALUE"""),"")</f>
        <v/>
      </c>
      <c r="D898" s="1" t="str">
        <f>IFERROR(__xludf.DUMMYFUNCTION("""COMPUTED_VALUE"""),"")</f>
        <v/>
      </c>
      <c r="E898" s="1" t="str">
        <f>IFERROR(__xludf.DUMMYFUNCTION("""COMPUTED_VALUE"""),"")</f>
        <v/>
      </c>
      <c r="F898" s="1" t="str">
        <f>IFERROR(__xludf.DUMMYFUNCTION("""COMPUTED_VALUE"""),"")</f>
        <v/>
      </c>
      <c r="G898" s="1" t="str">
        <f>IFERROR(__xludf.DUMMYFUNCTION("""COMPUTED_VALUE"""),"")</f>
        <v/>
      </c>
      <c r="H898" s="1"/>
      <c r="I898" s="1"/>
      <c r="J898" s="1"/>
      <c r="K898" s="1"/>
      <c r="L898" s="1"/>
      <c r="M898" s="1"/>
      <c r="N898" s="1"/>
      <c r="O898" s="1"/>
      <c r="P898" s="1"/>
      <c r="Q898" s="1"/>
      <c r="R898" s="1"/>
      <c r="S898" s="1"/>
      <c r="T898" s="1"/>
      <c r="U898" s="1"/>
      <c r="V898" s="1"/>
      <c r="W898" s="1"/>
      <c r="X898" s="1"/>
      <c r="Y898" s="1"/>
      <c r="Z898" s="1"/>
    </row>
    <row r="899">
      <c r="A899" s="1"/>
      <c r="B899" s="1" t="str">
        <f>IFERROR(__xludf.DUMMYFUNCTION("""COMPUTED_VALUE"""),"")</f>
        <v/>
      </c>
      <c r="C899" s="1" t="str">
        <f>IFERROR(__xludf.DUMMYFUNCTION("""COMPUTED_VALUE"""),"")</f>
        <v/>
      </c>
      <c r="D899" s="1" t="str">
        <f>IFERROR(__xludf.DUMMYFUNCTION("""COMPUTED_VALUE"""),"")</f>
        <v/>
      </c>
      <c r="E899" s="1" t="str">
        <f>IFERROR(__xludf.DUMMYFUNCTION("""COMPUTED_VALUE"""),"")</f>
        <v/>
      </c>
      <c r="F899" s="1" t="str">
        <f>IFERROR(__xludf.DUMMYFUNCTION("""COMPUTED_VALUE"""),"")</f>
        <v/>
      </c>
      <c r="G899" s="1" t="str">
        <f>IFERROR(__xludf.DUMMYFUNCTION("""COMPUTED_VALUE"""),"")</f>
        <v/>
      </c>
      <c r="H899" s="1"/>
      <c r="I899" s="1"/>
      <c r="J899" s="1"/>
      <c r="K899" s="1"/>
      <c r="L899" s="1"/>
      <c r="M899" s="1"/>
      <c r="N899" s="1"/>
      <c r="O899" s="1"/>
      <c r="P899" s="1"/>
      <c r="Q899" s="1"/>
      <c r="R899" s="1"/>
      <c r="S899" s="1"/>
      <c r="T899" s="1"/>
      <c r="U899" s="1"/>
      <c r="V899" s="1"/>
      <c r="W899" s="1"/>
      <c r="X899" s="1"/>
      <c r="Y899" s="1"/>
      <c r="Z899" s="1"/>
    </row>
    <row r="900">
      <c r="A900" s="1"/>
      <c r="B900" s="1" t="str">
        <f>IFERROR(__xludf.DUMMYFUNCTION("""COMPUTED_VALUE"""),"")</f>
        <v/>
      </c>
      <c r="C900" s="1" t="str">
        <f>IFERROR(__xludf.DUMMYFUNCTION("""COMPUTED_VALUE"""),"")</f>
        <v/>
      </c>
      <c r="D900" s="1" t="str">
        <f>IFERROR(__xludf.DUMMYFUNCTION("""COMPUTED_VALUE"""),"")</f>
        <v/>
      </c>
      <c r="E900" s="1" t="str">
        <f>IFERROR(__xludf.DUMMYFUNCTION("""COMPUTED_VALUE"""),"")</f>
        <v/>
      </c>
      <c r="F900" s="1" t="str">
        <f>IFERROR(__xludf.DUMMYFUNCTION("""COMPUTED_VALUE"""),"")</f>
        <v/>
      </c>
      <c r="G900" s="1" t="str">
        <f>IFERROR(__xludf.DUMMYFUNCTION("""COMPUTED_VALUE"""),"")</f>
        <v/>
      </c>
      <c r="H900" s="1"/>
      <c r="I900" s="1"/>
      <c r="J900" s="1"/>
      <c r="K900" s="1"/>
      <c r="L900" s="1"/>
      <c r="M900" s="1"/>
      <c r="N900" s="1"/>
      <c r="O900" s="1"/>
      <c r="P900" s="1"/>
      <c r="Q900" s="1"/>
      <c r="R900" s="1"/>
      <c r="S900" s="1"/>
      <c r="T900" s="1"/>
      <c r="U900" s="1"/>
      <c r="V900" s="1"/>
      <c r="W900" s="1"/>
      <c r="X900" s="1"/>
      <c r="Y900" s="1"/>
      <c r="Z900" s="1"/>
    </row>
    <row r="901">
      <c r="A901" s="1"/>
      <c r="B901" s="1" t="str">
        <f>IFERROR(__xludf.DUMMYFUNCTION("""COMPUTED_VALUE"""),"")</f>
        <v/>
      </c>
      <c r="C901" s="1" t="str">
        <f>IFERROR(__xludf.DUMMYFUNCTION("""COMPUTED_VALUE"""),"")</f>
        <v/>
      </c>
      <c r="D901" s="1" t="str">
        <f>IFERROR(__xludf.DUMMYFUNCTION("""COMPUTED_VALUE"""),"")</f>
        <v/>
      </c>
      <c r="E901" s="1" t="str">
        <f>IFERROR(__xludf.DUMMYFUNCTION("""COMPUTED_VALUE"""),"")</f>
        <v/>
      </c>
      <c r="F901" s="1" t="str">
        <f>IFERROR(__xludf.DUMMYFUNCTION("""COMPUTED_VALUE"""),"")</f>
        <v/>
      </c>
      <c r="G901" s="1" t="str">
        <f>IFERROR(__xludf.DUMMYFUNCTION("""COMPUTED_VALUE"""),"")</f>
        <v/>
      </c>
      <c r="H901" s="1"/>
      <c r="I901" s="1"/>
      <c r="J901" s="1"/>
      <c r="K901" s="1"/>
      <c r="L901" s="1"/>
      <c r="M901" s="1"/>
      <c r="N901" s="1"/>
      <c r="O901" s="1"/>
      <c r="P901" s="1"/>
      <c r="Q901" s="1"/>
      <c r="R901" s="1"/>
      <c r="S901" s="1"/>
      <c r="T901" s="1"/>
      <c r="U901" s="1"/>
      <c r="V901" s="1"/>
      <c r="W901" s="1"/>
      <c r="X901" s="1"/>
      <c r="Y901" s="1"/>
      <c r="Z901" s="1"/>
    </row>
    <row r="902">
      <c r="A902" s="1"/>
      <c r="B902" s="1" t="str">
        <f>IFERROR(__xludf.DUMMYFUNCTION("""COMPUTED_VALUE"""),"")</f>
        <v/>
      </c>
      <c r="C902" s="1" t="str">
        <f>IFERROR(__xludf.DUMMYFUNCTION("""COMPUTED_VALUE"""),"")</f>
        <v/>
      </c>
      <c r="D902" s="1" t="str">
        <f>IFERROR(__xludf.DUMMYFUNCTION("""COMPUTED_VALUE"""),"")</f>
        <v/>
      </c>
      <c r="E902" s="1" t="str">
        <f>IFERROR(__xludf.DUMMYFUNCTION("""COMPUTED_VALUE"""),"")</f>
        <v/>
      </c>
      <c r="F902" s="1" t="str">
        <f>IFERROR(__xludf.DUMMYFUNCTION("""COMPUTED_VALUE"""),"")</f>
        <v/>
      </c>
      <c r="G902" s="1" t="str">
        <f>IFERROR(__xludf.DUMMYFUNCTION("""COMPUTED_VALUE"""),"")</f>
        <v/>
      </c>
      <c r="H902" s="1"/>
      <c r="I902" s="1"/>
      <c r="J902" s="1"/>
      <c r="K902" s="1"/>
      <c r="L902" s="1"/>
      <c r="M902" s="1"/>
      <c r="N902" s="1"/>
      <c r="O902" s="1"/>
      <c r="P902" s="1"/>
      <c r="Q902" s="1"/>
      <c r="R902" s="1"/>
      <c r="S902" s="1"/>
      <c r="T902" s="1"/>
      <c r="U902" s="1"/>
      <c r="V902" s="1"/>
      <c r="W902" s="1"/>
      <c r="X902" s="1"/>
      <c r="Y902" s="1"/>
      <c r="Z902" s="1"/>
    </row>
    <row r="903">
      <c r="A903" s="1"/>
      <c r="B903" s="1" t="str">
        <f>IFERROR(__xludf.DUMMYFUNCTION("""COMPUTED_VALUE"""),"")</f>
        <v/>
      </c>
      <c r="C903" s="1" t="str">
        <f>IFERROR(__xludf.DUMMYFUNCTION("""COMPUTED_VALUE"""),"")</f>
        <v/>
      </c>
      <c r="D903" s="1" t="str">
        <f>IFERROR(__xludf.DUMMYFUNCTION("""COMPUTED_VALUE"""),"")</f>
        <v/>
      </c>
      <c r="E903" s="1" t="str">
        <f>IFERROR(__xludf.DUMMYFUNCTION("""COMPUTED_VALUE"""),"")</f>
        <v/>
      </c>
      <c r="F903" s="1" t="str">
        <f>IFERROR(__xludf.DUMMYFUNCTION("""COMPUTED_VALUE"""),"")</f>
        <v/>
      </c>
      <c r="G903" s="1" t="str">
        <f>IFERROR(__xludf.DUMMYFUNCTION("""COMPUTED_VALUE"""),"")</f>
        <v/>
      </c>
      <c r="H903" s="1"/>
      <c r="I903" s="1"/>
      <c r="J903" s="1"/>
      <c r="K903" s="1"/>
      <c r="L903" s="1"/>
      <c r="M903" s="1"/>
      <c r="N903" s="1"/>
      <c r="O903" s="1"/>
      <c r="P903" s="1"/>
      <c r="Q903" s="1"/>
      <c r="R903" s="1"/>
      <c r="S903" s="1"/>
      <c r="T903" s="1"/>
      <c r="U903" s="1"/>
      <c r="V903" s="1"/>
      <c r="W903" s="1"/>
      <c r="X903" s="1"/>
      <c r="Y903" s="1"/>
      <c r="Z903" s="1"/>
    </row>
    <row r="904">
      <c r="A904" s="1"/>
      <c r="B904" s="1" t="str">
        <f>IFERROR(__xludf.DUMMYFUNCTION("""COMPUTED_VALUE"""),"")</f>
        <v/>
      </c>
      <c r="C904" s="1" t="str">
        <f>IFERROR(__xludf.DUMMYFUNCTION("""COMPUTED_VALUE"""),"")</f>
        <v/>
      </c>
      <c r="D904" s="1" t="str">
        <f>IFERROR(__xludf.DUMMYFUNCTION("""COMPUTED_VALUE"""),"")</f>
        <v/>
      </c>
      <c r="E904" s="1" t="str">
        <f>IFERROR(__xludf.DUMMYFUNCTION("""COMPUTED_VALUE"""),"")</f>
        <v/>
      </c>
      <c r="F904" s="1" t="str">
        <f>IFERROR(__xludf.DUMMYFUNCTION("""COMPUTED_VALUE"""),"")</f>
        <v/>
      </c>
      <c r="G904" s="1" t="str">
        <f>IFERROR(__xludf.DUMMYFUNCTION("""COMPUTED_VALUE"""),"")</f>
        <v/>
      </c>
      <c r="H904" s="1"/>
      <c r="I904" s="1"/>
      <c r="J904" s="1"/>
      <c r="K904" s="1"/>
      <c r="L904" s="1"/>
      <c r="M904" s="1"/>
      <c r="N904" s="1"/>
      <c r="O904" s="1"/>
      <c r="P904" s="1"/>
      <c r="Q904" s="1"/>
      <c r="R904" s="1"/>
      <c r="S904" s="1"/>
      <c r="T904" s="1"/>
      <c r="U904" s="1"/>
      <c r="V904" s="1"/>
      <c r="W904" s="1"/>
      <c r="X904" s="1"/>
      <c r="Y904" s="1"/>
      <c r="Z904" s="1"/>
    </row>
    <row r="905">
      <c r="A905" s="1"/>
      <c r="B905" s="1" t="str">
        <f>IFERROR(__xludf.DUMMYFUNCTION("""COMPUTED_VALUE"""),"")</f>
        <v/>
      </c>
      <c r="C905" s="1" t="str">
        <f>IFERROR(__xludf.DUMMYFUNCTION("""COMPUTED_VALUE"""),"")</f>
        <v/>
      </c>
      <c r="D905" s="1" t="str">
        <f>IFERROR(__xludf.DUMMYFUNCTION("""COMPUTED_VALUE"""),"")</f>
        <v/>
      </c>
      <c r="E905" s="1" t="str">
        <f>IFERROR(__xludf.DUMMYFUNCTION("""COMPUTED_VALUE"""),"")</f>
        <v/>
      </c>
      <c r="F905" s="1" t="str">
        <f>IFERROR(__xludf.DUMMYFUNCTION("""COMPUTED_VALUE"""),"")</f>
        <v/>
      </c>
      <c r="G905" s="1" t="str">
        <f>IFERROR(__xludf.DUMMYFUNCTION("""COMPUTED_VALUE"""),"")</f>
        <v/>
      </c>
      <c r="H905" s="1"/>
      <c r="I905" s="1"/>
      <c r="J905" s="1"/>
      <c r="K905" s="1"/>
      <c r="L905" s="1"/>
      <c r="M905" s="1"/>
      <c r="N905" s="1"/>
      <c r="O905" s="1"/>
      <c r="P905" s="1"/>
      <c r="Q905" s="1"/>
      <c r="R905" s="1"/>
      <c r="S905" s="1"/>
      <c r="T905" s="1"/>
      <c r="U905" s="1"/>
      <c r="V905" s="1"/>
      <c r="W905" s="1"/>
      <c r="X905" s="1"/>
      <c r="Y905" s="1"/>
      <c r="Z905" s="1"/>
    </row>
    <row r="906">
      <c r="A906" s="1"/>
      <c r="B906" s="1" t="str">
        <f>IFERROR(__xludf.DUMMYFUNCTION("""COMPUTED_VALUE"""),"")</f>
        <v/>
      </c>
      <c r="C906" s="1" t="str">
        <f>IFERROR(__xludf.DUMMYFUNCTION("""COMPUTED_VALUE"""),"")</f>
        <v/>
      </c>
      <c r="D906" s="1" t="str">
        <f>IFERROR(__xludf.DUMMYFUNCTION("""COMPUTED_VALUE"""),"")</f>
        <v/>
      </c>
      <c r="E906" s="1" t="str">
        <f>IFERROR(__xludf.DUMMYFUNCTION("""COMPUTED_VALUE"""),"")</f>
        <v/>
      </c>
      <c r="F906" s="1" t="str">
        <f>IFERROR(__xludf.DUMMYFUNCTION("""COMPUTED_VALUE"""),"")</f>
        <v/>
      </c>
      <c r="G906" s="1" t="str">
        <f>IFERROR(__xludf.DUMMYFUNCTION("""COMPUTED_VALUE"""),"")</f>
        <v/>
      </c>
      <c r="H906" s="1"/>
      <c r="I906" s="1"/>
      <c r="J906" s="1"/>
      <c r="K906" s="1"/>
      <c r="L906" s="1"/>
      <c r="M906" s="1"/>
      <c r="N906" s="1"/>
      <c r="O906" s="1"/>
      <c r="P906" s="1"/>
      <c r="Q906" s="1"/>
      <c r="R906" s="1"/>
      <c r="S906" s="1"/>
      <c r="T906" s="1"/>
      <c r="U906" s="1"/>
      <c r="V906" s="1"/>
      <c r="W906" s="1"/>
      <c r="X906" s="1"/>
      <c r="Y906" s="1"/>
      <c r="Z906" s="1"/>
    </row>
    <row r="907">
      <c r="A907" s="1"/>
      <c r="B907" s="1" t="str">
        <f>IFERROR(__xludf.DUMMYFUNCTION("""COMPUTED_VALUE"""),"")</f>
        <v/>
      </c>
      <c r="C907" s="1" t="str">
        <f>IFERROR(__xludf.DUMMYFUNCTION("""COMPUTED_VALUE"""),"")</f>
        <v/>
      </c>
      <c r="D907" s="1" t="str">
        <f>IFERROR(__xludf.DUMMYFUNCTION("""COMPUTED_VALUE"""),"")</f>
        <v/>
      </c>
      <c r="E907" s="1" t="str">
        <f>IFERROR(__xludf.DUMMYFUNCTION("""COMPUTED_VALUE"""),"")</f>
        <v/>
      </c>
      <c r="F907" s="1" t="str">
        <f>IFERROR(__xludf.DUMMYFUNCTION("""COMPUTED_VALUE"""),"")</f>
        <v/>
      </c>
      <c r="G907" s="1" t="str">
        <f>IFERROR(__xludf.DUMMYFUNCTION("""COMPUTED_VALUE"""),"")</f>
        <v/>
      </c>
      <c r="H907" s="1"/>
      <c r="I907" s="1"/>
      <c r="J907" s="1"/>
      <c r="K907" s="1"/>
      <c r="L907" s="1"/>
      <c r="M907" s="1"/>
      <c r="N907" s="1"/>
      <c r="O907" s="1"/>
      <c r="P907" s="1"/>
      <c r="Q907" s="1"/>
      <c r="R907" s="1"/>
      <c r="S907" s="1"/>
      <c r="T907" s="1"/>
      <c r="U907" s="1"/>
      <c r="V907" s="1"/>
      <c r="W907" s="1"/>
      <c r="X907" s="1"/>
      <c r="Y907" s="1"/>
      <c r="Z907" s="1"/>
    </row>
    <row r="908">
      <c r="A908" s="1"/>
      <c r="B908" s="1" t="str">
        <f>IFERROR(__xludf.DUMMYFUNCTION("""COMPUTED_VALUE"""),"")</f>
        <v/>
      </c>
      <c r="C908" s="1" t="str">
        <f>IFERROR(__xludf.DUMMYFUNCTION("""COMPUTED_VALUE"""),"")</f>
        <v/>
      </c>
      <c r="D908" s="1" t="str">
        <f>IFERROR(__xludf.DUMMYFUNCTION("""COMPUTED_VALUE"""),"")</f>
        <v/>
      </c>
      <c r="E908" s="1" t="str">
        <f>IFERROR(__xludf.DUMMYFUNCTION("""COMPUTED_VALUE"""),"")</f>
        <v/>
      </c>
      <c r="F908" s="1" t="str">
        <f>IFERROR(__xludf.DUMMYFUNCTION("""COMPUTED_VALUE"""),"")</f>
        <v/>
      </c>
      <c r="G908" s="1" t="str">
        <f>IFERROR(__xludf.DUMMYFUNCTION("""COMPUTED_VALUE"""),"")</f>
        <v/>
      </c>
      <c r="H908" s="1"/>
      <c r="I908" s="1"/>
      <c r="J908" s="1"/>
      <c r="K908" s="1"/>
      <c r="L908" s="1"/>
      <c r="M908" s="1"/>
      <c r="N908" s="1"/>
      <c r="O908" s="1"/>
      <c r="P908" s="1"/>
      <c r="Q908" s="1"/>
      <c r="R908" s="1"/>
      <c r="S908" s="1"/>
      <c r="T908" s="1"/>
      <c r="U908" s="1"/>
      <c r="V908" s="1"/>
      <c r="W908" s="1"/>
      <c r="X908" s="1"/>
      <c r="Y908" s="1"/>
      <c r="Z908" s="1"/>
    </row>
    <row r="909">
      <c r="A909" s="1"/>
      <c r="B909" s="1" t="str">
        <f>IFERROR(__xludf.DUMMYFUNCTION("""COMPUTED_VALUE"""),"")</f>
        <v/>
      </c>
      <c r="C909" s="1" t="str">
        <f>IFERROR(__xludf.DUMMYFUNCTION("""COMPUTED_VALUE"""),"")</f>
        <v/>
      </c>
      <c r="D909" s="1" t="str">
        <f>IFERROR(__xludf.DUMMYFUNCTION("""COMPUTED_VALUE"""),"")</f>
        <v/>
      </c>
      <c r="E909" s="1" t="str">
        <f>IFERROR(__xludf.DUMMYFUNCTION("""COMPUTED_VALUE"""),"")</f>
        <v/>
      </c>
      <c r="F909" s="1" t="str">
        <f>IFERROR(__xludf.DUMMYFUNCTION("""COMPUTED_VALUE"""),"")</f>
        <v/>
      </c>
      <c r="G909" s="1" t="str">
        <f>IFERROR(__xludf.DUMMYFUNCTION("""COMPUTED_VALUE"""),"")</f>
        <v/>
      </c>
      <c r="H909" s="1"/>
      <c r="I909" s="1"/>
      <c r="J909" s="1"/>
      <c r="K909" s="1"/>
      <c r="L909" s="1"/>
      <c r="M909" s="1"/>
      <c r="N909" s="1"/>
      <c r="O909" s="1"/>
      <c r="P909" s="1"/>
      <c r="Q909" s="1"/>
      <c r="R909" s="1"/>
      <c r="S909" s="1"/>
      <c r="T909" s="1"/>
      <c r="U909" s="1"/>
      <c r="V909" s="1"/>
      <c r="W909" s="1"/>
      <c r="X909" s="1"/>
      <c r="Y909" s="1"/>
      <c r="Z909" s="1"/>
    </row>
    <row r="910">
      <c r="A910" s="1"/>
      <c r="B910" s="1" t="str">
        <f>IFERROR(__xludf.DUMMYFUNCTION("""COMPUTED_VALUE"""),"")</f>
        <v/>
      </c>
      <c r="C910" s="1" t="str">
        <f>IFERROR(__xludf.DUMMYFUNCTION("""COMPUTED_VALUE"""),"")</f>
        <v/>
      </c>
      <c r="D910" s="1" t="str">
        <f>IFERROR(__xludf.DUMMYFUNCTION("""COMPUTED_VALUE"""),"")</f>
        <v/>
      </c>
      <c r="E910" s="1" t="str">
        <f>IFERROR(__xludf.DUMMYFUNCTION("""COMPUTED_VALUE"""),"")</f>
        <v/>
      </c>
      <c r="F910" s="1" t="str">
        <f>IFERROR(__xludf.DUMMYFUNCTION("""COMPUTED_VALUE"""),"")</f>
        <v/>
      </c>
      <c r="G910" s="1" t="str">
        <f>IFERROR(__xludf.DUMMYFUNCTION("""COMPUTED_VALUE"""),"")</f>
        <v/>
      </c>
      <c r="H910" s="1"/>
      <c r="I910" s="1"/>
      <c r="J910" s="1"/>
      <c r="K910" s="1"/>
      <c r="L910" s="1"/>
      <c r="M910" s="1"/>
      <c r="N910" s="1"/>
      <c r="O910" s="1"/>
      <c r="P910" s="1"/>
      <c r="Q910" s="1"/>
      <c r="R910" s="1"/>
      <c r="S910" s="1"/>
      <c r="T910" s="1"/>
      <c r="U910" s="1"/>
      <c r="V910" s="1"/>
      <c r="W910" s="1"/>
      <c r="X910" s="1"/>
      <c r="Y910" s="1"/>
      <c r="Z910" s="1"/>
    </row>
    <row r="911">
      <c r="A911" s="1"/>
      <c r="B911" s="1" t="str">
        <f>IFERROR(__xludf.DUMMYFUNCTION("""COMPUTED_VALUE"""),"")</f>
        <v/>
      </c>
      <c r="C911" s="1" t="str">
        <f>IFERROR(__xludf.DUMMYFUNCTION("""COMPUTED_VALUE"""),"")</f>
        <v/>
      </c>
      <c r="D911" s="1" t="str">
        <f>IFERROR(__xludf.DUMMYFUNCTION("""COMPUTED_VALUE"""),"")</f>
        <v/>
      </c>
      <c r="E911" s="1" t="str">
        <f>IFERROR(__xludf.DUMMYFUNCTION("""COMPUTED_VALUE"""),"")</f>
        <v/>
      </c>
      <c r="F911" s="1" t="str">
        <f>IFERROR(__xludf.DUMMYFUNCTION("""COMPUTED_VALUE"""),"")</f>
        <v/>
      </c>
      <c r="G911" s="1" t="str">
        <f>IFERROR(__xludf.DUMMYFUNCTION("""COMPUTED_VALUE"""),"")</f>
        <v/>
      </c>
      <c r="H911" s="1"/>
      <c r="I911" s="1"/>
      <c r="J911" s="1"/>
      <c r="K911" s="1"/>
      <c r="L911" s="1"/>
      <c r="M911" s="1"/>
      <c r="N911" s="1"/>
      <c r="O911" s="1"/>
      <c r="P911" s="1"/>
      <c r="Q911" s="1"/>
      <c r="R911" s="1"/>
      <c r="S911" s="1"/>
      <c r="T911" s="1"/>
      <c r="U911" s="1"/>
      <c r="V911" s="1"/>
      <c r="W911" s="1"/>
      <c r="X911" s="1"/>
      <c r="Y911" s="1"/>
      <c r="Z911" s="1"/>
    </row>
    <row r="912">
      <c r="A912" s="1"/>
      <c r="B912" s="1" t="str">
        <f>IFERROR(__xludf.DUMMYFUNCTION("""COMPUTED_VALUE"""),"")</f>
        <v/>
      </c>
      <c r="C912" s="1" t="str">
        <f>IFERROR(__xludf.DUMMYFUNCTION("""COMPUTED_VALUE"""),"")</f>
        <v/>
      </c>
      <c r="D912" s="1" t="str">
        <f>IFERROR(__xludf.DUMMYFUNCTION("""COMPUTED_VALUE"""),"")</f>
        <v/>
      </c>
      <c r="E912" s="1" t="str">
        <f>IFERROR(__xludf.DUMMYFUNCTION("""COMPUTED_VALUE"""),"")</f>
        <v/>
      </c>
      <c r="F912" s="1" t="str">
        <f>IFERROR(__xludf.DUMMYFUNCTION("""COMPUTED_VALUE"""),"")</f>
        <v/>
      </c>
      <c r="G912" s="1" t="str">
        <f>IFERROR(__xludf.DUMMYFUNCTION("""COMPUTED_VALUE"""),"")</f>
        <v/>
      </c>
      <c r="H912" s="1"/>
      <c r="I912" s="1"/>
      <c r="J912" s="1"/>
      <c r="K912" s="1"/>
      <c r="L912" s="1"/>
      <c r="M912" s="1"/>
      <c r="N912" s="1"/>
      <c r="O912" s="1"/>
      <c r="P912" s="1"/>
      <c r="Q912" s="1"/>
      <c r="R912" s="1"/>
      <c r="S912" s="1"/>
      <c r="T912" s="1"/>
      <c r="U912" s="1"/>
      <c r="V912" s="1"/>
      <c r="W912" s="1"/>
      <c r="X912" s="1"/>
      <c r="Y912" s="1"/>
      <c r="Z912" s="1"/>
    </row>
    <row r="913">
      <c r="A913" s="1"/>
      <c r="B913" s="1" t="str">
        <f>IFERROR(__xludf.DUMMYFUNCTION("""COMPUTED_VALUE"""),"")</f>
        <v/>
      </c>
      <c r="C913" s="1" t="str">
        <f>IFERROR(__xludf.DUMMYFUNCTION("""COMPUTED_VALUE"""),"")</f>
        <v/>
      </c>
      <c r="D913" s="1" t="str">
        <f>IFERROR(__xludf.DUMMYFUNCTION("""COMPUTED_VALUE"""),"")</f>
        <v/>
      </c>
      <c r="E913" s="1" t="str">
        <f>IFERROR(__xludf.DUMMYFUNCTION("""COMPUTED_VALUE"""),"")</f>
        <v/>
      </c>
      <c r="F913" s="1" t="str">
        <f>IFERROR(__xludf.DUMMYFUNCTION("""COMPUTED_VALUE"""),"")</f>
        <v/>
      </c>
      <c r="G913" s="1" t="str">
        <f>IFERROR(__xludf.DUMMYFUNCTION("""COMPUTED_VALUE"""),"")</f>
        <v/>
      </c>
      <c r="H913" s="1"/>
      <c r="I913" s="1"/>
      <c r="J913" s="1"/>
      <c r="K913" s="1"/>
      <c r="L913" s="1"/>
      <c r="M913" s="1"/>
      <c r="N913" s="1"/>
      <c r="O913" s="1"/>
      <c r="P913" s="1"/>
      <c r="Q913" s="1"/>
      <c r="R913" s="1"/>
      <c r="S913" s="1"/>
      <c r="T913" s="1"/>
      <c r="U913" s="1"/>
      <c r="V913" s="1"/>
      <c r="W913" s="1"/>
      <c r="X913" s="1"/>
      <c r="Y913" s="1"/>
      <c r="Z913" s="1"/>
    </row>
    <row r="914">
      <c r="A914" s="1"/>
      <c r="B914" s="1" t="str">
        <f>IFERROR(__xludf.DUMMYFUNCTION("""COMPUTED_VALUE"""),"")</f>
        <v/>
      </c>
      <c r="C914" s="1" t="str">
        <f>IFERROR(__xludf.DUMMYFUNCTION("""COMPUTED_VALUE"""),"")</f>
        <v/>
      </c>
      <c r="D914" s="1" t="str">
        <f>IFERROR(__xludf.DUMMYFUNCTION("""COMPUTED_VALUE"""),"")</f>
        <v/>
      </c>
      <c r="E914" s="1" t="str">
        <f>IFERROR(__xludf.DUMMYFUNCTION("""COMPUTED_VALUE"""),"")</f>
        <v/>
      </c>
      <c r="F914" s="1" t="str">
        <f>IFERROR(__xludf.DUMMYFUNCTION("""COMPUTED_VALUE"""),"")</f>
        <v/>
      </c>
      <c r="G914" s="1" t="str">
        <f>IFERROR(__xludf.DUMMYFUNCTION("""COMPUTED_VALUE"""),"")</f>
        <v/>
      </c>
      <c r="H914" s="1"/>
      <c r="I914" s="1"/>
      <c r="J914" s="1"/>
      <c r="K914" s="1"/>
      <c r="L914" s="1"/>
      <c r="M914" s="1"/>
      <c r="N914" s="1"/>
      <c r="O914" s="1"/>
      <c r="P914" s="1"/>
      <c r="Q914" s="1"/>
      <c r="R914" s="1"/>
      <c r="S914" s="1"/>
      <c r="T914" s="1"/>
      <c r="U914" s="1"/>
      <c r="V914" s="1"/>
      <c r="W914" s="1"/>
      <c r="X914" s="1"/>
      <c r="Y914" s="1"/>
      <c r="Z914" s="1"/>
    </row>
    <row r="915">
      <c r="A915" s="1"/>
      <c r="B915" s="1" t="str">
        <f>IFERROR(__xludf.DUMMYFUNCTION("""COMPUTED_VALUE"""),"")</f>
        <v/>
      </c>
      <c r="C915" s="1" t="str">
        <f>IFERROR(__xludf.DUMMYFUNCTION("""COMPUTED_VALUE"""),"")</f>
        <v/>
      </c>
      <c r="D915" s="1" t="str">
        <f>IFERROR(__xludf.DUMMYFUNCTION("""COMPUTED_VALUE"""),"")</f>
        <v/>
      </c>
      <c r="E915" s="1" t="str">
        <f>IFERROR(__xludf.DUMMYFUNCTION("""COMPUTED_VALUE"""),"")</f>
        <v/>
      </c>
      <c r="F915" s="1" t="str">
        <f>IFERROR(__xludf.DUMMYFUNCTION("""COMPUTED_VALUE"""),"")</f>
        <v/>
      </c>
      <c r="G915" s="1" t="str">
        <f>IFERROR(__xludf.DUMMYFUNCTION("""COMPUTED_VALUE"""),"")</f>
        <v/>
      </c>
      <c r="H915" s="1"/>
      <c r="I915" s="1"/>
      <c r="J915" s="1"/>
      <c r="K915" s="1"/>
      <c r="L915" s="1"/>
      <c r="M915" s="1"/>
      <c r="N915" s="1"/>
      <c r="O915" s="1"/>
      <c r="P915" s="1"/>
      <c r="Q915" s="1"/>
      <c r="R915" s="1"/>
      <c r="S915" s="1"/>
      <c r="T915" s="1"/>
      <c r="U915" s="1"/>
      <c r="V915" s="1"/>
      <c r="W915" s="1"/>
      <c r="X915" s="1"/>
      <c r="Y915" s="1"/>
      <c r="Z915" s="1"/>
    </row>
    <row r="916">
      <c r="A916" s="1"/>
      <c r="B916" s="1" t="str">
        <f>IFERROR(__xludf.DUMMYFUNCTION("""COMPUTED_VALUE"""),"")</f>
        <v/>
      </c>
      <c r="C916" s="1" t="str">
        <f>IFERROR(__xludf.DUMMYFUNCTION("""COMPUTED_VALUE"""),"")</f>
        <v/>
      </c>
      <c r="D916" s="1" t="str">
        <f>IFERROR(__xludf.DUMMYFUNCTION("""COMPUTED_VALUE"""),"")</f>
        <v/>
      </c>
      <c r="E916" s="1" t="str">
        <f>IFERROR(__xludf.DUMMYFUNCTION("""COMPUTED_VALUE"""),"")</f>
        <v/>
      </c>
      <c r="F916" s="1" t="str">
        <f>IFERROR(__xludf.DUMMYFUNCTION("""COMPUTED_VALUE"""),"")</f>
        <v/>
      </c>
      <c r="G916" s="1" t="str">
        <f>IFERROR(__xludf.DUMMYFUNCTION("""COMPUTED_VALUE"""),"")</f>
        <v/>
      </c>
      <c r="H916" s="1"/>
      <c r="I916" s="1"/>
      <c r="J916" s="1"/>
      <c r="K916" s="1"/>
      <c r="L916" s="1"/>
      <c r="M916" s="1"/>
      <c r="N916" s="1"/>
      <c r="O916" s="1"/>
      <c r="P916" s="1"/>
      <c r="Q916" s="1"/>
      <c r="R916" s="1"/>
      <c r="S916" s="1"/>
      <c r="T916" s="1"/>
      <c r="U916" s="1"/>
      <c r="V916" s="1"/>
      <c r="W916" s="1"/>
      <c r="X916" s="1"/>
      <c r="Y916" s="1"/>
      <c r="Z916" s="1"/>
    </row>
    <row r="917">
      <c r="A917" s="1"/>
      <c r="B917" s="1" t="str">
        <f>IFERROR(__xludf.DUMMYFUNCTION("""COMPUTED_VALUE"""),"")</f>
        <v/>
      </c>
      <c r="C917" s="1" t="str">
        <f>IFERROR(__xludf.DUMMYFUNCTION("""COMPUTED_VALUE"""),"")</f>
        <v/>
      </c>
      <c r="D917" s="1" t="str">
        <f>IFERROR(__xludf.DUMMYFUNCTION("""COMPUTED_VALUE"""),"")</f>
        <v/>
      </c>
      <c r="E917" s="1" t="str">
        <f>IFERROR(__xludf.DUMMYFUNCTION("""COMPUTED_VALUE"""),"")</f>
        <v/>
      </c>
      <c r="F917" s="1" t="str">
        <f>IFERROR(__xludf.DUMMYFUNCTION("""COMPUTED_VALUE"""),"")</f>
        <v/>
      </c>
      <c r="G917" s="1" t="str">
        <f>IFERROR(__xludf.DUMMYFUNCTION("""COMPUTED_VALUE"""),"")</f>
        <v/>
      </c>
      <c r="H917" s="1"/>
      <c r="I917" s="1"/>
      <c r="J917" s="1"/>
      <c r="K917" s="1"/>
      <c r="L917" s="1"/>
      <c r="M917" s="1"/>
      <c r="N917" s="1"/>
      <c r="O917" s="1"/>
      <c r="P917" s="1"/>
      <c r="Q917" s="1"/>
      <c r="R917" s="1"/>
      <c r="S917" s="1"/>
      <c r="T917" s="1"/>
      <c r="U917" s="1"/>
      <c r="V917" s="1"/>
      <c r="W917" s="1"/>
      <c r="X917" s="1"/>
      <c r="Y917" s="1"/>
      <c r="Z917" s="1"/>
    </row>
    <row r="918">
      <c r="A918" s="1"/>
      <c r="B918" s="1" t="str">
        <f>IFERROR(__xludf.DUMMYFUNCTION("""COMPUTED_VALUE"""),"")</f>
        <v/>
      </c>
      <c r="C918" s="1" t="str">
        <f>IFERROR(__xludf.DUMMYFUNCTION("""COMPUTED_VALUE"""),"")</f>
        <v/>
      </c>
      <c r="D918" s="1" t="str">
        <f>IFERROR(__xludf.DUMMYFUNCTION("""COMPUTED_VALUE"""),"")</f>
        <v/>
      </c>
      <c r="E918" s="1" t="str">
        <f>IFERROR(__xludf.DUMMYFUNCTION("""COMPUTED_VALUE"""),"")</f>
        <v/>
      </c>
      <c r="F918" s="1" t="str">
        <f>IFERROR(__xludf.DUMMYFUNCTION("""COMPUTED_VALUE"""),"")</f>
        <v/>
      </c>
      <c r="G918" s="1" t="str">
        <f>IFERROR(__xludf.DUMMYFUNCTION("""COMPUTED_VALUE"""),"")</f>
        <v/>
      </c>
      <c r="H918" s="1"/>
      <c r="I918" s="1"/>
      <c r="J918" s="1"/>
      <c r="K918" s="1"/>
      <c r="L918" s="1"/>
      <c r="M918" s="1"/>
      <c r="N918" s="1"/>
      <c r="O918" s="1"/>
      <c r="P918" s="1"/>
      <c r="Q918" s="1"/>
      <c r="R918" s="1"/>
      <c r="S918" s="1"/>
      <c r="T918" s="1"/>
      <c r="U918" s="1"/>
      <c r="V918" s="1"/>
      <c r="W918" s="1"/>
      <c r="X918" s="1"/>
      <c r="Y918" s="1"/>
      <c r="Z918" s="1"/>
    </row>
    <row r="919">
      <c r="A919" s="1"/>
      <c r="B919" s="1" t="str">
        <f>IFERROR(__xludf.DUMMYFUNCTION("""COMPUTED_VALUE"""),"")</f>
        <v/>
      </c>
      <c r="C919" s="1" t="str">
        <f>IFERROR(__xludf.DUMMYFUNCTION("""COMPUTED_VALUE"""),"")</f>
        <v/>
      </c>
      <c r="D919" s="1" t="str">
        <f>IFERROR(__xludf.DUMMYFUNCTION("""COMPUTED_VALUE"""),"")</f>
        <v/>
      </c>
      <c r="E919" s="1" t="str">
        <f>IFERROR(__xludf.DUMMYFUNCTION("""COMPUTED_VALUE"""),"")</f>
        <v/>
      </c>
      <c r="F919" s="1" t="str">
        <f>IFERROR(__xludf.DUMMYFUNCTION("""COMPUTED_VALUE"""),"")</f>
        <v/>
      </c>
      <c r="G919" s="1" t="str">
        <f>IFERROR(__xludf.DUMMYFUNCTION("""COMPUTED_VALUE"""),"")</f>
        <v/>
      </c>
      <c r="H919" s="1"/>
      <c r="I919" s="1"/>
      <c r="J919" s="1"/>
      <c r="K919" s="1"/>
      <c r="L919" s="1"/>
      <c r="M919" s="1"/>
      <c r="N919" s="1"/>
      <c r="O919" s="1"/>
      <c r="P919" s="1"/>
      <c r="Q919" s="1"/>
      <c r="R919" s="1"/>
      <c r="S919" s="1"/>
      <c r="T919" s="1"/>
      <c r="U919" s="1"/>
      <c r="V919" s="1"/>
      <c r="W919" s="1"/>
      <c r="X919" s="1"/>
      <c r="Y919" s="1"/>
      <c r="Z919" s="1"/>
    </row>
    <row r="920">
      <c r="A920" s="1"/>
      <c r="B920" s="1" t="str">
        <f>IFERROR(__xludf.DUMMYFUNCTION("""COMPUTED_VALUE"""),"")</f>
        <v/>
      </c>
      <c r="C920" s="1" t="str">
        <f>IFERROR(__xludf.DUMMYFUNCTION("""COMPUTED_VALUE"""),"")</f>
        <v/>
      </c>
      <c r="D920" s="1" t="str">
        <f>IFERROR(__xludf.DUMMYFUNCTION("""COMPUTED_VALUE"""),"")</f>
        <v/>
      </c>
      <c r="E920" s="1" t="str">
        <f>IFERROR(__xludf.DUMMYFUNCTION("""COMPUTED_VALUE"""),"")</f>
        <v/>
      </c>
      <c r="F920" s="1" t="str">
        <f>IFERROR(__xludf.DUMMYFUNCTION("""COMPUTED_VALUE"""),"")</f>
        <v/>
      </c>
      <c r="G920" s="1" t="str">
        <f>IFERROR(__xludf.DUMMYFUNCTION("""COMPUTED_VALUE"""),"")</f>
        <v/>
      </c>
      <c r="H920" s="1"/>
      <c r="I920" s="1"/>
      <c r="J920" s="1"/>
      <c r="K920" s="1"/>
      <c r="L920" s="1"/>
      <c r="M920" s="1"/>
      <c r="N920" s="1"/>
      <c r="O920" s="1"/>
      <c r="P920" s="1"/>
      <c r="Q920" s="1"/>
      <c r="R920" s="1"/>
      <c r="S920" s="1"/>
      <c r="T920" s="1"/>
      <c r="U920" s="1"/>
      <c r="V920" s="1"/>
      <c r="W920" s="1"/>
      <c r="X920" s="1"/>
      <c r="Y920" s="1"/>
      <c r="Z920" s="1"/>
    </row>
    <row r="921">
      <c r="A921" s="1"/>
      <c r="B921" s="1" t="str">
        <f>IFERROR(__xludf.DUMMYFUNCTION("""COMPUTED_VALUE"""),"")</f>
        <v/>
      </c>
      <c r="C921" s="1" t="str">
        <f>IFERROR(__xludf.DUMMYFUNCTION("""COMPUTED_VALUE"""),"")</f>
        <v/>
      </c>
      <c r="D921" s="1" t="str">
        <f>IFERROR(__xludf.DUMMYFUNCTION("""COMPUTED_VALUE"""),"")</f>
        <v/>
      </c>
      <c r="E921" s="1" t="str">
        <f>IFERROR(__xludf.DUMMYFUNCTION("""COMPUTED_VALUE"""),"")</f>
        <v/>
      </c>
      <c r="F921" s="1" t="str">
        <f>IFERROR(__xludf.DUMMYFUNCTION("""COMPUTED_VALUE"""),"")</f>
        <v/>
      </c>
      <c r="G921" s="1" t="str">
        <f>IFERROR(__xludf.DUMMYFUNCTION("""COMPUTED_VALUE"""),"")</f>
        <v/>
      </c>
      <c r="H921" s="1"/>
      <c r="I921" s="1"/>
      <c r="J921" s="1"/>
      <c r="K921" s="1"/>
      <c r="L921" s="1"/>
      <c r="M921" s="1"/>
      <c r="N921" s="1"/>
      <c r="O921" s="1"/>
      <c r="P921" s="1"/>
      <c r="Q921" s="1"/>
      <c r="R921" s="1"/>
      <c r="S921" s="1"/>
      <c r="T921" s="1"/>
      <c r="U921" s="1"/>
      <c r="V921" s="1"/>
      <c r="W921" s="1"/>
      <c r="X921" s="1"/>
      <c r="Y921" s="1"/>
      <c r="Z921" s="1"/>
    </row>
    <row r="922">
      <c r="A922" s="1"/>
      <c r="B922" s="1" t="str">
        <f>IFERROR(__xludf.DUMMYFUNCTION("""COMPUTED_VALUE"""),"")</f>
        <v/>
      </c>
      <c r="C922" s="1" t="str">
        <f>IFERROR(__xludf.DUMMYFUNCTION("""COMPUTED_VALUE"""),"")</f>
        <v/>
      </c>
      <c r="D922" s="1" t="str">
        <f>IFERROR(__xludf.DUMMYFUNCTION("""COMPUTED_VALUE"""),"")</f>
        <v/>
      </c>
      <c r="E922" s="1" t="str">
        <f>IFERROR(__xludf.DUMMYFUNCTION("""COMPUTED_VALUE"""),"")</f>
        <v/>
      </c>
      <c r="F922" s="1" t="str">
        <f>IFERROR(__xludf.DUMMYFUNCTION("""COMPUTED_VALUE"""),"")</f>
        <v/>
      </c>
      <c r="G922" s="1" t="str">
        <f>IFERROR(__xludf.DUMMYFUNCTION("""COMPUTED_VALUE"""),"")</f>
        <v/>
      </c>
      <c r="H922" s="1"/>
      <c r="I922" s="1"/>
      <c r="J922" s="1"/>
      <c r="K922" s="1"/>
      <c r="L922" s="1"/>
      <c r="M922" s="1"/>
      <c r="N922" s="1"/>
      <c r="O922" s="1"/>
      <c r="P922" s="1"/>
      <c r="Q922" s="1"/>
      <c r="R922" s="1"/>
      <c r="S922" s="1"/>
      <c r="T922" s="1"/>
      <c r="U922" s="1"/>
      <c r="V922" s="1"/>
      <c r="W922" s="1"/>
      <c r="X922" s="1"/>
      <c r="Y922" s="1"/>
      <c r="Z922" s="1"/>
    </row>
    <row r="923">
      <c r="A923" s="1"/>
      <c r="B923" s="1" t="str">
        <f>IFERROR(__xludf.DUMMYFUNCTION("""COMPUTED_VALUE"""),"")</f>
        <v/>
      </c>
      <c r="C923" s="1" t="str">
        <f>IFERROR(__xludf.DUMMYFUNCTION("""COMPUTED_VALUE"""),"")</f>
        <v/>
      </c>
      <c r="D923" s="1" t="str">
        <f>IFERROR(__xludf.DUMMYFUNCTION("""COMPUTED_VALUE"""),"")</f>
        <v/>
      </c>
      <c r="E923" s="1" t="str">
        <f>IFERROR(__xludf.DUMMYFUNCTION("""COMPUTED_VALUE"""),"")</f>
        <v/>
      </c>
      <c r="F923" s="1" t="str">
        <f>IFERROR(__xludf.DUMMYFUNCTION("""COMPUTED_VALUE"""),"")</f>
        <v/>
      </c>
      <c r="G923" s="1" t="str">
        <f>IFERROR(__xludf.DUMMYFUNCTION("""COMPUTED_VALUE"""),"")</f>
        <v/>
      </c>
      <c r="H923" s="1"/>
      <c r="I923" s="1"/>
      <c r="J923" s="1"/>
      <c r="K923" s="1"/>
      <c r="L923" s="1"/>
      <c r="M923" s="1"/>
      <c r="N923" s="1"/>
      <c r="O923" s="1"/>
      <c r="P923" s="1"/>
      <c r="Q923" s="1"/>
      <c r="R923" s="1"/>
      <c r="S923" s="1"/>
      <c r="T923" s="1"/>
      <c r="U923" s="1"/>
      <c r="V923" s="1"/>
      <c r="W923" s="1"/>
      <c r="X923" s="1"/>
      <c r="Y923" s="1"/>
      <c r="Z923" s="1"/>
    </row>
    <row r="924">
      <c r="A924" s="1"/>
      <c r="B924" s="1" t="str">
        <f>IFERROR(__xludf.DUMMYFUNCTION("""COMPUTED_VALUE"""),"")</f>
        <v/>
      </c>
      <c r="C924" s="1" t="str">
        <f>IFERROR(__xludf.DUMMYFUNCTION("""COMPUTED_VALUE"""),"")</f>
        <v/>
      </c>
      <c r="D924" s="1" t="str">
        <f>IFERROR(__xludf.DUMMYFUNCTION("""COMPUTED_VALUE"""),"")</f>
        <v/>
      </c>
      <c r="E924" s="1" t="str">
        <f>IFERROR(__xludf.DUMMYFUNCTION("""COMPUTED_VALUE"""),"")</f>
        <v/>
      </c>
      <c r="F924" s="1" t="str">
        <f>IFERROR(__xludf.DUMMYFUNCTION("""COMPUTED_VALUE"""),"")</f>
        <v/>
      </c>
      <c r="G924" s="1" t="str">
        <f>IFERROR(__xludf.DUMMYFUNCTION("""COMPUTED_VALUE"""),"")</f>
        <v/>
      </c>
      <c r="H924" s="1"/>
      <c r="I924" s="1"/>
      <c r="J924" s="1"/>
      <c r="K924" s="1"/>
      <c r="L924" s="1"/>
      <c r="M924" s="1"/>
      <c r="N924" s="1"/>
      <c r="O924" s="1"/>
      <c r="P924" s="1"/>
      <c r="Q924" s="1"/>
      <c r="R924" s="1"/>
      <c r="S924" s="1"/>
      <c r="T924" s="1"/>
      <c r="U924" s="1"/>
      <c r="V924" s="1"/>
      <c r="W924" s="1"/>
      <c r="X924" s="1"/>
      <c r="Y924" s="1"/>
      <c r="Z924" s="1"/>
    </row>
    <row r="925">
      <c r="A925" s="1"/>
      <c r="B925" s="1" t="str">
        <f>IFERROR(__xludf.DUMMYFUNCTION("""COMPUTED_VALUE"""),"")</f>
        <v/>
      </c>
      <c r="C925" s="1" t="str">
        <f>IFERROR(__xludf.DUMMYFUNCTION("""COMPUTED_VALUE"""),"")</f>
        <v/>
      </c>
      <c r="D925" s="1" t="str">
        <f>IFERROR(__xludf.DUMMYFUNCTION("""COMPUTED_VALUE"""),"")</f>
        <v/>
      </c>
      <c r="E925" s="1" t="str">
        <f>IFERROR(__xludf.DUMMYFUNCTION("""COMPUTED_VALUE"""),"")</f>
        <v/>
      </c>
      <c r="F925" s="1" t="str">
        <f>IFERROR(__xludf.DUMMYFUNCTION("""COMPUTED_VALUE"""),"")</f>
        <v/>
      </c>
      <c r="G925" s="1" t="str">
        <f>IFERROR(__xludf.DUMMYFUNCTION("""COMPUTED_VALUE"""),"")</f>
        <v/>
      </c>
      <c r="H925" s="1"/>
      <c r="I925" s="1"/>
      <c r="J925" s="1"/>
      <c r="K925" s="1"/>
      <c r="L925" s="1"/>
      <c r="M925" s="1"/>
      <c r="N925" s="1"/>
      <c r="O925" s="1"/>
      <c r="P925" s="1"/>
      <c r="Q925" s="1"/>
      <c r="R925" s="1"/>
      <c r="S925" s="1"/>
      <c r="T925" s="1"/>
      <c r="U925" s="1"/>
      <c r="V925" s="1"/>
      <c r="W925" s="1"/>
      <c r="X925" s="1"/>
      <c r="Y925" s="1"/>
      <c r="Z925" s="1"/>
    </row>
    <row r="926">
      <c r="A926" s="1"/>
      <c r="B926" s="1" t="str">
        <f>IFERROR(__xludf.DUMMYFUNCTION("""COMPUTED_VALUE"""),"")</f>
        <v/>
      </c>
      <c r="C926" s="1" t="str">
        <f>IFERROR(__xludf.DUMMYFUNCTION("""COMPUTED_VALUE"""),"")</f>
        <v/>
      </c>
      <c r="D926" s="1" t="str">
        <f>IFERROR(__xludf.DUMMYFUNCTION("""COMPUTED_VALUE"""),"")</f>
        <v/>
      </c>
      <c r="E926" s="1" t="str">
        <f>IFERROR(__xludf.DUMMYFUNCTION("""COMPUTED_VALUE"""),"")</f>
        <v/>
      </c>
      <c r="F926" s="1" t="str">
        <f>IFERROR(__xludf.DUMMYFUNCTION("""COMPUTED_VALUE"""),"")</f>
        <v/>
      </c>
      <c r="G926" s="1" t="str">
        <f>IFERROR(__xludf.DUMMYFUNCTION("""COMPUTED_VALUE"""),"")</f>
        <v/>
      </c>
      <c r="H926" s="1"/>
      <c r="I926" s="1"/>
      <c r="J926" s="1"/>
      <c r="K926" s="1"/>
      <c r="L926" s="1"/>
      <c r="M926" s="1"/>
      <c r="N926" s="1"/>
      <c r="O926" s="1"/>
      <c r="P926" s="1"/>
      <c r="Q926" s="1"/>
      <c r="R926" s="1"/>
      <c r="S926" s="1"/>
      <c r="T926" s="1"/>
      <c r="U926" s="1"/>
      <c r="V926" s="1"/>
      <c r="W926" s="1"/>
      <c r="X926" s="1"/>
      <c r="Y926" s="1"/>
      <c r="Z926" s="1"/>
    </row>
    <row r="927">
      <c r="A927" s="1"/>
      <c r="B927" s="1" t="str">
        <f>IFERROR(__xludf.DUMMYFUNCTION("""COMPUTED_VALUE"""),"")</f>
        <v/>
      </c>
      <c r="C927" s="1" t="str">
        <f>IFERROR(__xludf.DUMMYFUNCTION("""COMPUTED_VALUE"""),"")</f>
        <v/>
      </c>
      <c r="D927" s="1" t="str">
        <f>IFERROR(__xludf.DUMMYFUNCTION("""COMPUTED_VALUE"""),"")</f>
        <v/>
      </c>
      <c r="E927" s="1" t="str">
        <f>IFERROR(__xludf.DUMMYFUNCTION("""COMPUTED_VALUE"""),"")</f>
        <v/>
      </c>
      <c r="F927" s="1" t="str">
        <f>IFERROR(__xludf.DUMMYFUNCTION("""COMPUTED_VALUE"""),"")</f>
        <v/>
      </c>
      <c r="G927" s="1" t="str">
        <f>IFERROR(__xludf.DUMMYFUNCTION("""COMPUTED_VALUE"""),"")</f>
        <v/>
      </c>
      <c r="H927" s="1"/>
      <c r="I927" s="1"/>
      <c r="J927" s="1"/>
      <c r="K927" s="1"/>
      <c r="L927" s="1"/>
      <c r="M927" s="1"/>
      <c r="N927" s="1"/>
      <c r="O927" s="1"/>
      <c r="P927" s="1"/>
      <c r="Q927" s="1"/>
      <c r="R927" s="1"/>
      <c r="S927" s="1"/>
      <c r="T927" s="1"/>
      <c r="U927" s="1"/>
      <c r="V927" s="1"/>
      <c r="W927" s="1"/>
      <c r="X927" s="1"/>
      <c r="Y927" s="1"/>
      <c r="Z927" s="1"/>
    </row>
    <row r="928">
      <c r="A928" s="1"/>
      <c r="B928" s="1" t="str">
        <f>IFERROR(__xludf.DUMMYFUNCTION("""COMPUTED_VALUE"""),"")</f>
        <v/>
      </c>
      <c r="C928" s="1" t="str">
        <f>IFERROR(__xludf.DUMMYFUNCTION("""COMPUTED_VALUE"""),"")</f>
        <v/>
      </c>
      <c r="D928" s="1" t="str">
        <f>IFERROR(__xludf.DUMMYFUNCTION("""COMPUTED_VALUE"""),"")</f>
        <v/>
      </c>
      <c r="E928" s="1" t="str">
        <f>IFERROR(__xludf.DUMMYFUNCTION("""COMPUTED_VALUE"""),"")</f>
        <v/>
      </c>
      <c r="F928" s="1" t="str">
        <f>IFERROR(__xludf.DUMMYFUNCTION("""COMPUTED_VALUE"""),"")</f>
        <v/>
      </c>
      <c r="G928" s="1" t="str">
        <f>IFERROR(__xludf.DUMMYFUNCTION("""COMPUTED_VALUE"""),"")</f>
        <v/>
      </c>
      <c r="H928" s="1"/>
      <c r="I928" s="1"/>
      <c r="J928" s="1"/>
      <c r="K928" s="1"/>
      <c r="L928" s="1"/>
      <c r="M928" s="1"/>
      <c r="N928" s="1"/>
      <c r="O928" s="1"/>
      <c r="P928" s="1"/>
      <c r="Q928" s="1"/>
      <c r="R928" s="1"/>
      <c r="S928" s="1"/>
      <c r="T928" s="1"/>
      <c r="U928" s="1"/>
      <c r="V928" s="1"/>
      <c r="W928" s="1"/>
      <c r="X928" s="1"/>
      <c r="Y928" s="1"/>
      <c r="Z928" s="1"/>
    </row>
    <row r="929">
      <c r="A929" s="1"/>
      <c r="B929" s="1" t="str">
        <f>IFERROR(__xludf.DUMMYFUNCTION("""COMPUTED_VALUE"""),"")</f>
        <v/>
      </c>
      <c r="C929" s="1" t="str">
        <f>IFERROR(__xludf.DUMMYFUNCTION("""COMPUTED_VALUE"""),"")</f>
        <v/>
      </c>
      <c r="D929" s="1" t="str">
        <f>IFERROR(__xludf.DUMMYFUNCTION("""COMPUTED_VALUE"""),"")</f>
        <v/>
      </c>
      <c r="E929" s="1" t="str">
        <f>IFERROR(__xludf.DUMMYFUNCTION("""COMPUTED_VALUE"""),"")</f>
        <v/>
      </c>
      <c r="F929" s="1" t="str">
        <f>IFERROR(__xludf.DUMMYFUNCTION("""COMPUTED_VALUE"""),"")</f>
        <v/>
      </c>
      <c r="G929" s="1" t="str">
        <f>IFERROR(__xludf.DUMMYFUNCTION("""COMPUTED_VALUE"""),"")</f>
        <v/>
      </c>
      <c r="H929" s="1"/>
      <c r="I929" s="1"/>
      <c r="J929" s="1"/>
      <c r="K929" s="1"/>
      <c r="L929" s="1"/>
      <c r="M929" s="1"/>
      <c r="N929" s="1"/>
      <c r="O929" s="1"/>
      <c r="P929" s="1"/>
      <c r="Q929" s="1"/>
      <c r="R929" s="1"/>
      <c r="S929" s="1"/>
      <c r="T929" s="1"/>
      <c r="U929" s="1"/>
      <c r="V929" s="1"/>
      <c r="W929" s="1"/>
      <c r="X929" s="1"/>
      <c r="Y929" s="1"/>
      <c r="Z929" s="1"/>
    </row>
    <row r="930">
      <c r="A930" s="1"/>
      <c r="B930" s="1" t="str">
        <f>IFERROR(__xludf.DUMMYFUNCTION("""COMPUTED_VALUE"""),"")</f>
        <v/>
      </c>
      <c r="C930" s="1" t="str">
        <f>IFERROR(__xludf.DUMMYFUNCTION("""COMPUTED_VALUE"""),"")</f>
        <v/>
      </c>
      <c r="D930" s="1" t="str">
        <f>IFERROR(__xludf.DUMMYFUNCTION("""COMPUTED_VALUE"""),"")</f>
        <v/>
      </c>
      <c r="E930" s="1" t="str">
        <f>IFERROR(__xludf.DUMMYFUNCTION("""COMPUTED_VALUE"""),"")</f>
        <v/>
      </c>
      <c r="F930" s="1" t="str">
        <f>IFERROR(__xludf.DUMMYFUNCTION("""COMPUTED_VALUE"""),"")</f>
        <v/>
      </c>
      <c r="G930" s="1" t="str">
        <f>IFERROR(__xludf.DUMMYFUNCTION("""COMPUTED_VALUE"""),"")</f>
        <v/>
      </c>
      <c r="H930" s="1"/>
      <c r="I930" s="1"/>
      <c r="J930" s="1"/>
      <c r="K930" s="1"/>
      <c r="L930" s="1"/>
      <c r="M930" s="1"/>
      <c r="N930" s="1"/>
      <c r="O930" s="1"/>
      <c r="P930" s="1"/>
      <c r="Q930" s="1"/>
      <c r="R930" s="1"/>
      <c r="S930" s="1"/>
      <c r="T930" s="1"/>
      <c r="U930" s="1"/>
      <c r="V930" s="1"/>
      <c r="W930" s="1"/>
      <c r="X930" s="1"/>
      <c r="Y930" s="1"/>
      <c r="Z930" s="1"/>
    </row>
    <row r="931">
      <c r="A931" s="1"/>
      <c r="B931" s="1" t="str">
        <f>IFERROR(__xludf.DUMMYFUNCTION("""COMPUTED_VALUE"""),"")</f>
        <v/>
      </c>
      <c r="C931" s="1" t="str">
        <f>IFERROR(__xludf.DUMMYFUNCTION("""COMPUTED_VALUE"""),"")</f>
        <v/>
      </c>
      <c r="D931" s="1" t="str">
        <f>IFERROR(__xludf.DUMMYFUNCTION("""COMPUTED_VALUE"""),"")</f>
        <v/>
      </c>
      <c r="E931" s="1" t="str">
        <f>IFERROR(__xludf.DUMMYFUNCTION("""COMPUTED_VALUE"""),"")</f>
        <v/>
      </c>
      <c r="F931" s="1" t="str">
        <f>IFERROR(__xludf.DUMMYFUNCTION("""COMPUTED_VALUE"""),"")</f>
        <v/>
      </c>
      <c r="G931" s="1" t="str">
        <f>IFERROR(__xludf.DUMMYFUNCTION("""COMPUTED_VALUE"""),"")</f>
        <v/>
      </c>
      <c r="H931" s="1"/>
      <c r="I931" s="1"/>
      <c r="J931" s="1"/>
      <c r="K931" s="1"/>
      <c r="L931" s="1"/>
      <c r="M931" s="1"/>
      <c r="N931" s="1"/>
      <c r="O931" s="1"/>
      <c r="P931" s="1"/>
      <c r="Q931" s="1"/>
      <c r="R931" s="1"/>
      <c r="S931" s="1"/>
      <c r="T931" s="1"/>
      <c r="U931" s="1"/>
      <c r="V931" s="1"/>
      <c r="W931" s="1"/>
      <c r="X931" s="1"/>
      <c r="Y931" s="1"/>
      <c r="Z931" s="1"/>
    </row>
    <row r="932">
      <c r="A932" s="1"/>
      <c r="B932" s="1" t="str">
        <f>IFERROR(__xludf.DUMMYFUNCTION("""COMPUTED_VALUE"""),"")</f>
        <v/>
      </c>
      <c r="C932" s="1" t="str">
        <f>IFERROR(__xludf.DUMMYFUNCTION("""COMPUTED_VALUE"""),"")</f>
        <v/>
      </c>
      <c r="D932" s="1" t="str">
        <f>IFERROR(__xludf.DUMMYFUNCTION("""COMPUTED_VALUE"""),"")</f>
        <v/>
      </c>
      <c r="E932" s="1" t="str">
        <f>IFERROR(__xludf.DUMMYFUNCTION("""COMPUTED_VALUE"""),"")</f>
        <v/>
      </c>
      <c r="F932" s="1" t="str">
        <f>IFERROR(__xludf.DUMMYFUNCTION("""COMPUTED_VALUE"""),"")</f>
        <v/>
      </c>
      <c r="G932" s="1" t="str">
        <f>IFERROR(__xludf.DUMMYFUNCTION("""COMPUTED_VALUE"""),"")</f>
        <v/>
      </c>
      <c r="H932" s="1"/>
      <c r="I932" s="1"/>
      <c r="J932" s="1"/>
      <c r="K932" s="1"/>
      <c r="L932" s="1"/>
      <c r="M932" s="1"/>
      <c r="N932" s="1"/>
      <c r="O932" s="1"/>
      <c r="P932" s="1"/>
      <c r="Q932" s="1"/>
      <c r="R932" s="1"/>
      <c r="S932" s="1"/>
      <c r="T932" s="1"/>
      <c r="U932" s="1"/>
      <c r="V932" s="1"/>
      <c r="W932" s="1"/>
      <c r="X932" s="1"/>
      <c r="Y932" s="1"/>
      <c r="Z932" s="1"/>
    </row>
    <row r="933">
      <c r="A933" s="1"/>
      <c r="B933" s="1" t="str">
        <f>IFERROR(__xludf.DUMMYFUNCTION("""COMPUTED_VALUE"""),"")</f>
        <v/>
      </c>
      <c r="C933" s="1" t="str">
        <f>IFERROR(__xludf.DUMMYFUNCTION("""COMPUTED_VALUE"""),"")</f>
        <v/>
      </c>
      <c r="D933" s="1" t="str">
        <f>IFERROR(__xludf.DUMMYFUNCTION("""COMPUTED_VALUE"""),"")</f>
        <v/>
      </c>
      <c r="E933" s="1" t="str">
        <f>IFERROR(__xludf.DUMMYFUNCTION("""COMPUTED_VALUE"""),"")</f>
        <v/>
      </c>
      <c r="F933" s="1" t="str">
        <f>IFERROR(__xludf.DUMMYFUNCTION("""COMPUTED_VALUE"""),"")</f>
        <v/>
      </c>
      <c r="G933" s="1" t="str">
        <f>IFERROR(__xludf.DUMMYFUNCTION("""COMPUTED_VALUE"""),"")</f>
        <v/>
      </c>
      <c r="H933" s="1"/>
      <c r="I933" s="1"/>
      <c r="J933" s="1"/>
      <c r="K933" s="1"/>
      <c r="L933" s="1"/>
      <c r="M933" s="1"/>
      <c r="N933" s="1"/>
      <c r="O933" s="1"/>
      <c r="P933" s="1"/>
      <c r="Q933" s="1"/>
      <c r="R933" s="1"/>
      <c r="S933" s="1"/>
      <c r="T933" s="1"/>
      <c r="U933" s="1"/>
      <c r="V933" s="1"/>
      <c r="W933" s="1"/>
      <c r="X933" s="1"/>
      <c r="Y933" s="1"/>
      <c r="Z933" s="1"/>
    </row>
    <row r="934">
      <c r="A934" s="1"/>
      <c r="B934" s="1" t="str">
        <f>IFERROR(__xludf.DUMMYFUNCTION("""COMPUTED_VALUE"""),"")</f>
        <v/>
      </c>
      <c r="C934" s="1" t="str">
        <f>IFERROR(__xludf.DUMMYFUNCTION("""COMPUTED_VALUE"""),"")</f>
        <v/>
      </c>
      <c r="D934" s="1" t="str">
        <f>IFERROR(__xludf.DUMMYFUNCTION("""COMPUTED_VALUE"""),"")</f>
        <v/>
      </c>
      <c r="E934" s="1" t="str">
        <f>IFERROR(__xludf.DUMMYFUNCTION("""COMPUTED_VALUE"""),"")</f>
        <v/>
      </c>
      <c r="F934" s="1" t="str">
        <f>IFERROR(__xludf.DUMMYFUNCTION("""COMPUTED_VALUE"""),"")</f>
        <v/>
      </c>
      <c r="G934" s="1" t="str">
        <f>IFERROR(__xludf.DUMMYFUNCTION("""COMPUTED_VALUE"""),"")</f>
        <v/>
      </c>
      <c r="H934" s="1"/>
      <c r="I934" s="1"/>
      <c r="J934" s="1"/>
      <c r="K934" s="1"/>
      <c r="L934" s="1"/>
      <c r="M934" s="1"/>
      <c r="N934" s="1"/>
      <c r="O934" s="1"/>
      <c r="P934" s="1"/>
      <c r="Q934" s="1"/>
      <c r="R934" s="1"/>
      <c r="S934" s="1"/>
      <c r="T934" s="1"/>
      <c r="U934" s="1"/>
      <c r="V934" s="1"/>
      <c r="W934" s="1"/>
      <c r="X934" s="1"/>
      <c r="Y934" s="1"/>
      <c r="Z934" s="1"/>
    </row>
    <row r="935">
      <c r="A935" s="1"/>
      <c r="B935" s="1" t="str">
        <f>IFERROR(__xludf.DUMMYFUNCTION("""COMPUTED_VALUE"""),"")</f>
        <v/>
      </c>
      <c r="C935" s="1" t="str">
        <f>IFERROR(__xludf.DUMMYFUNCTION("""COMPUTED_VALUE"""),"")</f>
        <v/>
      </c>
      <c r="D935" s="1" t="str">
        <f>IFERROR(__xludf.DUMMYFUNCTION("""COMPUTED_VALUE"""),"")</f>
        <v/>
      </c>
      <c r="E935" s="1" t="str">
        <f>IFERROR(__xludf.DUMMYFUNCTION("""COMPUTED_VALUE"""),"")</f>
        <v/>
      </c>
      <c r="F935" s="1" t="str">
        <f>IFERROR(__xludf.DUMMYFUNCTION("""COMPUTED_VALUE"""),"")</f>
        <v/>
      </c>
      <c r="G935" s="1" t="str">
        <f>IFERROR(__xludf.DUMMYFUNCTION("""COMPUTED_VALUE"""),"")</f>
        <v/>
      </c>
      <c r="H935" s="1"/>
      <c r="I935" s="1"/>
      <c r="J935" s="1"/>
      <c r="K935" s="1"/>
      <c r="L935" s="1"/>
      <c r="M935" s="1"/>
      <c r="N935" s="1"/>
      <c r="O935" s="1"/>
      <c r="P935" s="1"/>
      <c r="Q935" s="1"/>
      <c r="R935" s="1"/>
      <c r="S935" s="1"/>
      <c r="T935" s="1"/>
      <c r="U935" s="1"/>
      <c r="V935" s="1"/>
      <c r="W935" s="1"/>
      <c r="X935" s="1"/>
      <c r="Y935" s="1"/>
      <c r="Z935" s="1"/>
    </row>
    <row r="936">
      <c r="A936" s="1"/>
      <c r="B936" s="1" t="str">
        <f>IFERROR(__xludf.DUMMYFUNCTION("""COMPUTED_VALUE"""),"")</f>
        <v/>
      </c>
      <c r="C936" s="1" t="str">
        <f>IFERROR(__xludf.DUMMYFUNCTION("""COMPUTED_VALUE"""),"")</f>
        <v/>
      </c>
      <c r="D936" s="1" t="str">
        <f>IFERROR(__xludf.DUMMYFUNCTION("""COMPUTED_VALUE"""),"")</f>
        <v/>
      </c>
      <c r="E936" s="1" t="str">
        <f>IFERROR(__xludf.DUMMYFUNCTION("""COMPUTED_VALUE"""),"")</f>
        <v/>
      </c>
      <c r="F936" s="1" t="str">
        <f>IFERROR(__xludf.DUMMYFUNCTION("""COMPUTED_VALUE"""),"")</f>
        <v/>
      </c>
      <c r="G936" s="1" t="str">
        <f>IFERROR(__xludf.DUMMYFUNCTION("""COMPUTED_VALUE"""),"")</f>
        <v/>
      </c>
      <c r="H936" s="1"/>
      <c r="I936" s="1"/>
      <c r="J936" s="1"/>
      <c r="K936" s="1"/>
      <c r="L936" s="1"/>
      <c r="M936" s="1"/>
      <c r="N936" s="1"/>
      <c r="O936" s="1"/>
      <c r="P936" s="1"/>
      <c r="Q936" s="1"/>
      <c r="R936" s="1"/>
      <c r="S936" s="1"/>
      <c r="T936" s="1"/>
      <c r="U936" s="1"/>
      <c r="V936" s="1"/>
      <c r="W936" s="1"/>
      <c r="X936" s="1"/>
      <c r="Y936" s="1"/>
      <c r="Z936" s="1"/>
    </row>
    <row r="937">
      <c r="A937" s="1"/>
      <c r="B937" s="1" t="str">
        <f>IFERROR(__xludf.DUMMYFUNCTION("""COMPUTED_VALUE"""),"")</f>
        <v/>
      </c>
      <c r="C937" s="1" t="str">
        <f>IFERROR(__xludf.DUMMYFUNCTION("""COMPUTED_VALUE"""),"")</f>
        <v/>
      </c>
      <c r="D937" s="1" t="str">
        <f>IFERROR(__xludf.DUMMYFUNCTION("""COMPUTED_VALUE"""),"")</f>
        <v/>
      </c>
      <c r="E937" s="1" t="str">
        <f>IFERROR(__xludf.DUMMYFUNCTION("""COMPUTED_VALUE"""),"")</f>
        <v/>
      </c>
      <c r="F937" s="1" t="str">
        <f>IFERROR(__xludf.DUMMYFUNCTION("""COMPUTED_VALUE"""),"")</f>
        <v/>
      </c>
      <c r="G937" s="1" t="str">
        <f>IFERROR(__xludf.DUMMYFUNCTION("""COMPUTED_VALUE"""),"")</f>
        <v/>
      </c>
      <c r="H937" s="1"/>
      <c r="I937" s="1"/>
      <c r="J937" s="1"/>
      <c r="K937" s="1"/>
      <c r="L937" s="1"/>
      <c r="M937" s="1"/>
      <c r="N937" s="1"/>
      <c r="O937" s="1"/>
      <c r="P937" s="1"/>
      <c r="Q937" s="1"/>
      <c r="R937" s="1"/>
      <c r="S937" s="1"/>
      <c r="T937" s="1"/>
      <c r="U937" s="1"/>
      <c r="V937" s="1"/>
      <c r="W937" s="1"/>
      <c r="X937" s="1"/>
      <c r="Y937" s="1"/>
      <c r="Z937" s="1"/>
    </row>
    <row r="938">
      <c r="A938" s="1"/>
      <c r="B938" s="1" t="str">
        <f>IFERROR(__xludf.DUMMYFUNCTION("""COMPUTED_VALUE"""),"")</f>
        <v/>
      </c>
      <c r="C938" s="1" t="str">
        <f>IFERROR(__xludf.DUMMYFUNCTION("""COMPUTED_VALUE"""),"")</f>
        <v/>
      </c>
      <c r="D938" s="1" t="str">
        <f>IFERROR(__xludf.DUMMYFUNCTION("""COMPUTED_VALUE"""),"")</f>
        <v/>
      </c>
      <c r="E938" s="1" t="str">
        <f>IFERROR(__xludf.DUMMYFUNCTION("""COMPUTED_VALUE"""),"")</f>
        <v/>
      </c>
      <c r="F938" s="1" t="str">
        <f>IFERROR(__xludf.DUMMYFUNCTION("""COMPUTED_VALUE"""),"")</f>
        <v/>
      </c>
      <c r="G938" s="1" t="str">
        <f>IFERROR(__xludf.DUMMYFUNCTION("""COMPUTED_VALUE"""),"")</f>
        <v/>
      </c>
      <c r="H938" s="1"/>
      <c r="I938" s="1"/>
      <c r="J938" s="1"/>
      <c r="K938" s="1"/>
      <c r="L938" s="1"/>
      <c r="M938" s="1"/>
      <c r="N938" s="1"/>
      <c r="O938" s="1"/>
      <c r="P938" s="1"/>
      <c r="Q938" s="1"/>
      <c r="R938" s="1"/>
      <c r="S938" s="1"/>
      <c r="T938" s="1"/>
      <c r="U938" s="1"/>
      <c r="V938" s="1"/>
      <c r="W938" s="1"/>
      <c r="X938" s="1"/>
      <c r="Y938" s="1"/>
      <c r="Z938" s="1"/>
    </row>
    <row r="939">
      <c r="A939" s="1"/>
      <c r="B939" s="1" t="str">
        <f>IFERROR(__xludf.DUMMYFUNCTION("""COMPUTED_VALUE"""),"")</f>
        <v/>
      </c>
      <c r="C939" s="1" t="str">
        <f>IFERROR(__xludf.DUMMYFUNCTION("""COMPUTED_VALUE"""),"")</f>
        <v/>
      </c>
      <c r="D939" s="1" t="str">
        <f>IFERROR(__xludf.DUMMYFUNCTION("""COMPUTED_VALUE"""),"")</f>
        <v/>
      </c>
      <c r="E939" s="1" t="str">
        <f>IFERROR(__xludf.DUMMYFUNCTION("""COMPUTED_VALUE"""),"")</f>
        <v/>
      </c>
      <c r="F939" s="1" t="str">
        <f>IFERROR(__xludf.DUMMYFUNCTION("""COMPUTED_VALUE"""),"")</f>
        <v/>
      </c>
      <c r="G939" s="1" t="str">
        <f>IFERROR(__xludf.DUMMYFUNCTION("""COMPUTED_VALUE"""),"")</f>
        <v/>
      </c>
      <c r="H939" s="1"/>
      <c r="I939" s="1"/>
      <c r="J939" s="1"/>
      <c r="K939" s="1"/>
      <c r="L939" s="1"/>
      <c r="M939" s="1"/>
      <c r="N939" s="1"/>
      <c r="O939" s="1"/>
      <c r="P939" s="1"/>
      <c r="Q939" s="1"/>
      <c r="R939" s="1"/>
      <c r="S939" s="1"/>
      <c r="T939" s="1"/>
      <c r="U939" s="1"/>
      <c r="V939" s="1"/>
      <c r="W939" s="1"/>
      <c r="X939" s="1"/>
      <c r="Y939" s="1"/>
      <c r="Z939" s="1"/>
    </row>
    <row r="940">
      <c r="A940" s="1"/>
      <c r="B940" s="1" t="str">
        <f>IFERROR(__xludf.DUMMYFUNCTION("""COMPUTED_VALUE"""),"")</f>
        <v/>
      </c>
      <c r="C940" s="1" t="str">
        <f>IFERROR(__xludf.DUMMYFUNCTION("""COMPUTED_VALUE"""),"")</f>
        <v/>
      </c>
      <c r="D940" s="1" t="str">
        <f>IFERROR(__xludf.DUMMYFUNCTION("""COMPUTED_VALUE"""),"")</f>
        <v/>
      </c>
      <c r="E940" s="1" t="str">
        <f>IFERROR(__xludf.DUMMYFUNCTION("""COMPUTED_VALUE"""),"")</f>
        <v/>
      </c>
      <c r="F940" s="1" t="str">
        <f>IFERROR(__xludf.DUMMYFUNCTION("""COMPUTED_VALUE"""),"")</f>
        <v/>
      </c>
      <c r="G940" s="1" t="str">
        <f>IFERROR(__xludf.DUMMYFUNCTION("""COMPUTED_VALUE"""),"")</f>
        <v/>
      </c>
      <c r="H940" s="1"/>
      <c r="I940" s="1"/>
      <c r="J940" s="1"/>
      <c r="K940" s="1"/>
      <c r="L940" s="1"/>
      <c r="M940" s="1"/>
      <c r="N940" s="1"/>
      <c r="O940" s="1"/>
      <c r="P940" s="1"/>
      <c r="Q940" s="1"/>
      <c r="R940" s="1"/>
      <c r="S940" s="1"/>
      <c r="T940" s="1"/>
      <c r="U940" s="1"/>
      <c r="V940" s="1"/>
      <c r="W940" s="1"/>
      <c r="X940" s="1"/>
      <c r="Y940" s="1"/>
      <c r="Z940" s="1"/>
    </row>
    <row r="941">
      <c r="A941" s="1"/>
      <c r="B941" s="1" t="str">
        <f>IFERROR(__xludf.DUMMYFUNCTION("""COMPUTED_VALUE"""),"")</f>
        <v/>
      </c>
      <c r="C941" s="1" t="str">
        <f>IFERROR(__xludf.DUMMYFUNCTION("""COMPUTED_VALUE"""),"")</f>
        <v/>
      </c>
      <c r="D941" s="1" t="str">
        <f>IFERROR(__xludf.DUMMYFUNCTION("""COMPUTED_VALUE"""),"")</f>
        <v/>
      </c>
      <c r="E941" s="1" t="str">
        <f>IFERROR(__xludf.DUMMYFUNCTION("""COMPUTED_VALUE"""),"")</f>
        <v/>
      </c>
      <c r="F941" s="1" t="str">
        <f>IFERROR(__xludf.DUMMYFUNCTION("""COMPUTED_VALUE"""),"")</f>
        <v/>
      </c>
      <c r="G941" s="1" t="str">
        <f>IFERROR(__xludf.DUMMYFUNCTION("""COMPUTED_VALUE"""),"")</f>
        <v/>
      </c>
      <c r="H941" s="1"/>
      <c r="I941" s="1"/>
      <c r="J941" s="1"/>
      <c r="K941" s="1"/>
      <c r="L941" s="1"/>
      <c r="M941" s="1"/>
      <c r="N941" s="1"/>
      <c r="O941" s="1"/>
      <c r="P941" s="1"/>
      <c r="Q941" s="1"/>
      <c r="R941" s="1"/>
      <c r="S941" s="1"/>
      <c r="T941" s="1"/>
      <c r="U941" s="1"/>
      <c r="V941" s="1"/>
      <c r="W941" s="1"/>
      <c r="X941" s="1"/>
      <c r="Y941" s="1"/>
      <c r="Z941" s="1"/>
    </row>
    <row r="942">
      <c r="A942" s="1"/>
      <c r="B942" s="1" t="str">
        <f>IFERROR(__xludf.DUMMYFUNCTION("""COMPUTED_VALUE"""),"")</f>
        <v/>
      </c>
      <c r="C942" s="1" t="str">
        <f>IFERROR(__xludf.DUMMYFUNCTION("""COMPUTED_VALUE"""),"")</f>
        <v/>
      </c>
      <c r="D942" s="1" t="str">
        <f>IFERROR(__xludf.DUMMYFUNCTION("""COMPUTED_VALUE"""),"")</f>
        <v/>
      </c>
      <c r="E942" s="1" t="str">
        <f>IFERROR(__xludf.DUMMYFUNCTION("""COMPUTED_VALUE"""),"")</f>
        <v/>
      </c>
      <c r="F942" s="1" t="str">
        <f>IFERROR(__xludf.DUMMYFUNCTION("""COMPUTED_VALUE"""),"")</f>
        <v/>
      </c>
      <c r="G942" s="1" t="str">
        <f>IFERROR(__xludf.DUMMYFUNCTION("""COMPUTED_VALUE"""),"")</f>
        <v/>
      </c>
      <c r="H942" s="1"/>
      <c r="I942" s="1"/>
      <c r="J942" s="1"/>
      <c r="K942" s="1"/>
      <c r="L942" s="1"/>
      <c r="M942" s="1"/>
      <c r="N942" s="1"/>
      <c r="O942" s="1"/>
      <c r="P942" s="1"/>
      <c r="Q942" s="1"/>
      <c r="R942" s="1"/>
      <c r="S942" s="1"/>
      <c r="T942" s="1"/>
      <c r="U942" s="1"/>
      <c r="V942" s="1"/>
      <c r="W942" s="1"/>
      <c r="X942" s="1"/>
      <c r="Y942" s="1"/>
      <c r="Z942" s="1"/>
    </row>
    <row r="943">
      <c r="A943" s="1"/>
      <c r="B943" s="1" t="str">
        <f>IFERROR(__xludf.DUMMYFUNCTION("""COMPUTED_VALUE"""),"")</f>
        <v/>
      </c>
      <c r="C943" s="1" t="str">
        <f>IFERROR(__xludf.DUMMYFUNCTION("""COMPUTED_VALUE"""),"")</f>
        <v/>
      </c>
      <c r="D943" s="1" t="str">
        <f>IFERROR(__xludf.DUMMYFUNCTION("""COMPUTED_VALUE"""),"")</f>
        <v/>
      </c>
      <c r="E943" s="1" t="str">
        <f>IFERROR(__xludf.DUMMYFUNCTION("""COMPUTED_VALUE"""),"")</f>
        <v/>
      </c>
      <c r="F943" s="1" t="str">
        <f>IFERROR(__xludf.DUMMYFUNCTION("""COMPUTED_VALUE"""),"")</f>
        <v/>
      </c>
      <c r="G943" s="1" t="str">
        <f>IFERROR(__xludf.DUMMYFUNCTION("""COMPUTED_VALUE"""),"")</f>
        <v/>
      </c>
      <c r="H943" s="1"/>
      <c r="I943" s="1"/>
      <c r="J943" s="1"/>
      <c r="K943" s="1"/>
      <c r="L943" s="1"/>
      <c r="M943" s="1"/>
      <c r="N943" s="1"/>
      <c r="O943" s="1"/>
      <c r="P943" s="1"/>
      <c r="Q943" s="1"/>
      <c r="R943" s="1"/>
      <c r="S943" s="1"/>
      <c r="T943" s="1"/>
      <c r="U943" s="1"/>
      <c r="V943" s="1"/>
      <c r="W943" s="1"/>
      <c r="X943" s="1"/>
      <c r="Y943" s="1"/>
      <c r="Z943" s="1"/>
    </row>
    <row r="944">
      <c r="A944" s="1"/>
      <c r="B944" s="1" t="str">
        <f>IFERROR(__xludf.DUMMYFUNCTION("""COMPUTED_VALUE"""),"")</f>
        <v/>
      </c>
      <c r="C944" s="1" t="str">
        <f>IFERROR(__xludf.DUMMYFUNCTION("""COMPUTED_VALUE"""),"")</f>
        <v/>
      </c>
      <c r="D944" s="1" t="str">
        <f>IFERROR(__xludf.DUMMYFUNCTION("""COMPUTED_VALUE"""),"")</f>
        <v/>
      </c>
      <c r="E944" s="1" t="str">
        <f>IFERROR(__xludf.DUMMYFUNCTION("""COMPUTED_VALUE"""),"")</f>
        <v/>
      </c>
      <c r="F944" s="1" t="str">
        <f>IFERROR(__xludf.DUMMYFUNCTION("""COMPUTED_VALUE"""),"")</f>
        <v/>
      </c>
      <c r="G944" s="1" t="str">
        <f>IFERROR(__xludf.DUMMYFUNCTION("""COMPUTED_VALUE"""),"")</f>
        <v/>
      </c>
      <c r="H944" s="1"/>
      <c r="I944" s="1"/>
      <c r="J944" s="1"/>
      <c r="K944" s="1"/>
      <c r="L944" s="1"/>
      <c r="M944" s="1"/>
      <c r="N944" s="1"/>
      <c r="O944" s="1"/>
      <c r="P944" s="1"/>
      <c r="Q944" s="1"/>
      <c r="R944" s="1"/>
      <c r="S944" s="1"/>
      <c r="T944" s="1"/>
      <c r="U944" s="1"/>
      <c r="V944" s="1"/>
      <c r="W944" s="1"/>
      <c r="X944" s="1"/>
      <c r="Y944" s="1"/>
      <c r="Z944" s="1"/>
    </row>
    <row r="945">
      <c r="A945" s="1"/>
      <c r="B945" s="1" t="str">
        <f>IFERROR(__xludf.DUMMYFUNCTION("""COMPUTED_VALUE"""),"")</f>
        <v/>
      </c>
      <c r="C945" s="1" t="str">
        <f>IFERROR(__xludf.DUMMYFUNCTION("""COMPUTED_VALUE"""),"")</f>
        <v/>
      </c>
      <c r="D945" s="1" t="str">
        <f>IFERROR(__xludf.DUMMYFUNCTION("""COMPUTED_VALUE"""),"")</f>
        <v/>
      </c>
      <c r="E945" s="1" t="str">
        <f>IFERROR(__xludf.DUMMYFUNCTION("""COMPUTED_VALUE"""),"")</f>
        <v/>
      </c>
      <c r="F945" s="1" t="str">
        <f>IFERROR(__xludf.DUMMYFUNCTION("""COMPUTED_VALUE"""),"")</f>
        <v/>
      </c>
      <c r="G945" s="1" t="str">
        <f>IFERROR(__xludf.DUMMYFUNCTION("""COMPUTED_VALUE"""),"")</f>
        <v/>
      </c>
      <c r="H945" s="1"/>
      <c r="I945" s="1"/>
      <c r="J945" s="1"/>
      <c r="K945" s="1"/>
      <c r="L945" s="1"/>
      <c r="M945" s="1"/>
      <c r="N945" s="1"/>
      <c r="O945" s="1"/>
      <c r="P945" s="1"/>
      <c r="Q945" s="1"/>
      <c r="R945" s="1"/>
      <c r="S945" s="1"/>
      <c r="T945" s="1"/>
      <c r="U945" s="1"/>
      <c r="V945" s="1"/>
      <c r="W945" s="1"/>
      <c r="X945" s="1"/>
      <c r="Y945" s="1"/>
      <c r="Z945" s="1"/>
    </row>
    <row r="946">
      <c r="A946" s="1"/>
      <c r="B946" s="1" t="str">
        <f>IFERROR(__xludf.DUMMYFUNCTION("""COMPUTED_VALUE"""),"")</f>
        <v/>
      </c>
      <c r="C946" s="1" t="str">
        <f>IFERROR(__xludf.DUMMYFUNCTION("""COMPUTED_VALUE"""),"")</f>
        <v/>
      </c>
      <c r="D946" s="1" t="str">
        <f>IFERROR(__xludf.DUMMYFUNCTION("""COMPUTED_VALUE"""),"")</f>
        <v/>
      </c>
      <c r="E946" s="1" t="str">
        <f>IFERROR(__xludf.DUMMYFUNCTION("""COMPUTED_VALUE"""),"")</f>
        <v/>
      </c>
      <c r="F946" s="1" t="str">
        <f>IFERROR(__xludf.DUMMYFUNCTION("""COMPUTED_VALUE"""),"")</f>
        <v/>
      </c>
      <c r="G946" s="1" t="str">
        <f>IFERROR(__xludf.DUMMYFUNCTION("""COMPUTED_VALUE"""),"")</f>
        <v/>
      </c>
      <c r="H946" s="1"/>
      <c r="I946" s="1"/>
      <c r="J946" s="1"/>
      <c r="K946" s="1"/>
      <c r="L946" s="1"/>
      <c r="M946" s="1"/>
      <c r="N946" s="1"/>
      <c r="O946" s="1"/>
      <c r="P946" s="1"/>
      <c r="Q946" s="1"/>
      <c r="R946" s="1"/>
      <c r="S946" s="1"/>
      <c r="T946" s="1"/>
      <c r="U946" s="1"/>
      <c r="V946" s="1"/>
      <c r="W946" s="1"/>
      <c r="X946" s="1"/>
      <c r="Y946" s="1"/>
      <c r="Z946" s="1"/>
    </row>
    <row r="947">
      <c r="A947" s="1"/>
      <c r="B947" s="1" t="str">
        <f>IFERROR(__xludf.DUMMYFUNCTION("""COMPUTED_VALUE"""),"")</f>
        <v/>
      </c>
      <c r="C947" s="1" t="str">
        <f>IFERROR(__xludf.DUMMYFUNCTION("""COMPUTED_VALUE"""),"")</f>
        <v/>
      </c>
      <c r="D947" s="1" t="str">
        <f>IFERROR(__xludf.DUMMYFUNCTION("""COMPUTED_VALUE"""),"")</f>
        <v/>
      </c>
      <c r="E947" s="1" t="str">
        <f>IFERROR(__xludf.DUMMYFUNCTION("""COMPUTED_VALUE"""),"")</f>
        <v/>
      </c>
      <c r="F947" s="1" t="str">
        <f>IFERROR(__xludf.DUMMYFUNCTION("""COMPUTED_VALUE"""),"")</f>
        <v/>
      </c>
      <c r="G947" s="1" t="str">
        <f>IFERROR(__xludf.DUMMYFUNCTION("""COMPUTED_VALUE"""),"")</f>
        <v/>
      </c>
      <c r="H947" s="1"/>
      <c r="I947" s="1"/>
      <c r="J947" s="1"/>
      <c r="K947" s="1"/>
      <c r="L947" s="1"/>
      <c r="M947" s="1"/>
      <c r="N947" s="1"/>
      <c r="O947" s="1"/>
      <c r="P947" s="1"/>
      <c r="Q947" s="1"/>
      <c r="R947" s="1"/>
      <c r="S947" s="1"/>
      <c r="T947" s="1"/>
      <c r="U947" s="1"/>
      <c r="V947" s="1"/>
      <c r="W947" s="1"/>
      <c r="X947" s="1"/>
      <c r="Y947" s="1"/>
      <c r="Z947" s="1"/>
    </row>
    <row r="948">
      <c r="A948" s="1"/>
      <c r="B948" s="1" t="str">
        <f>IFERROR(__xludf.DUMMYFUNCTION("""COMPUTED_VALUE"""),"")</f>
        <v/>
      </c>
      <c r="C948" s="1" t="str">
        <f>IFERROR(__xludf.DUMMYFUNCTION("""COMPUTED_VALUE"""),"")</f>
        <v/>
      </c>
      <c r="D948" s="1" t="str">
        <f>IFERROR(__xludf.DUMMYFUNCTION("""COMPUTED_VALUE"""),"")</f>
        <v/>
      </c>
      <c r="E948" s="1" t="str">
        <f>IFERROR(__xludf.DUMMYFUNCTION("""COMPUTED_VALUE"""),"")</f>
        <v/>
      </c>
      <c r="F948" s="1" t="str">
        <f>IFERROR(__xludf.DUMMYFUNCTION("""COMPUTED_VALUE"""),"")</f>
        <v/>
      </c>
      <c r="G948" s="1" t="str">
        <f>IFERROR(__xludf.DUMMYFUNCTION("""COMPUTED_VALUE"""),"")</f>
        <v/>
      </c>
      <c r="H948" s="1"/>
      <c r="I948" s="1"/>
      <c r="J948" s="1"/>
      <c r="K948" s="1"/>
      <c r="L948" s="1"/>
      <c r="M948" s="1"/>
      <c r="N948" s="1"/>
      <c r="O948" s="1"/>
      <c r="P948" s="1"/>
      <c r="Q948" s="1"/>
      <c r="R948" s="1"/>
      <c r="S948" s="1"/>
      <c r="T948" s="1"/>
      <c r="U948" s="1"/>
      <c r="V948" s="1"/>
      <c r="W948" s="1"/>
      <c r="X948" s="1"/>
      <c r="Y948" s="1"/>
      <c r="Z948" s="1"/>
    </row>
    <row r="949">
      <c r="A949" s="1"/>
      <c r="B949" s="1" t="str">
        <f>IFERROR(__xludf.DUMMYFUNCTION("""COMPUTED_VALUE"""),"")</f>
        <v/>
      </c>
      <c r="C949" s="1" t="str">
        <f>IFERROR(__xludf.DUMMYFUNCTION("""COMPUTED_VALUE"""),"")</f>
        <v/>
      </c>
      <c r="D949" s="1" t="str">
        <f>IFERROR(__xludf.DUMMYFUNCTION("""COMPUTED_VALUE"""),"")</f>
        <v/>
      </c>
      <c r="E949" s="1" t="str">
        <f>IFERROR(__xludf.DUMMYFUNCTION("""COMPUTED_VALUE"""),"")</f>
        <v/>
      </c>
      <c r="F949" s="1" t="str">
        <f>IFERROR(__xludf.DUMMYFUNCTION("""COMPUTED_VALUE"""),"")</f>
        <v/>
      </c>
      <c r="G949" s="1" t="str">
        <f>IFERROR(__xludf.DUMMYFUNCTION("""COMPUTED_VALUE"""),"")</f>
        <v/>
      </c>
      <c r="H949" s="1"/>
      <c r="I949" s="1"/>
      <c r="J949" s="1"/>
      <c r="K949" s="1"/>
      <c r="L949" s="1"/>
      <c r="M949" s="1"/>
      <c r="N949" s="1"/>
      <c r="O949" s="1"/>
      <c r="P949" s="1"/>
      <c r="Q949" s="1"/>
      <c r="R949" s="1"/>
      <c r="S949" s="1"/>
      <c r="T949" s="1"/>
      <c r="U949" s="1"/>
      <c r="V949" s="1"/>
      <c r="W949" s="1"/>
      <c r="X949" s="1"/>
      <c r="Y949" s="1"/>
      <c r="Z949" s="1"/>
    </row>
    <row r="950">
      <c r="A950" s="1"/>
      <c r="B950" s="1" t="str">
        <f>IFERROR(__xludf.DUMMYFUNCTION("""COMPUTED_VALUE"""),"")</f>
        <v/>
      </c>
      <c r="C950" s="1" t="str">
        <f>IFERROR(__xludf.DUMMYFUNCTION("""COMPUTED_VALUE"""),"")</f>
        <v/>
      </c>
      <c r="D950" s="1" t="str">
        <f>IFERROR(__xludf.DUMMYFUNCTION("""COMPUTED_VALUE"""),"")</f>
        <v/>
      </c>
      <c r="E950" s="1" t="str">
        <f>IFERROR(__xludf.DUMMYFUNCTION("""COMPUTED_VALUE"""),"")</f>
        <v/>
      </c>
      <c r="F950" s="1" t="str">
        <f>IFERROR(__xludf.DUMMYFUNCTION("""COMPUTED_VALUE"""),"")</f>
        <v/>
      </c>
      <c r="G950" s="1" t="str">
        <f>IFERROR(__xludf.DUMMYFUNCTION("""COMPUTED_VALUE"""),"")</f>
        <v/>
      </c>
      <c r="H950" s="1"/>
      <c r="I950" s="1"/>
      <c r="J950" s="1"/>
      <c r="K950" s="1"/>
      <c r="L950" s="1"/>
      <c r="M950" s="1"/>
      <c r="N950" s="1"/>
      <c r="O950" s="1"/>
      <c r="P950" s="1"/>
      <c r="Q950" s="1"/>
      <c r="R950" s="1"/>
      <c r="S950" s="1"/>
      <c r="T950" s="1"/>
      <c r="U950" s="1"/>
      <c r="V950" s="1"/>
      <c r="W950" s="1"/>
      <c r="X950" s="1"/>
      <c r="Y950" s="1"/>
      <c r="Z950" s="1"/>
    </row>
    <row r="951">
      <c r="A951" s="1"/>
      <c r="B951" s="1" t="str">
        <f>IFERROR(__xludf.DUMMYFUNCTION("""COMPUTED_VALUE"""),"")</f>
        <v/>
      </c>
      <c r="C951" s="1" t="str">
        <f>IFERROR(__xludf.DUMMYFUNCTION("""COMPUTED_VALUE"""),"")</f>
        <v/>
      </c>
      <c r="D951" s="1" t="str">
        <f>IFERROR(__xludf.DUMMYFUNCTION("""COMPUTED_VALUE"""),"")</f>
        <v/>
      </c>
      <c r="E951" s="1" t="str">
        <f>IFERROR(__xludf.DUMMYFUNCTION("""COMPUTED_VALUE"""),"")</f>
        <v/>
      </c>
      <c r="F951" s="1" t="str">
        <f>IFERROR(__xludf.DUMMYFUNCTION("""COMPUTED_VALUE"""),"")</f>
        <v/>
      </c>
      <c r="G951" s="1" t="str">
        <f>IFERROR(__xludf.DUMMYFUNCTION("""COMPUTED_VALUE"""),"")</f>
        <v/>
      </c>
      <c r="H951" s="1"/>
      <c r="I951" s="1"/>
      <c r="J951" s="1"/>
      <c r="K951" s="1"/>
      <c r="L951" s="1"/>
      <c r="M951" s="1"/>
      <c r="N951" s="1"/>
      <c r="O951" s="1"/>
      <c r="P951" s="1"/>
      <c r="Q951" s="1"/>
      <c r="R951" s="1"/>
      <c r="S951" s="1"/>
      <c r="T951" s="1"/>
      <c r="U951" s="1"/>
      <c r="V951" s="1"/>
      <c r="W951" s="1"/>
      <c r="X951" s="1"/>
      <c r="Y951" s="1"/>
      <c r="Z951" s="1"/>
    </row>
    <row r="952">
      <c r="A952" s="1"/>
      <c r="B952" s="1" t="str">
        <f>IFERROR(__xludf.DUMMYFUNCTION("""COMPUTED_VALUE"""),"")</f>
        <v/>
      </c>
      <c r="C952" s="1" t="str">
        <f>IFERROR(__xludf.DUMMYFUNCTION("""COMPUTED_VALUE"""),"")</f>
        <v/>
      </c>
      <c r="D952" s="1" t="str">
        <f>IFERROR(__xludf.DUMMYFUNCTION("""COMPUTED_VALUE"""),"")</f>
        <v/>
      </c>
      <c r="E952" s="1" t="str">
        <f>IFERROR(__xludf.DUMMYFUNCTION("""COMPUTED_VALUE"""),"")</f>
        <v/>
      </c>
      <c r="F952" s="1" t="str">
        <f>IFERROR(__xludf.DUMMYFUNCTION("""COMPUTED_VALUE"""),"")</f>
        <v/>
      </c>
      <c r="G952" s="1" t="str">
        <f>IFERROR(__xludf.DUMMYFUNCTION("""COMPUTED_VALUE"""),"")</f>
        <v/>
      </c>
      <c r="H952" s="1"/>
      <c r="I952" s="1"/>
      <c r="J952" s="1"/>
      <c r="K952" s="1"/>
      <c r="L952" s="1"/>
      <c r="M952" s="1"/>
      <c r="N952" s="1"/>
      <c r="O952" s="1"/>
      <c r="P952" s="1"/>
      <c r="Q952" s="1"/>
      <c r="R952" s="1"/>
      <c r="S952" s="1"/>
      <c r="T952" s="1"/>
      <c r="U952" s="1"/>
      <c r="V952" s="1"/>
      <c r="W952" s="1"/>
      <c r="X952" s="1"/>
      <c r="Y952" s="1"/>
      <c r="Z952" s="1"/>
    </row>
    <row r="953">
      <c r="A953" s="1"/>
      <c r="B953" s="1" t="str">
        <f>IFERROR(__xludf.DUMMYFUNCTION("""COMPUTED_VALUE"""),"")</f>
        <v/>
      </c>
      <c r="C953" s="1" t="str">
        <f>IFERROR(__xludf.DUMMYFUNCTION("""COMPUTED_VALUE"""),"")</f>
        <v/>
      </c>
      <c r="D953" s="1" t="str">
        <f>IFERROR(__xludf.DUMMYFUNCTION("""COMPUTED_VALUE"""),"")</f>
        <v/>
      </c>
      <c r="E953" s="1" t="str">
        <f>IFERROR(__xludf.DUMMYFUNCTION("""COMPUTED_VALUE"""),"")</f>
        <v/>
      </c>
      <c r="F953" s="1" t="str">
        <f>IFERROR(__xludf.DUMMYFUNCTION("""COMPUTED_VALUE"""),"")</f>
        <v/>
      </c>
      <c r="G953" s="1" t="str">
        <f>IFERROR(__xludf.DUMMYFUNCTION("""COMPUTED_VALUE"""),"")</f>
        <v/>
      </c>
      <c r="H953" s="1"/>
      <c r="I953" s="1"/>
      <c r="J953" s="1"/>
      <c r="K953" s="1"/>
      <c r="L953" s="1"/>
      <c r="M953" s="1"/>
      <c r="N953" s="1"/>
      <c r="O953" s="1"/>
      <c r="P953" s="1"/>
      <c r="Q953" s="1"/>
      <c r="R953" s="1"/>
      <c r="S953" s="1"/>
      <c r="T953" s="1"/>
      <c r="U953" s="1"/>
      <c r="V953" s="1"/>
      <c r="W953" s="1"/>
      <c r="X953" s="1"/>
      <c r="Y953" s="1"/>
      <c r="Z953" s="1"/>
    </row>
    <row r="954">
      <c r="A954" s="1"/>
      <c r="B954" s="1" t="str">
        <f>IFERROR(__xludf.DUMMYFUNCTION("""COMPUTED_VALUE"""),"")</f>
        <v/>
      </c>
      <c r="C954" s="1" t="str">
        <f>IFERROR(__xludf.DUMMYFUNCTION("""COMPUTED_VALUE"""),"")</f>
        <v/>
      </c>
      <c r="D954" s="1" t="str">
        <f>IFERROR(__xludf.DUMMYFUNCTION("""COMPUTED_VALUE"""),"")</f>
        <v/>
      </c>
      <c r="E954" s="1" t="str">
        <f>IFERROR(__xludf.DUMMYFUNCTION("""COMPUTED_VALUE"""),"")</f>
        <v/>
      </c>
      <c r="F954" s="1" t="str">
        <f>IFERROR(__xludf.DUMMYFUNCTION("""COMPUTED_VALUE"""),"")</f>
        <v/>
      </c>
      <c r="G954" s="1" t="str">
        <f>IFERROR(__xludf.DUMMYFUNCTION("""COMPUTED_VALUE"""),"")</f>
        <v/>
      </c>
      <c r="H954" s="1"/>
      <c r="I954" s="1"/>
      <c r="J954" s="1"/>
      <c r="K954" s="1"/>
      <c r="L954" s="1"/>
      <c r="M954" s="1"/>
      <c r="N954" s="1"/>
      <c r="O954" s="1"/>
      <c r="P954" s="1"/>
      <c r="Q954" s="1"/>
      <c r="R954" s="1"/>
      <c r="S954" s="1"/>
      <c r="T954" s="1"/>
      <c r="U954" s="1"/>
      <c r="V954" s="1"/>
      <c r="W954" s="1"/>
      <c r="X954" s="1"/>
      <c r="Y954" s="1"/>
      <c r="Z954" s="1"/>
    </row>
    <row r="955">
      <c r="A955" s="1"/>
      <c r="B955" s="1" t="str">
        <f>IFERROR(__xludf.DUMMYFUNCTION("""COMPUTED_VALUE"""),"")</f>
        <v/>
      </c>
      <c r="C955" s="1" t="str">
        <f>IFERROR(__xludf.DUMMYFUNCTION("""COMPUTED_VALUE"""),"")</f>
        <v/>
      </c>
      <c r="D955" s="1" t="str">
        <f>IFERROR(__xludf.DUMMYFUNCTION("""COMPUTED_VALUE"""),"")</f>
        <v/>
      </c>
      <c r="E955" s="1" t="str">
        <f>IFERROR(__xludf.DUMMYFUNCTION("""COMPUTED_VALUE"""),"")</f>
        <v/>
      </c>
      <c r="F955" s="1" t="str">
        <f>IFERROR(__xludf.DUMMYFUNCTION("""COMPUTED_VALUE"""),"")</f>
        <v/>
      </c>
      <c r="G955" s="1" t="str">
        <f>IFERROR(__xludf.DUMMYFUNCTION("""COMPUTED_VALUE"""),"")</f>
        <v/>
      </c>
      <c r="H955" s="1"/>
      <c r="I955" s="1"/>
      <c r="J955" s="1"/>
      <c r="K955" s="1"/>
      <c r="L955" s="1"/>
      <c r="M955" s="1"/>
      <c r="N955" s="1"/>
      <c r="O955" s="1"/>
      <c r="P955" s="1"/>
      <c r="Q955" s="1"/>
      <c r="R955" s="1"/>
      <c r="S955" s="1"/>
      <c r="T955" s="1"/>
      <c r="U955" s="1"/>
      <c r="V955" s="1"/>
      <c r="W955" s="1"/>
      <c r="X955" s="1"/>
      <c r="Y955" s="1"/>
      <c r="Z955" s="1"/>
    </row>
    <row r="956">
      <c r="A956" s="1"/>
      <c r="B956" s="1" t="str">
        <f>IFERROR(__xludf.DUMMYFUNCTION("""COMPUTED_VALUE"""),"")</f>
        <v/>
      </c>
      <c r="C956" s="1" t="str">
        <f>IFERROR(__xludf.DUMMYFUNCTION("""COMPUTED_VALUE"""),"")</f>
        <v/>
      </c>
      <c r="D956" s="1" t="str">
        <f>IFERROR(__xludf.DUMMYFUNCTION("""COMPUTED_VALUE"""),"")</f>
        <v/>
      </c>
      <c r="E956" s="1" t="str">
        <f>IFERROR(__xludf.DUMMYFUNCTION("""COMPUTED_VALUE"""),"")</f>
        <v/>
      </c>
      <c r="F956" s="1" t="str">
        <f>IFERROR(__xludf.DUMMYFUNCTION("""COMPUTED_VALUE"""),"")</f>
        <v/>
      </c>
      <c r="G956" s="1" t="str">
        <f>IFERROR(__xludf.DUMMYFUNCTION("""COMPUTED_VALUE"""),"")</f>
        <v/>
      </c>
      <c r="H956" s="1"/>
      <c r="I956" s="1"/>
      <c r="J956" s="1"/>
      <c r="K956" s="1"/>
      <c r="L956" s="1"/>
      <c r="M956" s="1"/>
      <c r="N956" s="1"/>
      <c r="O956" s="1"/>
      <c r="P956" s="1"/>
      <c r="Q956" s="1"/>
      <c r="R956" s="1"/>
      <c r="S956" s="1"/>
      <c r="T956" s="1"/>
      <c r="U956" s="1"/>
      <c r="V956" s="1"/>
      <c r="W956" s="1"/>
      <c r="X956" s="1"/>
      <c r="Y956" s="1"/>
      <c r="Z956" s="1"/>
    </row>
    <row r="957">
      <c r="A957" s="1"/>
      <c r="B957" s="1" t="str">
        <f>IFERROR(__xludf.DUMMYFUNCTION("""COMPUTED_VALUE"""),"")</f>
        <v/>
      </c>
      <c r="C957" s="1" t="str">
        <f>IFERROR(__xludf.DUMMYFUNCTION("""COMPUTED_VALUE"""),"")</f>
        <v/>
      </c>
      <c r="D957" s="1" t="str">
        <f>IFERROR(__xludf.DUMMYFUNCTION("""COMPUTED_VALUE"""),"")</f>
        <v/>
      </c>
      <c r="E957" s="1" t="str">
        <f>IFERROR(__xludf.DUMMYFUNCTION("""COMPUTED_VALUE"""),"")</f>
        <v/>
      </c>
      <c r="F957" s="1" t="str">
        <f>IFERROR(__xludf.DUMMYFUNCTION("""COMPUTED_VALUE"""),"")</f>
        <v/>
      </c>
      <c r="G957" s="1" t="str">
        <f>IFERROR(__xludf.DUMMYFUNCTION("""COMPUTED_VALUE"""),"")</f>
        <v/>
      </c>
      <c r="H957" s="1"/>
      <c r="I957" s="1"/>
      <c r="J957" s="1"/>
      <c r="K957" s="1"/>
      <c r="L957" s="1"/>
      <c r="M957" s="1"/>
      <c r="N957" s="1"/>
      <c r="O957" s="1"/>
      <c r="P957" s="1"/>
      <c r="Q957" s="1"/>
      <c r="R957" s="1"/>
      <c r="S957" s="1"/>
      <c r="T957" s="1"/>
      <c r="U957" s="1"/>
      <c r="V957" s="1"/>
      <c r="W957" s="1"/>
      <c r="X957" s="1"/>
      <c r="Y957" s="1"/>
      <c r="Z957" s="1"/>
    </row>
    <row r="958">
      <c r="A958" s="1"/>
      <c r="B958" s="1" t="str">
        <f>IFERROR(__xludf.DUMMYFUNCTION("""COMPUTED_VALUE"""),"")</f>
        <v/>
      </c>
      <c r="C958" s="1" t="str">
        <f>IFERROR(__xludf.DUMMYFUNCTION("""COMPUTED_VALUE"""),"")</f>
        <v/>
      </c>
      <c r="D958" s="1" t="str">
        <f>IFERROR(__xludf.DUMMYFUNCTION("""COMPUTED_VALUE"""),"")</f>
        <v/>
      </c>
      <c r="E958" s="1" t="str">
        <f>IFERROR(__xludf.DUMMYFUNCTION("""COMPUTED_VALUE"""),"")</f>
        <v/>
      </c>
      <c r="F958" s="1" t="str">
        <f>IFERROR(__xludf.DUMMYFUNCTION("""COMPUTED_VALUE"""),"")</f>
        <v/>
      </c>
      <c r="G958" s="1" t="str">
        <f>IFERROR(__xludf.DUMMYFUNCTION("""COMPUTED_VALUE"""),"")</f>
        <v/>
      </c>
      <c r="H958" s="1"/>
      <c r="I958" s="1"/>
      <c r="J958" s="1"/>
      <c r="K958" s="1"/>
      <c r="L958" s="1"/>
      <c r="M958" s="1"/>
      <c r="N958" s="1"/>
      <c r="O958" s="1"/>
      <c r="P958" s="1"/>
      <c r="Q958" s="1"/>
      <c r="R958" s="1"/>
      <c r="S958" s="1"/>
      <c r="T958" s="1"/>
      <c r="U958" s="1"/>
      <c r="V958" s="1"/>
      <c r="W958" s="1"/>
      <c r="X958" s="1"/>
      <c r="Y958" s="1"/>
      <c r="Z958" s="1"/>
    </row>
    <row r="959">
      <c r="A959" s="1"/>
      <c r="B959" s="1" t="str">
        <f>IFERROR(__xludf.DUMMYFUNCTION("""COMPUTED_VALUE"""),"")</f>
        <v/>
      </c>
      <c r="C959" s="1" t="str">
        <f>IFERROR(__xludf.DUMMYFUNCTION("""COMPUTED_VALUE"""),"")</f>
        <v/>
      </c>
      <c r="D959" s="1" t="str">
        <f>IFERROR(__xludf.DUMMYFUNCTION("""COMPUTED_VALUE"""),"")</f>
        <v/>
      </c>
      <c r="E959" s="1" t="str">
        <f>IFERROR(__xludf.DUMMYFUNCTION("""COMPUTED_VALUE"""),"")</f>
        <v/>
      </c>
      <c r="F959" s="1" t="str">
        <f>IFERROR(__xludf.DUMMYFUNCTION("""COMPUTED_VALUE"""),"")</f>
        <v/>
      </c>
      <c r="G959" s="1" t="str">
        <f>IFERROR(__xludf.DUMMYFUNCTION("""COMPUTED_VALUE"""),"")</f>
        <v/>
      </c>
      <c r="H959" s="1"/>
      <c r="I959" s="1"/>
      <c r="J959" s="1"/>
      <c r="K959" s="1"/>
      <c r="L959" s="1"/>
      <c r="M959" s="1"/>
      <c r="N959" s="1"/>
      <c r="O959" s="1"/>
      <c r="P959" s="1"/>
      <c r="Q959" s="1"/>
      <c r="R959" s="1"/>
      <c r="S959" s="1"/>
      <c r="T959" s="1"/>
      <c r="U959" s="1"/>
      <c r="V959" s="1"/>
      <c r="W959" s="1"/>
      <c r="X959" s="1"/>
      <c r="Y959" s="1"/>
      <c r="Z959" s="1"/>
    </row>
    <row r="960">
      <c r="A960" s="1"/>
      <c r="B960" s="1" t="str">
        <f>IFERROR(__xludf.DUMMYFUNCTION("""COMPUTED_VALUE"""),"")</f>
        <v/>
      </c>
      <c r="C960" s="1" t="str">
        <f>IFERROR(__xludf.DUMMYFUNCTION("""COMPUTED_VALUE"""),"")</f>
        <v/>
      </c>
      <c r="D960" s="1" t="str">
        <f>IFERROR(__xludf.DUMMYFUNCTION("""COMPUTED_VALUE"""),"")</f>
        <v/>
      </c>
      <c r="E960" s="1" t="str">
        <f>IFERROR(__xludf.DUMMYFUNCTION("""COMPUTED_VALUE"""),"")</f>
        <v/>
      </c>
      <c r="F960" s="1" t="str">
        <f>IFERROR(__xludf.DUMMYFUNCTION("""COMPUTED_VALUE"""),"")</f>
        <v/>
      </c>
      <c r="G960" s="1" t="str">
        <f>IFERROR(__xludf.DUMMYFUNCTION("""COMPUTED_VALUE"""),"")</f>
        <v/>
      </c>
      <c r="H960" s="1"/>
      <c r="I960" s="1"/>
      <c r="J960" s="1"/>
      <c r="K960" s="1"/>
      <c r="L960" s="1"/>
      <c r="M960" s="1"/>
      <c r="N960" s="1"/>
      <c r="O960" s="1"/>
      <c r="P960" s="1"/>
      <c r="Q960" s="1"/>
      <c r="R960" s="1"/>
      <c r="S960" s="1"/>
      <c r="T960" s="1"/>
      <c r="U960" s="1"/>
      <c r="V960" s="1"/>
      <c r="W960" s="1"/>
      <c r="X960" s="1"/>
      <c r="Y960" s="1"/>
      <c r="Z960" s="1"/>
    </row>
    <row r="961">
      <c r="A961" s="1"/>
      <c r="B961" s="1" t="str">
        <f>IFERROR(__xludf.DUMMYFUNCTION("""COMPUTED_VALUE"""),"")</f>
        <v/>
      </c>
      <c r="C961" s="1" t="str">
        <f>IFERROR(__xludf.DUMMYFUNCTION("""COMPUTED_VALUE"""),"")</f>
        <v/>
      </c>
      <c r="D961" s="1" t="str">
        <f>IFERROR(__xludf.DUMMYFUNCTION("""COMPUTED_VALUE"""),"")</f>
        <v/>
      </c>
      <c r="E961" s="1" t="str">
        <f>IFERROR(__xludf.DUMMYFUNCTION("""COMPUTED_VALUE"""),"")</f>
        <v/>
      </c>
      <c r="F961" s="1" t="str">
        <f>IFERROR(__xludf.DUMMYFUNCTION("""COMPUTED_VALUE"""),"")</f>
        <v/>
      </c>
      <c r="G961" s="1" t="str">
        <f>IFERROR(__xludf.DUMMYFUNCTION("""COMPUTED_VALUE"""),"")</f>
        <v/>
      </c>
      <c r="H961" s="1"/>
      <c r="I961" s="1"/>
      <c r="J961" s="1"/>
      <c r="K961" s="1"/>
      <c r="L961" s="1"/>
      <c r="M961" s="1"/>
      <c r="N961" s="1"/>
      <c r="O961" s="1"/>
      <c r="P961" s="1"/>
      <c r="Q961" s="1"/>
      <c r="R961" s="1"/>
      <c r="S961" s="1"/>
      <c r="T961" s="1"/>
      <c r="U961" s="1"/>
      <c r="V961" s="1"/>
      <c r="W961" s="1"/>
      <c r="X961" s="1"/>
      <c r="Y961" s="1"/>
      <c r="Z961" s="1"/>
    </row>
    <row r="962">
      <c r="A962" s="1"/>
      <c r="B962" s="1" t="str">
        <f>IFERROR(__xludf.DUMMYFUNCTION("""COMPUTED_VALUE"""),"")</f>
        <v/>
      </c>
      <c r="C962" s="1" t="str">
        <f>IFERROR(__xludf.DUMMYFUNCTION("""COMPUTED_VALUE"""),"")</f>
        <v/>
      </c>
      <c r="D962" s="1" t="str">
        <f>IFERROR(__xludf.DUMMYFUNCTION("""COMPUTED_VALUE"""),"")</f>
        <v/>
      </c>
      <c r="E962" s="1" t="str">
        <f>IFERROR(__xludf.DUMMYFUNCTION("""COMPUTED_VALUE"""),"")</f>
        <v/>
      </c>
      <c r="F962" s="1" t="str">
        <f>IFERROR(__xludf.DUMMYFUNCTION("""COMPUTED_VALUE"""),"")</f>
        <v/>
      </c>
      <c r="G962" s="1" t="str">
        <f>IFERROR(__xludf.DUMMYFUNCTION("""COMPUTED_VALUE"""),"")</f>
        <v/>
      </c>
      <c r="H962" s="1"/>
      <c r="I962" s="1"/>
      <c r="J962" s="1"/>
      <c r="K962" s="1"/>
      <c r="L962" s="1"/>
      <c r="M962" s="1"/>
      <c r="N962" s="1"/>
      <c r="O962" s="1"/>
      <c r="P962" s="1"/>
      <c r="Q962" s="1"/>
      <c r="R962" s="1"/>
      <c r="S962" s="1"/>
      <c r="T962" s="1"/>
      <c r="U962" s="1"/>
      <c r="V962" s="1"/>
      <c r="W962" s="1"/>
      <c r="X962" s="1"/>
      <c r="Y962" s="1"/>
      <c r="Z962" s="1"/>
    </row>
    <row r="963">
      <c r="A963" s="1"/>
      <c r="B963" s="1" t="str">
        <f>IFERROR(__xludf.DUMMYFUNCTION("""COMPUTED_VALUE"""),"")</f>
        <v/>
      </c>
      <c r="C963" s="1" t="str">
        <f>IFERROR(__xludf.DUMMYFUNCTION("""COMPUTED_VALUE"""),"")</f>
        <v/>
      </c>
      <c r="D963" s="1" t="str">
        <f>IFERROR(__xludf.DUMMYFUNCTION("""COMPUTED_VALUE"""),"")</f>
        <v/>
      </c>
      <c r="E963" s="1" t="str">
        <f>IFERROR(__xludf.DUMMYFUNCTION("""COMPUTED_VALUE"""),"")</f>
        <v/>
      </c>
      <c r="F963" s="1" t="str">
        <f>IFERROR(__xludf.DUMMYFUNCTION("""COMPUTED_VALUE"""),"")</f>
        <v/>
      </c>
      <c r="G963" s="1" t="str">
        <f>IFERROR(__xludf.DUMMYFUNCTION("""COMPUTED_VALUE"""),"")</f>
        <v/>
      </c>
      <c r="H963" s="1"/>
      <c r="I963" s="1"/>
      <c r="J963" s="1"/>
      <c r="K963" s="1"/>
      <c r="L963" s="1"/>
      <c r="M963" s="1"/>
      <c r="N963" s="1"/>
      <c r="O963" s="1"/>
      <c r="P963" s="1"/>
      <c r="Q963" s="1"/>
      <c r="R963" s="1"/>
      <c r="S963" s="1"/>
      <c r="T963" s="1"/>
      <c r="U963" s="1"/>
      <c r="V963" s="1"/>
      <c r="W963" s="1"/>
      <c r="X963" s="1"/>
      <c r="Y963" s="1"/>
      <c r="Z963" s="1"/>
    </row>
    <row r="964">
      <c r="A964" s="1"/>
      <c r="B964" s="1" t="str">
        <f>IFERROR(__xludf.DUMMYFUNCTION("""COMPUTED_VALUE"""),"")</f>
        <v/>
      </c>
      <c r="C964" s="1" t="str">
        <f>IFERROR(__xludf.DUMMYFUNCTION("""COMPUTED_VALUE"""),"")</f>
        <v/>
      </c>
      <c r="D964" s="1" t="str">
        <f>IFERROR(__xludf.DUMMYFUNCTION("""COMPUTED_VALUE"""),"")</f>
        <v/>
      </c>
      <c r="E964" s="1" t="str">
        <f>IFERROR(__xludf.DUMMYFUNCTION("""COMPUTED_VALUE"""),"")</f>
        <v/>
      </c>
      <c r="F964" s="1" t="str">
        <f>IFERROR(__xludf.DUMMYFUNCTION("""COMPUTED_VALUE"""),"")</f>
        <v/>
      </c>
      <c r="G964" s="1" t="str">
        <f>IFERROR(__xludf.DUMMYFUNCTION("""COMPUTED_VALUE"""),"")</f>
        <v/>
      </c>
      <c r="H964" s="1"/>
      <c r="I964" s="1"/>
      <c r="J964" s="1"/>
      <c r="K964" s="1"/>
      <c r="L964" s="1"/>
      <c r="M964" s="1"/>
      <c r="N964" s="1"/>
      <c r="O964" s="1"/>
      <c r="P964" s="1"/>
      <c r="Q964" s="1"/>
      <c r="R964" s="1"/>
      <c r="S964" s="1"/>
      <c r="T964" s="1"/>
      <c r="U964" s="1"/>
      <c r="V964" s="1"/>
      <c r="W964" s="1"/>
      <c r="X964" s="1"/>
      <c r="Y964" s="1"/>
      <c r="Z964" s="1"/>
    </row>
    <row r="965">
      <c r="A965" s="1"/>
      <c r="B965" s="1" t="str">
        <f>IFERROR(__xludf.DUMMYFUNCTION("""COMPUTED_VALUE"""),"")</f>
        <v/>
      </c>
      <c r="C965" s="1" t="str">
        <f>IFERROR(__xludf.DUMMYFUNCTION("""COMPUTED_VALUE"""),"")</f>
        <v/>
      </c>
      <c r="D965" s="1" t="str">
        <f>IFERROR(__xludf.DUMMYFUNCTION("""COMPUTED_VALUE"""),"")</f>
        <v/>
      </c>
      <c r="E965" s="1" t="str">
        <f>IFERROR(__xludf.DUMMYFUNCTION("""COMPUTED_VALUE"""),"")</f>
        <v/>
      </c>
      <c r="F965" s="1" t="str">
        <f>IFERROR(__xludf.DUMMYFUNCTION("""COMPUTED_VALUE"""),"")</f>
        <v/>
      </c>
      <c r="G965" s="1" t="str">
        <f>IFERROR(__xludf.DUMMYFUNCTION("""COMPUTED_VALUE"""),"")</f>
        <v/>
      </c>
      <c r="H965" s="1"/>
      <c r="I965" s="1"/>
      <c r="J965" s="1"/>
      <c r="K965" s="1"/>
      <c r="L965" s="1"/>
      <c r="M965" s="1"/>
      <c r="N965" s="1"/>
      <c r="O965" s="1"/>
      <c r="P965" s="1"/>
      <c r="Q965" s="1"/>
      <c r="R965" s="1"/>
      <c r="S965" s="1"/>
      <c r="T965" s="1"/>
      <c r="U965" s="1"/>
      <c r="V965" s="1"/>
      <c r="W965" s="1"/>
      <c r="X965" s="1"/>
      <c r="Y965" s="1"/>
      <c r="Z965" s="1"/>
    </row>
    <row r="966">
      <c r="A966" s="1"/>
      <c r="B966" s="1" t="str">
        <f>IFERROR(__xludf.DUMMYFUNCTION("""COMPUTED_VALUE"""),"")</f>
        <v/>
      </c>
      <c r="C966" s="1" t="str">
        <f>IFERROR(__xludf.DUMMYFUNCTION("""COMPUTED_VALUE"""),"")</f>
        <v/>
      </c>
      <c r="D966" s="1" t="str">
        <f>IFERROR(__xludf.DUMMYFUNCTION("""COMPUTED_VALUE"""),"")</f>
        <v/>
      </c>
      <c r="E966" s="1" t="str">
        <f>IFERROR(__xludf.DUMMYFUNCTION("""COMPUTED_VALUE"""),"")</f>
        <v/>
      </c>
      <c r="F966" s="1" t="str">
        <f>IFERROR(__xludf.DUMMYFUNCTION("""COMPUTED_VALUE"""),"")</f>
        <v/>
      </c>
      <c r="G966" s="1" t="str">
        <f>IFERROR(__xludf.DUMMYFUNCTION("""COMPUTED_VALUE"""),"")</f>
        <v/>
      </c>
      <c r="H966" s="1"/>
      <c r="I966" s="1"/>
      <c r="J966" s="1"/>
      <c r="K966" s="1"/>
      <c r="L966" s="1"/>
      <c r="M966" s="1"/>
      <c r="N966" s="1"/>
      <c r="O966" s="1"/>
      <c r="P966" s="1"/>
      <c r="Q966" s="1"/>
      <c r="R966" s="1"/>
      <c r="S966" s="1"/>
      <c r="T966" s="1"/>
      <c r="U966" s="1"/>
      <c r="V966" s="1"/>
      <c r="W966" s="1"/>
      <c r="X966" s="1"/>
      <c r="Y966" s="1"/>
      <c r="Z966" s="1"/>
    </row>
    <row r="967">
      <c r="A967" s="1"/>
      <c r="B967" s="1" t="str">
        <f>IFERROR(__xludf.DUMMYFUNCTION("""COMPUTED_VALUE"""),"")</f>
        <v/>
      </c>
      <c r="C967" s="1" t="str">
        <f>IFERROR(__xludf.DUMMYFUNCTION("""COMPUTED_VALUE"""),"")</f>
        <v/>
      </c>
      <c r="D967" s="1" t="str">
        <f>IFERROR(__xludf.DUMMYFUNCTION("""COMPUTED_VALUE"""),"")</f>
        <v/>
      </c>
      <c r="E967" s="1" t="str">
        <f>IFERROR(__xludf.DUMMYFUNCTION("""COMPUTED_VALUE"""),"")</f>
        <v/>
      </c>
      <c r="F967" s="1" t="str">
        <f>IFERROR(__xludf.DUMMYFUNCTION("""COMPUTED_VALUE"""),"")</f>
        <v/>
      </c>
      <c r="G967" s="1" t="str">
        <f>IFERROR(__xludf.DUMMYFUNCTION("""COMPUTED_VALUE"""),"")</f>
        <v/>
      </c>
      <c r="H967" s="1"/>
      <c r="I967" s="1"/>
      <c r="J967" s="1"/>
      <c r="K967" s="1"/>
      <c r="L967" s="1"/>
      <c r="M967" s="1"/>
      <c r="N967" s="1"/>
      <c r="O967" s="1"/>
      <c r="P967" s="1"/>
      <c r="Q967" s="1"/>
      <c r="R967" s="1"/>
      <c r="S967" s="1"/>
      <c r="T967" s="1"/>
      <c r="U967" s="1"/>
      <c r="V967" s="1"/>
      <c r="W967" s="1"/>
      <c r="X967" s="1"/>
      <c r="Y967" s="1"/>
      <c r="Z967" s="1"/>
    </row>
    <row r="968">
      <c r="A968" s="1"/>
      <c r="B968" s="1" t="str">
        <f>IFERROR(__xludf.DUMMYFUNCTION("""COMPUTED_VALUE"""),"")</f>
        <v/>
      </c>
      <c r="C968" s="1" t="str">
        <f>IFERROR(__xludf.DUMMYFUNCTION("""COMPUTED_VALUE"""),"")</f>
        <v/>
      </c>
      <c r="D968" s="1" t="str">
        <f>IFERROR(__xludf.DUMMYFUNCTION("""COMPUTED_VALUE"""),"")</f>
        <v/>
      </c>
      <c r="E968" s="1" t="str">
        <f>IFERROR(__xludf.DUMMYFUNCTION("""COMPUTED_VALUE"""),"")</f>
        <v/>
      </c>
      <c r="F968" s="1" t="str">
        <f>IFERROR(__xludf.DUMMYFUNCTION("""COMPUTED_VALUE"""),"")</f>
        <v/>
      </c>
      <c r="G968" s="1" t="str">
        <f>IFERROR(__xludf.DUMMYFUNCTION("""COMPUTED_VALUE"""),"")</f>
        <v/>
      </c>
      <c r="H968" s="1"/>
      <c r="I968" s="1"/>
      <c r="J968" s="1"/>
      <c r="K968" s="1"/>
      <c r="L968" s="1"/>
      <c r="M968" s="1"/>
      <c r="N968" s="1"/>
      <c r="O968" s="1"/>
      <c r="P968" s="1"/>
      <c r="Q968" s="1"/>
      <c r="R968" s="1"/>
      <c r="S968" s="1"/>
      <c r="T968" s="1"/>
      <c r="U968" s="1"/>
      <c r="V968" s="1"/>
      <c r="W968" s="1"/>
      <c r="X968" s="1"/>
      <c r="Y968" s="1"/>
      <c r="Z968" s="1"/>
    </row>
    <row r="969">
      <c r="A969" s="1"/>
      <c r="B969" s="1" t="str">
        <f>IFERROR(__xludf.DUMMYFUNCTION("""COMPUTED_VALUE"""),"")</f>
        <v/>
      </c>
      <c r="C969" s="1" t="str">
        <f>IFERROR(__xludf.DUMMYFUNCTION("""COMPUTED_VALUE"""),"")</f>
        <v/>
      </c>
      <c r="D969" s="1" t="str">
        <f>IFERROR(__xludf.DUMMYFUNCTION("""COMPUTED_VALUE"""),"")</f>
        <v/>
      </c>
      <c r="E969" s="1" t="str">
        <f>IFERROR(__xludf.DUMMYFUNCTION("""COMPUTED_VALUE"""),"")</f>
        <v/>
      </c>
      <c r="F969" s="1" t="str">
        <f>IFERROR(__xludf.DUMMYFUNCTION("""COMPUTED_VALUE"""),"")</f>
        <v/>
      </c>
      <c r="G969" s="1" t="str">
        <f>IFERROR(__xludf.DUMMYFUNCTION("""COMPUTED_VALUE"""),"")</f>
        <v/>
      </c>
      <c r="H969" s="1"/>
      <c r="I969" s="1"/>
      <c r="J969" s="1"/>
      <c r="K969" s="1"/>
      <c r="L969" s="1"/>
      <c r="M969" s="1"/>
      <c r="N969" s="1"/>
      <c r="O969" s="1"/>
      <c r="P969" s="1"/>
      <c r="Q969" s="1"/>
      <c r="R969" s="1"/>
      <c r="S969" s="1"/>
      <c r="T969" s="1"/>
      <c r="U969" s="1"/>
      <c r="V969" s="1"/>
      <c r="W969" s="1"/>
      <c r="X969" s="1"/>
      <c r="Y969" s="1"/>
      <c r="Z969" s="1"/>
    </row>
    <row r="970">
      <c r="A970" s="1"/>
      <c r="B970" s="1" t="str">
        <f>IFERROR(__xludf.DUMMYFUNCTION("""COMPUTED_VALUE"""),"")</f>
        <v/>
      </c>
      <c r="C970" s="1" t="str">
        <f>IFERROR(__xludf.DUMMYFUNCTION("""COMPUTED_VALUE"""),"")</f>
        <v/>
      </c>
      <c r="D970" s="1" t="str">
        <f>IFERROR(__xludf.DUMMYFUNCTION("""COMPUTED_VALUE"""),"")</f>
        <v/>
      </c>
      <c r="E970" s="1" t="str">
        <f>IFERROR(__xludf.DUMMYFUNCTION("""COMPUTED_VALUE"""),"")</f>
        <v/>
      </c>
      <c r="F970" s="1" t="str">
        <f>IFERROR(__xludf.DUMMYFUNCTION("""COMPUTED_VALUE"""),"")</f>
        <v/>
      </c>
      <c r="G970" s="1" t="str">
        <f>IFERROR(__xludf.DUMMYFUNCTION("""COMPUTED_VALUE"""),"")</f>
        <v/>
      </c>
      <c r="H970" s="1"/>
      <c r="I970" s="1"/>
      <c r="J970" s="1"/>
      <c r="K970" s="1"/>
      <c r="L970" s="1"/>
      <c r="M970" s="1"/>
      <c r="N970" s="1"/>
      <c r="O970" s="1"/>
      <c r="P970" s="1"/>
      <c r="Q970" s="1"/>
      <c r="R970" s="1"/>
      <c r="S970" s="1"/>
      <c r="T970" s="1"/>
      <c r="U970" s="1"/>
      <c r="V970" s="1"/>
      <c r="W970" s="1"/>
      <c r="X970" s="1"/>
      <c r="Y970" s="1"/>
      <c r="Z970" s="1"/>
    </row>
    <row r="971">
      <c r="A971" s="1"/>
      <c r="B971" s="1" t="str">
        <f>IFERROR(__xludf.DUMMYFUNCTION("""COMPUTED_VALUE"""),"")</f>
        <v/>
      </c>
      <c r="C971" s="1" t="str">
        <f>IFERROR(__xludf.DUMMYFUNCTION("""COMPUTED_VALUE"""),"")</f>
        <v/>
      </c>
      <c r="D971" s="1" t="str">
        <f>IFERROR(__xludf.DUMMYFUNCTION("""COMPUTED_VALUE"""),"")</f>
        <v/>
      </c>
      <c r="E971" s="1" t="str">
        <f>IFERROR(__xludf.DUMMYFUNCTION("""COMPUTED_VALUE"""),"")</f>
        <v/>
      </c>
      <c r="F971" s="1" t="str">
        <f>IFERROR(__xludf.DUMMYFUNCTION("""COMPUTED_VALUE"""),"")</f>
        <v/>
      </c>
      <c r="G971" s="1" t="str">
        <f>IFERROR(__xludf.DUMMYFUNCTION("""COMPUTED_VALUE"""),"")</f>
        <v/>
      </c>
      <c r="H971" s="1"/>
      <c r="I971" s="1"/>
      <c r="J971" s="1"/>
      <c r="K971" s="1"/>
      <c r="L971" s="1"/>
      <c r="M971" s="1"/>
      <c r="N971" s="1"/>
      <c r="O971" s="1"/>
      <c r="P971" s="1"/>
      <c r="Q971" s="1"/>
      <c r="R971" s="1"/>
      <c r="S971" s="1"/>
      <c r="T971" s="1"/>
      <c r="U971" s="1"/>
      <c r="V971" s="1"/>
      <c r="W971" s="1"/>
      <c r="X971" s="1"/>
      <c r="Y971" s="1"/>
      <c r="Z971" s="1"/>
    </row>
    <row r="972">
      <c r="A972" s="1"/>
      <c r="B972" s="1" t="str">
        <f>IFERROR(__xludf.DUMMYFUNCTION("""COMPUTED_VALUE"""),"")</f>
        <v/>
      </c>
      <c r="C972" s="1" t="str">
        <f>IFERROR(__xludf.DUMMYFUNCTION("""COMPUTED_VALUE"""),"")</f>
        <v/>
      </c>
      <c r="D972" s="1" t="str">
        <f>IFERROR(__xludf.DUMMYFUNCTION("""COMPUTED_VALUE"""),"")</f>
        <v/>
      </c>
      <c r="E972" s="1" t="str">
        <f>IFERROR(__xludf.DUMMYFUNCTION("""COMPUTED_VALUE"""),"")</f>
        <v/>
      </c>
      <c r="F972" s="1" t="str">
        <f>IFERROR(__xludf.DUMMYFUNCTION("""COMPUTED_VALUE"""),"")</f>
        <v/>
      </c>
      <c r="G972" s="1" t="str">
        <f>IFERROR(__xludf.DUMMYFUNCTION("""COMPUTED_VALUE"""),"")</f>
        <v/>
      </c>
      <c r="H972" s="1"/>
      <c r="I972" s="1"/>
      <c r="J972" s="1"/>
      <c r="K972" s="1"/>
      <c r="L972" s="1"/>
      <c r="M972" s="1"/>
      <c r="N972" s="1"/>
      <c r="O972" s="1"/>
      <c r="P972" s="1"/>
      <c r="Q972" s="1"/>
      <c r="R972" s="1"/>
      <c r="S972" s="1"/>
      <c r="T972" s="1"/>
      <c r="U972" s="1"/>
      <c r="V972" s="1"/>
      <c r="W972" s="1"/>
      <c r="X972" s="1"/>
      <c r="Y972" s="1"/>
      <c r="Z972" s="1"/>
    </row>
    <row r="973">
      <c r="A973" s="1"/>
      <c r="B973" s="1" t="str">
        <f>IFERROR(__xludf.DUMMYFUNCTION("""COMPUTED_VALUE"""),"")</f>
        <v/>
      </c>
      <c r="C973" s="1" t="str">
        <f>IFERROR(__xludf.DUMMYFUNCTION("""COMPUTED_VALUE"""),"")</f>
        <v/>
      </c>
      <c r="D973" s="1" t="str">
        <f>IFERROR(__xludf.DUMMYFUNCTION("""COMPUTED_VALUE"""),"")</f>
        <v/>
      </c>
      <c r="E973" s="1" t="str">
        <f>IFERROR(__xludf.DUMMYFUNCTION("""COMPUTED_VALUE"""),"")</f>
        <v/>
      </c>
      <c r="F973" s="1" t="str">
        <f>IFERROR(__xludf.DUMMYFUNCTION("""COMPUTED_VALUE"""),"")</f>
        <v/>
      </c>
      <c r="G973" s="1" t="str">
        <f>IFERROR(__xludf.DUMMYFUNCTION("""COMPUTED_VALUE"""),"")</f>
        <v/>
      </c>
      <c r="H973" s="1"/>
      <c r="I973" s="1"/>
      <c r="J973" s="1"/>
      <c r="K973" s="1"/>
      <c r="L973" s="1"/>
      <c r="M973" s="1"/>
      <c r="N973" s="1"/>
      <c r="O973" s="1"/>
      <c r="P973" s="1"/>
      <c r="Q973" s="1"/>
      <c r="R973" s="1"/>
      <c r="S973" s="1"/>
      <c r="T973" s="1"/>
      <c r="U973" s="1"/>
      <c r="V973" s="1"/>
      <c r="W973" s="1"/>
      <c r="X973" s="1"/>
      <c r="Y973" s="1"/>
      <c r="Z973" s="1"/>
    </row>
    <row r="974">
      <c r="A974" s="1"/>
      <c r="B974" s="1" t="str">
        <f>IFERROR(__xludf.DUMMYFUNCTION("""COMPUTED_VALUE"""),"")</f>
        <v/>
      </c>
      <c r="C974" s="1" t="str">
        <f>IFERROR(__xludf.DUMMYFUNCTION("""COMPUTED_VALUE"""),"")</f>
        <v/>
      </c>
      <c r="D974" s="1" t="str">
        <f>IFERROR(__xludf.DUMMYFUNCTION("""COMPUTED_VALUE"""),"")</f>
        <v/>
      </c>
      <c r="E974" s="1" t="str">
        <f>IFERROR(__xludf.DUMMYFUNCTION("""COMPUTED_VALUE"""),"")</f>
        <v/>
      </c>
      <c r="F974" s="1" t="str">
        <f>IFERROR(__xludf.DUMMYFUNCTION("""COMPUTED_VALUE"""),"")</f>
        <v/>
      </c>
      <c r="G974" s="1" t="str">
        <f>IFERROR(__xludf.DUMMYFUNCTION("""COMPUTED_VALUE"""),"")</f>
        <v/>
      </c>
      <c r="H974" s="1"/>
      <c r="I974" s="1"/>
      <c r="J974" s="1"/>
      <c r="K974" s="1"/>
      <c r="L974" s="1"/>
      <c r="M974" s="1"/>
      <c r="N974" s="1"/>
      <c r="O974" s="1"/>
      <c r="P974" s="1"/>
      <c r="Q974" s="1"/>
      <c r="R974" s="1"/>
      <c r="S974" s="1"/>
      <c r="T974" s="1"/>
      <c r="U974" s="1"/>
      <c r="V974" s="1"/>
      <c r="W974" s="1"/>
      <c r="X974" s="1"/>
      <c r="Y974" s="1"/>
      <c r="Z974" s="1"/>
    </row>
    <row r="975">
      <c r="A975" s="1"/>
      <c r="B975" s="1" t="str">
        <f>IFERROR(__xludf.DUMMYFUNCTION("""COMPUTED_VALUE"""),"")</f>
        <v/>
      </c>
      <c r="C975" s="1" t="str">
        <f>IFERROR(__xludf.DUMMYFUNCTION("""COMPUTED_VALUE"""),"")</f>
        <v/>
      </c>
      <c r="D975" s="1" t="str">
        <f>IFERROR(__xludf.DUMMYFUNCTION("""COMPUTED_VALUE"""),"")</f>
        <v/>
      </c>
      <c r="E975" s="1" t="str">
        <f>IFERROR(__xludf.DUMMYFUNCTION("""COMPUTED_VALUE"""),"")</f>
        <v/>
      </c>
      <c r="F975" s="1" t="str">
        <f>IFERROR(__xludf.DUMMYFUNCTION("""COMPUTED_VALUE"""),"")</f>
        <v/>
      </c>
      <c r="G975" s="1" t="str">
        <f>IFERROR(__xludf.DUMMYFUNCTION("""COMPUTED_VALUE"""),"")</f>
        <v/>
      </c>
      <c r="H975" s="1"/>
      <c r="I975" s="1"/>
      <c r="J975" s="1"/>
      <c r="K975" s="1"/>
      <c r="L975" s="1"/>
      <c r="M975" s="1"/>
      <c r="N975" s="1"/>
      <c r="O975" s="1"/>
      <c r="P975" s="1"/>
      <c r="Q975" s="1"/>
      <c r="R975" s="1"/>
      <c r="S975" s="1"/>
      <c r="T975" s="1"/>
      <c r="U975" s="1"/>
      <c r="V975" s="1"/>
      <c r="W975" s="1"/>
      <c r="X975" s="1"/>
      <c r="Y975" s="1"/>
      <c r="Z975" s="1"/>
    </row>
    <row r="976">
      <c r="A976" s="1"/>
      <c r="B976" s="1" t="str">
        <f>IFERROR(__xludf.DUMMYFUNCTION("""COMPUTED_VALUE"""),"")</f>
        <v/>
      </c>
      <c r="C976" s="1" t="str">
        <f>IFERROR(__xludf.DUMMYFUNCTION("""COMPUTED_VALUE"""),"")</f>
        <v/>
      </c>
      <c r="D976" s="1" t="str">
        <f>IFERROR(__xludf.DUMMYFUNCTION("""COMPUTED_VALUE"""),"")</f>
        <v/>
      </c>
      <c r="E976" s="1" t="str">
        <f>IFERROR(__xludf.DUMMYFUNCTION("""COMPUTED_VALUE"""),"")</f>
        <v/>
      </c>
      <c r="F976" s="1" t="str">
        <f>IFERROR(__xludf.DUMMYFUNCTION("""COMPUTED_VALUE"""),"")</f>
        <v/>
      </c>
      <c r="G976" s="1" t="str">
        <f>IFERROR(__xludf.DUMMYFUNCTION("""COMPUTED_VALUE"""),"")</f>
        <v/>
      </c>
      <c r="H976" s="1"/>
      <c r="I976" s="1"/>
      <c r="J976" s="1"/>
      <c r="K976" s="1"/>
      <c r="L976" s="1"/>
      <c r="M976" s="1"/>
      <c r="N976" s="1"/>
      <c r="O976" s="1"/>
      <c r="P976" s="1"/>
      <c r="Q976" s="1"/>
      <c r="R976" s="1"/>
      <c r="S976" s="1"/>
      <c r="T976" s="1"/>
      <c r="U976" s="1"/>
      <c r="V976" s="1"/>
      <c r="W976" s="1"/>
      <c r="X976" s="1"/>
      <c r="Y976" s="1"/>
      <c r="Z976" s="1"/>
    </row>
    <row r="977">
      <c r="A977" s="1"/>
      <c r="B977" s="1" t="str">
        <f>IFERROR(__xludf.DUMMYFUNCTION("""COMPUTED_VALUE"""),"")</f>
        <v/>
      </c>
      <c r="C977" s="1" t="str">
        <f>IFERROR(__xludf.DUMMYFUNCTION("""COMPUTED_VALUE"""),"")</f>
        <v/>
      </c>
      <c r="D977" s="1" t="str">
        <f>IFERROR(__xludf.DUMMYFUNCTION("""COMPUTED_VALUE"""),"")</f>
        <v/>
      </c>
      <c r="E977" s="1" t="str">
        <f>IFERROR(__xludf.DUMMYFUNCTION("""COMPUTED_VALUE"""),"")</f>
        <v/>
      </c>
      <c r="F977" s="1" t="str">
        <f>IFERROR(__xludf.DUMMYFUNCTION("""COMPUTED_VALUE"""),"")</f>
        <v/>
      </c>
      <c r="G977" s="1" t="str">
        <f>IFERROR(__xludf.DUMMYFUNCTION("""COMPUTED_VALUE"""),"")</f>
        <v/>
      </c>
      <c r="H977" s="1"/>
      <c r="I977" s="1"/>
      <c r="J977" s="1"/>
      <c r="K977" s="1"/>
      <c r="L977" s="1"/>
      <c r="M977" s="1"/>
      <c r="N977" s="1"/>
      <c r="O977" s="1"/>
      <c r="P977" s="1"/>
      <c r="Q977" s="1"/>
      <c r="R977" s="1"/>
      <c r="S977" s="1"/>
      <c r="T977" s="1"/>
      <c r="U977" s="1"/>
      <c r="V977" s="1"/>
      <c r="W977" s="1"/>
      <c r="X977" s="1"/>
      <c r="Y977" s="1"/>
      <c r="Z977" s="1"/>
    </row>
    <row r="978">
      <c r="A978" s="1"/>
      <c r="B978" s="1" t="str">
        <f>IFERROR(__xludf.DUMMYFUNCTION("""COMPUTED_VALUE"""),"")</f>
        <v/>
      </c>
      <c r="C978" s="1" t="str">
        <f>IFERROR(__xludf.DUMMYFUNCTION("""COMPUTED_VALUE"""),"")</f>
        <v/>
      </c>
      <c r="D978" s="1" t="str">
        <f>IFERROR(__xludf.DUMMYFUNCTION("""COMPUTED_VALUE"""),"")</f>
        <v/>
      </c>
      <c r="E978" s="1" t="str">
        <f>IFERROR(__xludf.DUMMYFUNCTION("""COMPUTED_VALUE"""),"")</f>
        <v/>
      </c>
      <c r="F978" s="1" t="str">
        <f>IFERROR(__xludf.DUMMYFUNCTION("""COMPUTED_VALUE"""),"")</f>
        <v/>
      </c>
      <c r="G978" s="1" t="str">
        <f>IFERROR(__xludf.DUMMYFUNCTION("""COMPUTED_VALUE"""),"")</f>
        <v/>
      </c>
      <c r="H978" s="1"/>
      <c r="I978" s="1"/>
      <c r="J978" s="1"/>
      <c r="K978" s="1"/>
      <c r="L978" s="1"/>
      <c r="M978" s="1"/>
      <c r="N978" s="1"/>
      <c r="O978" s="1"/>
      <c r="P978" s="1"/>
      <c r="Q978" s="1"/>
      <c r="R978" s="1"/>
      <c r="S978" s="1"/>
      <c r="T978" s="1"/>
      <c r="U978" s="1"/>
      <c r="V978" s="1"/>
      <c r="W978" s="1"/>
      <c r="X978" s="1"/>
      <c r="Y978" s="1"/>
      <c r="Z978" s="1"/>
    </row>
    <row r="979">
      <c r="A979" s="1"/>
      <c r="B979" s="1" t="str">
        <f>IFERROR(__xludf.DUMMYFUNCTION("""COMPUTED_VALUE"""),"")</f>
        <v/>
      </c>
      <c r="C979" s="1" t="str">
        <f>IFERROR(__xludf.DUMMYFUNCTION("""COMPUTED_VALUE"""),"")</f>
        <v/>
      </c>
      <c r="D979" s="1" t="str">
        <f>IFERROR(__xludf.DUMMYFUNCTION("""COMPUTED_VALUE"""),"")</f>
        <v/>
      </c>
      <c r="E979" s="1" t="str">
        <f>IFERROR(__xludf.DUMMYFUNCTION("""COMPUTED_VALUE"""),"")</f>
        <v/>
      </c>
      <c r="F979" s="1" t="str">
        <f>IFERROR(__xludf.DUMMYFUNCTION("""COMPUTED_VALUE"""),"")</f>
        <v/>
      </c>
      <c r="G979" s="1" t="str">
        <f>IFERROR(__xludf.DUMMYFUNCTION("""COMPUTED_VALUE"""),"")</f>
        <v/>
      </c>
      <c r="H979" s="1"/>
      <c r="I979" s="1"/>
      <c r="J979" s="1"/>
      <c r="K979" s="1"/>
      <c r="L979" s="1"/>
      <c r="M979" s="1"/>
      <c r="N979" s="1"/>
      <c r="O979" s="1"/>
      <c r="P979" s="1"/>
      <c r="Q979" s="1"/>
      <c r="R979" s="1"/>
      <c r="S979" s="1"/>
      <c r="T979" s="1"/>
      <c r="U979" s="1"/>
      <c r="V979" s="1"/>
      <c r="W979" s="1"/>
      <c r="X979" s="1"/>
      <c r="Y979" s="1"/>
      <c r="Z979" s="1"/>
    </row>
    <row r="980">
      <c r="A980" s="1"/>
      <c r="B980" s="1" t="str">
        <f>IFERROR(__xludf.DUMMYFUNCTION("""COMPUTED_VALUE"""),"")</f>
        <v/>
      </c>
      <c r="C980" s="1" t="str">
        <f>IFERROR(__xludf.DUMMYFUNCTION("""COMPUTED_VALUE"""),"")</f>
        <v/>
      </c>
      <c r="D980" s="1" t="str">
        <f>IFERROR(__xludf.DUMMYFUNCTION("""COMPUTED_VALUE"""),"")</f>
        <v/>
      </c>
      <c r="E980" s="1" t="str">
        <f>IFERROR(__xludf.DUMMYFUNCTION("""COMPUTED_VALUE"""),"")</f>
        <v/>
      </c>
      <c r="F980" s="1" t="str">
        <f>IFERROR(__xludf.DUMMYFUNCTION("""COMPUTED_VALUE"""),"")</f>
        <v/>
      </c>
      <c r="G980" s="1" t="str">
        <f>IFERROR(__xludf.DUMMYFUNCTION("""COMPUTED_VALUE"""),"")</f>
        <v/>
      </c>
      <c r="H980" s="1"/>
      <c r="I980" s="1"/>
      <c r="J980" s="1"/>
      <c r="K980" s="1"/>
      <c r="L980" s="1"/>
      <c r="M980" s="1"/>
      <c r="N980" s="1"/>
      <c r="O980" s="1"/>
      <c r="P980" s="1"/>
      <c r="Q980" s="1"/>
      <c r="R980" s="1"/>
      <c r="S980" s="1"/>
      <c r="T980" s="1"/>
      <c r="U980" s="1"/>
      <c r="V980" s="1"/>
      <c r="W980" s="1"/>
      <c r="X980" s="1"/>
      <c r="Y980" s="1"/>
      <c r="Z980" s="1"/>
    </row>
    <row r="981">
      <c r="A981" s="1"/>
      <c r="B981" s="1" t="str">
        <f>IFERROR(__xludf.DUMMYFUNCTION("""COMPUTED_VALUE"""),"")</f>
        <v/>
      </c>
      <c r="C981" s="1" t="str">
        <f>IFERROR(__xludf.DUMMYFUNCTION("""COMPUTED_VALUE"""),"")</f>
        <v/>
      </c>
      <c r="D981" s="1" t="str">
        <f>IFERROR(__xludf.DUMMYFUNCTION("""COMPUTED_VALUE"""),"")</f>
        <v/>
      </c>
      <c r="E981" s="1" t="str">
        <f>IFERROR(__xludf.DUMMYFUNCTION("""COMPUTED_VALUE"""),"")</f>
        <v/>
      </c>
      <c r="F981" s="1" t="str">
        <f>IFERROR(__xludf.DUMMYFUNCTION("""COMPUTED_VALUE"""),"")</f>
        <v/>
      </c>
      <c r="G981" s="1" t="str">
        <f>IFERROR(__xludf.DUMMYFUNCTION("""COMPUTED_VALUE"""),"")</f>
        <v/>
      </c>
      <c r="H981" s="1"/>
      <c r="I981" s="1"/>
      <c r="J981" s="1"/>
      <c r="K981" s="1"/>
      <c r="L981" s="1"/>
      <c r="M981" s="1"/>
      <c r="N981" s="1"/>
      <c r="O981" s="1"/>
      <c r="P981" s="1"/>
      <c r="Q981" s="1"/>
      <c r="R981" s="1"/>
      <c r="S981" s="1"/>
      <c r="T981" s="1"/>
      <c r="U981" s="1"/>
      <c r="V981" s="1"/>
      <c r="W981" s="1"/>
      <c r="X981" s="1"/>
      <c r="Y981" s="1"/>
      <c r="Z981" s="1"/>
    </row>
    <row r="982">
      <c r="A982" s="1"/>
      <c r="B982" s="1" t="str">
        <f>IFERROR(__xludf.DUMMYFUNCTION("""COMPUTED_VALUE"""),"")</f>
        <v/>
      </c>
      <c r="C982" s="1" t="str">
        <f>IFERROR(__xludf.DUMMYFUNCTION("""COMPUTED_VALUE"""),"")</f>
        <v/>
      </c>
      <c r="D982" s="1" t="str">
        <f>IFERROR(__xludf.DUMMYFUNCTION("""COMPUTED_VALUE"""),"")</f>
        <v/>
      </c>
      <c r="E982" s="1" t="str">
        <f>IFERROR(__xludf.DUMMYFUNCTION("""COMPUTED_VALUE"""),"")</f>
        <v/>
      </c>
      <c r="F982" s="1" t="str">
        <f>IFERROR(__xludf.DUMMYFUNCTION("""COMPUTED_VALUE"""),"")</f>
        <v/>
      </c>
      <c r="G982" s="1" t="str">
        <f>IFERROR(__xludf.DUMMYFUNCTION("""COMPUTED_VALUE"""),"")</f>
        <v/>
      </c>
      <c r="H982" s="1"/>
      <c r="I982" s="1"/>
      <c r="J982" s="1"/>
      <c r="K982" s="1"/>
      <c r="L982" s="1"/>
      <c r="M982" s="1"/>
      <c r="N982" s="1"/>
      <c r="O982" s="1"/>
      <c r="P982" s="1"/>
      <c r="Q982" s="1"/>
      <c r="R982" s="1"/>
      <c r="S982" s="1"/>
      <c r="T982" s="1"/>
      <c r="U982" s="1"/>
      <c r="V982" s="1"/>
      <c r="W982" s="1"/>
      <c r="X982" s="1"/>
      <c r="Y982" s="1"/>
      <c r="Z982" s="1"/>
    </row>
    <row r="983">
      <c r="A983" s="1"/>
      <c r="B983" s="1" t="str">
        <f>IFERROR(__xludf.DUMMYFUNCTION("""COMPUTED_VALUE"""),"")</f>
        <v/>
      </c>
      <c r="C983" s="1" t="str">
        <f>IFERROR(__xludf.DUMMYFUNCTION("""COMPUTED_VALUE"""),"")</f>
        <v/>
      </c>
      <c r="D983" s="1" t="str">
        <f>IFERROR(__xludf.DUMMYFUNCTION("""COMPUTED_VALUE"""),"")</f>
        <v/>
      </c>
      <c r="E983" s="1" t="str">
        <f>IFERROR(__xludf.DUMMYFUNCTION("""COMPUTED_VALUE"""),"")</f>
        <v/>
      </c>
      <c r="F983" s="1" t="str">
        <f>IFERROR(__xludf.DUMMYFUNCTION("""COMPUTED_VALUE"""),"")</f>
        <v/>
      </c>
      <c r="G983" s="1" t="str">
        <f>IFERROR(__xludf.DUMMYFUNCTION("""COMPUTED_VALUE"""),"")</f>
        <v/>
      </c>
      <c r="H983" s="1"/>
      <c r="I983" s="1"/>
      <c r="J983" s="1"/>
      <c r="K983" s="1"/>
      <c r="L983" s="1"/>
      <c r="M983" s="1"/>
      <c r="N983" s="1"/>
      <c r="O983" s="1"/>
      <c r="P983" s="1"/>
      <c r="Q983" s="1"/>
      <c r="R983" s="1"/>
      <c r="S983" s="1"/>
      <c r="T983" s="1"/>
      <c r="U983" s="1"/>
      <c r="V983" s="1"/>
      <c r="W983" s="1"/>
      <c r="X983" s="1"/>
      <c r="Y983" s="1"/>
      <c r="Z983" s="1"/>
    </row>
    <row r="984">
      <c r="A984" s="1"/>
      <c r="B984" s="1" t="str">
        <f>IFERROR(__xludf.DUMMYFUNCTION("""COMPUTED_VALUE"""),"")</f>
        <v/>
      </c>
      <c r="C984" s="1" t="str">
        <f>IFERROR(__xludf.DUMMYFUNCTION("""COMPUTED_VALUE"""),"")</f>
        <v/>
      </c>
      <c r="D984" s="1" t="str">
        <f>IFERROR(__xludf.DUMMYFUNCTION("""COMPUTED_VALUE"""),"")</f>
        <v/>
      </c>
      <c r="E984" s="1" t="str">
        <f>IFERROR(__xludf.DUMMYFUNCTION("""COMPUTED_VALUE"""),"")</f>
        <v/>
      </c>
      <c r="F984" s="1" t="str">
        <f>IFERROR(__xludf.DUMMYFUNCTION("""COMPUTED_VALUE"""),"")</f>
        <v/>
      </c>
      <c r="G984" s="1" t="str">
        <f>IFERROR(__xludf.DUMMYFUNCTION("""COMPUTED_VALUE"""),"")</f>
        <v/>
      </c>
      <c r="H984" s="1"/>
      <c r="I984" s="1"/>
      <c r="J984" s="1"/>
      <c r="K984" s="1"/>
      <c r="L984" s="1"/>
      <c r="M984" s="1"/>
      <c r="N984" s="1"/>
      <c r="O984" s="1"/>
      <c r="P984" s="1"/>
      <c r="Q984" s="1"/>
      <c r="R984" s="1"/>
      <c r="S984" s="1"/>
      <c r="T984" s="1"/>
      <c r="U984" s="1"/>
      <c r="V984" s="1"/>
      <c r="W984" s="1"/>
      <c r="X984" s="1"/>
      <c r="Y984" s="1"/>
      <c r="Z984" s="1"/>
    </row>
    <row r="985">
      <c r="A985" s="1"/>
      <c r="B985" s="1" t="str">
        <f>IFERROR(__xludf.DUMMYFUNCTION("""COMPUTED_VALUE"""),"")</f>
        <v/>
      </c>
      <c r="C985" s="1" t="str">
        <f>IFERROR(__xludf.DUMMYFUNCTION("""COMPUTED_VALUE"""),"")</f>
        <v/>
      </c>
      <c r="D985" s="1" t="str">
        <f>IFERROR(__xludf.DUMMYFUNCTION("""COMPUTED_VALUE"""),"")</f>
        <v/>
      </c>
      <c r="E985" s="1" t="str">
        <f>IFERROR(__xludf.DUMMYFUNCTION("""COMPUTED_VALUE"""),"")</f>
        <v/>
      </c>
      <c r="F985" s="1" t="str">
        <f>IFERROR(__xludf.DUMMYFUNCTION("""COMPUTED_VALUE"""),"")</f>
        <v/>
      </c>
      <c r="G985" s="1" t="str">
        <f>IFERROR(__xludf.DUMMYFUNCTION("""COMPUTED_VALUE"""),"")</f>
        <v/>
      </c>
      <c r="H985" s="1"/>
      <c r="I985" s="1"/>
      <c r="J985" s="1"/>
      <c r="K985" s="1"/>
      <c r="L985" s="1"/>
      <c r="M985" s="1"/>
      <c r="N985" s="1"/>
      <c r="O985" s="1"/>
      <c r="P985" s="1"/>
      <c r="Q985" s="1"/>
      <c r="R985" s="1"/>
      <c r="S985" s="1"/>
      <c r="T985" s="1"/>
      <c r="U985" s="1"/>
      <c r="V985" s="1"/>
      <c r="W985" s="1"/>
      <c r="X985" s="1"/>
      <c r="Y985" s="1"/>
      <c r="Z985" s="1"/>
    </row>
    <row r="986">
      <c r="A986" s="1"/>
      <c r="B986" s="1" t="str">
        <f>IFERROR(__xludf.DUMMYFUNCTION("""COMPUTED_VALUE"""),"")</f>
        <v/>
      </c>
      <c r="C986" s="1" t="str">
        <f>IFERROR(__xludf.DUMMYFUNCTION("""COMPUTED_VALUE"""),"")</f>
        <v/>
      </c>
      <c r="D986" s="1" t="str">
        <f>IFERROR(__xludf.DUMMYFUNCTION("""COMPUTED_VALUE"""),"")</f>
        <v/>
      </c>
      <c r="E986" s="1" t="str">
        <f>IFERROR(__xludf.DUMMYFUNCTION("""COMPUTED_VALUE"""),"")</f>
        <v/>
      </c>
      <c r="F986" s="1" t="str">
        <f>IFERROR(__xludf.DUMMYFUNCTION("""COMPUTED_VALUE"""),"")</f>
        <v/>
      </c>
      <c r="G986" s="1" t="str">
        <f>IFERROR(__xludf.DUMMYFUNCTION("""COMPUTED_VALUE"""),"")</f>
        <v/>
      </c>
      <c r="H986" s="1"/>
      <c r="I986" s="1"/>
      <c r="J986" s="1"/>
      <c r="K986" s="1"/>
      <c r="L986" s="1"/>
      <c r="M986" s="1"/>
      <c r="N986" s="1"/>
      <c r="O986" s="1"/>
      <c r="P986" s="1"/>
      <c r="Q986" s="1"/>
      <c r="R986" s="1"/>
      <c r="S986" s="1"/>
      <c r="T986" s="1"/>
      <c r="U986" s="1"/>
      <c r="V986" s="1"/>
      <c r="W986" s="1"/>
      <c r="X986" s="1"/>
      <c r="Y986" s="1"/>
      <c r="Z986" s="1"/>
    </row>
    <row r="987">
      <c r="A987" s="1"/>
      <c r="B987" s="1" t="str">
        <f>IFERROR(__xludf.DUMMYFUNCTION("""COMPUTED_VALUE"""),"")</f>
        <v/>
      </c>
      <c r="C987" s="1" t="str">
        <f>IFERROR(__xludf.DUMMYFUNCTION("""COMPUTED_VALUE"""),"")</f>
        <v/>
      </c>
      <c r="D987" s="1" t="str">
        <f>IFERROR(__xludf.DUMMYFUNCTION("""COMPUTED_VALUE"""),"")</f>
        <v/>
      </c>
      <c r="E987" s="1" t="str">
        <f>IFERROR(__xludf.DUMMYFUNCTION("""COMPUTED_VALUE"""),"")</f>
        <v/>
      </c>
      <c r="F987" s="1" t="str">
        <f>IFERROR(__xludf.DUMMYFUNCTION("""COMPUTED_VALUE"""),"")</f>
        <v/>
      </c>
      <c r="G987" s="1" t="str">
        <f>IFERROR(__xludf.DUMMYFUNCTION("""COMPUTED_VALUE"""),"")</f>
        <v/>
      </c>
      <c r="H987" s="1"/>
      <c r="I987" s="1"/>
      <c r="J987" s="1"/>
      <c r="K987" s="1"/>
      <c r="L987" s="1"/>
      <c r="M987" s="1"/>
      <c r="N987" s="1"/>
      <c r="O987" s="1"/>
      <c r="P987" s="1"/>
      <c r="Q987" s="1"/>
      <c r="R987" s="1"/>
      <c r="S987" s="1"/>
      <c r="T987" s="1"/>
      <c r="U987" s="1"/>
      <c r="V987" s="1"/>
      <c r="W987" s="1"/>
      <c r="X987" s="1"/>
      <c r="Y987" s="1"/>
      <c r="Z987" s="1"/>
    </row>
    <row r="988">
      <c r="A988" s="1"/>
      <c r="B988" s="1" t="str">
        <f>IFERROR(__xludf.DUMMYFUNCTION("""COMPUTED_VALUE"""),"")</f>
        <v/>
      </c>
      <c r="C988" s="1" t="str">
        <f>IFERROR(__xludf.DUMMYFUNCTION("""COMPUTED_VALUE"""),"")</f>
        <v/>
      </c>
      <c r="D988" s="1" t="str">
        <f>IFERROR(__xludf.DUMMYFUNCTION("""COMPUTED_VALUE"""),"")</f>
        <v/>
      </c>
      <c r="E988" s="1" t="str">
        <f>IFERROR(__xludf.DUMMYFUNCTION("""COMPUTED_VALUE"""),"")</f>
        <v/>
      </c>
      <c r="F988" s="1" t="str">
        <f>IFERROR(__xludf.DUMMYFUNCTION("""COMPUTED_VALUE"""),"")</f>
        <v/>
      </c>
      <c r="G988" s="1" t="str">
        <f>IFERROR(__xludf.DUMMYFUNCTION("""COMPUTED_VALUE"""),"")</f>
        <v/>
      </c>
      <c r="H988" s="1"/>
      <c r="I988" s="1"/>
      <c r="J988" s="1"/>
      <c r="K988" s="1"/>
      <c r="L988" s="1"/>
      <c r="M988" s="1"/>
      <c r="N988" s="1"/>
      <c r="O988" s="1"/>
      <c r="P988" s="1"/>
      <c r="Q988" s="1"/>
      <c r="R988" s="1"/>
      <c r="S988" s="1"/>
      <c r="T988" s="1"/>
      <c r="U988" s="1"/>
      <c r="V988" s="1"/>
      <c r="W988" s="1"/>
      <c r="X988" s="1"/>
      <c r="Y988" s="1"/>
      <c r="Z988" s="1"/>
    </row>
    <row r="989">
      <c r="A989" s="1"/>
      <c r="B989" s="1" t="str">
        <f>IFERROR(__xludf.DUMMYFUNCTION("""COMPUTED_VALUE"""),"")</f>
        <v/>
      </c>
      <c r="C989" s="1" t="str">
        <f>IFERROR(__xludf.DUMMYFUNCTION("""COMPUTED_VALUE"""),"")</f>
        <v/>
      </c>
      <c r="D989" s="1" t="str">
        <f>IFERROR(__xludf.DUMMYFUNCTION("""COMPUTED_VALUE"""),"")</f>
        <v/>
      </c>
      <c r="E989" s="1" t="str">
        <f>IFERROR(__xludf.DUMMYFUNCTION("""COMPUTED_VALUE"""),"")</f>
        <v/>
      </c>
      <c r="F989" s="1" t="str">
        <f>IFERROR(__xludf.DUMMYFUNCTION("""COMPUTED_VALUE"""),"")</f>
        <v/>
      </c>
      <c r="G989" s="1" t="str">
        <f>IFERROR(__xludf.DUMMYFUNCTION("""COMPUTED_VALUE"""),"")</f>
        <v/>
      </c>
      <c r="H989" s="1"/>
      <c r="I989" s="1"/>
      <c r="J989" s="1"/>
      <c r="K989" s="1"/>
      <c r="L989" s="1"/>
      <c r="M989" s="1"/>
      <c r="N989" s="1"/>
      <c r="O989" s="1"/>
      <c r="P989" s="1"/>
      <c r="Q989" s="1"/>
      <c r="R989" s="1"/>
      <c r="S989" s="1"/>
      <c r="T989" s="1"/>
      <c r="U989" s="1"/>
      <c r="V989" s="1"/>
      <c r="W989" s="1"/>
      <c r="X989" s="1"/>
      <c r="Y989" s="1"/>
      <c r="Z989" s="1"/>
    </row>
    <row r="990">
      <c r="A990" s="1"/>
      <c r="B990" s="1" t="str">
        <f>IFERROR(__xludf.DUMMYFUNCTION("""COMPUTED_VALUE"""),"")</f>
        <v/>
      </c>
      <c r="C990" s="1" t="str">
        <f>IFERROR(__xludf.DUMMYFUNCTION("""COMPUTED_VALUE"""),"")</f>
        <v/>
      </c>
      <c r="D990" s="1" t="str">
        <f>IFERROR(__xludf.DUMMYFUNCTION("""COMPUTED_VALUE"""),"")</f>
        <v/>
      </c>
      <c r="E990" s="1" t="str">
        <f>IFERROR(__xludf.DUMMYFUNCTION("""COMPUTED_VALUE"""),"")</f>
        <v/>
      </c>
      <c r="F990" s="1" t="str">
        <f>IFERROR(__xludf.DUMMYFUNCTION("""COMPUTED_VALUE"""),"")</f>
        <v/>
      </c>
      <c r="G990" s="1" t="str">
        <f>IFERROR(__xludf.DUMMYFUNCTION("""COMPUTED_VALUE"""),"")</f>
        <v/>
      </c>
      <c r="H990" s="1"/>
      <c r="I990" s="1"/>
      <c r="J990" s="1"/>
      <c r="K990" s="1"/>
      <c r="L990" s="1"/>
      <c r="M990" s="1"/>
      <c r="N990" s="1"/>
      <c r="O990" s="1"/>
      <c r="P990" s="1"/>
      <c r="Q990" s="1"/>
      <c r="R990" s="1"/>
      <c r="S990" s="1"/>
      <c r="T990" s="1"/>
      <c r="U990" s="1"/>
      <c r="V990" s="1"/>
      <c r="W990" s="1"/>
      <c r="X990" s="1"/>
      <c r="Y990" s="1"/>
      <c r="Z990" s="1"/>
    </row>
    <row r="991">
      <c r="A991" s="1"/>
      <c r="B991" s="1" t="str">
        <f>IFERROR(__xludf.DUMMYFUNCTION("""COMPUTED_VALUE"""),"")</f>
        <v/>
      </c>
      <c r="C991" s="1" t="str">
        <f>IFERROR(__xludf.DUMMYFUNCTION("""COMPUTED_VALUE"""),"")</f>
        <v/>
      </c>
      <c r="D991" s="1" t="str">
        <f>IFERROR(__xludf.DUMMYFUNCTION("""COMPUTED_VALUE"""),"")</f>
        <v/>
      </c>
      <c r="E991" s="1" t="str">
        <f>IFERROR(__xludf.DUMMYFUNCTION("""COMPUTED_VALUE"""),"")</f>
        <v/>
      </c>
      <c r="F991" s="1" t="str">
        <f>IFERROR(__xludf.DUMMYFUNCTION("""COMPUTED_VALUE"""),"")</f>
        <v/>
      </c>
      <c r="G991" s="1" t="str">
        <f>IFERROR(__xludf.DUMMYFUNCTION("""COMPUTED_VALUE"""),"")</f>
        <v/>
      </c>
      <c r="H991" s="1"/>
      <c r="I991" s="1"/>
      <c r="J991" s="1"/>
      <c r="K991" s="1"/>
      <c r="L991" s="1"/>
      <c r="M991" s="1"/>
      <c r="N991" s="1"/>
      <c r="O991" s="1"/>
      <c r="P991" s="1"/>
      <c r="Q991" s="1"/>
      <c r="R991" s="1"/>
      <c r="S991" s="1"/>
      <c r="T991" s="1"/>
      <c r="U991" s="1"/>
      <c r="V991" s="1"/>
      <c r="W991" s="1"/>
      <c r="X991" s="1"/>
      <c r="Y991" s="1"/>
      <c r="Z991" s="1"/>
    </row>
    <row r="992">
      <c r="A992" s="1"/>
      <c r="B992" s="1" t="str">
        <f>IFERROR(__xludf.DUMMYFUNCTION("""COMPUTED_VALUE"""),"")</f>
        <v/>
      </c>
      <c r="C992" s="1" t="str">
        <f>IFERROR(__xludf.DUMMYFUNCTION("""COMPUTED_VALUE"""),"")</f>
        <v/>
      </c>
      <c r="D992" s="1" t="str">
        <f>IFERROR(__xludf.DUMMYFUNCTION("""COMPUTED_VALUE"""),"")</f>
        <v/>
      </c>
      <c r="E992" s="1" t="str">
        <f>IFERROR(__xludf.DUMMYFUNCTION("""COMPUTED_VALUE"""),"")</f>
        <v/>
      </c>
      <c r="F992" s="1" t="str">
        <f>IFERROR(__xludf.DUMMYFUNCTION("""COMPUTED_VALUE"""),"")</f>
        <v/>
      </c>
      <c r="G992" s="1" t="str">
        <f>IFERROR(__xludf.DUMMYFUNCTION("""COMPUTED_VALUE"""),"")</f>
        <v/>
      </c>
      <c r="H992" s="1"/>
      <c r="I992" s="1"/>
      <c r="J992" s="1"/>
      <c r="K992" s="1"/>
      <c r="L992" s="1"/>
      <c r="M992" s="1"/>
      <c r="N992" s="1"/>
      <c r="O992" s="1"/>
      <c r="P992" s="1"/>
      <c r="Q992" s="1"/>
      <c r="R992" s="1"/>
      <c r="S992" s="1"/>
      <c r="T992" s="1"/>
      <c r="U992" s="1"/>
      <c r="V992" s="1"/>
      <c r="W992" s="1"/>
      <c r="X992" s="1"/>
      <c r="Y992" s="1"/>
      <c r="Z992" s="1"/>
    </row>
    <row r="993">
      <c r="A993" s="1"/>
      <c r="B993" s="1" t="str">
        <f>IFERROR(__xludf.DUMMYFUNCTION("""COMPUTED_VALUE"""),"")</f>
        <v/>
      </c>
      <c r="C993" s="1" t="str">
        <f>IFERROR(__xludf.DUMMYFUNCTION("""COMPUTED_VALUE"""),"")</f>
        <v/>
      </c>
      <c r="D993" s="1" t="str">
        <f>IFERROR(__xludf.DUMMYFUNCTION("""COMPUTED_VALUE"""),"")</f>
        <v/>
      </c>
      <c r="E993" s="1" t="str">
        <f>IFERROR(__xludf.DUMMYFUNCTION("""COMPUTED_VALUE"""),"")</f>
        <v/>
      </c>
      <c r="F993" s="1" t="str">
        <f>IFERROR(__xludf.DUMMYFUNCTION("""COMPUTED_VALUE"""),"")</f>
        <v/>
      </c>
      <c r="G993" s="1" t="str">
        <f>IFERROR(__xludf.DUMMYFUNCTION("""COMPUTED_VALUE"""),"")</f>
        <v/>
      </c>
      <c r="H993" s="1"/>
      <c r="I993" s="1"/>
      <c r="J993" s="1"/>
      <c r="K993" s="1"/>
      <c r="L993" s="1"/>
      <c r="M993" s="1"/>
      <c r="N993" s="1"/>
      <c r="O993" s="1"/>
      <c r="P993" s="1"/>
      <c r="Q993" s="1"/>
      <c r="R993" s="1"/>
      <c r="S993" s="1"/>
      <c r="T993" s="1"/>
      <c r="U993" s="1"/>
      <c r="V993" s="1"/>
      <c r="W993" s="1"/>
      <c r="X993" s="1"/>
      <c r="Y993" s="1"/>
      <c r="Z993" s="1"/>
    </row>
    <row r="994">
      <c r="A994" s="1"/>
      <c r="B994" s="1" t="str">
        <f>IFERROR(__xludf.DUMMYFUNCTION("""COMPUTED_VALUE"""),"")</f>
        <v/>
      </c>
      <c r="C994" s="1" t="str">
        <f>IFERROR(__xludf.DUMMYFUNCTION("""COMPUTED_VALUE"""),"")</f>
        <v/>
      </c>
      <c r="D994" s="1" t="str">
        <f>IFERROR(__xludf.DUMMYFUNCTION("""COMPUTED_VALUE"""),"")</f>
        <v/>
      </c>
      <c r="E994" s="1" t="str">
        <f>IFERROR(__xludf.DUMMYFUNCTION("""COMPUTED_VALUE"""),"")</f>
        <v/>
      </c>
      <c r="F994" s="1" t="str">
        <f>IFERROR(__xludf.DUMMYFUNCTION("""COMPUTED_VALUE"""),"")</f>
        <v/>
      </c>
      <c r="G994" s="1" t="str">
        <f>IFERROR(__xludf.DUMMYFUNCTION("""COMPUTED_VALUE"""),"")</f>
        <v/>
      </c>
      <c r="H994" s="1"/>
      <c r="I994" s="1"/>
      <c r="J994" s="1"/>
      <c r="K994" s="1"/>
      <c r="L994" s="1"/>
      <c r="M994" s="1"/>
      <c r="N994" s="1"/>
      <c r="O994" s="1"/>
      <c r="P994" s="1"/>
      <c r="Q994" s="1"/>
      <c r="R994" s="1"/>
      <c r="S994" s="1"/>
      <c r="T994" s="1"/>
      <c r="U994" s="1"/>
      <c r="V994" s="1"/>
      <c r="W994" s="1"/>
      <c r="X994" s="1"/>
      <c r="Y994" s="1"/>
      <c r="Z994" s="1"/>
    </row>
    <row r="995">
      <c r="A995" s="1"/>
      <c r="B995" s="1" t="str">
        <f>IFERROR(__xludf.DUMMYFUNCTION("""COMPUTED_VALUE"""),"")</f>
        <v/>
      </c>
      <c r="C995" s="1" t="str">
        <f>IFERROR(__xludf.DUMMYFUNCTION("""COMPUTED_VALUE"""),"")</f>
        <v/>
      </c>
      <c r="D995" s="1" t="str">
        <f>IFERROR(__xludf.DUMMYFUNCTION("""COMPUTED_VALUE"""),"")</f>
        <v/>
      </c>
      <c r="E995" s="1" t="str">
        <f>IFERROR(__xludf.DUMMYFUNCTION("""COMPUTED_VALUE"""),"")</f>
        <v/>
      </c>
      <c r="F995" s="1" t="str">
        <f>IFERROR(__xludf.DUMMYFUNCTION("""COMPUTED_VALUE"""),"")</f>
        <v/>
      </c>
      <c r="G995" s="1" t="str">
        <f>IFERROR(__xludf.DUMMYFUNCTION("""COMPUTED_VALUE"""),"")</f>
        <v/>
      </c>
      <c r="H995" s="1"/>
      <c r="I995" s="1"/>
      <c r="J995" s="1"/>
      <c r="K995" s="1"/>
      <c r="L995" s="1"/>
      <c r="M995" s="1"/>
      <c r="N995" s="1"/>
      <c r="O995" s="1"/>
      <c r="P995" s="1"/>
      <c r="Q995" s="1"/>
      <c r="R995" s="1"/>
      <c r="S995" s="1"/>
      <c r="T995" s="1"/>
      <c r="U995" s="1"/>
      <c r="V995" s="1"/>
      <c r="W995" s="1"/>
      <c r="X995" s="1"/>
      <c r="Y995" s="1"/>
      <c r="Z995" s="1"/>
    </row>
    <row r="996">
      <c r="A996" s="1"/>
      <c r="B996" s="1" t="str">
        <f>IFERROR(__xludf.DUMMYFUNCTION("""COMPUTED_VALUE"""),"")</f>
        <v/>
      </c>
      <c r="C996" s="1" t="str">
        <f>IFERROR(__xludf.DUMMYFUNCTION("""COMPUTED_VALUE"""),"")</f>
        <v/>
      </c>
      <c r="D996" s="1" t="str">
        <f>IFERROR(__xludf.DUMMYFUNCTION("""COMPUTED_VALUE"""),"")</f>
        <v/>
      </c>
      <c r="E996" s="1" t="str">
        <f>IFERROR(__xludf.DUMMYFUNCTION("""COMPUTED_VALUE"""),"")</f>
        <v/>
      </c>
      <c r="F996" s="1" t="str">
        <f>IFERROR(__xludf.DUMMYFUNCTION("""COMPUTED_VALUE"""),"")</f>
        <v/>
      </c>
      <c r="G996" s="1" t="str">
        <f>IFERROR(__xludf.DUMMYFUNCTION("""COMPUTED_VALUE"""),"")</f>
        <v/>
      </c>
      <c r="H996" s="1"/>
      <c r="I996" s="1"/>
      <c r="J996" s="1"/>
      <c r="K996" s="1"/>
      <c r="L996" s="1"/>
      <c r="M996" s="1"/>
      <c r="N996" s="1"/>
      <c r="O996" s="1"/>
      <c r="P996" s="1"/>
      <c r="Q996" s="1"/>
      <c r="R996" s="1"/>
      <c r="S996" s="1"/>
      <c r="T996" s="1"/>
      <c r="U996" s="1"/>
      <c r="V996" s="1"/>
      <c r="W996" s="1"/>
      <c r="X996" s="1"/>
      <c r="Y996" s="1"/>
      <c r="Z996" s="1"/>
    </row>
    <row r="997">
      <c r="A997" s="1"/>
      <c r="B997" s="1" t="str">
        <f>IFERROR(__xludf.DUMMYFUNCTION("""COMPUTED_VALUE"""),"")</f>
        <v/>
      </c>
      <c r="C997" s="1" t="str">
        <f>IFERROR(__xludf.DUMMYFUNCTION("""COMPUTED_VALUE"""),"")</f>
        <v/>
      </c>
      <c r="D997" s="1" t="str">
        <f>IFERROR(__xludf.DUMMYFUNCTION("""COMPUTED_VALUE"""),"")</f>
        <v/>
      </c>
      <c r="E997" s="1" t="str">
        <f>IFERROR(__xludf.DUMMYFUNCTION("""COMPUTED_VALUE"""),"")</f>
        <v/>
      </c>
      <c r="F997" s="1" t="str">
        <f>IFERROR(__xludf.DUMMYFUNCTION("""COMPUTED_VALUE"""),"")</f>
        <v/>
      </c>
      <c r="G997" s="1" t="str">
        <f>IFERROR(__xludf.DUMMYFUNCTION("""COMPUTED_VALUE"""),"")</f>
        <v/>
      </c>
      <c r="H997" s="1"/>
      <c r="I997" s="1"/>
      <c r="J997" s="1"/>
      <c r="K997" s="1"/>
      <c r="L997" s="1"/>
      <c r="M997" s="1"/>
      <c r="N997" s="1"/>
      <c r="O997" s="1"/>
      <c r="P997" s="1"/>
      <c r="Q997" s="1"/>
      <c r="R997" s="1"/>
      <c r="S997" s="1"/>
      <c r="T997" s="1"/>
      <c r="U997" s="1"/>
      <c r="V997" s="1"/>
      <c r="W997" s="1"/>
      <c r="X997" s="1"/>
      <c r="Y997" s="1"/>
      <c r="Z997" s="1"/>
    </row>
    <row r="998">
      <c r="A998" s="1"/>
      <c r="B998" s="1" t="str">
        <f>IFERROR(__xludf.DUMMYFUNCTION("""COMPUTED_VALUE"""),"")</f>
        <v/>
      </c>
      <c r="C998" s="1" t="str">
        <f>IFERROR(__xludf.DUMMYFUNCTION("""COMPUTED_VALUE"""),"")</f>
        <v/>
      </c>
      <c r="D998" s="1" t="str">
        <f>IFERROR(__xludf.DUMMYFUNCTION("""COMPUTED_VALUE"""),"")</f>
        <v/>
      </c>
      <c r="E998" s="1" t="str">
        <f>IFERROR(__xludf.DUMMYFUNCTION("""COMPUTED_VALUE"""),"")</f>
        <v/>
      </c>
      <c r="F998" s="1" t="str">
        <f>IFERROR(__xludf.DUMMYFUNCTION("""COMPUTED_VALUE"""),"")</f>
        <v/>
      </c>
      <c r="G998" s="1" t="str">
        <f>IFERROR(__xludf.DUMMYFUNCTION("""COMPUTED_VALUE"""),"")</f>
        <v/>
      </c>
      <c r="H998" s="1"/>
      <c r="I998" s="1"/>
      <c r="J998" s="1"/>
      <c r="K998" s="1"/>
      <c r="L998" s="1"/>
      <c r="M998" s="1"/>
      <c r="N998" s="1"/>
      <c r="O998" s="1"/>
      <c r="P998" s="1"/>
      <c r="Q998" s="1"/>
      <c r="R998" s="1"/>
      <c r="S998" s="1"/>
      <c r="T998" s="1"/>
      <c r="U998" s="1"/>
      <c r="V998" s="1"/>
      <c r="W998" s="1"/>
      <c r="X998" s="1"/>
      <c r="Y998" s="1"/>
      <c r="Z998" s="1"/>
    </row>
    <row r="999">
      <c r="A999" s="1"/>
      <c r="B999" s="1" t="str">
        <f>IFERROR(__xludf.DUMMYFUNCTION("""COMPUTED_VALUE"""),"")</f>
        <v/>
      </c>
      <c r="C999" s="1" t="str">
        <f>IFERROR(__xludf.DUMMYFUNCTION("""COMPUTED_VALUE"""),"")</f>
        <v/>
      </c>
      <c r="D999" s="1" t="str">
        <f>IFERROR(__xludf.DUMMYFUNCTION("""COMPUTED_VALUE"""),"")</f>
        <v/>
      </c>
      <c r="E999" s="1" t="str">
        <f>IFERROR(__xludf.DUMMYFUNCTION("""COMPUTED_VALUE"""),"")</f>
        <v/>
      </c>
      <c r="F999" s="1" t="str">
        <f>IFERROR(__xludf.DUMMYFUNCTION("""COMPUTED_VALUE"""),"")</f>
        <v/>
      </c>
      <c r="G999" s="1" t="str">
        <f>IFERROR(__xludf.DUMMYFUNCTION("""COMPUTED_VALUE"""),"")</f>
        <v/>
      </c>
      <c r="H999" s="1"/>
      <c r="I999" s="1"/>
      <c r="J999" s="1"/>
      <c r="K999" s="1"/>
      <c r="L999" s="1"/>
      <c r="M999" s="1"/>
      <c r="N999" s="1"/>
      <c r="O999" s="1"/>
      <c r="P999" s="1"/>
      <c r="Q999" s="1"/>
      <c r="R999" s="1"/>
      <c r="S999" s="1"/>
      <c r="T999" s="1"/>
      <c r="U999" s="1"/>
      <c r="V999" s="1"/>
      <c r="W999" s="1"/>
      <c r="X999" s="1"/>
      <c r="Y999" s="1"/>
      <c r="Z999" s="1"/>
    </row>
    <row r="1000">
      <c r="A1000" s="1"/>
      <c r="B1000" s="1" t="str">
        <f>IFERROR(__xludf.DUMMYFUNCTION("""COMPUTED_VALUE"""),"")</f>
        <v/>
      </c>
      <c r="C1000" s="1" t="str">
        <f>IFERROR(__xludf.DUMMYFUNCTION("""COMPUTED_VALUE"""),"")</f>
        <v/>
      </c>
      <c r="D1000" s="1" t="str">
        <f>IFERROR(__xludf.DUMMYFUNCTION("""COMPUTED_VALUE"""),"")</f>
        <v/>
      </c>
      <c r="E1000" s="1" t="str">
        <f>IFERROR(__xludf.DUMMYFUNCTION("""COMPUTED_VALUE"""),"")</f>
        <v/>
      </c>
      <c r="F1000" s="1" t="str">
        <f>IFERROR(__xludf.DUMMYFUNCTION("""COMPUTED_VALUE"""),"")</f>
        <v/>
      </c>
      <c r="G1000" s="1" t="str">
        <f>IFERROR(__xludf.DUMMYFUNCTION("""COMPUTED_VALUE"""),"")</f>
        <v/>
      </c>
      <c r="H1000" s="1"/>
      <c r="I1000" s="1"/>
      <c r="J1000" s="1"/>
      <c r="K1000" s="1"/>
      <c r="L1000" s="1"/>
      <c r="M1000" s="1"/>
      <c r="N1000" s="1"/>
      <c r="O1000" s="1"/>
      <c r="P1000" s="1"/>
      <c r="Q1000" s="1"/>
      <c r="R1000" s="1"/>
      <c r="S1000" s="1"/>
      <c r="T1000" s="1"/>
      <c r="U1000" s="1"/>
      <c r="V1000" s="1"/>
      <c r="W1000" s="1"/>
      <c r="X1000" s="1"/>
      <c r="Y1000" s="1"/>
      <c r="Z1000" s="1"/>
    </row>
    <row r="1001">
      <c r="A1001" s="1"/>
      <c r="B1001" s="1" t="str">
        <f>IFERROR(__xludf.DUMMYFUNCTION("""COMPUTED_VALUE"""),"")</f>
        <v/>
      </c>
      <c r="C1001" s="1" t="str">
        <f>IFERROR(__xludf.DUMMYFUNCTION("""COMPUTED_VALUE"""),"")</f>
        <v/>
      </c>
      <c r="D1001" s="1" t="str">
        <f>IFERROR(__xludf.DUMMYFUNCTION("""COMPUTED_VALUE"""),"")</f>
        <v/>
      </c>
      <c r="E1001" s="1" t="str">
        <f>IFERROR(__xludf.DUMMYFUNCTION("""COMPUTED_VALUE"""),"")</f>
        <v/>
      </c>
      <c r="F1001" s="1" t="str">
        <f>IFERROR(__xludf.DUMMYFUNCTION("""COMPUTED_VALUE"""),"")</f>
        <v/>
      </c>
      <c r="G1001" s="1" t="str">
        <f>IFERROR(__xludf.DUMMYFUNCTION("""COMPUTED_VALUE"""),"")</f>
        <v/>
      </c>
      <c r="H1001" s="1"/>
      <c r="I1001" s="1"/>
      <c r="J1001" s="1"/>
      <c r="K1001" s="1"/>
      <c r="L1001" s="1"/>
      <c r="M1001" s="1"/>
      <c r="N1001" s="1"/>
      <c r="O1001" s="1"/>
      <c r="P1001" s="1"/>
      <c r="Q1001" s="1"/>
      <c r="R1001" s="1"/>
      <c r="S1001" s="1"/>
      <c r="T1001" s="1"/>
      <c r="U1001" s="1"/>
      <c r="V1001" s="1"/>
      <c r="W1001" s="1"/>
      <c r="X1001" s="1"/>
      <c r="Y1001" s="1"/>
      <c r="Z1001"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tr">
        <f>IFERROR(__xludf.DUMMYFUNCTION("IFERROR(VSTACK(QUERY(Equipconvert!A2:I1501, ""SELECT * WHERE NOT A = '' AND H = FALSE AND 
(I = '""&amp;Gen!$G$2&amp;""' 
OR H = '""&amp;Gen!$G$3&amp;""' 
OR H = '""&amp;Gen!$G$4&amp;""' 
OR H = '""&amp;Gen!$G$5&amp;""' 
OR H = '""&amp;Gen!$G$6&amp;""' 
OR H = '""&amp;Gen!$G$7&amp;""' 
OR H = '""&amp;Gen!$"&amp;"G$8&amp;""' 
OR H = '""&amp;Gen!$G$9&amp;""' 
OR H = '""&amp;Gen!$G$10&amp;""' 
OR H = '""&amp;Gen!$G$11&amp;""')""),QUERY(Items!A2:I1501, ""SELECT * WHERE NOT A = '' AND H = FALSE AND 
(I = '""&amp;Gen!$G$2&amp;""' 
OR H = '""&amp;Gen!$G$3&amp;""' 
OR H = '""&amp;Gen!$G$4&amp;""' 
OR H = '""&amp;Gen!$G$5&amp;""' "&amp;"
OR H = '""&amp;Gen!$G$6&amp;""' 
OR H = '""&amp;Gen!$G$7&amp;""' 
OR H = '""&amp;Gen!$G$8&amp;""' 
OR H = '""&amp;Gen!$G$9&amp;""' 
OR H = '""&amp;Gen!$G$10&amp;""' 
OR H = '""&amp;Gen!$G$11&amp;""')"")))"),"""Hellfire Club"" Vest of Metal Harmony's")</f>
        <v>"Hellfire Club" Vest of Metal Harmony's</v>
      </c>
      <c r="B1" s="1"/>
      <c r="C1" s="1"/>
      <c r="D1" s="1" t="str">
        <f>IFERROR(__xludf.DUMMYFUNCTION("""COMPUTED_VALUE"""),"Torso")</f>
        <v>Torso</v>
      </c>
      <c r="E1" s="1">
        <f>IFERROR(__xludf.DUMMYFUNCTION("""COMPUTED_VALUE"""),200.0)</f>
        <v>200</v>
      </c>
      <c r="F1" s="1" t="str">
        <f>IFERROR(__xludf.DUMMYFUNCTION("""COMPUTED_VALUE"""),"DEF: ++10000 ++When dealing damage with an instrument you will regain sp equal to the damage you caused.")</f>
        <v>DEF: ++10000 ++When dealing damage with an instrument you will regain sp equal to the damage you caused.</v>
      </c>
      <c r="G1" s="1">
        <f>IFERROR(__xludf.DUMMYFUNCTION("""COMPUTED_VALUE"""),1900000.0)</f>
        <v>1900000</v>
      </c>
      <c r="H1" s="1" t="b">
        <f>IFERROR(__xludf.DUMMYFUNCTION("""COMPUTED_VALUE"""),FALSE)</f>
        <v>0</v>
      </c>
      <c r="I1" s="1" t="str">
        <f>IFERROR(__xludf.DUMMYFUNCTION("""COMPUTED_VALUE"""),"Land of Spira")</f>
        <v>Land of Spira</v>
      </c>
    </row>
    <row r="2">
      <c r="A2" s="1" t="str">
        <f>IFERROR(__xludf.DUMMYFUNCTION("""COMPUTED_VALUE"""),"""Sweetheart"" Guitar of The Upside Down")</f>
        <v>"Sweetheart" Guitar of The Upside Down</v>
      </c>
      <c r="B2" s="1"/>
      <c r="C2" s="1" t="str">
        <f>IFERROR(__xludf.DUMMYFUNCTION("""COMPUTED_VALUE"""),"Instrument")</f>
        <v>Instrument</v>
      </c>
      <c r="D2" s="1" t="str">
        <f>IFERROR(__xludf.DUMMYFUNCTION("""COMPUTED_VALUE"""),"Hand")</f>
        <v>Hand</v>
      </c>
      <c r="E2" s="1">
        <f>IFERROR(__xludf.DUMMYFUNCTION("""COMPUTED_VALUE"""),200.0)</f>
        <v>200</v>
      </c>
      <c r="F2" s="1" t="str">
        <f>IFERROR(__xludf.DUMMYFUNCTION("""COMPUTED_VALUE"""),"DMG: +2500, Fire DMG: +2500, Dark DMG: +2500, Chaos DMG: +2500 ++This instrument will deal X2 damage while it's equipped. ++Any spells that deal damage for the user will now do an additional X2. ++25% chance to port the target you hit to a random location"&amp;".")</f>
        <v>DMG: +2500, Fire DMG: +2500, Dark DMG: +2500, Chaos DMG: +2500 ++This instrument will deal X2 damage while it's equipped. ++Any spells that deal damage for the user will now do an additional X2. ++25% chance to port the target you hit to a random location.</v>
      </c>
      <c r="G2" s="1">
        <f>IFERROR(__xludf.DUMMYFUNCTION("""COMPUTED_VALUE"""),1900000.0)</f>
        <v>1900000</v>
      </c>
      <c r="H2" s="1" t="b">
        <f>IFERROR(__xludf.DUMMYFUNCTION("""COMPUTED_VALUE"""),FALSE)</f>
        <v>0</v>
      </c>
      <c r="I2" s="1" t="str">
        <f>IFERROR(__xludf.DUMMYFUNCTION("""COMPUTED_VALUE"""),"Land of Spira")</f>
        <v>Land of Spira</v>
      </c>
    </row>
    <row r="3">
      <c r="A3" s="1" t="str">
        <f>IFERROR(__xludf.DUMMYFUNCTION("""COMPUTED_VALUE"""),"Ancient Colossus Forest Hammer")</f>
        <v>Ancient Colossus Forest Hammer</v>
      </c>
      <c r="B3" s="1"/>
      <c r="C3" s="1" t="str">
        <f>IFERROR(__xludf.DUMMYFUNCTION("""COMPUTED_VALUE"""),"Club")</f>
        <v>Club</v>
      </c>
      <c r="D3" s="1" t="str">
        <f>IFERROR(__xludf.DUMMYFUNCTION("""COMPUTED_VALUE"""),"Hand")</f>
        <v>Hand</v>
      </c>
      <c r="E3" s="1">
        <f>IFERROR(__xludf.DUMMYFUNCTION("""COMPUTED_VALUE"""),700.0)</f>
        <v>700</v>
      </c>
      <c r="F3" s="1" t="str">
        <f>IFERROR(__xludf.DUMMYFUNCTION("""COMPUTED_VALUE"""),"DMG: +25000, Nature DMG: +10000 ++When in a Natural environment all attacks with this weapon will roll twice and take the higher number")</f>
        <v>DMG: +25000, Nature DMG: +10000 ++When in a Natural environment all attacks with this weapon will roll twice and take the higher number</v>
      </c>
      <c r="G3" s="1">
        <f>IFERROR(__xludf.DUMMYFUNCTION("""COMPUTED_VALUE"""),2.415E7)</f>
        <v>24150000</v>
      </c>
      <c r="H3" s="1" t="b">
        <f>IFERROR(__xludf.DUMMYFUNCTION("""COMPUTED_VALUE"""),FALSE)</f>
        <v>0</v>
      </c>
      <c r="I3" s="1" t="str">
        <f>IFERROR(__xludf.DUMMYFUNCTION("""COMPUTED_VALUE"""),"Land of Spira")</f>
        <v>Land of Spira</v>
      </c>
    </row>
    <row r="4">
      <c r="A4" s="1" t="str">
        <f>IFERROR(__xludf.DUMMYFUNCTION("""COMPUTED_VALUE"""),"Ancient Samurai Sword")</f>
        <v>Ancient Samurai Sword</v>
      </c>
      <c r="B4" s="1"/>
      <c r="C4" s="1" t="str">
        <f>IFERROR(__xludf.DUMMYFUNCTION("""COMPUTED_VALUE"""),"Sword")</f>
        <v>Sword</v>
      </c>
      <c r="D4" s="1" t="str">
        <f>IFERROR(__xludf.DUMMYFUNCTION("""COMPUTED_VALUE"""),"Hand")</f>
        <v>Hand</v>
      </c>
      <c r="E4" s="1">
        <f>IFERROR(__xludf.DUMMYFUNCTION("""COMPUTED_VALUE"""),800.0)</f>
        <v>800</v>
      </c>
      <c r="F4" s="1" t="str">
        <f>IFERROR(__xludf.DUMMYFUNCTION("""COMPUTED_VALUE"""),"DMG: +10000, Fire DMG: +10000, Light DMG: +10000, Order DMG: +10000 ++Doubles the chance for the Sword ability to activate")</f>
        <v>DMG: +10000, Fire DMG: +10000, Light DMG: +10000, Order DMG: +10000 ++Doubles the chance for the Sword ability to activate</v>
      </c>
      <c r="G4" s="1">
        <f>IFERROR(__xludf.DUMMYFUNCTION("""COMPUTED_VALUE"""),3.16E7)</f>
        <v>31600000</v>
      </c>
      <c r="H4" s="1" t="b">
        <f>IFERROR(__xludf.DUMMYFUNCTION("""COMPUTED_VALUE"""),FALSE)</f>
        <v>0</v>
      </c>
      <c r="I4" s="1" t="str">
        <f>IFERROR(__xludf.DUMMYFUNCTION("""COMPUTED_VALUE"""),"Land of Spira")</f>
        <v>Land of Spira</v>
      </c>
    </row>
    <row r="5">
      <c r="A5" s="1" t="str">
        <f>IFERROR(__xludf.DUMMYFUNCTION("""COMPUTED_VALUE"""),"Ancient Stone Guardians Sword")</f>
        <v>Ancient Stone Guardians Sword</v>
      </c>
      <c r="B5" s="1"/>
      <c r="C5" s="1" t="str">
        <f>IFERROR(__xludf.DUMMYFUNCTION("""COMPUTED_VALUE"""),"Sword")</f>
        <v>Sword</v>
      </c>
      <c r="D5" s="1" t="str">
        <f>IFERROR(__xludf.DUMMYFUNCTION("""COMPUTED_VALUE"""),"Hand")</f>
        <v>Hand</v>
      </c>
      <c r="E5" s="1">
        <f>IFERROR(__xludf.DUMMYFUNCTION("""COMPUTED_VALUE"""),1200.0)</f>
        <v>1200</v>
      </c>
      <c r="F5" s="1" t="str">
        <f>IFERROR(__xludf.DUMMYFUNCTION("""COMPUTED_VALUE"""),"DMG: +20000, Earth DMG: +20000, Light DMG: +20000 ++X2 Defense for all allies")</f>
        <v>DMG: +20000, Earth DMG: +20000, Light DMG: +20000 ++X2 Defense for all allies</v>
      </c>
      <c r="G5" s="1">
        <f>IFERROR(__xludf.DUMMYFUNCTION("""COMPUTED_VALUE"""),7.14E7)</f>
        <v>71400000</v>
      </c>
      <c r="H5" s="1" t="b">
        <f>IFERROR(__xludf.DUMMYFUNCTION("""COMPUTED_VALUE"""),FALSE)</f>
        <v>0</v>
      </c>
      <c r="I5" s="1" t="str">
        <f>IFERROR(__xludf.DUMMYFUNCTION("""COMPUTED_VALUE"""),"Land of Spira")</f>
        <v>Land of Spira</v>
      </c>
    </row>
    <row r="6">
      <c r="A6" s="1" t="str">
        <f>IFERROR(__xludf.DUMMYFUNCTION("""COMPUTED_VALUE"""),"Aqua Robe")</f>
        <v>Aqua Robe</v>
      </c>
      <c r="B6" s="1"/>
      <c r="C6" s="1"/>
      <c r="D6" s="1" t="str">
        <f>IFERROR(__xludf.DUMMYFUNCTION("""COMPUTED_VALUE"""),"Torso")</f>
        <v>Torso</v>
      </c>
      <c r="E6" s="1">
        <f>IFERROR(__xludf.DUMMYFUNCTION("""COMPUTED_VALUE"""),40.0)</f>
        <v>40</v>
      </c>
      <c r="F6" s="1" t="str">
        <f>IFERROR(__xludf.DUMMYFUNCTION("""COMPUTED_VALUE"""),"DEF: +1000, Water DEF: +1000 ++X4 damage additional water damage for the user.")</f>
        <v>DEF: +1000, Water DEF: +1000 ++X4 damage additional water damage for the user.</v>
      </c>
      <c r="G6" s="1">
        <f>IFERROR(__xludf.DUMMYFUNCTION("""COMPUTED_VALUE"""),60000.0)</f>
        <v>60000</v>
      </c>
      <c r="H6" s="1" t="b">
        <f>IFERROR(__xludf.DUMMYFUNCTION("""COMPUTED_VALUE"""),FALSE)</f>
        <v>0</v>
      </c>
      <c r="I6" s="1" t="str">
        <f>IFERROR(__xludf.DUMMYFUNCTION("""COMPUTED_VALUE"""),"Land of Spira")</f>
        <v>Land of Spira</v>
      </c>
    </row>
    <row r="7">
      <c r="A7" s="1" t="str">
        <f>IFERROR(__xludf.DUMMYFUNCTION("""COMPUTED_VALUE"""),"Aquatic Boots of Atlantis")</f>
        <v>Aquatic Boots of Atlantis</v>
      </c>
      <c r="B7" s="1"/>
      <c r="C7" s="1"/>
      <c r="D7" s="1" t="str">
        <f>IFERROR(__xludf.DUMMYFUNCTION("""COMPUTED_VALUE"""),"Feet")</f>
        <v>Feet</v>
      </c>
      <c r="E7" s="1">
        <f>IFERROR(__xludf.DUMMYFUNCTION("""COMPUTED_VALUE"""),300.0)</f>
        <v>300</v>
      </c>
      <c r="F7" s="1" t="str">
        <f>IFERROR(__xludf.DUMMYFUNCTION("""COMPUTED_VALUE"""),"DEF: +7500, Water DEF: +7500 ++X6 additional water damage for self.")</f>
        <v>DEF: +7500, Water DEF: +7500 ++X6 additional water damage for self.</v>
      </c>
      <c r="G7" s="1">
        <f>IFERROR(__xludf.DUMMYFUNCTION("""COMPUTED_VALUE"""),4350000.0)</f>
        <v>4350000</v>
      </c>
      <c r="H7" s="1" t="b">
        <f>IFERROR(__xludf.DUMMYFUNCTION("""COMPUTED_VALUE"""),FALSE)</f>
        <v>0</v>
      </c>
      <c r="I7" s="1" t="str">
        <f>IFERROR(__xludf.DUMMYFUNCTION("""COMPUTED_VALUE"""),"Land of Spira")</f>
        <v>Land of Spira</v>
      </c>
    </row>
    <row r="8">
      <c r="A8" s="1" t="str">
        <f>IFERROR(__xludf.DUMMYFUNCTION("""COMPUTED_VALUE"""),"Aquatic Chestplate of Atlantis")</f>
        <v>Aquatic Chestplate of Atlantis</v>
      </c>
      <c r="B8" s="1"/>
      <c r="C8" s="1"/>
      <c r="D8" s="1" t="str">
        <f>IFERROR(__xludf.DUMMYFUNCTION("""COMPUTED_VALUE"""),"Torso")</f>
        <v>Torso</v>
      </c>
      <c r="E8" s="1">
        <f>IFERROR(__xludf.DUMMYFUNCTION("""COMPUTED_VALUE"""),600.0)</f>
        <v>600</v>
      </c>
      <c r="F8" s="1" t="str">
        <f>IFERROR(__xludf.DUMMYFUNCTION("""COMPUTED_VALUE"""),"DEF: +15000, Water DEF: +15000 ++X6 additional water damage for self.  ++X8 Defense for self and allies if you have all Aquatic Atlantis Equipment Equipped.")</f>
        <v>DEF: +15000, Water DEF: +15000 ++X6 additional water damage for self.  ++X8 Defense for self and allies if you have all Aquatic Atlantis Equipment Equipped.</v>
      </c>
      <c r="G8" s="1">
        <f>IFERROR(__xludf.DUMMYFUNCTION("""COMPUTED_VALUE"""),1.77E7)</f>
        <v>17700000</v>
      </c>
      <c r="H8" s="1" t="b">
        <f>IFERROR(__xludf.DUMMYFUNCTION("""COMPUTED_VALUE"""),FALSE)</f>
        <v>0</v>
      </c>
      <c r="I8" s="1" t="str">
        <f>IFERROR(__xludf.DUMMYFUNCTION("""COMPUTED_VALUE"""),"Land of Spira")</f>
        <v>Land of Spira</v>
      </c>
    </row>
    <row r="9">
      <c r="A9" s="1" t="str">
        <f>IFERROR(__xludf.DUMMYFUNCTION("""COMPUTED_VALUE"""),"Aquatic Greaves of Atlantis")</f>
        <v>Aquatic Greaves of Atlantis</v>
      </c>
      <c r="B9" s="1"/>
      <c r="C9" s="1"/>
      <c r="D9" s="1" t="str">
        <f>IFERROR(__xludf.DUMMYFUNCTION("""COMPUTED_VALUE"""),"Legs")</f>
        <v>Legs</v>
      </c>
      <c r="E9" s="1">
        <f>IFERROR(__xludf.DUMMYFUNCTION("""COMPUTED_VALUE"""),300.0)</f>
        <v>300</v>
      </c>
      <c r="F9" s="1" t="str">
        <f>IFERROR(__xludf.DUMMYFUNCTION("""COMPUTED_VALUE"""),"DEF: +7500, Water DEF: +7500 ++X6 additional water damage for self.")</f>
        <v>DEF: +7500, Water DEF: +7500 ++X6 additional water damage for self.</v>
      </c>
      <c r="G9" s="1">
        <f>IFERROR(__xludf.DUMMYFUNCTION("""COMPUTED_VALUE"""),4350000.0)</f>
        <v>4350000</v>
      </c>
      <c r="H9" s="1" t="b">
        <f>IFERROR(__xludf.DUMMYFUNCTION("""COMPUTED_VALUE"""),FALSE)</f>
        <v>0</v>
      </c>
      <c r="I9" s="1" t="str">
        <f>IFERROR(__xludf.DUMMYFUNCTION("""COMPUTED_VALUE"""),"Land of Spira")</f>
        <v>Land of Spira</v>
      </c>
    </row>
    <row r="10">
      <c r="A10" s="1" t="str">
        <f>IFERROR(__xludf.DUMMYFUNCTION("""COMPUTED_VALUE"""),"Aquatic Helmet of Atlantis")</f>
        <v>Aquatic Helmet of Atlantis</v>
      </c>
      <c r="B10" s="1"/>
      <c r="C10" s="1"/>
      <c r="D10" s="1" t="str">
        <f>IFERROR(__xludf.DUMMYFUNCTION("""COMPUTED_VALUE"""),"Head")</f>
        <v>Head</v>
      </c>
      <c r="E10" s="1">
        <f>IFERROR(__xludf.DUMMYFUNCTION("""COMPUTED_VALUE"""),300.0)</f>
        <v>300</v>
      </c>
      <c r="F10" s="1" t="str">
        <f>IFERROR(__xludf.DUMMYFUNCTION("""COMPUTED_VALUE"""),"DEF: +7500, Water DEF: +7500 ++X6 additional water damage for self.")</f>
        <v>DEF: +7500, Water DEF: +7500 ++X6 additional water damage for self.</v>
      </c>
      <c r="G10" s="1">
        <f>IFERROR(__xludf.DUMMYFUNCTION("""COMPUTED_VALUE"""),4350000.0)</f>
        <v>4350000</v>
      </c>
      <c r="H10" s="1" t="b">
        <f>IFERROR(__xludf.DUMMYFUNCTION("""COMPUTED_VALUE"""),FALSE)</f>
        <v>0</v>
      </c>
      <c r="I10" s="1" t="str">
        <f>IFERROR(__xludf.DUMMYFUNCTION("""COMPUTED_VALUE"""),"Land of Spira")</f>
        <v>Land of Spira</v>
      </c>
    </row>
    <row r="11">
      <c r="A11" s="1" t="str">
        <f>IFERROR(__xludf.DUMMYFUNCTION("""COMPUTED_VALUE"""),"Aquatic Pauldrons of Atlantis")</f>
        <v>Aquatic Pauldrons of Atlantis</v>
      </c>
      <c r="B11" s="1"/>
      <c r="C11" s="1"/>
      <c r="D11" s="1" t="str">
        <f>IFERROR(__xludf.DUMMYFUNCTION("""COMPUTED_VALUE"""),"Shoulders")</f>
        <v>Shoulders</v>
      </c>
      <c r="E11" s="1">
        <f>IFERROR(__xludf.DUMMYFUNCTION("""COMPUTED_VALUE"""),300.0)</f>
        <v>300</v>
      </c>
      <c r="F11" s="1" t="str">
        <f>IFERROR(__xludf.DUMMYFUNCTION("""COMPUTED_VALUE"""),"DEF: +7500, Water DEF: +7500 ++X6 additional water damage for self.")</f>
        <v>DEF: +7500, Water DEF: +7500 ++X6 additional water damage for self.</v>
      </c>
      <c r="G11" s="1">
        <f>IFERROR(__xludf.DUMMYFUNCTION("""COMPUTED_VALUE"""),4350000.0)</f>
        <v>4350000</v>
      </c>
      <c r="H11" s="1" t="b">
        <f>IFERROR(__xludf.DUMMYFUNCTION("""COMPUTED_VALUE"""),FALSE)</f>
        <v>0</v>
      </c>
      <c r="I11" s="1" t="str">
        <f>IFERROR(__xludf.DUMMYFUNCTION("""COMPUTED_VALUE"""),"Land of Spira")</f>
        <v>Land of Spira</v>
      </c>
    </row>
    <row r="12">
      <c r="A12" s="1" t="str">
        <f>IFERROR(__xludf.DUMMYFUNCTION("""COMPUTED_VALUE"""),"Aquatic Sword of Atlantis")</f>
        <v>Aquatic Sword of Atlantis</v>
      </c>
      <c r="B12" s="1"/>
      <c r="C12" s="1" t="str">
        <f>IFERROR(__xludf.DUMMYFUNCTION("""COMPUTED_VALUE"""),"Sword")</f>
        <v>Sword</v>
      </c>
      <c r="D12" s="1" t="str">
        <f>IFERROR(__xludf.DUMMYFUNCTION("""COMPUTED_VALUE"""),"Hand")</f>
        <v>Hand</v>
      </c>
      <c r="E12" s="1">
        <f>IFERROR(__xludf.DUMMYFUNCTION("""COMPUTED_VALUE"""),1200.0)</f>
        <v>1200</v>
      </c>
      <c r="F12" s="1" t="str">
        <f>IFERROR(__xludf.DUMMYFUNCTION("""COMPUTED_VALUE"""),"DMG: +30000, Water DMG: +30000 ++X6 additional water damage for self, ++Tides of Atlantis: Upon a successful hit this weapon has a 50% chance to cast Tsunami for no sp cost. Cannot be duplicated.")</f>
        <v>DMG: +30000, Water DMG: +30000 ++X6 additional water damage for self, ++Tides of Atlantis: Upon a successful hit this weapon has a 50% chance to cast Tsunami for no sp cost. Cannot be duplicated.</v>
      </c>
      <c r="G12" s="1">
        <f>IFERROR(__xludf.DUMMYFUNCTION("""COMPUTED_VALUE"""),7.14E7)</f>
        <v>71400000</v>
      </c>
      <c r="H12" s="1" t="b">
        <f>IFERROR(__xludf.DUMMYFUNCTION("""COMPUTED_VALUE"""),FALSE)</f>
        <v>0</v>
      </c>
      <c r="I12" s="1" t="str">
        <f>IFERROR(__xludf.DUMMYFUNCTION("""COMPUTED_VALUE"""),"Land of Spira")</f>
        <v>Land of Spira</v>
      </c>
    </row>
    <row r="13">
      <c r="A13" s="1" t="str">
        <f>IFERROR(__xludf.DUMMYFUNCTION("""COMPUTED_VALUE"""),"Aquatic Vambraces of Atlantis")</f>
        <v>Aquatic Vambraces of Atlantis</v>
      </c>
      <c r="B13" s="1"/>
      <c r="C13" s="1"/>
      <c r="D13" s="1" t="str">
        <f>IFERROR(__xludf.DUMMYFUNCTION("""COMPUTED_VALUE"""),"Arms")</f>
        <v>Arms</v>
      </c>
      <c r="E13" s="1">
        <f>IFERROR(__xludf.DUMMYFUNCTION("""COMPUTED_VALUE"""),300.0)</f>
        <v>300</v>
      </c>
      <c r="F13" s="1" t="str">
        <f>IFERROR(__xludf.DUMMYFUNCTION("""COMPUTED_VALUE"""),"DEF: +7500, Water DEF: +7500 X6 additional water damage for self.")</f>
        <v>DEF: +7500, Water DEF: +7500 X6 additional water damage for self.</v>
      </c>
      <c r="G13" s="1">
        <f>IFERROR(__xludf.DUMMYFUNCTION("""COMPUTED_VALUE"""),4350000.0)</f>
        <v>4350000</v>
      </c>
      <c r="H13" s="1" t="b">
        <f>IFERROR(__xludf.DUMMYFUNCTION("""COMPUTED_VALUE"""),FALSE)</f>
        <v>0</v>
      </c>
      <c r="I13" s="1" t="str">
        <f>IFERROR(__xludf.DUMMYFUNCTION("""COMPUTED_VALUE"""),"Land of Spira")</f>
        <v>Land of Spira</v>
      </c>
    </row>
    <row r="14">
      <c r="A14" s="1" t="str">
        <f>IFERROR(__xludf.DUMMYFUNCTION("""COMPUTED_VALUE"""),"Archer’s Cloaked Vest")</f>
        <v>Archer’s Cloaked Vest</v>
      </c>
      <c r="B14" s="1"/>
      <c r="C14" s="1"/>
      <c r="D14" s="1" t="str">
        <f>IFERROR(__xludf.DUMMYFUNCTION("""COMPUTED_VALUE"""),"Torso")</f>
        <v>Torso</v>
      </c>
      <c r="E14" s="1">
        <f>IFERROR(__xludf.DUMMYFUNCTION("""COMPUTED_VALUE"""),20.0)</f>
        <v>20</v>
      </c>
      <c r="F14" s="1" t="str">
        <f>IFERROR(__xludf.DUMMYFUNCTION("""COMPUTED_VALUE"""),"DEF: +800 (Ranger Set) ++Half the Arrow - Range Spells cost half the sp cost, ++Ranger Enrage - All Ranged Spells do double in damage ++only archers can equip")</f>
        <v>DEF: +800 (Ranger Set) ++Half the Arrow - Range Spells cost half the sp cost, ++Ranger Enrage - All Ranged Spells do double in damage ++only archers can equip</v>
      </c>
      <c r="G14" s="1">
        <f>IFERROR(__xludf.DUMMYFUNCTION("""COMPUTED_VALUE"""),1000.0)</f>
        <v>1000</v>
      </c>
      <c r="H14" s="1" t="b">
        <f>IFERROR(__xludf.DUMMYFUNCTION("""COMPUTED_VALUE"""),FALSE)</f>
        <v>0</v>
      </c>
      <c r="I14" s="1" t="str">
        <f>IFERROR(__xludf.DUMMYFUNCTION("""COMPUTED_VALUE"""),"Land of Spira")</f>
        <v>Land of Spira</v>
      </c>
    </row>
    <row r="15">
      <c r="A15" s="1" t="str">
        <f>IFERROR(__xludf.DUMMYFUNCTION("""COMPUTED_VALUE"""),"Archers Boots")</f>
        <v>Archers Boots</v>
      </c>
      <c r="B15" s="1"/>
      <c r="C15" s="1"/>
      <c r="D15" s="1" t="str">
        <f>IFERROR(__xludf.DUMMYFUNCTION("""COMPUTED_VALUE"""),"Feet")</f>
        <v>Feet</v>
      </c>
      <c r="E15" s="1">
        <f>IFERROR(__xludf.DUMMYFUNCTION("""COMPUTED_VALUE"""),1.0)</f>
        <v>1</v>
      </c>
      <c r="F15" s="1" t="str">
        <f>IFERROR(__xludf.DUMMYFUNCTION("""COMPUTED_VALUE""")," (Ranger Set) ++5 evasion ++Only archers can equip, +-Cannot be duplicated or forged.")</f>
        <v> (Ranger Set) ++5 evasion ++Only archers can equip, +-Cannot be duplicated or forged.</v>
      </c>
      <c r="G15" s="1">
        <f>IFERROR(__xludf.DUMMYFUNCTION("""COMPUTED_VALUE"""),0.0)</f>
        <v>0</v>
      </c>
      <c r="H15" s="1" t="b">
        <f>IFERROR(__xludf.DUMMYFUNCTION("""COMPUTED_VALUE"""),FALSE)</f>
        <v>0</v>
      </c>
      <c r="I15" s="1" t="str">
        <f>IFERROR(__xludf.DUMMYFUNCTION("""COMPUTED_VALUE"""),"Land of Spira")</f>
        <v>Land of Spira</v>
      </c>
    </row>
    <row r="16">
      <c r="A16" s="1" t="str">
        <f>IFERROR(__xludf.DUMMYFUNCTION("""COMPUTED_VALUE"""),"Archers Cloak")</f>
        <v>Archers Cloak</v>
      </c>
      <c r="B16" s="1"/>
      <c r="C16" s="1"/>
      <c r="D16" s="1" t="str">
        <f>IFERROR(__xludf.DUMMYFUNCTION("""COMPUTED_VALUE"""),"Torso")</f>
        <v>Torso</v>
      </c>
      <c r="E16" s="1">
        <f>IFERROR(__xludf.DUMMYFUNCTION("""COMPUTED_VALUE"""),1.0)</f>
        <v>1</v>
      </c>
      <c r="F16" s="1" t="str">
        <f>IFERROR(__xludf.DUMMYFUNCTION("""COMPUTED_VALUE""")," (Ranger Set) ++Ranged Spells cost half the sp cost ++Only archers can equip")</f>
        <v> (Ranger Set) ++Ranged Spells cost half the sp cost ++Only archers can equip</v>
      </c>
      <c r="G16" s="1">
        <f>IFERROR(__xludf.DUMMYFUNCTION("""COMPUTED_VALUE"""),0.0)</f>
        <v>0</v>
      </c>
      <c r="H16" s="1" t="b">
        <f>IFERROR(__xludf.DUMMYFUNCTION("""COMPUTED_VALUE"""),FALSE)</f>
        <v>0</v>
      </c>
      <c r="I16" s="1" t="str">
        <f>IFERROR(__xludf.DUMMYFUNCTION("""COMPUTED_VALUE"""),"Land of Spira")</f>
        <v>Land of Spira</v>
      </c>
    </row>
    <row r="17">
      <c r="A17" s="1" t="str">
        <f>IFERROR(__xludf.DUMMYFUNCTION("""COMPUTED_VALUE"""),"Armor Of Zeldron")</f>
        <v>Armor Of Zeldron</v>
      </c>
      <c r="B17" s="1" t="str">
        <f>IFERROR(__xludf.DUMMYFUNCTION("""COMPUTED_VALUE"""),"Made of gold")</f>
        <v>Made of gold</v>
      </c>
      <c r="C17" s="1"/>
      <c r="D17" s="1" t="str">
        <f>IFERROR(__xludf.DUMMYFUNCTION("""COMPUTED_VALUE"""),"Torso")</f>
        <v>Torso</v>
      </c>
      <c r="E17" s="1">
        <f>IFERROR(__xludf.DUMMYFUNCTION("""COMPUTED_VALUE"""),400.0)</f>
        <v>400</v>
      </c>
      <c r="F17" s="1" t="str">
        <f>IFERROR(__xludf.DUMMYFUNCTION("""COMPUTED_VALUE"""),"DEF: +10000, Order DEF: +10000")</f>
        <v>DEF: +10000, Order DEF: +10000</v>
      </c>
      <c r="G17" s="1">
        <f>IFERROR(__xludf.DUMMYFUNCTION("""COMPUTED_VALUE"""),7800000.0)</f>
        <v>7800000</v>
      </c>
      <c r="H17" s="1" t="b">
        <f>IFERROR(__xludf.DUMMYFUNCTION("""COMPUTED_VALUE"""),FALSE)</f>
        <v>0</v>
      </c>
      <c r="I17" s="1" t="str">
        <f>IFERROR(__xludf.DUMMYFUNCTION("""COMPUTED_VALUE"""),"Land of Spira")</f>
        <v>Land of Spira</v>
      </c>
    </row>
    <row r="18">
      <c r="A18" s="1" t="str">
        <f>IFERROR(__xludf.DUMMYFUNCTION("""COMPUTED_VALUE"""),"Ashen Pole Axe")</f>
        <v>Ashen Pole Axe</v>
      </c>
      <c r="B18" s="1"/>
      <c r="C18" s="1" t="str">
        <f>IFERROR(__xludf.DUMMYFUNCTION("""COMPUTED_VALUE"""),"Axe")</f>
        <v>Axe</v>
      </c>
      <c r="D18" s="1" t="str">
        <f>IFERROR(__xludf.DUMMYFUNCTION("""COMPUTED_VALUE"""),"Hand")</f>
        <v>Hand</v>
      </c>
      <c r="E18" s="1">
        <f>IFERROR(__xludf.DUMMYFUNCTION("""COMPUTED_VALUE"""),20.0)</f>
        <v>20</v>
      </c>
      <c r="F18" s="1" t="str">
        <f>IFERROR(__xludf.DUMMYFUNCTION("""COMPUTED_VALUE"""),"DMG: +500, Fire DMG: +500 ++Inflicts Burn 500")</f>
        <v>DMG: +500, Fire DMG: +500 ++Inflicts Burn 500</v>
      </c>
      <c r="G18" s="1">
        <f>IFERROR(__xludf.DUMMYFUNCTION("""COMPUTED_VALUE"""),10000.0)</f>
        <v>10000</v>
      </c>
      <c r="H18" s="1" t="b">
        <f>IFERROR(__xludf.DUMMYFUNCTION("""COMPUTED_VALUE"""),FALSE)</f>
        <v>0</v>
      </c>
      <c r="I18" s="1" t="str">
        <f>IFERROR(__xludf.DUMMYFUNCTION("""COMPUTED_VALUE"""),"Land of Spira")</f>
        <v>Land of Spira</v>
      </c>
    </row>
    <row r="19">
      <c r="A19" s="1" t="str">
        <f>IFERROR(__xludf.DUMMYFUNCTION("""COMPUTED_VALUE"""),"Bamboo Spear")</f>
        <v>Bamboo Spear</v>
      </c>
      <c r="B19" s="1"/>
      <c r="C19" s="1" t="str">
        <f>IFERROR(__xludf.DUMMYFUNCTION("""COMPUTED_VALUE"""),"Spear")</f>
        <v>Spear</v>
      </c>
      <c r="D19" s="1" t="str">
        <f>IFERROR(__xludf.DUMMYFUNCTION("""COMPUTED_VALUE"""),"Hand")</f>
        <v>Hand</v>
      </c>
      <c r="E19" s="1">
        <f>IFERROR(__xludf.DUMMYFUNCTION("""COMPUTED_VALUE"""),60.0)</f>
        <v>60</v>
      </c>
      <c r="F19" s="1" t="str">
        <f>IFERROR(__xludf.DUMMYFUNCTION("""COMPUTED_VALUE"""),"DMG: +1000, Nature DMG: +1000, Blood DMG: +1000 ++When striking an enemy with this weapon, they X2 additional Nature damage.")</f>
        <v>DMG: +1000, Nature DMG: +1000, Blood DMG: +1000 ++When striking an enemy with this weapon, they X2 additional Nature damage.</v>
      </c>
      <c r="G19" s="1">
        <f>IFERROR(__xludf.DUMMYFUNCTION("""COMPUTED_VALUE"""),150000.0)</f>
        <v>150000</v>
      </c>
      <c r="H19" s="1" t="b">
        <f>IFERROR(__xludf.DUMMYFUNCTION("""COMPUTED_VALUE"""),FALSE)</f>
        <v>0</v>
      </c>
      <c r="I19" s="1" t="str">
        <f>IFERROR(__xludf.DUMMYFUNCTION("""COMPUTED_VALUE"""),"Land of Spira")</f>
        <v>Land of Spira</v>
      </c>
    </row>
    <row r="20">
      <c r="A20" s="1" t="str">
        <f>IFERROR(__xludf.DUMMYFUNCTION("""COMPUTED_VALUE"""),"Baosheng’s Restore Pendant")</f>
        <v>Baosheng’s Restore Pendant</v>
      </c>
      <c r="B20" s="1"/>
      <c r="C20" s="1"/>
      <c r="D20" s="1" t="str">
        <f>IFERROR(__xludf.DUMMYFUNCTION("""COMPUTED_VALUE"""),"Neck")</f>
        <v>Neck</v>
      </c>
      <c r="E20" s="1">
        <f>IFERROR(__xludf.DUMMYFUNCTION("""COMPUTED_VALUE"""),1.0)</f>
        <v>1</v>
      </c>
      <c r="F20" s="1" t="str">
        <f>IFERROR(__xludf.DUMMYFUNCTION("""COMPUTED_VALUE""")," ++Restores 100 HP and SP per round during battle.")</f>
        <v> ++Restores 100 HP and SP per round during battle.</v>
      </c>
      <c r="G20" s="1">
        <f>IFERROR(__xludf.DUMMYFUNCTION("""COMPUTED_VALUE"""),0.0)</f>
        <v>0</v>
      </c>
      <c r="H20" s="1" t="b">
        <f>IFERROR(__xludf.DUMMYFUNCTION("""COMPUTED_VALUE"""),FALSE)</f>
        <v>0</v>
      </c>
      <c r="I20" s="1" t="str">
        <f>IFERROR(__xludf.DUMMYFUNCTION("""COMPUTED_VALUE"""),"Land of Spira")</f>
        <v>Land of Spira</v>
      </c>
    </row>
    <row r="21">
      <c r="A21" s="1" t="str">
        <f>IFERROR(__xludf.DUMMYFUNCTION("""COMPUTED_VALUE"""),"Basic Cannon")</f>
        <v>Basic Cannon</v>
      </c>
      <c r="B21" s="1"/>
      <c r="C21" s="1" t="str">
        <f>IFERROR(__xludf.DUMMYFUNCTION("""COMPUTED_VALUE"""),"Firearm")</f>
        <v>Firearm</v>
      </c>
      <c r="D21" s="1" t="str">
        <f>IFERROR(__xludf.DUMMYFUNCTION("""COMPUTED_VALUE"""),"BoatGun")</f>
        <v>BoatGun</v>
      </c>
      <c r="E21" s="1">
        <f>IFERROR(__xludf.DUMMYFUNCTION("""COMPUTED_VALUE"""),400.0)</f>
        <v>400</v>
      </c>
      <c r="F21" s="1" t="str">
        <f>IFERROR(__xludf.DUMMYFUNCTION("""COMPUTED_VALUE"""),"DMG: +20000")</f>
        <v>DMG: +20000</v>
      </c>
      <c r="G21" s="1">
        <f>IFERROR(__xludf.DUMMYFUNCTION("""COMPUTED_VALUE"""),7800000.0)</f>
        <v>7800000</v>
      </c>
      <c r="H21" s="1" t="b">
        <f>IFERROR(__xludf.DUMMYFUNCTION("""COMPUTED_VALUE"""),FALSE)</f>
        <v>0</v>
      </c>
      <c r="I21" s="1" t="str">
        <f>IFERROR(__xludf.DUMMYFUNCTION("""COMPUTED_VALUE"""),"Land of Spira")</f>
        <v>Land of Spira</v>
      </c>
    </row>
    <row r="22">
      <c r="A22" s="1" t="str">
        <f>IFERROR(__xludf.DUMMYFUNCTION("""COMPUTED_VALUE"""),"Beltane Floral crown")</f>
        <v>Beltane Floral crown</v>
      </c>
      <c r="B22" s="1"/>
      <c r="C22" s="1"/>
      <c r="D22" s="1" t="str">
        <f>IFERROR(__xludf.DUMMYFUNCTION("""COMPUTED_VALUE"""),"Head")</f>
        <v>Head</v>
      </c>
      <c r="E22" s="1">
        <f>IFERROR(__xludf.DUMMYFUNCTION("""COMPUTED_VALUE"""),1.0)</f>
        <v>1</v>
      </c>
      <c r="F22" s="1" t="str">
        <f>IFERROR(__xludf.DUMMYFUNCTION("""COMPUTED_VALUE""")," ++Grants immunity to Nature.")</f>
        <v> ++Grants immunity to Nature.</v>
      </c>
      <c r="G22" s="1">
        <f>IFERROR(__xludf.DUMMYFUNCTION("""COMPUTED_VALUE"""),0.0)</f>
        <v>0</v>
      </c>
      <c r="H22" s="1" t="b">
        <f>IFERROR(__xludf.DUMMYFUNCTION("""COMPUTED_VALUE"""),FALSE)</f>
        <v>0</v>
      </c>
      <c r="I22" s="1" t="str">
        <f>IFERROR(__xludf.DUMMYFUNCTION("""COMPUTED_VALUE"""),"Land of Spira")</f>
        <v>Land of Spira</v>
      </c>
    </row>
    <row r="23">
      <c r="A23" s="1" t="str">
        <f>IFERROR(__xludf.DUMMYFUNCTION("""COMPUTED_VALUE"""),"Black Crystal Necklace of Luck")</f>
        <v>Black Crystal Necklace of Luck</v>
      </c>
      <c r="B23" s="1"/>
      <c r="C23" s="1"/>
      <c r="D23" s="1" t="str">
        <f>IFERROR(__xludf.DUMMYFUNCTION("""COMPUTED_VALUE"""),"Neck")</f>
        <v>Neck</v>
      </c>
      <c r="E23" s="1">
        <f>IFERROR(__xludf.DUMMYFUNCTION("""COMPUTED_VALUE"""),1.0)</f>
        <v>1</v>
      </c>
      <c r="F23" s="1" t="str">
        <f>IFERROR(__xludf.DUMMYFUNCTION("""COMPUTED_VALUE""")," ++Plus 2 is added to whatever number you roll on a d20 ++can only wear one, +-Cannot be forged or duplicated.")</f>
        <v> ++Plus 2 is added to whatever number you roll on a d20 ++can only wear one, +-Cannot be forged or duplicated.</v>
      </c>
      <c r="G23" s="1">
        <f>IFERROR(__xludf.DUMMYFUNCTION("""COMPUTED_VALUE"""),0.0)</f>
        <v>0</v>
      </c>
      <c r="H23" s="1" t="b">
        <f>IFERROR(__xludf.DUMMYFUNCTION("""COMPUTED_VALUE"""),FALSE)</f>
        <v>0</v>
      </c>
      <c r="I23" s="1" t="str">
        <f>IFERROR(__xludf.DUMMYFUNCTION("""COMPUTED_VALUE"""),"Land of Spira")</f>
        <v>Land of Spira</v>
      </c>
    </row>
    <row r="24">
      <c r="A24" s="1" t="str">
        <f>IFERROR(__xludf.DUMMYFUNCTION("""COMPUTED_VALUE"""),"Blade of Burning Energy")</f>
        <v>Blade of Burning Energy</v>
      </c>
      <c r="B24" s="1"/>
      <c r="C24" s="1" t="str">
        <f>IFERROR(__xludf.DUMMYFUNCTION("""COMPUTED_VALUE"""),"Sword")</f>
        <v>Sword</v>
      </c>
      <c r="D24" s="1" t="str">
        <f>IFERROR(__xludf.DUMMYFUNCTION("""COMPUTED_VALUE"""),"Hand")</f>
        <v>Hand</v>
      </c>
      <c r="E24" s="1">
        <f>IFERROR(__xludf.DUMMYFUNCTION("""COMPUTED_VALUE"""),400.0)</f>
        <v>400</v>
      </c>
      <c r="F24" s="1" t="str">
        <f>IFERROR(__xludf.DUMMYFUNCTION("""COMPUTED_VALUE"""),"DMG: +10000, Fire DMG: +10000 ++Burn 5000")</f>
        <v>DMG: +10000, Fire DMG: +10000 ++Burn 5000</v>
      </c>
      <c r="G24" s="1">
        <f>IFERROR(__xludf.DUMMYFUNCTION("""COMPUTED_VALUE"""),7800000.0)</f>
        <v>7800000</v>
      </c>
      <c r="H24" s="1" t="b">
        <f>IFERROR(__xludf.DUMMYFUNCTION("""COMPUTED_VALUE"""),FALSE)</f>
        <v>0</v>
      </c>
      <c r="I24" s="1" t="str">
        <f>IFERROR(__xludf.DUMMYFUNCTION("""COMPUTED_VALUE"""),"Land of Spira")</f>
        <v>Land of Spira</v>
      </c>
    </row>
    <row r="25">
      <c r="A25" s="1" t="str">
        <f>IFERROR(__xludf.DUMMYFUNCTION("""COMPUTED_VALUE"""),"Blood Katana")</f>
        <v>Blood Katana</v>
      </c>
      <c r="B25" s="1"/>
      <c r="C25" s="1" t="str">
        <f>IFERROR(__xludf.DUMMYFUNCTION("""COMPUTED_VALUE"""),"Sword")</f>
        <v>Sword</v>
      </c>
      <c r="D25" s="1" t="str">
        <f>IFERROR(__xludf.DUMMYFUNCTION("""COMPUTED_VALUE"""),"Hand")</f>
        <v>Hand</v>
      </c>
      <c r="E25" s="1">
        <f>IFERROR(__xludf.DUMMYFUNCTION("""COMPUTED_VALUE"""),400.0)</f>
        <v>400</v>
      </c>
      <c r="F25" s="1" t="str">
        <f>IFERROR(__xludf.DUMMYFUNCTION("""COMPUTED_VALUE"""),"DMG: +10000, Blood DMG: +10000 ++X2 blood damage for spells and weapons. +-Cannot be duplicated.")</f>
        <v>DMG: +10000, Blood DMG: +10000 ++X2 blood damage for spells and weapons. +-Cannot be duplicated.</v>
      </c>
      <c r="G25" s="1">
        <f>IFERROR(__xludf.DUMMYFUNCTION("""COMPUTED_VALUE"""),7800000.0)</f>
        <v>7800000</v>
      </c>
      <c r="H25" s="1" t="b">
        <f>IFERROR(__xludf.DUMMYFUNCTION("""COMPUTED_VALUE"""),FALSE)</f>
        <v>0</v>
      </c>
      <c r="I25" s="1" t="str">
        <f>IFERROR(__xludf.DUMMYFUNCTION("""COMPUTED_VALUE"""),"Land of Spira")</f>
        <v>Land of Spira</v>
      </c>
    </row>
    <row r="26">
      <c r="A26" s="1" t="str">
        <f>IFERROR(__xludf.DUMMYFUNCTION("""COMPUTED_VALUE"""),"Blue Steel Sword")</f>
        <v>Blue Steel Sword</v>
      </c>
      <c r="B26" s="1"/>
      <c r="C26" s="1" t="str">
        <f>IFERROR(__xludf.DUMMYFUNCTION("""COMPUTED_VALUE"""),"Sword")</f>
        <v>Sword</v>
      </c>
      <c r="D26" s="1" t="str">
        <f>IFERROR(__xludf.DUMMYFUNCTION("""COMPUTED_VALUE"""),"Hand")</f>
        <v>Hand</v>
      </c>
      <c r="E26" s="1">
        <f>IFERROR(__xludf.DUMMYFUNCTION("""COMPUTED_VALUE"""),40.0)</f>
        <v>40</v>
      </c>
      <c r="F26" s="1" t="str">
        <f>IFERROR(__xludf.DUMMYFUNCTION("""COMPUTED_VALUE"""),"DMG: +1000, Water DMG: +1000")</f>
        <v>DMG: +1000, Water DMG: +1000</v>
      </c>
      <c r="G26" s="1">
        <f>IFERROR(__xludf.DUMMYFUNCTION("""COMPUTED_VALUE"""),60000.0)</f>
        <v>60000</v>
      </c>
      <c r="H26" s="1" t="b">
        <f>IFERROR(__xludf.DUMMYFUNCTION("""COMPUTED_VALUE"""),FALSE)</f>
        <v>0</v>
      </c>
      <c r="I26" s="1" t="str">
        <f>IFERROR(__xludf.DUMMYFUNCTION("""COMPUTED_VALUE"""),"Land of Spira")</f>
        <v>Land of Spira</v>
      </c>
    </row>
    <row r="27">
      <c r="A27" s="1" t="str">
        <f>IFERROR(__xludf.DUMMYFUNCTION("""COMPUTED_VALUE"""),"Bone Sword ")</f>
        <v>Bone Sword </v>
      </c>
      <c r="B27" s="1"/>
      <c r="C27" s="1" t="str">
        <f>IFERROR(__xludf.DUMMYFUNCTION("""COMPUTED_VALUE"""),"Sword")</f>
        <v>Sword</v>
      </c>
      <c r="D27" s="1" t="str">
        <f>IFERROR(__xludf.DUMMYFUNCTION("""COMPUTED_VALUE"""),"Hand")</f>
        <v>Hand</v>
      </c>
      <c r="E27" s="1">
        <f>IFERROR(__xludf.DUMMYFUNCTION("""COMPUTED_VALUE"""),300.0)</f>
        <v>300</v>
      </c>
      <c r="F27" s="1" t="str">
        <f>IFERROR(__xludf.DUMMYFUNCTION("""COMPUTED_VALUE"""),"DMG: +5000, Earth DMG: +5000, Dark DMG: +5000 ++X2 Earth damage. ")</f>
        <v>DMG: +5000, Earth DMG: +5000, Dark DMG: +5000 ++X2 Earth damage. </v>
      </c>
      <c r="G27" s="1">
        <f>IFERROR(__xludf.DUMMYFUNCTION("""COMPUTED_VALUE"""),4350000.0)</f>
        <v>4350000</v>
      </c>
      <c r="H27" s="1" t="b">
        <f>IFERROR(__xludf.DUMMYFUNCTION("""COMPUTED_VALUE"""),FALSE)</f>
        <v>0</v>
      </c>
      <c r="I27" s="1" t="str">
        <f>IFERROR(__xludf.DUMMYFUNCTION("""COMPUTED_VALUE"""),"Land of Spira")</f>
        <v>Land of Spira</v>
      </c>
    </row>
    <row r="28">
      <c r="A28" s="1" t="str">
        <f>IFERROR(__xludf.DUMMYFUNCTION("""COMPUTED_VALUE"""),"Boots of Waking Waters")</f>
        <v>Boots of Waking Waters</v>
      </c>
      <c r="B28" s="1"/>
      <c r="C28" s="1"/>
      <c r="D28" s="1" t="str">
        <f>IFERROR(__xludf.DUMMYFUNCTION("""COMPUTED_VALUE"""),"Feet")</f>
        <v>Feet</v>
      </c>
      <c r="E28" s="1">
        <f>IFERROR(__xludf.DUMMYFUNCTION("""COMPUTED_VALUE"""),200.0)</f>
        <v>200</v>
      </c>
      <c r="F28" s="1" t="str">
        <f>IFERROR(__xludf.DUMMYFUNCTION("""COMPUTED_VALUE"""),"DEF: +5000, Water DEF: +5000 ++X4 additional water damage for self.")</f>
        <v>DEF: +5000, Water DEF: +5000 ++X4 additional water damage for self.</v>
      </c>
      <c r="G28" s="1">
        <f>IFERROR(__xludf.DUMMYFUNCTION("""COMPUTED_VALUE"""),1900000.0)</f>
        <v>1900000</v>
      </c>
      <c r="H28" s="1" t="b">
        <f>IFERROR(__xludf.DUMMYFUNCTION("""COMPUTED_VALUE"""),FALSE)</f>
        <v>0</v>
      </c>
      <c r="I28" s="1" t="str">
        <f>IFERROR(__xludf.DUMMYFUNCTION("""COMPUTED_VALUE"""),"Land of Spira")</f>
        <v>Land of Spira</v>
      </c>
    </row>
    <row r="29">
      <c r="A29" s="1" t="str">
        <f>IFERROR(__xludf.DUMMYFUNCTION("""COMPUTED_VALUE"""),"Bow of The Sacred Druids")</f>
        <v>Bow of The Sacred Druids</v>
      </c>
      <c r="B29" s="1"/>
      <c r="C29" s="1" t="str">
        <f>IFERROR(__xludf.DUMMYFUNCTION("""COMPUTED_VALUE"""),"Bow")</f>
        <v>Bow</v>
      </c>
      <c r="D29" s="1" t="str">
        <f>IFERROR(__xludf.DUMMYFUNCTION("""COMPUTED_VALUE"""),"Hand")</f>
        <v>Hand</v>
      </c>
      <c r="E29" s="1">
        <f>IFERROR(__xludf.DUMMYFUNCTION("""COMPUTED_VALUE"""),200.0)</f>
        <v>200</v>
      </c>
      <c r="F29" s="1" t="str">
        <f>IFERROR(__xludf.DUMMYFUNCTION("""COMPUTED_VALUE"""),"DMG: +5000, Nature DMG: +5000 ++Druids Call - X4 additional damage for ranged weapons.")</f>
        <v>DMG: +5000, Nature DMG: +5000 ++Druids Call - X4 additional damage for ranged weapons.</v>
      </c>
      <c r="G29" s="1">
        <f>IFERROR(__xludf.DUMMYFUNCTION("""COMPUTED_VALUE"""),1900000.0)</f>
        <v>1900000</v>
      </c>
      <c r="H29" s="1" t="b">
        <f>IFERROR(__xludf.DUMMYFUNCTION("""COMPUTED_VALUE"""),FALSE)</f>
        <v>0</v>
      </c>
      <c r="I29" s="1" t="str">
        <f>IFERROR(__xludf.DUMMYFUNCTION("""COMPUTED_VALUE"""),"Land of Spira")</f>
        <v>Land of Spira</v>
      </c>
    </row>
    <row r="30">
      <c r="A30" s="1" t="str">
        <f>IFERROR(__xludf.DUMMYFUNCTION("""COMPUTED_VALUE"""),"Bo Staff Of Zhenmay")</f>
        <v>Bo Staff Of Zhenmay</v>
      </c>
      <c r="B30" s="1"/>
      <c r="C30" s="1" t="str">
        <f>IFERROR(__xludf.DUMMYFUNCTION("""COMPUTED_VALUE"""),"Club")</f>
        <v>Club</v>
      </c>
      <c r="D30" s="1" t="str">
        <f>IFERROR(__xludf.DUMMYFUNCTION("""COMPUTED_VALUE"""),"Hand")</f>
        <v>Hand</v>
      </c>
      <c r="E30" s="1">
        <f>IFERROR(__xludf.DUMMYFUNCTION("""COMPUTED_VALUE"""),3000.0)</f>
        <v>3000</v>
      </c>
      <c r="F30" s="1" t="str">
        <f>IFERROR(__xludf.DUMMYFUNCTION("""COMPUTED_VALUE"""),"DMG: +100000, Zen DMG: +50000 ++Blindness 2. ")</f>
        <v>DMG: +100000, Zen DMG: +50000 ++Blindness 2. </v>
      </c>
      <c r="G30" s="1">
        <f>IFERROR(__xludf.DUMMYFUNCTION("""COMPUTED_VALUE"""),4.485E8)</f>
        <v>448500000</v>
      </c>
      <c r="H30" s="1" t="b">
        <f>IFERROR(__xludf.DUMMYFUNCTION("""COMPUTED_VALUE"""),FALSE)</f>
        <v>0</v>
      </c>
      <c r="I30" s="1" t="str">
        <f>IFERROR(__xludf.DUMMYFUNCTION("""COMPUTED_VALUE"""),"Land of Spira")</f>
        <v>Land of Spira</v>
      </c>
    </row>
    <row r="31">
      <c r="A31" s="1" t="str">
        <f>IFERROR(__xludf.DUMMYFUNCTION("""COMPUTED_VALUE"""),"Breezy Clothes")</f>
        <v>Breezy Clothes</v>
      </c>
      <c r="B31" s="1"/>
      <c r="C31" s="1"/>
      <c r="D31" s="1" t="str">
        <f>IFERROR(__xludf.DUMMYFUNCTION("""COMPUTED_VALUE"""),"Torso")</f>
        <v>Torso</v>
      </c>
      <c r="E31" s="1">
        <f>IFERROR(__xludf.DUMMYFUNCTION("""COMPUTED_VALUE"""),1.0)</f>
        <v>1</v>
      </c>
      <c r="F31" s="1" t="str">
        <f>IFERROR(__xludf.DUMMYFUNCTION("""COMPUTED_VALUE""")," ++While equipped, Take half damage from fire damage, But decrease water damage you deal by half. ")</f>
        <v> ++While equipped, Take half damage from fire damage, But decrease water damage you deal by half. </v>
      </c>
      <c r="G31" s="1">
        <f>IFERROR(__xludf.DUMMYFUNCTION("""COMPUTED_VALUE"""),0.0)</f>
        <v>0</v>
      </c>
      <c r="H31" s="1" t="b">
        <f>IFERROR(__xludf.DUMMYFUNCTION("""COMPUTED_VALUE"""),FALSE)</f>
        <v>0</v>
      </c>
      <c r="I31" s="1" t="str">
        <f>IFERROR(__xludf.DUMMYFUNCTION("""COMPUTED_VALUE"""),"Land of Spira")</f>
        <v>Land of Spira</v>
      </c>
    </row>
    <row r="32">
      <c r="A32" s="1" t="str">
        <f>IFERROR(__xludf.DUMMYFUNCTION("""COMPUTED_VALUE"""),"Bright Flame Sword")</f>
        <v>Bright Flame Sword</v>
      </c>
      <c r="B32" s="1"/>
      <c r="C32" s="1" t="str">
        <f>IFERROR(__xludf.DUMMYFUNCTION("""COMPUTED_VALUE"""),"Sword")</f>
        <v>Sword</v>
      </c>
      <c r="D32" s="1" t="str">
        <f>IFERROR(__xludf.DUMMYFUNCTION("""COMPUTED_VALUE"""),"Hand")</f>
        <v>Hand</v>
      </c>
      <c r="E32" s="1">
        <f>IFERROR(__xludf.DUMMYFUNCTION("""COMPUTED_VALUE"""),300.0)</f>
        <v>300</v>
      </c>
      <c r="F32" s="1" t="str">
        <f>IFERROR(__xludf.DUMMYFUNCTION("""COMPUTED_VALUE"""),"DMG: +10000, Fire DMG: +5000")</f>
        <v>DMG: +10000, Fire DMG: +5000</v>
      </c>
      <c r="G32" s="1">
        <f>IFERROR(__xludf.DUMMYFUNCTION("""COMPUTED_VALUE"""),4350000.0)</f>
        <v>4350000</v>
      </c>
      <c r="H32" s="1" t="b">
        <f>IFERROR(__xludf.DUMMYFUNCTION("""COMPUTED_VALUE"""),FALSE)</f>
        <v>0</v>
      </c>
      <c r="I32" s="1" t="str">
        <f>IFERROR(__xludf.DUMMYFUNCTION("""COMPUTED_VALUE"""),"Land of Spira")</f>
        <v>Land of Spira</v>
      </c>
    </row>
    <row r="33">
      <c r="A33" s="1" t="str">
        <f>IFERROR(__xludf.DUMMYFUNCTION("""COMPUTED_VALUE"""),"Broken Sword")</f>
        <v>Broken Sword</v>
      </c>
      <c r="B33" s="1"/>
      <c r="C33" s="1" t="str">
        <f>IFERROR(__xludf.DUMMYFUNCTION("""COMPUTED_VALUE"""),"Knife")</f>
        <v>Knife</v>
      </c>
      <c r="D33" s="1" t="str">
        <f>IFERROR(__xludf.DUMMYFUNCTION("""COMPUTED_VALUE"""),"Hand")</f>
        <v>Hand</v>
      </c>
      <c r="E33" s="1">
        <f>IFERROR(__xludf.DUMMYFUNCTION("""COMPUTED_VALUE"""),1.0)</f>
        <v>1</v>
      </c>
      <c r="F33" s="1" t="str">
        <f>IFERROR(__xludf.DUMMYFUNCTION("""COMPUTED_VALUE"""),"DMG: +1 ++ -1 evasion")</f>
        <v>DMG: +1 ++ -1 evasion</v>
      </c>
      <c r="G33" s="1">
        <f>IFERROR(__xludf.DUMMYFUNCTION("""COMPUTED_VALUE"""),0.0)</f>
        <v>0</v>
      </c>
      <c r="H33" s="1" t="b">
        <f>IFERROR(__xludf.DUMMYFUNCTION("""COMPUTED_VALUE"""),FALSE)</f>
        <v>0</v>
      </c>
      <c r="I33" s="1" t="str">
        <f>IFERROR(__xludf.DUMMYFUNCTION("""COMPUTED_VALUE"""),"Land of Spira")</f>
        <v>Land of Spira</v>
      </c>
    </row>
    <row r="34">
      <c r="A34" s="1" t="str">
        <f>IFERROR(__xludf.DUMMYFUNCTION("""COMPUTED_VALUE"""),"Burning Broadsword")</f>
        <v>Burning Broadsword</v>
      </c>
      <c r="B34" s="1"/>
      <c r="C34" s="1" t="str">
        <f>IFERROR(__xludf.DUMMYFUNCTION("""COMPUTED_VALUE"""),"Sword")</f>
        <v>Sword</v>
      </c>
      <c r="D34" s="1" t="str">
        <f>IFERROR(__xludf.DUMMYFUNCTION("""COMPUTED_VALUE"""),"Hand")</f>
        <v>Hand</v>
      </c>
      <c r="E34" s="1">
        <f>IFERROR(__xludf.DUMMYFUNCTION("""COMPUTED_VALUE"""),200.0)</f>
        <v>200</v>
      </c>
      <c r="F34" s="1" t="str">
        <f>IFERROR(__xludf.DUMMYFUNCTION("""COMPUTED_VALUE"""),"DMG: +5000, Fire DMG: +5000 ++10,000 fire damage per round for 3 rounds.")</f>
        <v>DMG: +5000, Fire DMG: +5000 ++10,000 fire damage per round for 3 rounds.</v>
      </c>
      <c r="G34" s="1">
        <f>IFERROR(__xludf.DUMMYFUNCTION("""COMPUTED_VALUE"""),1900000.0)</f>
        <v>1900000</v>
      </c>
      <c r="H34" s="1" t="b">
        <f>IFERROR(__xludf.DUMMYFUNCTION("""COMPUTED_VALUE"""),FALSE)</f>
        <v>0</v>
      </c>
      <c r="I34" s="1" t="str">
        <f>IFERROR(__xludf.DUMMYFUNCTION("""COMPUTED_VALUE"""),"Land of Spira")</f>
        <v>Land of Spira</v>
      </c>
    </row>
    <row r="35">
      <c r="A35" s="1" t="str">
        <f>IFERROR(__xludf.DUMMYFUNCTION("""COMPUTED_VALUE"""),"Cap of Metal Harmony's")</f>
        <v>Cap of Metal Harmony's</v>
      </c>
      <c r="B35" s="1"/>
      <c r="C35" s="1"/>
      <c r="D35" s="1" t="str">
        <f>IFERROR(__xludf.DUMMYFUNCTION("""COMPUTED_VALUE"""),"Head")</f>
        <v>Head</v>
      </c>
      <c r="E35" s="1">
        <f>IFERROR(__xludf.DUMMYFUNCTION("""COMPUTED_VALUE"""),200.0)</f>
        <v>200</v>
      </c>
      <c r="F35" s="1" t="str">
        <f>IFERROR(__xludf.DUMMYFUNCTION("""COMPUTED_VALUE"""),"DEF: +10000 ++Half the SP cost for Fire, Water, Storm, Earth, and Nature spells.")</f>
        <v>DEF: +10000 ++Half the SP cost for Fire, Water, Storm, Earth, and Nature spells.</v>
      </c>
      <c r="G35" s="1">
        <f>IFERROR(__xludf.DUMMYFUNCTION("""COMPUTED_VALUE"""),1900000.0)</f>
        <v>1900000</v>
      </c>
      <c r="H35" s="1" t="b">
        <f>IFERROR(__xludf.DUMMYFUNCTION("""COMPUTED_VALUE"""),FALSE)</f>
        <v>0</v>
      </c>
      <c r="I35" s="1" t="str">
        <f>IFERROR(__xludf.DUMMYFUNCTION("""COMPUTED_VALUE"""),"Land of Spira")</f>
        <v>Land of Spira</v>
      </c>
    </row>
    <row r="36">
      <c r="A36" s="1" t="str">
        <f>IFERROR(__xludf.DUMMYFUNCTION("""COMPUTED_VALUE"""),"Chain Link Armor")</f>
        <v>Chain Link Armor</v>
      </c>
      <c r="B36" s="1"/>
      <c r="C36" s="1"/>
      <c r="D36" s="1" t="str">
        <f>IFERROR(__xludf.DUMMYFUNCTION("""COMPUTED_VALUE"""),"Torso")</f>
        <v>Torso</v>
      </c>
      <c r="E36" s="1">
        <f>IFERROR(__xludf.DUMMYFUNCTION("""COMPUTED_VALUE"""),40.0)</f>
        <v>40</v>
      </c>
      <c r="F36" s="1" t="str">
        <f>IFERROR(__xludf.DUMMYFUNCTION("""COMPUTED_VALUE"""),"DEF: +2000 ++Wrapped in Chains - When the wearer is attacked with a weapon; 25% chance to make the attacker drop it's weapon.")</f>
        <v>DEF: +2000 ++Wrapped in Chains - When the wearer is attacked with a weapon; 25% chance to make the attacker drop it's weapon.</v>
      </c>
      <c r="G36" s="1">
        <f>IFERROR(__xludf.DUMMYFUNCTION("""COMPUTED_VALUE"""),60000.0)</f>
        <v>60000</v>
      </c>
      <c r="H36" s="1" t="b">
        <f>IFERROR(__xludf.DUMMYFUNCTION("""COMPUTED_VALUE"""),FALSE)</f>
        <v>0</v>
      </c>
      <c r="I36" s="1" t="str">
        <f>IFERROR(__xludf.DUMMYFUNCTION("""COMPUTED_VALUE"""),"Land of Spira")</f>
        <v>Land of Spira</v>
      </c>
    </row>
    <row r="37">
      <c r="A37" s="1" t="str">
        <f>IFERROR(__xludf.DUMMYFUNCTION("""COMPUTED_VALUE"""),"Chaos Sword")</f>
        <v>Chaos Sword</v>
      </c>
      <c r="B37" s="1"/>
      <c r="C37" s="1" t="str">
        <f>IFERROR(__xludf.DUMMYFUNCTION("""COMPUTED_VALUE"""),"Sword")</f>
        <v>Sword</v>
      </c>
      <c r="D37" s="1" t="str">
        <f>IFERROR(__xludf.DUMMYFUNCTION("""COMPUTED_VALUE"""),"Hand")</f>
        <v>Hand</v>
      </c>
      <c r="E37" s="1">
        <f>IFERROR(__xludf.DUMMYFUNCTION("""COMPUTED_VALUE"""),90.0)</f>
        <v>90</v>
      </c>
      <c r="F37" s="1" t="str">
        <f>IFERROR(__xludf.DUMMYFUNCTION("""COMPUTED_VALUE"""),"DMG: +2500, Chaos DMG: +2000 ++ +2 Intimidation. +-Cannot be duplicated. +-Can only equip one.")</f>
        <v>DMG: +2500, Chaos DMG: +2000 ++ +2 Intimidation. +-Cannot be duplicated. +-Can only equip one.</v>
      </c>
      <c r="G37" s="1">
        <f>IFERROR(__xludf.DUMMYFUNCTION("""COMPUTED_VALUE"""),360000.0)</f>
        <v>360000</v>
      </c>
      <c r="H37" s="1" t="b">
        <f>IFERROR(__xludf.DUMMYFUNCTION("""COMPUTED_VALUE"""),FALSE)</f>
        <v>0</v>
      </c>
      <c r="I37" s="1" t="str">
        <f>IFERROR(__xludf.DUMMYFUNCTION("""COMPUTED_VALUE"""),"Land of Spira")</f>
        <v>Land of Spira</v>
      </c>
    </row>
    <row r="38">
      <c r="A38" s="1" t="str">
        <f>IFERROR(__xludf.DUMMYFUNCTION("""COMPUTED_VALUE"""),"Ring")</f>
        <v>Ring</v>
      </c>
      <c r="B38" s="1"/>
      <c r="C38" s="1"/>
      <c r="D38" s="1" t="str">
        <f>IFERROR(__xludf.DUMMYFUNCTION("""COMPUTED_VALUE"""),"Ring")</f>
        <v>Ring</v>
      </c>
      <c r="E38" s="1">
        <f>IFERROR(__xludf.DUMMYFUNCTION("""COMPUTED_VALUE"""),1.0)</f>
        <v>1</v>
      </c>
      <c r="F38" s="1" t="str">
        <f>IFERROR(__xludf.DUMMYFUNCTION("""COMPUTED_VALUE""")," ++X2 additional Chaos and Blood damage")</f>
        <v> ++X2 additional Chaos and Blood damage</v>
      </c>
      <c r="G38" s="1">
        <f>IFERROR(__xludf.DUMMYFUNCTION("""COMPUTED_VALUE"""),0.0)</f>
        <v>0</v>
      </c>
      <c r="H38" s="1" t="b">
        <f>IFERROR(__xludf.DUMMYFUNCTION("""COMPUTED_VALUE"""),FALSE)</f>
        <v>0</v>
      </c>
      <c r="I38" s="1" t="str">
        <f>IFERROR(__xludf.DUMMYFUNCTION("""COMPUTED_VALUE"""),"Land of Spira")</f>
        <v>Land of Spira</v>
      </c>
    </row>
    <row r="39">
      <c r="A39" s="1" t="str">
        <f>IFERROR(__xludf.DUMMYFUNCTION("""COMPUTED_VALUE"""),"Chaotic Shadow Life Orb")</f>
        <v>Chaotic Shadow Life Orb</v>
      </c>
      <c r="B39" s="1"/>
      <c r="C39" s="1"/>
      <c r="D39" s="1" t="str">
        <f>IFERROR(__xludf.DUMMYFUNCTION("""COMPUTED_VALUE"""),"Hand")</f>
        <v>Hand</v>
      </c>
      <c r="E39" s="1">
        <f>IFERROR(__xludf.DUMMYFUNCTION("""COMPUTED_VALUE"""),1.0)</f>
        <v>1</v>
      </c>
      <c r="F39" s="1" t="str">
        <f>IFERROR(__xludf.DUMMYFUNCTION("""COMPUTED_VALUE""")," ++Last Chance - Protected from death once per battle, can only use the effect of ""Last Chance"" once per battle.  +-Can only have one equipped. +- Cannot be duplicated.")</f>
        <v> ++Last Chance - Protected from death once per battle, can only use the effect of "Last Chance" once per battle.  +-Can only have one equipped. +- Cannot be duplicated.</v>
      </c>
      <c r="G39" s="1">
        <f>IFERROR(__xludf.DUMMYFUNCTION("""COMPUTED_VALUE"""),0.0)</f>
        <v>0</v>
      </c>
      <c r="H39" s="1" t="b">
        <f>IFERROR(__xludf.DUMMYFUNCTION("""COMPUTED_VALUE"""),FALSE)</f>
        <v>0</v>
      </c>
      <c r="I39" s="1" t="str">
        <f>IFERROR(__xludf.DUMMYFUNCTION("""COMPUTED_VALUE"""),"Land of Spira")</f>
        <v>Land of Spira</v>
      </c>
    </row>
    <row r="40">
      <c r="A40" s="1" t="str">
        <f>IFERROR(__xludf.DUMMYFUNCTION("""COMPUTED_VALUE"""),"Chestplate of Foul Night")</f>
        <v>Chestplate of Foul Night</v>
      </c>
      <c r="B40" s="1"/>
      <c r="C40" s="1"/>
      <c r="D40" s="1" t="str">
        <f>IFERROR(__xludf.DUMMYFUNCTION("""COMPUTED_VALUE"""),"Torso")</f>
        <v>Torso</v>
      </c>
      <c r="E40" s="1">
        <f>IFERROR(__xludf.DUMMYFUNCTION("""COMPUTED_VALUE"""),200.0)</f>
        <v>200</v>
      </c>
      <c r="F40" s="1" t="str">
        <f>IFERROR(__xludf.DUMMYFUNCTION("""COMPUTED_VALUE"""),"DEF: +5000, Nature DEF: +5000 (Foul Night Set) ++X2 Nature and Poison damage, ++Poison Immunity.")</f>
        <v>DEF: +5000, Nature DEF: +5000 (Foul Night Set) ++X2 Nature and Poison damage, ++Poison Immunity.</v>
      </c>
      <c r="G40" s="1">
        <f>IFERROR(__xludf.DUMMYFUNCTION("""COMPUTED_VALUE"""),1900000.0)</f>
        <v>1900000</v>
      </c>
      <c r="H40" s="1" t="b">
        <f>IFERROR(__xludf.DUMMYFUNCTION("""COMPUTED_VALUE"""),FALSE)</f>
        <v>0</v>
      </c>
      <c r="I40" s="1" t="str">
        <f>IFERROR(__xludf.DUMMYFUNCTION("""COMPUTED_VALUE"""),"Land of Spira")</f>
        <v>Land of Spira</v>
      </c>
    </row>
    <row r="41">
      <c r="A41" s="1" t="str">
        <f>IFERROR(__xludf.DUMMYFUNCTION("""COMPUTED_VALUE"""),"Chestplate of Waking Waters")</f>
        <v>Chestplate of Waking Waters</v>
      </c>
      <c r="B41" s="1"/>
      <c r="C41" s="1"/>
      <c r="D41" s="1" t="str">
        <f>IFERROR(__xludf.DUMMYFUNCTION("""COMPUTED_VALUE"""),"Torso")</f>
        <v>Torso</v>
      </c>
      <c r="E41" s="1">
        <f>IFERROR(__xludf.DUMMYFUNCTION("""COMPUTED_VALUE"""),400.0)</f>
        <v>400</v>
      </c>
      <c r="F41" s="1" t="str">
        <f>IFERROR(__xludf.DUMMYFUNCTION("""COMPUTED_VALUE"""),"DEF: +10000, Water DEF: +10000 ++X4 additional water damage for self.")</f>
        <v>DEF: +10000, Water DEF: +10000 ++X4 additional water damage for self.</v>
      </c>
      <c r="G41" s="1">
        <f>IFERROR(__xludf.DUMMYFUNCTION("""COMPUTED_VALUE"""),7800000.0)</f>
        <v>7800000</v>
      </c>
      <c r="H41" s="1" t="b">
        <f>IFERROR(__xludf.DUMMYFUNCTION("""COMPUTED_VALUE"""),FALSE)</f>
        <v>0</v>
      </c>
      <c r="I41" s="1" t="str">
        <f>IFERROR(__xludf.DUMMYFUNCTION("""COMPUTED_VALUE"""),"Land of Spira")</f>
        <v>Land of Spira</v>
      </c>
    </row>
    <row r="42">
      <c r="A42" s="1" t="str">
        <f>IFERROR(__xludf.DUMMYFUNCTION("""COMPUTED_VALUE"""),"Cloth Cap")</f>
        <v>Cloth Cap</v>
      </c>
      <c r="B42" s="1"/>
      <c r="C42" s="1"/>
      <c r="D42" s="1" t="str">
        <f>IFERROR(__xludf.DUMMYFUNCTION("""COMPUTED_VALUE"""),"Head")</f>
        <v>Head</v>
      </c>
      <c r="E42" s="1">
        <f>IFERROR(__xludf.DUMMYFUNCTION("""COMPUTED_VALUE"""),50.0)</f>
        <v>50</v>
      </c>
      <c r="F42" s="1" t="str">
        <f>IFERROR(__xludf.DUMMYFUNCTION("""COMPUTED_VALUE"""),"DEF: +2500")</f>
        <v>DEF: +2500</v>
      </c>
      <c r="G42" s="1">
        <f>IFERROR(__xludf.DUMMYFUNCTION("""COMPUTED_VALUE"""),100000.0)</f>
        <v>100000</v>
      </c>
      <c r="H42" s="1" t="b">
        <f>IFERROR(__xludf.DUMMYFUNCTION("""COMPUTED_VALUE"""),FALSE)</f>
        <v>0</v>
      </c>
      <c r="I42" s="1" t="str">
        <f>IFERROR(__xludf.DUMMYFUNCTION("""COMPUTED_VALUE"""),"Land of Spira")</f>
        <v>Land of Spira</v>
      </c>
    </row>
    <row r="43">
      <c r="A43" s="1" t="str">
        <f>IFERROR(__xludf.DUMMYFUNCTION("""COMPUTED_VALUE"""),"Coral Hat")</f>
        <v>Coral Hat</v>
      </c>
      <c r="B43" s="1"/>
      <c r="C43" s="1"/>
      <c r="D43" s="1" t="str">
        <f>IFERROR(__xludf.DUMMYFUNCTION("""COMPUTED_VALUE"""),"Head")</f>
        <v>Head</v>
      </c>
      <c r="E43" s="1">
        <f>IFERROR(__xludf.DUMMYFUNCTION("""COMPUTED_VALUE"""),20.0)</f>
        <v>20</v>
      </c>
      <c r="F43" s="1" t="str">
        <f>IFERROR(__xludf.DUMMYFUNCTION("""COMPUTED_VALUE"""),"DEF: +800 ++Immunity to water damage.")</f>
        <v>DEF: +800 ++Immunity to water damage.</v>
      </c>
      <c r="G43" s="1">
        <f>IFERROR(__xludf.DUMMYFUNCTION("""COMPUTED_VALUE"""),1000.0)</f>
        <v>1000</v>
      </c>
      <c r="H43" s="1" t="b">
        <f>IFERROR(__xludf.DUMMYFUNCTION("""COMPUTED_VALUE"""),FALSE)</f>
        <v>0</v>
      </c>
      <c r="I43" s="1" t="str">
        <f>IFERROR(__xludf.DUMMYFUNCTION("""COMPUTED_VALUE"""),"Land of Spira")</f>
        <v>Land of Spira</v>
      </c>
    </row>
    <row r="44">
      <c r="A44" s="1" t="str">
        <f>IFERROR(__xludf.DUMMYFUNCTION("""COMPUTED_VALUE"""),"Critical Vanish Armor")</f>
        <v>Critical Vanish Armor</v>
      </c>
      <c r="B44" s="1"/>
      <c r="C44" s="1"/>
      <c r="D44" s="1" t="str">
        <f>IFERROR(__xludf.DUMMYFUNCTION("""COMPUTED_VALUE"""),"Torso")</f>
        <v>Torso</v>
      </c>
      <c r="E44" s="1">
        <f>IFERROR(__xludf.DUMMYFUNCTION("""COMPUTED_VALUE"""),10.0)</f>
        <v>10</v>
      </c>
      <c r="F44" s="1" t="str">
        <f>IFERROR(__xludf.DUMMYFUNCTION("""COMPUTED_VALUE"""),"DEF: +500 ++will negate a critical hit to the wearer")</f>
        <v>DEF: +500 ++will negate a critical hit to the wearer</v>
      </c>
      <c r="G44" s="1">
        <f>IFERROR(__xludf.DUMMYFUNCTION("""COMPUTED_VALUE"""),1000.0)</f>
        <v>1000</v>
      </c>
      <c r="H44" s="1" t="b">
        <f>IFERROR(__xludf.DUMMYFUNCTION("""COMPUTED_VALUE"""),FALSE)</f>
        <v>0</v>
      </c>
      <c r="I44" s="1" t="str">
        <f>IFERROR(__xludf.DUMMYFUNCTION("""COMPUTED_VALUE"""),"Land of Spira")</f>
        <v>Land of Spira</v>
      </c>
    </row>
    <row r="45">
      <c r="A45" s="1" t="str">
        <f>IFERROR(__xludf.DUMMYFUNCTION("""COMPUTED_VALUE"""),"Crow Staff")</f>
        <v>Crow Staff</v>
      </c>
      <c r="B45" s="1"/>
      <c r="C45" s="1" t="str">
        <f>IFERROR(__xludf.DUMMYFUNCTION("""COMPUTED_VALUE"""),"Staff")</f>
        <v>Staff</v>
      </c>
      <c r="D45" s="1" t="str">
        <f>IFERROR(__xludf.DUMMYFUNCTION("""COMPUTED_VALUE"""),"Hand")</f>
        <v>Hand</v>
      </c>
      <c r="E45" s="1">
        <f>IFERROR(__xludf.DUMMYFUNCTION("""COMPUTED_VALUE"""),400.0)</f>
        <v>400</v>
      </c>
      <c r="F45" s="1" t="str">
        <f>IFERROR(__xludf.DUMMYFUNCTION("""COMPUTED_VALUE"""),"DMG: +10000, Dark DMG: +10000 ++Swarm: inflicts 10000 bleed to all enemies. +- 300SP")</f>
        <v>DMG: +10000, Dark DMG: +10000 ++Swarm: inflicts 10000 bleed to all enemies. +- 300SP</v>
      </c>
      <c r="G45" s="1">
        <f>IFERROR(__xludf.DUMMYFUNCTION("""COMPUTED_VALUE"""),7800000.0)</f>
        <v>7800000</v>
      </c>
      <c r="H45" s="1" t="b">
        <f>IFERROR(__xludf.DUMMYFUNCTION("""COMPUTED_VALUE"""),FALSE)</f>
        <v>0</v>
      </c>
      <c r="I45" s="1" t="str">
        <f>IFERROR(__xludf.DUMMYFUNCTION("""COMPUTED_VALUE"""),"Land of Spira")</f>
        <v>Land of Spira</v>
      </c>
    </row>
    <row r="46">
      <c r="A46" s="1" t="str">
        <f>IFERROR(__xludf.DUMMYFUNCTION("""COMPUTED_VALUE"""),"Crown of Ice Spears")</f>
        <v>Crown of Ice Spears</v>
      </c>
      <c r="B46" s="1"/>
      <c r="C46" s="1"/>
      <c r="D46" s="1" t="str">
        <f>IFERROR(__xludf.DUMMYFUNCTION("""COMPUTED_VALUE"""),"Head")</f>
        <v>Head</v>
      </c>
      <c r="E46" s="1">
        <f>IFERROR(__xludf.DUMMYFUNCTION("""COMPUTED_VALUE"""),200.0)</f>
        <v>200</v>
      </c>
      <c r="F46" s="1" t="str">
        <f>IFERROR(__xludf.DUMMYFUNCTION("""COMPUTED_VALUE"""),"DEF: +10000 (The Frozen Spear Master Set) ++Frost Boost- X2 Storm damage. ++All weapon attacks have a 25% chance to freeze whoever you hit")</f>
        <v>DEF: +10000 (The Frozen Spear Master Set) ++Frost Boost- X2 Storm damage. ++All weapon attacks have a 25% chance to freeze whoever you hit</v>
      </c>
      <c r="G46" s="1">
        <f>IFERROR(__xludf.DUMMYFUNCTION("""COMPUTED_VALUE"""),1900000.0)</f>
        <v>1900000</v>
      </c>
      <c r="H46" s="1" t="b">
        <f>IFERROR(__xludf.DUMMYFUNCTION("""COMPUTED_VALUE"""),FALSE)</f>
        <v>0</v>
      </c>
      <c r="I46" s="1" t="str">
        <f>IFERROR(__xludf.DUMMYFUNCTION("""COMPUTED_VALUE"""),"Land of Spira")</f>
        <v>Land of Spira</v>
      </c>
    </row>
    <row r="47">
      <c r="A47" s="1" t="str">
        <f>IFERROR(__xludf.DUMMYFUNCTION("""COMPUTED_VALUE"""),"Crown Of The Sea Serpent")</f>
        <v>Crown Of The Sea Serpent</v>
      </c>
      <c r="B47" s="1"/>
      <c r="C47" s="1"/>
      <c r="D47" s="1" t="str">
        <f>IFERROR(__xludf.DUMMYFUNCTION("""COMPUTED_VALUE"""),"Head")</f>
        <v>Head</v>
      </c>
      <c r="E47" s="1">
        <f>IFERROR(__xludf.DUMMYFUNCTION("""COMPUTED_VALUE"""),1.0)</f>
        <v>1</v>
      </c>
      <c r="F47" s="1" t="str">
        <f>IFERROR(__xludf.DUMMYFUNCTION("""COMPUTED_VALUE""")," ++X4 additional water damage for the user, ++Water spells cost half sp, +-Cannot be duplicated.")</f>
        <v> ++X4 additional water damage for the user, ++Water spells cost half sp, +-Cannot be duplicated.</v>
      </c>
      <c r="G47" s="1">
        <f>IFERROR(__xludf.DUMMYFUNCTION("""COMPUTED_VALUE"""),0.0)</f>
        <v>0</v>
      </c>
      <c r="H47" s="1" t="b">
        <f>IFERROR(__xludf.DUMMYFUNCTION("""COMPUTED_VALUE"""),FALSE)</f>
        <v>0</v>
      </c>
      <c r="I47" s="1" t="str">
        <f>IFERROR(__xludf.DUMMYFUNCTION("""COMPUTED_VALUE"""),"Land of Spira")</f>
        <v>Land of Spira</v>
      </c>
    </row>
    <row r="48">
      <c r="A48" s="1" t="str">
        <f>IFERROR(__xludf.DUMMYFUNCTION("""COMPUTED_VALUE"""),"Crown Of Tritonoch")</f>
        <v>Crown Of Tritonoch</v>
      </c>
      <c r="B48" s="1"/>
      <c r="C48" s="1"/>
      <c r="D48" s="1" t="str">
        <f>IFERROR(__xludf.DUMMYFUNCTION("""COMPUTED_VALUE"""),"Head")</f>
        <v>Head</v>
      </c>
      <c r="E48" s="1">
        <f>IFERROR(__xludf.DUMMYFUNCTION("""COMPUTED_VALUE"""),400.0)</f>
        <v>400</v>
      </c>
      <c r="F48" s="1" t="str">
        <f>IFERROR(__xludf.DUMMYFUNCTION("""COMPUTED_VALUE"""),"DEF: +20000 ++Waves of Entitlement - x5 additional Water damage")</f>
        <v>DEF: +20000 ++Waves of Entitlement - x5 additional Water damage</v>
      </c>
      <c r="G48" s="1">
        <f>IFERROR(__xludf.DUMMYFUNCTION("""COMPUTED_VALUE"""),7800000.0)</f>
        <v>7800000</v>
      </c>
      <c r="H48" s="1" t="b">
        <f>IFERROR(__xludf.DUMMYFUNCTION("""COMPUTED_VALUE"""),FALSE)</f>
        <v>0</v>
      </c>
      <c r="I48" s="1" t="str">
        <f>IFERROR(__xludf.DUMMYFUNCTION("""COMPUTED_VALUE"""),"Land of Spira")</f>
        <v>Land of Spira</v>
      </c>
    </row>
    <row r="49">
      <c r="A49" s="1" t="str">
        <f>IFERROR(__xludf.DUMMYFUNCTION("""COMPUTED_VALUE"""),"Cryogenic Claymore")</f>
        <v>Cryogenic Claymore</v>
      </c>
      <c r="B49" s="1" t="str">
        <f>IFERROR(__xludf.DUMMYFUNCTION("""COMPUTED_VALUE"""),"(The Frozen Blade Master Set)")</f>
        <v>(The Frozen Blade Master Set)</v>
      </c>
      <c r="C49" s="1" t="str">
        <f>IFERROR(__xludf.DUMMYFUNCTION("""COMPUTED_VALUE"""),"Sword")</f>
        <v>Sword</v>
      </c>
      <c r="D49" s="1" t="str">
        <f>IFERROR(__xludf.DUMMYFUNCTION("""COMPUTED_VALUE"""),"Hand")</f>
        <v>Hand</v>
      </c>
      <c r="E49" s="1">
        <f>IFERROR(__xludf.DUMMYFUNCTION("""COMPUTED_VALUE"""),400.0)</f>
        <v>400</v>
      </c>
      <c r="F49" s="1" t="str">
        <f>IFERROR(__xludf.DUMMYFUNCTION("""COMPUTED_VALUE"""),"DMG: +10000, Water DMG: +10000 ++10% chance to freeze all enemies.")</f>
        <v>DMG: +10000, Water DMG: +10000 ++10% chance to freeze all enemies.</v>
      </c>
      <c r="G49" s="1">
        <f>IFERROR(__xludf.DUMMYFUNCTION("""COMPUTED_VALUE"""),7800000.0)</f>
        <v>7800000</v>
      </c>
      <c r="H49" s="1" t="b">
        <f>IFERROR(__xludf.DUMMYFUNCTION("""COMPUTED_VALUE"""),FALSE)</f>
        <v>0</v>
      </c>
      <c r="I49" s="1" t="str">
        <f>IFERROR(__xludf.DUMMYFUNCTION("""COMPUTED_VALUE"""),"Land of Spira")</f>
        <v>Land of Spira</v>
      </c>
    </row>
    <row r="50">
      <c r="A50" s="1" t="str">
        <f>IFERROR(__xludf.DUMMYFUNCTION("""COMPUTED_VALUE"""),"Crystal Forged Helmet")</f>
        <v>Crystal Forged Helmet</v>
      </c>
      <c r="B50" s="1"/>
      <c r="C50" s="1"/>
      <c r="D50" s="1" t="str">
        <f>IFERROR(__xludf.DUMMYFUNCTION("""COMPUTED_VALUE"""),"Head")</f>
        <v>Head</v>
      </c>
      <c r="E50" s="1">
        <f>IFERROR(__xludf.DUMMYFUNCTION("""COMPUTED_VALUE"""),200.0)</f>
        <v>200</v>
      </c>
      <c r="F50" s="1" t="str">
        <f>IFERROR(__xludf.DUMMYFUNCTION("""COMPUTED_VALUE"""),"DEF: +10000 ++When equipped, Gem and Crystal related weapons deal an additional X2 damage for the user.")</f>
        <v>DEF: +10000 ++When equipped, Gem and Crystal related weapons deal an additional X2 damage for the user.</v>
      </c>
      <c r="G50" s="1">
        <f>IFERROR(__xludf.DUMMYFUNCTION("""COMPUTED_VALUE"""),1900000.0)</f>
        <v>1900000</v>
      </c>
      <c r="H50" s="1" t="b">
        <f>IFERROR(__xludf.DUMMYFUNCTION("""COMPUTED_VALUE"""),FALSE)</f>
        <v>0</v>
      </c>
      <c r="I50" s="1" t="str">
        <f>IFERROR(__xludf.DUMMYFUNCTION("""COMPUTED_VALUE"""),"Land of Spira")</f>
        <v>Land of Spira</v>
      </c>
    </row>
    <row r="51">
      <c r="A51" s="1" t="str">
        <f>IFERROR(__xludf.DUMMYFUNCTION("""COMPUTED_VALUE"""),"Crystal Forged Axe")</f>
        <v>Crystal Forged Axe</v>
      </c>
      <c r="B51" s="1"/>
      <c r="C51" s="1"/>
      <c r="D51" s="1" t="str">
        <f>IFERROR(__xludf.DUMMYFUNCTION("""COMPUTED_VALUE"""),"Hand")</f>
        <v>Hand</v>
      </c>
      <c r="E51" s="1">
        <f>IFERROR(__xludf.DUMMYFUNCTION("""COMPUTED_VALUE"""),400.0)</f>
        <v>400</v>
      </c>
      <c r="F51" s="1" t="str">
        <f>IFERROR(__xludf.DUMMYFUNCTION("""COMPUTED_VALUE"""),"DMG: +10000, Earth DMG: +10000 ++When equipped, Gem and Crystal related weapons deal an additional X6 damage for the user.")</f>
        <v>DMG: +10000, Earth DMG: +10000 ++When equipped, Gem and Crystal related weapons deal an additional X6 damage for the user.</v>
      </c>
      <c r="G51" s="1">
        <f>IFERROR(__xludf.DUMMYFUNCTION("""COMPUTED_VALUE"""),7800000.0)</f>
        <v>7800000</v>
      </c>
      <c r="H51" s="1" t="b">
        <f>IFERROR(__xludf.DUMMYFUNCTION("""COMPUTED_VALUE"""),FALSE)</f>
        <v>0</v>
      </c>
      <c r="I51" s="1" t="str">
        <f>IFERROR(__xludf.DUMMYFUNCTION("""COMPUTED_VALUE"""),"Land of Spira")</f>
        <v>Land of Spira</v>
      </c>
    </row>
    <row r="52">
      <c r="A52" s="1" t="str">
        <f>IFERROR(__xludf.DUMMYFUNCTION("""COMPUTED_VALUE"""),"Crystal Forged Chestplate")</f>
        <v>Crystal Forged Chestplate</v>
      </c>
      <c r="B52" s="1"/>
      <c r="C52" s="1"/>
      <c r="D52" s="1" t="str">
        <f>IFERROR(__xludf.DUMMYFUNCTION("""COMPUTED_VALUE"""),"Torso")</f>
        <v>Torso</v>
      </c>
      <c r="E52" s="1">
        <f>IFERROR(__xludf.DUMMYFUNCTION("""COMPUTED_VALUE"""),200.0)</f>
        <v>200</v>
      </c>
      <c r="F52"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52" s="1">
        <f>IFERROR(__xludf.DUMMYFUNCTION("""COMPUTED_VALUE"""),1900000.0)</f>
        <v>1900000</v>
      </c>
      <c r="H52" s="1" t="b">
        <f>IFERROR(__xludf.DUMMYFUNCTION("""COMPUTED_VALUE"""),FALSE)</f>
        <v>0</v>
      </c>
      <c r="I52" s="1" t="str">
        <f>IFERROR(__xludf.DUMMYFUNCTION("""COMPUTED_VALUE"""),"Land of Spira")</f>
        <v>Land of Spira</v>
      </c>
    </row>
    <row r="53">
      <c r="A53" s="1" t="str">
        <f>IFERROR(__xludf.DUMMYFUNCTION("""COMPUTED_VALUE"""),"Crystal Healing Amulet")</f>
        <v>Crystal Healing Amulet</v>
      </c>
      <c r="B53" s="1"/>
      <c r="C53" s="1"/>
      <c r="D53" s="1" t="str">
        <f>IFERROR(__xludf.DUMMYFUNCTION("""COMPUTED_VALUE"""),"Neck")</f>
        <v>Neck</v>
      </c>
      <c r="E53" s="1">
        <f>IFERROR(__xludf.DUMMYFUNCTION("""COMPUTED_VALUE"""),1.0)</f>
        <v>1</v>
      </c>
      <c r="F53" s="1" t="str">
        <f>IFERROR(__xludf.DUMMYFUNCTION("""COMPUTED_VALUE""")," ++Crystal Aura - Protected from death once per battle, can only use the effect of ""Crystal Aura"" once per battle. +-Can only have one equipped.    +-Cannot be duplicated.")</f>
        <v> ++Crystal Aura - Protected from death once per battle, can only use the effect of "Crystal Aura" once per battle. +-Can only have one equipped.    +-Cannot be duplicated.</v>
      </c>
      <c r="G53" s="1">
        <f>IFERROR(__xludf.DUMMYFUNCTION("""COMPUTED_VALUE"""),0.0)</f>
        <v>0</v>
      </c>
      <c r="H53" s="1" t="b">
        <f>IFERROR(__xludf.DUMMYFUNCTION("""COMPUTED_VALUE"""),FALSE)</f>
        <v>0</v>
      </c>
      <c r="I53" s="1" t="str">
        <f>IFERROR(__xludf.DUMMYFUNCTION("""COMPUTED_VALUE"""),"Land of Spira")</f>
        <v>Land of Spira</v>
      </c>
    </row>
    <row r="54">
      <c r="A54" s="1" t="str">
        <f>IFERROR(__xludf.DUMMYFUNCTION("""COMPUTED_VALUE"""),"Crystal Longsword")</f>
        <v>Crystal Longsword</v>
      </c>
      <c r="B54" s="1"/>
      <c r="C54" s="1" t="str">
        <f>IFERROR(__xludf.DUMMYFUNCTION("""COMPUTED_VALUE"""),"Sword")</f>
        <v>Sword</v>
      </c>
      <c r="D54" s="1" t="str">
        <f>IFERROR(__xludf.DUMMYFUNCTION("""COMPUTED_VALUE"""),"Hand")</f>
        <v>Hand</v>
      </c>
      <c r="E54" s="1">
        <f>IFERROR(__xludf.DUMMYFUNCTION("""COMPUTED_VALUE"""),200.0)</f>
        <v>200</v>
      </c>
      <c r="F54" s="1" t="str">
        <f>IFERROR(__xludf.DUMMYFUNCTION("""COMPUTED_VALUE"""),"DMG: +5000, Earth DMG: +5000 ++When equipped, Gem and Crystal related weapons deal an additional X4 damage for the user.")</f>
        <v>DMG: +5000, Earth DMG: +5000 ++When equipped, Gem and Crystal related weapons deal an additional X4 damage for the user.</v>
      </c>
      <c r="G54" s="1">
        <f>IFERROR(__xludf.DUMMYFUNCTION("""COMPUTED_VALUE"""),1900000.0)</f>
        <v>1900000</v>
      </c>
      <c r="H54" s="1" t="b">
        <f>IFERROR(__xludf.DUMMYFUNCTION("""COMPUTED_VALUE"""),FALSE)</f>
        <v>0</v>
      </c>
      <c r="I54" s="1" t="str">
        <f>IFERROR(__xludf.DUMMYFUNCTION("""COMPUTED_VALUE"""),"Land of Spira")</f>
        <v>Land of Spira</v>
      </c>
    </row>
    <row r="55">
      <c r="A55" s="1" t="str">
        <f>IFERROR(__xludf.DUMMYFUNCTION("""COMPUTED_VALUE"""),"Crystal Ring")</f>
        <v>Crystal Ring</v>
      </c>
      <c r="B55" s="1"/>
      <c r="C55" s="1"/>
      <c r="D55" s="1" t="str">
        <f>IFERROR(__xludf.DUMMYFUNCTION("""COMPUTED_VALUE"""),"Ring")</f>
        <v>Ring</v>
      </c>
      <c r="E55" s="1">
        <f>IFERROR(__xludf.DUMMYFUNCTION("""COMPUTED_VALUE"""),1.0)</f>
        <v>1</v>
      </c>
      <c r="F55" s="1" t="str">
        <f>IFERROR(__xludf.DUMMYFUNCTION("""COMPUTED_VALUE""")," ++When equipped, Gem and Crystal related weapons deal an additional X2 damage for the user.")</f>
        <v> ++When equipped, Gem and Crystal related weapons deal an additional X2 damage for the user.</v>
      </c>
      <c r="G55" s="1">
        <f>IFERROR(__xludf.DUMMYFUNCTION("""COMPUTED_VALUE"""),0.0)</f>
        <v>0</v>
      </c>
      <c r="H55" s="1" t="b">
        <f>IFERROR(__xludf.DUMMYFUNCTION("""COMPUTED_VALUE"""),FALSE)</f>
        <v>0</v>
      </c>
      <c r="I55" s="1" t="str">
        <f>IFERROR(__xludf.DUMMYFUNCTION("""COMPUTED_VALUE"""),"Land of Spira")</f>
        <v>Land of Spira</v>
      </c>
    </row>
    <row r="56">
      <c r="A56" s="1" t="str">
        <f>IFERROR(__xludf.DUMMYFUNCTION("""COMPUTED_VALUE"""),"Crystal Shield")</f>
        <v>Crystal Shield</v>
      </c>
      <c r="B56" s="1"/>
      <c r="C56" s="1" t="str">
        <f>IFERROR(__xludf.DUMMYFUNCTION("""COMPUTED_VALUE"""),"Buckler")</f>
        <v>Buckler</v>
      </c>
      <c r="D56" s="1" t="str">
        <f>IFERROR(__xludf.DUMMYFUNCTION("""COMPUTED_VALUE"""),"Hand")</f>
        <v>Hand</v>
      </c>
      <c r="E56" s="1">
        <f>IFERROR(__xludf.DUMMYFUNCTION("""COMPUTED_VALUE"""),200.0)</f>
        <v>200</v>
      </c>
      <c r="F56" s="1" t="str">
        <f>IFERROR(__xludf.DUMMYFUNCTION("""COMPUTED_VALUE"""),"DEF: +10000 ++Take half damage from Gem and Crystal related weapons.")</f>
        <v>DEF: +10000 ++Take half damage from Gem and Crystal related weapons.</v>
      </c>
      <c r="G56" s="1">
        <f>IFERROR(__xludf.DUMMYFUNCTION("""COMPUTED_VALUE"""),1900000.0)</f>
        <v>1900000</v>
      </c>
      <c r="H56" s="1" t="b">
        <f>IFERROR(__xludf.DUMMYFUNCTION("""COMPUTED_VALUE"""),FALSE)</f>
        <v>0</v>
      </c>
      <c r="I56" s="1" t="str">
        <f>IFERROR(__xludf.DUMMYFUNCTION("""COMPUTED_VALUE"""),"Land of Spira")</f>
        <v>Land of Spira</v>
      </c>
    </row>
    <row r="57">
      <c r="A57" s="1" t="str">
        <f>IFERROR(__xludf.DUMMYFUNCTION("""COMPUTED_VALUE"""),"Crystal Staff")</f>
        <v>Crystal Staff</v>
      </c>
      <c r="B57" s="1"/>
      <c r="C57" s="1" t="str">
        <f>IFERROR(__xludf.DUMMYFUNCTION("""COMPUTED_VALUE"""),"Staff")</f>
        <v>Staff</v>
      </c>
      <c r="D57" s="1" t="str">
        <f>IFERROR(__xludf.DUMMYFUNCTION("""COMPUTED_VALUE"""),"Hand")</f>
        <v>Hand</v>
      </c>
      <c r="E57" s="1">
        <f>IFERROR(__xludf.DUMMYFUNCTION("""COMPUTED_VALUE"""),1.0)</f>
        <v>1</v>
      </c>
      <c r="F57" s="1" t="str">
        <f>IFERROR(__xludf.DUMMYFUNCTION("""COMPUTED_VALUE""")," ++Creates a Crystal like barrier around you making it so weapons deal no damage to you for 3 rounds, 500SP. ++1000 Additional HP and SP while equipped.")</f>
        <v> ++Creates a Crystal like barrier around you making it so weapons deal no damage to you for 3 rounds, 500SP. ++1000 Additional HP and SP while equipped.</v>
      </c>
      <c r="G57" s="1">
        <f>IFERROR(__xludf.DUMMYFUNCTION("""COMPUTED_VALUE"""),0.0)</f>
        <v>0</v>
      </c>
      <c r="H57" s="1" t="b">
        <f>IFERROR(__xludf.DUMMYFUNCTION("""COMPUTED_VALUE"""),FALSE)</f>
        <v>0</v>
      </c>
      <c r="I57" s="1" t="str">
        <f>IFERROR(__xludf.DUMMYFUNCTION("""COMPUTED_VALUE"""),"Land of Spira")</f>
        <v>Land of Spira</v>
      </c>
    </row>
    <row r="58">
      <c r="A58" s="1" t="str">
        <f>IFERROR(__xludf.DUMMYFUNCTION("""COMPUTED_VALUE"""),"Crystal Sword")</f>
        <v>Crystal Sword</v>
      </c>
      <c r="B58" s="1"/>
      <c r="C58" s="1" t="str">
        <f>IFERROR(__xludf.DUMMYFUNCTION("""COMPUTED_VALUE"""),"Sword")</f>
        <v>Sword</v>
      </c>
      <c r="D58" s="1" t="str">
        <f>IFERROR(__xludf.DUMMYFUNCTION("""COMPUTED_VALUE"""),"Hand")</f>
        <v>Hand</v>
      </c>
      <c r="E58" s="1">
        <f>IFERROR(__xludf.DUMMYFUNCTION("""COMPUTED_VALUE"""),80.0)</f>
        <v>80</v>
      </c>
      <c r="F58" s="1" t="str">
        <f>IFERROR(__xludf.DUMMYFUNCTION("""COMPUTED_VALUE"""),"DMG: +2000, Earth DMG: +2000 ++When equipped, Gem and Crystal related weapons deal an additional X2 damage for the user.")</f>
        <v>DMG: +2000, Earth DMG: +2000 ++When equipped, Gem and Crystal related weapons deal an additional X2 damage for the user.</v>
      </c>
      <c r="G58" s="1">
        <f>IFERROR(__xludf.DUMMYFUNCTION("""COMPUTED_VALUE"""),280000.0)</f>
        <v>280000</v>
      </c>
      <c r="H58" s="1" t="b">
        <f>IFERROR(__xludf.DUMMYFUNCTION("""COMPUTED_VALUE"""),FALSE)</f>
        <v>0</v>
      </c>
      <c r="I58" s="1" t="str">
        <f>IFERROR(__xludf.DUMMYFUNCTION("""COMPUTED_VALUE"""),"Land of Spira")</f>
        <v>Land of Spira</v>
      </c>
    </row>
    <row r="59">
      <c r="A59" s="1" t="str">
        <f>IFERROR(__xludf.DUMMYFUNCTION("""COMPUTED_VALUE"""),"Cursed Blade")</f>
        <v>Cursed Blade</v>
      </c>
      <c r="B59" s="1"/>
      <c r="C59" s="1" t="str">
        <f>IFERROR(__xludf.DUMMYFUNCTION("""COMPUTED_VALUE"""),"Sword")</f>
        <v>Sword</v>
      </c>
      <c r="D59" s="1" t="str">
        <f>IFERROR(__xludf.DUMMYFUNCTION("""COMPUTED_VALUE"""),"Hand")</f>
        <v>Hand</v>
      </c>
      <c r="E59" s="1">
        <f>IFERROR(__xludf.DUMMYFUNCTION("""COMPUTED_VALUE"""),620.0)</f>
        <v>620</v>
      </c>
      <c r="F59" s="1" t="str">
        <f>IFERROR(__xludf.DUMMYFUNCTION("""COMPUTED_VALUE"""),"DMG: +30000, Dark DMG: +1000 +- -5 evasion and mobility while equipped.")</f>
        <v>DMG: +30000, Dark DMG: +1000 +- -5 evasion and mobility while equipped.</v>
      </c>
      <c r="G59" s="1">
        <f>IFERROR(__xludf.DUMMYFUNCTION("""COMPUTED_VALUE"""),1.891E7)</f>
        <v>18910000</v>
      </c>
      <c r="H59" s="1" t="b">
        <f>IFERROR(__xludf.DUMMYFUNCTION("""COMPUTED_VALUE"""),FALSE)</f>
        <v>0</v>
      </c>
      <c r="I59" s="1" t="str">
        <f>IFERROR(__xludf.DUMMYFUNCTION("""COMPUTED_VALUE"""),"Land of Spira")</f>
        <v>Land of Spira</v>
      </c>
    </row>
    <row r="60">
      <c r="A60" s="1" t="str">
        <f>IFERROR(__xludf.DUMMYFUNCTION("""COMPUTED_VALUE"""),"Cursed Blade of The Void Realm")</f>
        <v>Cursed Blade of The Void Realm</v>
      </c>
      <c r="B60" s="1"/>
      <c r="C60" s="1" t="str">
        <f>IFERROR(__xludf.DUMMYFUNCTION("""COMPUTED_VALUE"""),"Sword")</f>
        <v>Sword</v>
      </c>
      <c r="D60" s="1" t="str">
        <f>IFERROR(__xludf.DUMMYFUNCTION("""COMPUTED_VALUE"""),"Hand")</f>
        <v>Hand</v>
      </c>
      <c r="E60" s="1">
        <f>IFERROR(__xludf.DUMMYFUNCTION("""COMPUTED_VALUE"""),1.0)</f>
        <v>1</v>
      </c>
      <c r="F60" s="1" t="str">
        <f>IFERROR(__xludf.DUMMYFUNCTION("""COMPUTED_VALUE""")," +-When equipped this item cannot be unequipped for 3 rounds, +-Depletes 1000 SP per round.")</f>
        <v> +-When equipped this item cannot be unequipped for 3 rounds, +-Depletes 1000 SP per round.</v>
      </c>
      <c r="G60" s="1">
        <f>IFERROR(__xludf.DUMMYFUNCTION("""COMPUTED_VALUE"""),0.0)</f>
        <v>0</v>
      </c>
      <c r="H60" s="1" t="b">
        <f>IFERROR(__xludf.DUMMYFUNCTION("""COMPUTED_VALUE"""),FALSE)</f>
        <v>0</v>
      </c>
      <c r="I60" s="1" t="str">
        <f>IFERROR(__xludf.DUMMYFUNCTION("""COMPUTED_VALUE"""),"Land of Spira")</f>
        <v>Land of Spira</v>
      </c>
    </row>
    <row r="61">
      <c r="A61" s="1" t="str">
        <f>IFERROR(__xludf.DUMMYFUNCTION("""COMPUTED_VALUE"""),"Dagger")</f>
        <v>Dagger</v>
      </c>
      <c r="B61" s="1" t="str">
        <f>IFERROR(__xludf.DUMMYFUNCTION("""COMPUTED_VALUE"""),"The first weapon ")</f>
        <v>The first weapon </v>
      </c>
      <c r="C61" s="1" t="str">
        <f>IFERROR(__xludf.DUMMYFUNCTION("""COMPUTED_VALUE"""),"Knife")</f>
        <v>Knife</v>
      </c>
      <c r="D61" s="1" t="str">
        <f>IFERROR(__xludf.DUMMYFUNCTION("""COMPUTED_VALUE"""),"Hand")</f>
        <v>Hand</v>
      </c>
      <c r="E61" s="1">
        <f>IFERROR(__xludf.DUMMYFUNCTION("""COMPUTED_VALUE"""),20.0)</f>
        <v>20</v>
      </c>
      <c r="F61" s="1" t="str">
        <f>IFERROR(__xludf.DUMMYFUNCTION("""COMPUTED_VALUE"""),"DMG: +1000")</f>
        <v>DMG: +1000</v>
      </c>
      <c r="G61" s="1">
        <f>IFERROR(__xludf.DUMMYFUNCTION("""COMPUTED_VALUE"""),10000.0)</f>
        <v>10000</v>
      </c>
      <c r="H61" s="1" t="b">
        <f>IFERROR(__xludf.DUMMYFUNCTION("""COMPUTED_VALUE"""),FALSE)</f>
        <v>0</v>
      </c>
      <c r="I61" s="1" t="str">
        <f>IFERROR(__xludf.DUMMYFUNCTION("""COMPUTED_VALUE"""),"Land of Spira")</f>
        <v>Land of Spira</v>
      </c>
    </row>
    <row r="62">
      <c r="A62" s="1" t="str">
        <f>IFERROR(__xludf.DUMMYFUNCTION("""COMPUTED_VALUE"""),"Dagger of The Cultist")</f>
        <v>Dagger of The Cultist</v>
      </c>
      <c r="B62" s="1"/>
      <c r="C62" s="1" t="str">
        <f>IFERROR(__xludf.DUMMYFUNCTION("""COMPUTED_VALUE"""),"Knife")</f>
        <v>Knife</v>
      </c>
      <c r="D62" s="1" t="str">
        <f>IFERROR(__xludf.DUMMYFUNCTION("""COMPUTED_VALUE"""),"Hand")</f>
        <v>Hand</v>
      </c>
      <c r="E62" s="1">
        <f>IFERROR(__xludf.DUMMYFUNCTION("""COMPUTED_VALUE"""),120.0)</f>
        <v>120</v>
      </c>
      <c r="F62" s="1" t="str">
        <f>IFERROR(__xludf.DUMMYFUNCTION("""COMPUTED_VALUE"""),"DMG: +2000, Dark DMG: +2000, Chaos DMG: +2000 (Cultist Set) ++25% chance of instant death to the target.")</f>
        <v>DMG: +2000, Dark DMG: +2000, Chaos DMG: +2000 (Cultist Set) ++25% chance of instant death to the target.</v>
      </c>
      <c r="G62" s="1">
        <f>IFERROR(__xludf.DUMMYFUNCTION("""COMPUTED_VALUE"""),660000.0)</f>
        <v>660000</v>
      </c>
      <c r="H62" s="1" t="b">
        <f>IFERROR(__xludf.DUMMYFUNCTION("""COMPUTED_VALUE"""),FALSE)</f>
        <v>0</v>
      </c>
      <c r="I62" s="1" t="str">
        <f>IFERROR(__xludf.DUMMYFUNCTION("""COMPUTED_VALUE"""),"Land of Spira")</f>
        <v>Land of Spira</v>
      </c>
    </row>
    <row r="63">
      <c r="A63" s="1" t="str">
        <f>IFERROR(__xludf.DUMMYFUNCTION("""COMPUTED_VALUE"""),"Dark Ice Sword")</f>
        <v>Dark Ice Sword</v>
      </c>
      <c r="B63" s="1"/>
      <c r="C63" s="1" t="str">
        <f>IFERROR(__xludf.DUMMYFUNCTION("""COMPUTED_VALUE"""),"Sword")</f>
        <v>Sword</v>
      </c>
      <c r="D63" s="1" t="str">
        <f>IFERROR(__xludf.DUMMYFUNCTION("""COMPUTED_VALUE"""),"Hand")</f>
        <v>Hand</v>
      </c>
      <c r="E63" s="1">
        <f>IFERROR(__xludf.DUMMYFUNCTION("""COMPUTED_VALUE"""),20.0)</f>
        <v>20</v>
      </c>
      <c r="F63" s="1" t="str">
        <f>IFERROR(__xludf.DUMMYFUNCTION("""COMPUTED_VALUE"""),"DMG: +600 ++25% Chance to freeze target.")</f>
        <v>DMG: +600 ++25% Chance to freeze target.</v>
      </c>
      <c r="G63" s="1">
        <f>IFERROR(__xludf.DUMMYFUNCTION("""COMPUTED_VALUE"""),1000.0)</f>
        <v>1000</v>
      </c>
      <c r="H63" s="1" t="b">
        <f>IFERROR(__xludf.DUMMYFUNCTION("""COMPUTED_VALUE"""),FALSE)</f>
        <v>0</v>
      </c>
      <c r="I63" s="1" t="str">
        <f>IFERROR(__xludf.DUMMYFUNCTION("""COMPUTED_VALUE"""),"Land of Spira")</f>
        <v>Land of Spira</v>
      </c>
    </row>
    <row r="64">
      <c r="A64" s="1" t="str">
        <f>IFERROR(__xludf.DUMMYFUNCTION("""COMPUTED_VALUE"""),"Dark Knight Helm")</f>
        <v>Dark Knight Helm</v>
      </c>
      <c r="B64" s="1"/>
      <c r="C64" s="1"/>
      <c r="D64" s="1" t="str">
        <f>IFERROR(__xludf.DUMMYFUNCTION("""COMPUTED_VALUE"""),"Head")</f>
        <v>Head</v>
      </c>
      <c r="E64" s="1">
        <f>IFERROR(__xludf.DUMMYFUNCTION("""COMPUTED_VALUE"""),10.0)</f>
        <v>10</v>
      </c>
      <c r="F64" s="1" t="str">
        <f>IFERROR(__xludf.DUMMYFUNCTION("""COMPUTED_VALUE"""),"DEF: +500 ++Immune to dark damage")</f>
        <v>DEF: +500 ++Immune to dark damage</v>
      </c>
      <c r="G64" s="1">
        <f>IFERROR(__xludf.DUMMYFUNCTION("""COMPUTED_VALUE"""),1000.0)</f>
        <v>1000</v>
      </c>
      <c r="H64" s="1" t="b">
        <f>IFERROR(__xludf.DUMMYFUNCTION("""COMPUTED_VALUE"""),FALSE)</f>
        <v>0</v>
      </c>
      <c r="I64" s="1" t="str">
        <f>IFERROR(__xludf.DUMMYFUNCTION("""COMPUTED_VALUE"""),"Land of Spira")</f>
        <v>Land of Spira</v>
      </c>
    </row>
    <row r="65">
      <c r="A65" s="1" t="str">
        <f>IFERROR(__xludf.DUMMYFUNCTION("""COMPUTED_VALUE"""),"Dark Wand")</f>
        <v>Dark Wand</v>
      </c>
      <c r="B65" s="1"/>
      <c r="C65" s="1" t="str">
        <f>IFERROR(__xludf.DUMMYFUNCTION("""COMPUTED_VALUE"""),"Wand")</f>
        <v>Wand</v>
      </c>
      <c r="D65" s="1" t="str">
        <f>IFERROR(__xludf.DUMMYFUNCTION("""COMPUTED_VALUE"""),"Hand")</f>
        <v>Hand</v>
      </c>
      <c r="E65" s="1">
        <f>IFERROR(__xludf.DUMMYFUNCTION("""COMPUTED_VALUE"""),1.0)</f>
        <v>1</v>
      </c>
      <c r="F65" s="1" t="str">
        <f>IFERROR(__xludf.DUMMYFUNCTION("""COMPUTED_VALUE""")," ++Half the SP cost of dark spells")</f>
        <v> ++Half the SP cost of dark spells</v>
      </c>
      <c r="G65" s="1">
        <f>IFERROR(__xludf.DUMMYFUNCTION("""COMPUTED_VALUE"""),0.0)</f>
        <v>0</v>
      </c>
      <c r="H65" s="1" t="b">
        <f>IFERROR(__xludf.DUMMYFUNCTION("""COMPUTED_VALUE"""),FALSE)</f>
        <v>0</v>
      </c>
      <c r="I65" s="1" t="str">
        <f>IFERROR(__xludf.DUMMYFUNCTION("""COMPUTED_VALUE"""),"Land of Spira")</f>
        <v>Land of Spira</v>
      </c>
    </row>
    <row r="66">
      <c r="A66" s="1" t="str">
        <f>IFERROR(__xludf.DUMMYFUNCTION("""COMPUTED_VALUE"""),"Dead Forest Blade")</f>
        <v>Dead Forest Blade</v>
      </c>
      <c r="B66" s="1"/>
      <c r="C66" s="1" t="str">
        <f>IFERROR(__xludf.DUMMYFUNCTION("""COMPUTED_VALUE"""),"Sword")</f>
        <v>Sword</v>
      </c>
      <c r="D66" s="1" t="str">
        <f>IFERROR(__xludf.DUMMYFUNCTION("""COMPUTED_VALUE"""),"Hand")</f>
        <v>Hand</v>
      </c>
      <c r="E66" s="1">
        <f>IFERROR(__xludf.DUMMYFUNCTION("""COMPUTED_VALUE"""),180.0)</f>
        <v>180</v>
      </c>
      <c r="F66" s="1" t="str">
        <f>IFERROR(__xludf.DUMMYFUNCTION("""COMPUTED_VALUE"""),"DMG: +5000, Dark DMG: +4000 ++Darkness Embodiment - When Equipped Any dark and chaos weapons and dark and chaos spells will deal an additional X2 damage.")</f>
        <v>DMG: +5000, Dark DMG: +4000 ++Darkness Embodiment - When Equipped Any dark and chaos weapons and dark and chaos spells will deal an additional X2 damage.</v>
      </c>
      <c r="G66" s="1">
        <f>IFERROR(__xludf.DUMMYFUNCTION("""COMPUTED_VALUE"""),1530000.0)</f>
        <v>1530000</v>
      </c>
      <c r="H66" s="1" t="b">
        <f>IFERROR(__xludf.DUMMYFUNCTION("""COMPUTED_VALUE"""),FALSE)</f>
        <v>0</v>
      </c>
      <c r="I66" s="1" t="str">
        <f>IFERROR(__xludf.DUMMYFUNCTION("""COMPUTED_VALUE"""),"Land of Spira")</f>
        <v>Land of Spira</v>
      </c>
    </row>
    <row r="67">
      <c r="A67" s="1" t="str">
        <f>IFERROR(__xludf.DUMMYFUNCTION("""COMPUTED_VALUE"""),"Dead Forest Branch")</f>
        <v>Dead Forest Branch</v>
      </c>
      <c r="B67" s="1"/>
      <c r="C67" s="1" t="str">
        <f>IFERROR(__xludf.DUMMYFUNCTION("""COMPUTED_VALUE"""),"Club")</f>
        <v>Club</v>
      </c>
      <c r="D67" s="1" t="str">
        <f>IFERROR(__xludf.DUMMYFUNCTION("""COMPUTED_VALUE"""),"Hand")</f>
        <v>Hand</v>
      </c>
      <c r="E67" s="1">
        <f>IFERROR(__xludf.DUMMYFUNCTION("""COMPUTED_VALUE"""),200.0)</f>
        <v>200</v>
      </c>
      <c r="F67" s="1" t="str">
        <f>IFERROR(__xludf.DUMMYFUNCTION("""COMPUTED_VALUE"""),", Celestial DMG: +10000000 ++This Branch will deal 10,000,000 celestial damage but it has a 95% chance to break")</f>
        <v>, Celestial DMG: +10000000 ++This Branch will deal 10,000,000 celestial damage but it has a 95% chance to break</v>
      </c>
      <c r="G67" s="1">
        <f>IFERROR(__xludf.DUMMYFUNCTION("""COMPUTED_VALUE"""),2.8788E10)</f>
        <v>28788000000</v>
      </c>
      <c r="H67" s="1" t="b">
        <f>IFERROR(__xludf.DUMMYFUNCTION("""COMPUTED_VALUE"""),FALSE)</f>
        <v>0</v>
      </c>
      <c r="I67" s="1" t="str">
        <f>IFERROR(__xludf.DUMMYFUNCTION("""COMPUTED_VALUE"""),"Land of Spira")</f>
        <v>Land of Spira</v>
      </c>
    </row>
    <row r="68">
      <c r="A68" s="1" t="str">
        <f>IFERROR(__xludf.DUMMYFUNCTION("""COMPUTED_VALUE"""),"Death's Scythe")</f>
        <v>Death's Scythe</v>
      </c>
      <c r="B68" s="1"/>
      <c r="C68" s="1" t="str">
        <f>IFERROR(__xludf.DUMMYFUNCTION("""COMPUTED_VALUE"""),"Scythe")</f>
        <v>Scythe</v>
      </c>
      <c r="D68" s="1" t="str">
        <f>IFERROR(__xludf.DUMMYFUNCTION("""COMPUTED_VALUE"""),"Hand")</f>
        <v>Hand</v>
      </c>
      <c r="E68" s="1">
        <f>IFERROR(__xludf.DUMMYFUNCTION("""COMPUTED_VALUE"""),600.0)</f>
        <v>600</v>
      </c>
      <c r="F68" s="1" t="str">
        <f>IFERROR(__xludf.DUMMYFUNCTION("""COMPUTED_VALUE"""),"DMG: +10000, Dark DMG: +10000, Chaos DMG: +10000 ++ +2 Intimidation, ++ +2 Wisdom when rolling a wisdom check for traps. +-Cannot be duplicated, +-Can only equip one.")</f>
        <v>DMG: +10000, Dark DMG: +10000, Chaos DMG: +10000 ++ +2 Intimidation, ++ +2 Wisdom when rolling a wisdom check for traps. +-Cannot be duplicated, +-Can only equip one.</v>
      </c>
      <c r="G68" s="1">
        <f>IFERROR(__xludf.DUMMYFUNCTION("""COMPUTED_VALUE"""),1.77E7)</f>
        <v>17700000</v>
      </c>
      <c r="H68" s="1" t="b">
        <f>IFERROR(__xludf.DUMMYFUNCTION("""COMPUTED_VALUE"""),FALSE)</f>
        <v>0</v>
      </c>
      <c r="I68" s="1" t="str">
        <f>IFERROR(__xludf.DUMMYFUNCTION("""COMPUTED_VALUE"""),"Land of Spira")</f>
        <v>Land of Spira</v>
      </c>
    </row>
    <row r="69">
      <c r="A69" s="1" t="str">
        <f>IFERROR(__xludf.DUMMYFUNCTION("""COMPUTED_VALUE"""),"Dimensional Dagger")</f>
        <v>Dimensional Dagger</v>
      </c>
      <c r="B69" s="1"/>
      <c r="C69" s="1" t="str">
        <f>IFERROR(__xludf.DUMMYFUNCTION("""COMPUTED_VALUE"""),"Knife")</f>
        <v>Knife</v>
      </c>
      <c r="D69" s="1" t="str">
        <f>IFERROR(__xludf.DUMMYFUNCTION("""COMPUTED_VALUE"""),"Hand")</f>
        <v>Hand</v>
      </c>
      <c r="E69" s="1">
        <f>IFERROR(__xludf.DUMMYFUNCTION("""COMPUTED_VALUE"""),200.0)</f>
        <v>200</v>
      </c>
      <c r="F69" s="1" t="str">
        <f>IFERROR(__xludf.DUMMYFUNCTION("""COMPUTED_VALUE"""),"DMG: +5000, Chaos DMG: +5000 ++25% chance to teleport the target being attacked to a random location.")</f>
        <v>DMG: +5000, Chaos DMG: +5000 ++25% chance to teleport the target being attacked to a random location.</v>
      </c>
      <c r="G69" s="1">
        <f>IFERROR(__xludf.DUMMYFUNCTION("""COMPUTED_VALUE"""),1900000.0)</f>
        <v>1900000</v>
      </c>
      <c r="H69" s="1" t="b">
        <f>IFERROR(__xludf.DUMMYFUNCTION("""COMPUTED_VALUE"""),FALSE)</f>
        <v>0</v>
      </c>
      <c r="I69" s="1" t="str">
        <f>IFERROR(__xludf.DUMMYFUNCTION("""COMPUTED_VALUE"""),"Land of Spira")</f>
        <v>Land of Spira</v>
      </c>
    </row>
    <row r="70">
      <c r="A70" s="1" t="str">
        <f>IFERROR(__xludf.DUMMYFUNCTION("""COMPUTED_VALUE"""),"Dragon's Skull")</f>
        <v>Dragon's Skull</v>
      </c>
      <c r="B70" s="1"/>
      <c r="C70" s="1"/>
      <c r="D70" s="1" t="str">
        <f>IFERROR(__xludf.DUMMYFUNCTION("""COMPUTED_VALUE"""),"Head")</f>
        <v>Head</v>
      </c>
      <c r="E70" s="1">
        <f>IFERROR(__xludf.DUMMYFUNCTION("""COMPUTED_VALUE"""),200.0)</f>
        <v>200</v>
      </c>
      <c r="F70" s="1" t="str">
        <f>IFERROR(__xludf.DUMMYFUNCTION("""COMPUTED_VALUE"""),"DEF: +10000 ++Any damage that is dealt to the wearer by a dragon is negated. ++(Dragon Tamers Cannot Wear This)")</f>
        <v>DEF: +10000 ++Any damage that is dealt to the wearer by a dragon is negated. ++(Dragon Tamers Cannot Wear This)</v>
      </c>
      <c r="G70" s="1">
        <f>IFERROR(__xludf.DUMMYFUNCTION("""COMPUTED_VALUE"""),1900000.0)</f>
        <v>1900000</v>
      </c>
      <c r="H70" s="1" t="b">
        <f>IFERROR(__xludf.DUMMYFUNCTION("""COMPUTED_VALUE"""),FALSE)</f>
        <v>0</v>
      </c>
      <c r="I70" s="1" t="str">
        <f>IFERROR(__xludf.DUMMYFUNCTION("""COMPUTED_VALUE"""),"Land of Spira")</f>
        <v>Land of Spira</v>
      </c>
    </row>
    <row r="71">
      <c r="A71" s="1" t="str">
        <f>IFERROR(__xludf.DUMMYFUNCTION("""COMPUTED_VALUE"""),"Dreading Wand Of Fire")</f>
        <v>Dreading Wand Of Fire</v>
      </c>
      <c r="B71" s="1"/>
      <c r="C71" s="1" t="str">
        <f>IFERROR(__xludf.DUMMYFUNCTION("""COMPUTED_VALUE"""),"Wand")</f>
        <v>Wand</v>
      </c>
      <c r="D71" s="1" t="str">
        <f>IFERROR(__xludf.DUMMYFUNCTION("""COMPUTED_VALUE"""),"Hand")</f>
        <v>Hand</v>
      </c>
      <c r="E71" s="1">
        <f>IFERROR(__xludf.DUMMYFUNCTION("""COMPUTED_VALUE"""),1.0)</f>
        <v>1</v>
      </c>
      <c r="F71" s="1" t="str">
        <f>IFERROR(__xludf.DUMMYFUNCTION("""COMPUTED_VALUE""")," ++Half SP costs for fire spells")</f>
        <v> ++Half SP costs for fire spells</v>
      </c>
      <c r="G71" s="1">
        <f>IFERROR(__xludf.DUMMYFUNCTION("""COMPUTED_VALUE"""),0.0)</f>
        <v>0</v>
      </c>
      <c r="H71" s="1" t="b">
        <f>IFERROR(__xludf.DUMMYFUNCTION("""COMPUTED_VALUE"""),FALSE)</f>
        <v>0</v>
      </c>
      <c r="I71" s="1" t="str">
        <f>IFERROR(__xludf.DUMMYFUNCTION("""COMPUTED_VALUE"""),"Land of Spira")</f>
        <v>Land of Spira</v>
      </c>
    </row>
    <row r="72">
      <c r="A72" s="1" t="str">
        <f>IFERROR(__xludf.DUMMYFUNCTION("""COMPUTED_VALUE"""),"Dy Yu’s Plated Armor")</f>
        <v>Dy Yu’s Plated Armor</v>
      </c>
      <c r="B72" s="1"/>
      <c r="C72" s="1"/>
      <c r="D72" s="1" t="str">
        <f>IFERROR(__xludf.DUMMYFUNCTION("""COMPUTED_VALUE"""),"Torso")</f>
        <v>Torso</v>
      </c>
      <c r="E72" s="1">
        <f>IFERROR(__xludf.DUMMYFUNCTION("""COMPUTED_VALUE"""),4000.0)</f>
        <v>4000</v>
      </c>
      <c r="F72" s="1" t="str">
        <f>IFERROR(__xludf.DUMMYFUNCTION("""COMPUTED_VALUE"""),"DEF: +50000, Fire DEF: +50000, Earth DEF: +50000, Spirit DEF: +50000 ++Roll a d20 at the beginning of battle, 11 or higher = half the damage taken from the first attack, 10 or lower = take double the damage from the first attack.")</f>
        <v>DEF: +50000, Fire DEF: +50000, Earth DEF: +50000, Spirit DEF: +50000 ++Roll a d20 at the beginning of battle, 11 or higher = half the damage taken from the first attack, 10 or lower = take double the damage from the first attack.</v>
      </c>
      <c r="G72" s="1">
        <f>IFERROR(__xludf.DUMMYFUNCTION("""COMPUTED_VALUE"""),7.98E8)</f>
        <v>798000000</v>
      </c>
      <c r="H72" s="1" t="b">
        <f>IFERROR(__xludf.DUMMYFUNCTION("""COMPUTED_VALUE"""),FALSE)</f>
        <v>0</v>
      </c>
      <c r="I72" s="1" t="str">
        <f>IFERROR(__xludf.DUMMYFUNCTION("""COMPUTED_VALUE"""),"Land of Spira")</f>
        <v>Land of Spira</v>
      </c>
    </row>
    <row r="73">
      <c r="A73" s="1" t="str">
        <f>IFERROR(__xludf.DUMMYFUNCTION("""COMPUTED_VALUE"""),"Enchanted Chestplate of Defense")</f>
        <v>Enchanted Chestplate of Defense</v>
      </c>
      <c r="B73" s="1"/>
      <c r="C73" s="1"/>
      <c r="D73" s="1" t="str">
        <f>IFERROR(__xludf.DUMMYFUNCTION("""COMPUTED_VALUE"""),"Torso")</f>
        <v>Torso</v>
      </c>
      <c r="E73" s="1">
        <f>IFERROR(__xludf.DUMMYFUNCTION("""COMPUTED_VALUE"""),100.0)</f>
        <v>100</v>
      </c>
      <c r="F73" s="1" t="str">
        <f>IFERROR(__xludf.DUMMYFUNCTION("""COMPUTED_VALUE"""),"DEF: +5000 ++Damage received by Spells and Weapons are reduced to half when wearing this.")</f>
        <v>DEF: +5000 ++Damage received by Spells and Weapons are reduced to half when wearing this.</v>
      </c>
      <c r="G73" s="1">
        <f>IFERROR(__xludf.DUMMYFUNCTION("""COMPUTED_VALUE"""),450000.0)</f>
        <v>450000</v>
      </c>
      <c r="H73" s="1" t="b">
        <f>IFERROR(__xludf.DUMMYFUNCTION("""COMPUTED_VALUE"""),FALSE)</f>
        <v>0</v>
      </c>
      <c r="I73" s="1" t="str">
        <f>IFERROR(__xludf.DUMMYFUNCTION("""COMPUTED_VALUE"""),"Land of Spira")</f>
        <v>Land of Spira</v>
      </c>
    </row>
    <row r="74">
      <c r="A74" s="1" t="str">
        <f>IFERROR(__xludf.DUMMYFUNCTION("""COMPUTED_VALUE"""),"Enchanted Dagger")</f>
        <v>Enchanted Dagger</v>
      </c>
      <c r="B74" s="1"/>
      <c r="C74" s="1" t="str">
        <f>IFERROR(__xludf.DUMMYFUNCTION("""COMPUTED_VALUE"""),"Knife")</f>
        <v>Knife</v>
      </c>
      <c r="D74" s="1" t="str">
        <f>IFERROR(__xludf.DUMMYFUNCTION("""COMPUTED_VALUE"""),"Hand")</f>
        <v>Hand</v>
      </c>
      <c r="E74" s="1">
        <f>IFERROR(__xludf.DUMMYFUNCTION("""COMPUTED_VALUE"""),1.0)</f>
        <v>1</v>
      </c>
      <c r="F74" s="1" t="str">
        <f>IFERROR(__xludf.DUMMYFUNCTION("""COMPUTED_VALUE"""),": +1 ++100% of instantly killing the target.")</f>
        <v>: +1 ++100% of instantly killing the target.</v>
      </c>
      <c r="G74" s="1">
        <f>IFERROR(__xludf.DUMMYFUNCTION("""COMPUTED_VALUE"""),0.0)</f>
        <v>0</v>
      </c>
      <c r="H74" s="1" t="b">
        <f>IFERROR(__xludf.DUMMYFUNCTION("""COMPUTED_VALUE"""),FALSE)</f>
        <v>0</v>
      </c>
      <c r="I74" s="1" t="str">
        <f>IFERROR(__xludf.DUMMYFUNCTION("""COMPUTED_VALUE"""),"Land of Spira")</f>
        <v>Land of Spira</v>
      </c>
    </row>
    <row r="75">
      <c r="A75" s="1" t="str">
        <f>IFERROR(__xludf.DUMMYFUNCTION("""COMPUTED_VALUE"""),"Enchanted Falcon Blade")</f>
        <v>Enchanted Falcon Blade</v>
      </c>
      <c r="B75" s="1"/>
      <c r="C75" s="1" t="str">
        <f>IFERROR(__xludf.DUMMYFUNCTION("""COMPUTED_VALUE"""),"Sword")</f>
        <v>Sword</v>
      </c>
      <c r="D75" s="1" t="str">
        <f>IFERROR(__xludf.DUMMYFUNCTION("""COMPUTED_VALUE"""),"Hand")</f>
        <v>Hand</v>
      </c>
      <c r="E75" s="1">
        <f>IFERROR(__xludf.DUMMYFUNCTION("""COMPUTED_VALUE"""),60.0)</f>
        <v>60</v>
      </c>
      <c r="F75" s="1" t="str">
        <f>IFERROR(__xludf.DUMMYFUNCTION("""COMPUTED_VALUE"""),"DMG: +2000, Order DMG: +600 ++Falcon’s Power - All attacks dealt by your weapons will deal double in damage for 3 of your turns when equipped.")</f>
        <v>DMG: +2000, Order DMG: +600 ++Falcon’s Power - All attacks dealt by your weapons will deal double in damage for 3 of your turns when equipped.</v>
      </c>
      <c r="G75" s="1">
        <f>IFERROR(__xludf.DUMMYFUNCTION("""COMPUTED_VALUE"""),100000.0)</f>
        <v>100000</v>
      </c>
      <c r="H75" s="1" t="b">
        <f>IFERROR(__xludf.DUMMYFUNCTION("""COMPUTED_VALUE"""),FALSE)</f>
        <v>0</v>
      </c>
      <c r="I75" s="1" t="str">
        <f>IFERROR(__xludf.DUMMYFUNCTION("""COMPUTED_VALUE"""),"Land of Spira")</f>
        <v>Land of Spira</v>
      </c>
    </row>
    <row r="76">
      <c r="A76" s="1" t="str">
        <f>IFERROR(__xludf.DUMMYFUNCTION("""COMPUTED_VALUE"""),"Energy Prong")</f>
        <v>Energy Prong</v>
      </c>
      <c r="B76" s="1"/>
      <c r="C76" s="1" t="str">
        <f>IFERROR(__xludf.DUMMYFUNCTION("""COMPUTED_VALUE"""),"Spear")</f>
        <v>Spear</v>
      </c>
      <c r="D76" s="1" t="str">
        <f>IFERROR(__xludf.DUMMYFUNCTION("""COMPUTED_VALUE"""),"Hand")</f>
        <v>Hand</v>
      </c>
      <c r="E76" s="1">
        <f>IFERROR(__xludf.DUMMYFUNCTION("""COMPUTED_VALUE"""),10.0)</f>
        <v>10</v>
      </c>
      <c r="F76" s="1" t="str">
        <f>IFERROR(__xludf.DUMMYFUNCTION("""COMPUTED_VALUE"""),"DMG: +500 ++50% chance of stun 3.")</f>
        <v>DMG: +500 ++50% chance of stun 3.</v>
      </c>
      <c r="G76" s="1">
        <f>IFERROR(__xludf.DUMMYFUNCTION("""COMPUTED_VALUE"""),1000.0)</f>
        <v>1000</v>
      </c>
      <c r="H76" s="1" t="b">
        <f>IFERROR(__xludf.DUMMYFUNCTION("""COMPUTED_VALUE"""),FALSE)</f>
        <v>0</v>
      </c>
      <c r="I76" s="1" t="str">
        <f>IFERROR(__xludf.DUMMYFUNCTION("""COMPUTED_VALUE"""),"Land of Spira")</f>
        <v>Land of Spira</v>
      </c>
    </row>
    <row r="77">
      <c r="A77" s="1" t="str">
        <f>IFERROR(__xludf.DUMMYFUNCTION("""COMPUTED_VALUE"""),"False Helmet")</f>
        <v>False Helmet</v>
      </c>
      <c r="B77" s="1"/>
      <c r="C77" s="1"/>
      <c r="D77" s="1" t="str">
        <f>IFERROR(__xludf.DUMMYFUNCTION("""COMPUTED_VALUE"""),"Head")</f>
        <v>Head</v>
      </c>
      <c r="E77" s="1">
        <f>IFERROR(__xludf.DUMMYFUNCTION("""COMPUTED_VALUE"""),1.0)</f>
        <v>1</v>
      </c>
      <c r="F77" s="1" t="str">
        <f>IFERROR(__xludf.DUMMYFUNCTION("""COMPUTED_VALUE""")," ++ ++5 Intimidation, ++ - 2 Charisma. +-Cannot be forged +-Cannot be duplicated.")</f>
        <v> ++ ++5 Intimidation, ++ - 2 Charisma. +-Cannot be forged +-Cannot be duplicated.</v>
      </c>
      <c r="G77" s="1">
        <f>IFERROR(__xludf.DUMMYFUNCTION("""COMPUTED_VALUE"""),0.0)</f>
        <v>0</v>
      </c>
      <c r="H77" s="1" t="b">
        <f>IFERROR(__xludf.DUMMYFUNCTION("""COMPUTED_VALUE"""),FALSE)</f>
        <v>0</v>
      </c>
      <c r="I77" s="1" t="str">
        <f>IFERROR(__xludf.DUMMYFUNCTION("""COMPUTED_VALUE"""),"Land of Spira")</f>
        <v>Land of Spira</v>
      </c>
    </row>
    <row r="78">
      <c r="A78" s="1" t="str">
        <f>IFERROR(__xludf.DUMMYFUNCTION("""COMPUTED_VALUE"""),"Felt Cap")</f>
        <v>Felt Cap</v>
      </c>
      <c r="B78" s="1"/>
      <c r="C78" s="1"/>
      <c r="D78" s="1" t="str">
        <f>IFERROR(__xludf.DUMMYFUNCTION("""COMPUTED_VALUE"""),"Head")</f>
        <v>Head</v>
      </c>
      <c r="E78" s="1">
        <f>IFERROR(__xludf.DUMMYFUNCTION("""COMPUTED_VALUE"""),1.0)</f>
        <v>1</v>
      </c>
      <c r="F78" s="1" t="str">
        <f>IFERROR(__xludf.DUMMYFUNCTION("""COMPUTED_VALUE""")," ++ -1 Evasion ++ +2 Intimidation, +-Can only wear one, +-Cannot be duplicated.")</f>
        <v> ++ -1 Evasion ++ +2 Intimidation, +-Can only wear one, +-Cannot be duplicated.</v>
      </c>
      <c r="G78" s="1">
        <f>IFERROR(__xludf.DUMMYFUNCTION("""COMPUTED_VALUE"""),0.0)</f>
        <v>0</v>
      </c>
      <c r="H78" s="1" t="b">
        <f>IFERROR(__xludf.DUMMYFUNCTION("""COMPUTED_VALUE"""),FALSE)</f>
        <v>0</v>
      </c>
      <c r="I78" s="1" t="str">
        <f>IFERROR(__xludf.DUMMYFUNCTION("""COMPUTED_VALUE"""),"Land of Spira")</f>
        <v>Land of Spira</v>
      </c>
    </row>
    <row r="79">
      <c r="A79" s="1" t="str">
        <f>IFERROR(__xludf.DUMMYFUNCTION("""COMPUTED_VALUE"""),"Fire Resistant Boots")</f>
        <v>Fire Resistant Boots</v>
      </c>
      <c r="B79" s="1"/>
      <c r="C79" s="1"/>
      <c r="D79" s="1" t="str">
        <f>IFERROR(__xludf.DUMMYFUNCTION("""COMPUTED_VALUE"""),"Feet")</f>
        <v>Feet</v>
      </c>
      <c r="E79" s="1">
        <f>IFERROR(__xludf.DUMMYFUNCTION("""COMPUTED_VALUE"""),200.0)</f>
        <v>200</v>
      </c>
      <c r="F79" s="1" t="str">
        <f>IFERROR(__xludf.DUMMYFUNCTION("""COMPUTED_VALUE"""),", Fire DEF: +10000 ++Fire Immune, ++X2 Additional fire damage. +-Cannot be duplicated.")</f>
        <v>, Fire DEF: +10000 ++Fire Immune, ++X2 Additional fire damage. +-Cannot be duplicated.</v>
      </c>
      <c r="G79" s="1">
        <f>IFERROR(__xludf.DUMMYFUNCTION("""COMPUTED_VALUE"""),1900000.0)</f>
        <v>1900000</v>
      </c>
      <c r="H79" s="1" t="b">
        <f>IFERROR(__xludf.DUMMYFUNCTION("""COMPUTED_VALUE"""),FALSE)</f>
        <v>0</v>
      </c>
      <c r="I79" s="1" t="str">
        <f>IFERROR(__xludf.DUMMYFUNCTION("""COMPUTED_VALUE"""),"Land of Spira")</f>
        <v>Land of Spira</v>
      </c>
    </row>
    <row r="80">
      <c r="A80" s="1" t="str">
        <f>IFERROR(__xludf.DUMMYFUNCTION("""COMPUTED_VALUE"""),"Fire Ring")</f>
        <v>Fire Ring</v>
      </c>
      <c r="B80" s="1"/>
      <c r="C80" s="1"/>
      <c r="D80" s="1" t="str">
        <f>IFERROR(__xludf.DUMMYFUNCTION("""COMPUTED_VALUE"""),"Ring")</f>
        <v>Ring</v>
      </c>
      <c r="E80" s="1">
        <f>IFERROR(__xludf.DUMMYFUNCTION("""COMPUTED_VALUE"""),1.0)</f>
        <v>1</v>
      </c>
      <c r="F80" s="1" t="str">
        <f>IFERROR(__xludf.DUMMYFUNCTION("""COMPUTED_VALUE""")," ++Fire Immune, ++X2 Additional fire damage. +-Cannot be duplicated.")</f>
        <v> ++Fire Immune, ++X2 Additional fire damage. +-Cannot be duplicated.</v>
      </c>
      <c r="G80" s="1">
        <f>IFERROR(__xludf.DUMMYFUNCTION("""COMPUTED_VALUE"""),0.0)</f>
        <v>0</v>
      </c>
      <c r="H80" s="1" t="b">
        <f>IFERROR(__xludf.DUMMYFUNCTION("""COMPUTED_VALUE"""),FALSE)</f>
        <v>0</v>
      </c>
      <c r="I80" s="1" t="str">
        <f>IFERROR(__xludf.DUMMYFUNCTION("""COMPUTED_VALUE"""),"Land of Spira")</f>
        <v>Land of Spira</v>
      </c>
    </row>
    <row r="81">
      <c r="A81" s="1" t="str">
        <f>IFERROR(__xludf.DUMMYFUNCTION("""COMPUTED_VALUE"""),"Fire Shield")</f>
        <v>Fire Shield</v>
      </c>
      <c r="B81" s="1"/>
      <c r="C81" s="1" t="str">
        <f>IFERROR(__xludf.DUMMYFUNCTION("""COMPUTED_VALUE"""),"Towershield")</f>
        <v>Towershield</v>
      </c>
      <c r="D81" s="1" t="str">
        <f>IFERROR(__xludf.DUMMYFUNCTION("""COMPUTED_VALUE"""),"Hand")</f>
        <v>Hand</v>
      </c>
      <c r="E81" s="1">
        <f>IFERROR(__xludf.DUMMYFUNCTION("""COMPUTED_VALUE"""),200.0)</f>
        <v>200</v>
      </c>
      <c r="F81" s="1" t="str">
        <f>IFERROR(__xludf.DUMMYFUNCTION("""COMPUTED_VALUE"""),"DEF: +5000, Fire DEF: +5000 ++ Immunity to Fire, ++X2 Additional fire resistance. +-Cannot be duplicated.")</f>
        <v>DEF: +5000, Fire DEF: +5000 ++ Immunity to Fire, ++X2 Additional fire resistance. +-Cannot be duplicated.</v>
      </c>
      <c r="G81" s="1">
        <f>IFERROR(__xludf.DUMMYFUNCTION("""COMPUTED_VALUE"""),1900000.0)</f>
        <v>1900000</v>
      </c>
      <c r="H81" s="1" t="b">
        <f>IFERROR(__xludf.DUMMYFUNCTION("""COMPUTED_VALUE"""),FALSE)</f>
        <v>0</v>
      </c>
      <c r="I81" s="1" t="str">
        <f>IFERROR(__xludf.DUMMYFUNCTION("""COMPUTED_VALUE"""),"Land of Spira")</f>
        <v>Land of Spira</v>
      </c>
    </row>
    <row r="82">
      <c r="A82" s="1" t="str">
        <f>IFERROR(__xludf.DUMMYFUNCTION("""COMPUTED_VALUE"""),"Fire Sword")</f>
        <v>Fire Sword</v>
      </c>
      <c r="B82" s="1"/>
      <c r="C82" s="1" t="str">
        <f>IFERROR(__xludf.DUMMYFUNCTION("""COMPUTED_VALUE"""),"Sword")</f>
        <v>Sword</v>
      </c>
      <c r="D82" s="1" t="str">
        <f>IFERROR(__xludf.DUMMYFUNCTION("""COMPUTED_VALUE"""),"Hand")</f>
        <v>Hand</v>
      </c>
      <c r="E82" s="1">
        <f>IFERROR(__xludf.DUMMYFUNCTION("""COMPUTED_VALUE"""),200.0)</f>
        <v>200</v>
      </c>
      <c r="F82" s="1" t="str">
        <f>IFERROR(__xludf.DUMMYFUNCTION("""COMPUTED_VALUE"""),"DMG: +5000, Fire DMG: +5000 ++X2 Additional Fire damage. Burn 2500. Cannot be duplicated.")</f>
        <v>DMG: +5000, Fire DMG: +5000 ++X2 Additional Fire damage. Burn 2500. Cannot be duplicated.</v>
      </c>
      <c r="G82" s="1">
        <f>IFERROR(__xludf.DUMMYFUNCTION("""COMPUTED_VALUE"""),1900000.0)</f>
        <v>1900000</v>
      </c>
      <c r="H82" s="1" t="b">
        <f>IFERROR(__xludf.DUMMYFUNCTION("""COMPUTED_VALUE"""),FALSE)</f>
        <v>0</v>
      </c>
      <c r="I82" s="1" t="str">
        <f>IFERROR(__xludf.DUMMYFUNCTION("""COMPUTED_VALUE"""),"Land of Spira")</f>
        <v>Land of Spira</v>
      </c>
    </row>
    <row r="83">
      <c r="A83" s="1" t="str">
        <f>IFERROR(__xludf.DUMMYFUNCTION("""COMPUTED_VALUE"""),"Fireproof Suit")</f>
        <v>Fireproof Suit</v>
      </c>
      <c r="B83" s="1"/>
      <c r="C83" s="1"/>
      <c r="D83" s="1" t="str">
        <f>IFERROR(__xludf.DUMMYFUNCTION("""COMPUTED_VALUE"""),"Torso")</f>
        <v>Torso</v>
      </c>
      <c r="E83" s="1">
        <f>IFERROR(__xludf.DUMMYFUNCTION("""COMPUTED_VALUE"""),400.0)</f>
        <v>400</v>
      </c>
      <c r="F83" s="1" t="str">
        <f>IFERROR(__xludf.DUMMYFUNCTION("""COMPUTED_VALUE"""),"DEF: +5000, Fire DEF: +15000 Fire Immune, X2 Additional fire resistance. Cannot be duplicated.")</f>
        <v>DEF: +5000, Fire DEF: +15000 Fire Immune, X2 Additional fire resistance. Cannot be duplicated.</v>
      </c>
      <c r="G83" s="1">
        <f>IFERROR(__xludf.DUMMYFUNCTION("""COMPUTED_VALUE"""),7800000.0)</f>
        <v>7800000</v>
      </c>
      <c r="H83" s="1" t="b">
        <f>IFERROR(__xludf.DUMMYFUNCTION("""COMPUTED_VALUE"""),FALSE)</f>
        <v>0</v>
      </c>
      <c r="I83" s="1" t="str">
        <f>IFERROR(__xludf.DUMMYFUNCTION("""COMPUTED_VALUE"""),"Land of Spira")</f>
        <v>Land of Spira</v>
      </c>
    </row>
    <row r="84">
      <c r="A84" s="1" t="str">
        <f>IFERROR(__xludf.DUMMYFUNCTION("""COMPUTED_VALUE"""),"Fish Pendant")</f>
        <v>Fish Pendant</v>
      </c>
      <c r="B84" s="1"/>
      <c r="C84" s="1"/>
      <c r="D84" s="1" t="str">
        <f>IFERROR(__xludf.DUMMYFUNCTION("""COMPUTED_VALUE"""),"Neck")</f>
        <v>Neck</v>
      </c>
      <c r="E84" s="1">
        <f>IFERROR(__xludf.DUMMYFUNCTION("""COMPUTED_VALUE"""),1.0)</f>
        <v>1</v>
      </c>
      <c r="F84" s="1" t="str">
        <f>IFERROR(__xludf.DUMMYFUNCTION("""COMPUTED_VALUE""")," ++Choose the rarity of the fish when fishing +-Cannot be forged +-Cannot be duplicated +-Can only equip one")</f>
        <v> ++Choose the rarity of the fish when fishing +-Cannot be forged +-Cannot be duplicated +-Can only equip one</v>
      </c>
      <c r="G84" s="1">
        <f>IFERROR(__xludf.DUMMYFUNCTION("""COMPUTED_VALUE"""),0.0)</f>
        <v>0</v>
      </c>
      <c r="H84" s="1" t="b">
        <f>IFERROR(__xludf.DUMMYFUNCTION("""COMPUTED_VALUE"""),FALSE)</f>
        <v>0</v>
      </c>
      <c r="I84" s="1" t="str">
        <f>IFERROR(__xludf.DUMMYFUNCTION("""COMPUTED_VALUE"""),"Land of Spira")</f>
        <v>Land of Spira</v>
      </c>
    </row>
    <row r="85">
      <c r="A85" s="1" t="str">
        <f>IFERROR(__xludf.DUMMYFUNCTION("""COMPUTED_VALUE"""),"Flame Band")</f>
        <v>Flame Band</v>
      </c>
      <c r="B85" s="1"/>
      <c r="C85" s="1"/>
      <c r="D85" s="1" t="str">
        <f>IFERROR(__xludf.DUMMYFUNCTION("""COMPUTED_VALUE"""),"Arms")</f>
        <v>Arms</v>
      </c>
      <c r="E85" s="1">
        <f>IFERROR(__xludf.DUMMYFUNCTION("""COMPUTED_VALUE"""),1.0)</f>
        <v>1</v>
      </c>
      <c r="F85" s="1" t="str">
        <f>IFERROR(__xludf.DUMMYFUNCTION("""COMPUTED_VALUE""")," Fire Immune, X2 Additional fire damage. +-Cannot be duplicated")</f>
        <v> Fire Immune, X2 Additional fire damage. +-Cannot be duplicated</v>
      </c>
      <c r="G85" s="1">
        <f>IFERROR(__xludf.DUMMYFUNCTION("""COMPUTED_VALUE"""),0.0)</f>
        <v>0</v>
      </c>
      <c r="H85" s="1" t="b">
        <f>IFERROR(__xludf.DUMMYFUNCTION("""COMPUTED_VALUE"""),FALSE)</f>
        <v>0</v>
      </c>
      <c r="I85" s="1" t="str">
        <f>IFERROR(__xludf.DUMMYFUNCTION("""COMPUTED_VALUE"""),"Land of Spira")</f>
        <v>Land of Spira</v>
      </c>
    </row>
    <row r="86">
      <c r="A86" s="1" t="str">
        <f>IFERROR(__xludf.DUMMYFUNCTION("""COMPUTED_VALUE"""),"Flame Mask")</f>
        <v>Flame Mask</v>
      </c>
      <c r="B86" s="1"/>
      <c r="C86" s="1"/>
      <c r="D86" s="1" t="str">
        <f>IFERROR(__xludf.DUMMYFUNCTION("""COMPUTED_VALUE"""),"Head")</f>
        <v>Head</v>
      </c>
      <c r="E86" s="1">
        <f>IFERROR(__xludf.DUMMYFUNCTION("""COMPUTED_VALUE"""),130.0)</f>
        <v>130</v>
      </c>
      <c r="F86" s="1" t="str">
        <f>IFERROR(__xludf.DUMMYFUNCTION("""COMPUTED_VALUE"""),"DEF: +5000, Fire DEF: +1500 ++Fire Immunity, ++X2 Additional fire resistance. +-Cannot be duplicated.")</f>
        <v>DEF: +5000, Fire DEF: +1500 ++Fire Immunity, ++X2 Additional fire resistance. +-Cannot be duplicated.</v>
      </c>
      <c r="G86" s="1">
        <f>IFERROR(__xludf.DUMMYFUNCTION("""COMPUTED_VALUE"""),780000.0)</f>
        <v>780000</v>
      </c>
      <c r="H86" s="1" t="b">
        <f>IFERROR(__xludf.DUMMYFUNCTION("""COMPUTED_VALUE"""),FALSE)</f>
        <v>0</v>
      </c>
      <c r="I86" s="1" t="str">
        <f>IFERROR(__xludf.DUMMYFUNCTION("""COMPUTED_VALUE"""),"Land of Spira")</f>
        <v>Land of Spira</v>
      </c>
    </row>
    <row r="87">
      <c r="A87" s="1" t="str">
        <f>IFERROR(__xludf.DUMMYFUNCTION("""COMPUTED_VALUE"""),"Flamethrower")</f>
        <v>Flamethrower</v>
      </c>
      <c r="B87" s="1"/>
      <c r="C87" s="1" t="str">
        <f>IFERROR(__xludf.DUMMYFUNCTION("""COMPUTED_VALUE"""),"Firearm")</f>
        <v>Firearm</v>
      </c>
      <c r="D87" s="1" t="str">
        <f>IFERROR(__xludf.DUMMYFUNCTION("""COMPUTED_VALUE"""),"Hand")</f>
        <v>Hand</v>
      </c>
      <c r="E87" s="1">
        <f>IFERROR(__xludf.DUMMYFUNCTION("""COMPUTED_VALUE"""),700.0)</f>
        <v>700</v>
      </c>
      <c r="F87" s="1" t="str">
        <f>IFERROR(__xludf.DUMMYFUNCTION("""COMPUTED_VALUE"""),", Fire DMG: +35000 ++20% chance of hitting all enemies")</f>
        <v>, Fire DMG: +35000 ++20% chance of hitting all enemies</v>
      </c>
      <c r="G87" s="1">
        <f>IFERROR(__xludf.DUMMYFUNCTION("""COMPUTED_VALUE"""),2.415E7)</f>
        <v>24150000</v>
      </c>
      <c r="H87" s="1" t="b">
        <f>IFERROR(__xludf.DUMMYFUNCTION("""COMPUTED_VALUE"""),FALSE)</f>
        <v>0</v>
      </c>
      <c r="I87" s="1" t="str">
        <f>IFERROR(__xludf.DUMMYFUNCTION("""COMPUTED_VALUE"""),"Land of Spira")</f>
        <v>Land of Spira</v>
      </c>
    </row>
    <row r="88">
      <c r="A88" s="1" t="str">
        <f>IFERROR(__xludf.DUMMYFUNCTION("""COMPUTED_VALUE"""),"Flaming Sword")</f>
        <v>Flaming Sword</v>
      </c>
      <c r="B88" s="1"/>
      <c r="C88" s="1" t="str">
        <f>IFERROR(__xludf.DUMMYFUNCTION("""COMPUTED_VALUE"""),"Sword")</f>
        <v>Sword</v>
      </c>
      <c r="D88" s="1" t="str">
        <f>IFERROR(__xludf.DUMMYFUNCTION("""COMPUTED_VALUE"""),"Hand")</f>
        <v>Hand</v>
      </c>
      <c r="E88" s="1">
        <f>IFERROR(__xludf.DUMMYFUNCTION("""COMPUTED_VALUE"""),300.0)</f>
        <v>300</v>
      </c>
      <c r="F88" s="1" t="str">
        <f>IFERROR(__xludf.DUMMYFUNCTION("""COMPUTED_VALUE"""),"DMG: +5000, Fire DMG: +5000, Nature DMG: +5000 ++Burn 1000")</f>
        <v>DMG: +5000, Fire DMG: +5000, Nature DMG: +5000 ++Burn 1000</v>
      </c>
      <c r="G88" s="1">
        <f>IFERROR(__xludf.DUMMYFUNCTION("""COMPUTED_VALUE"""),4350000.0)</f>
        <v>4350000</v>
      </c>
      <c r="H88" s="1" t="b">
        <f>IFERROR(__xludf.DUMMYFUNCTION("""COMPUTED_VALUE"""),FALSE)</f>
        <v>0</v>
      </c>
      <c r="I88" s="1" t="str">
        <f>IFERROR(__xludf.DUMMYFUNCTION("""COMPUTED_VALUE"""),"Land of Spira")</f>
        <v>Land of Spira</v>
      </c>
    </row>
    <row r="89">
      <c r="A89" s="1" t="str">
        <f>IFERROR(__xludf.DUMMYFUNCTION("""COMPUTED_VALUE"""),"Foul Night Blade")</f>
        <v>Foul Night Blade</v>
      </c>
      <c r="B89" s="1"/>
      <c r="C89" s="1" t="str">
        <f>IFERROR(__xludf.DUMMYFUNCTION("""COMPUTED_VALUE"""),"Sword")</f>
        <v>Sword</v>
      </c>
      <c r="D89" s="1" t="str">
        <f>IFERROR(__xludf.DUMMYFUNCTION("""COMPUTED_VALUE"""),"Hand")</f>
        <v>Hand</v>
      </c>
      <c r="E89" s="1">
        <f>IFERROR(__xludf.DUMMYFUNCTION("""COMPUTED_VALUE"""),200.0)</f>
        <v>200</v>
      </c>
      <c r="F89" s="1" t="str">
        <f>IFERROR(__xludf.DUMMYFUNCTION("""COMPUTED_VALUE"""),"DMG: +5000, Nature DMG: +5000 (Foul Night Set) ++Poison 5000 for 3 rounds. ++Foul Night Embodiment - When Equipped  Any Dark, Nature or Poison damage is X4.")</f>
        <v>DMG: +5000, Nature DMG: +5000 (Foul Night Set) ++Poison 5000 for 3 rounds. ++Foul Night Embodiment - When Equipped  Any Dark, Nature or Poison damage is X4.</v>
      </c>
      <c r="G89" s="1">
        <f>IFERROR(__xludf.DUMMYFUNCTION("""COMPUTED_VALUE"""),1900000.0)</f>
        <v>1900000</v>
      </c>
      <c r="H89" s="1" t="b">
        <f>IFERROR(__xludf.DUMMYFUNCTION("""COMPUTED_VALUE"""),FALSE)</f>
        <v>0</v>
      </c>
      <c r="I89" s="1" t="str">
        <f>IFERROR(__xludf.DUMMYFUNCTION("""COMPUTED_VALUE"""),"Land of Spira")</f>
        <v>Land of Spira</v>
      </c>
    </row>
    <row r="90">
      <c r="A90" s="1" t="str">
        <f>IFERROR(__xludf.DUMMYFUNCTION("""COMPUTED_VALUE"""),"Freezing Chains")</f>
        <v>Freezing Chains</v>
      </c>
      <c r="B90" s="1"/>
      <c r="C90" s="1" t="str">
        <f>IFERROR(__xludf.DUMMYFUNCTION("""COMPUTED_VALUE"""),"Club")</f>
        <v>Club</v>
      </c>
      <c r="D90" s="1" t="str">
        <f>IFERROR(__xludf.DUMMYFUNCTION("""COMPUTED_VALUE"""),"Hand")</f>
        <v>Hand</v>
      </c>
      <c r="E90" s="1">
        <f>IFERROR(__xludf.DUMMYFUNCTION("""COMPUTED_VALUE"""),200.0)</f>
        <v>200</v>
      </c>
      <c r="F90" s="1" t="str">
        <f>IFERROR(__xludf.DUMMYFUNCTION("""COMPUTED_VALUE"""),"DMG: +5000, Water DMG: +5000 ++Frost Bind- binds the target freezing them until the end of their next turn")</f>
        <v>DMG: +5000, Water DMG: +5000 ++Frost Bind- binds the target freezing them until the end of their next turn</v>
      </c>
      <c r="G90" s="1">
        <f>IFERROR(__xludf.DUMMYFUNCTION("""COMPUTED_VALUE"""),1900000.0)</f>
        <v>1900000</v>
      </c>
      <c r="H90" s="1" t="b">
        <f>IFERROR(__xludf.DUMMYFUNCTION("""COMPUTED_VALUE"""),FALSE)</f>
        <v>0</v>
      </c>
      <c r="I90" s="1" t="str">
        <f>IFERROR(__xludf.DUMMYFUNCTION("""COMPUTED_VALUE"""),"Land of Spira")</f>
        <v>Land of Spira</v>
      </c>
    </row>
    <row r="91">
      <c r="A91" s="1" t="str">
        <f>IFERROR(__xludf.DUMMYFUNCTION("""COMPUTED_VALUE"""),"Frost Bow")</f>
        <v>Frost Bow</v>
      </c>
      <c r="B91" s="1"/>
      <c r="C91" s="1" t="str">
        <f>IFERROR(__xludf.DUMMYFUNCTION("""COMPUTED_VALUE"""),"Bow")</f>
        <v>Bow</v>
      </c>
      <c r="D91" s="1" t="str">
        <f>IFERROR(__xludf.DUMMYFUNCTION("""COMPUTED_VALUE"""),"Hand")</f>
        <v>Hand</v>
      </c>
      <c r="E91" s="1">
        <f>IFERROR(__xludf.DUMMYFUNCTION("""COMPUTED_VALUE"""),180.0)</f>
        <v>180</v>
      </c>
      <c r="F91" s="1" t="str">
        <f>IFERROR(__xludf.DUMMYFUNCTION("""COMPUTED_VALUE"""),"DMG: +5000, Water DMG: +4000 ++Arrows Used with this bow have a 50% chance to freeze the target(s)")</f>
        <v>DMG: +5000, Water DMG: +4000 ++Arrows Used with this bow have a 50% chance to freeze the target(s)</v>
      </c>
      <c r="G91" s="1">
        <f>IFERROR(__xludf.DUMMYFUNCTION("""COMPUTED_VALUE"""),1530000.0)</f>
        <v>1530000</v>
      </c>
      <c r="H91" s="1" t="b">
        <f>IFERROR(__xludf.DUMMYFUNCTION("""COMPUTED_VALUE"""),FALSE)</f>
        <v>0</v>
      </c>
      <c r="I91" s="1" t="str">
        <f>IFERROR(__xludf.DUMMYFUNCTION("""COMPUTED_VALUE"""),"Land of Spira")</f>
        <v>Land of Spira</v>
      </c>
    </row>
    <row r="92">
      <c r="A92" s="1" t="str">
        <f>IFERROR(__xludf.DUMMYFUNCTION("""COMPUTED_VALUE"""),"Frost Cloak")</f>
        <v>Frost Cloak</v>
      </c>
      <c r="B92" s="1"/>
      <c r="C92" s="1"/>
      <c r="D92" s="1" t="str">
        <f>IFERROR(__xludf.DUMMYFUNCTION("""COMPUTED_VALUE"""),"Torso")</f>
        <v>Torso</v>
      </c>
      <c r="E92" s="1">
        <f>IFERROR(__xludf.DUMMYFUNCTION("""COMPUTED_VALUE"""),1.0)</f>
        <v>1</v>
      </c>
      <c r="F92" s="1" t="str">
        <f>IFERROR(__xludf.DUMMYFUNCTION("""COMPUTED_VALUE""")," (Frost Mage Set) ++When caster is hit by an enemy,the enemy is frozen for 5r/s caster,s cloak last for 3 r/s 90 sp")</f>
        <v> (Frost Mage Set) ++When caster is hit by an enemy,the enemy is frozen for 5r/s caster,s cloak last for 3 r/s 90 sp</v>
      </c>
      <c r="G92" s="1">
        <f>IFERROR(__xludf.DUMMYFUNCTION("""COMPUTED_VALUE"""),0.0)</f>
        <v>0</v>
      </c>
      <c r="H92" s="1" t="b">
        <f>IFERROR(__xludf.DUMMYFUNCTION("""COMPUTED_VALUE"""),FALSE)</f>
        <v>0</v>
      </c>
      <c r="I92" s="1" t="str">
        <f>IFERROR(__xludf.DUMMYFUNCTION("""COMPUTED_VALUE"""),"Land of Spira")</f>
        <v>Land of Spira</v>
      </c>
    </row>
    <row r="93">
      <c r="A93" s="1" t="str">
        <f>IFERROR(__xludf.DUMMYFUNCTION("""COMPUTED_VALUE"""),"Frost Spear")</f>
        <v>Frost Spear</v>
      </c>
      <c r="B93" s="1" t="str">
        <f>IFERROR(__xludf.DUMMYFUNCTION("""COMPUTED_VALUE"""),"Event Exclusive")</f>
        <v>Event Exclusive</v>
      </c>
      <c r="C93" s="1" t="str">
        <f>IFERROR(__xludf.DUMMYFUNCTION("""COMPUTED_VALUE"""),"Spear")</f>
        <v>Spear</v>
      </c>
      <c r="D93" s="1" t="str">
        <f>IFERROR(__xludf.DUMMYFUNCTION("""COMPUTED_VALUE"""),"Hand")</f>
        <v>Hand</v>
      </c>
      <c r="E93" s="1">
        <f>IFERROR(__xludf.DUMMYFUNCTION("""COMPUTED_VALUE"""),1000.0)</f>
        <v>1000</v>
      </c>
      <c r="F93" s="1" t="str">
        <f>IFERROR(__xludf.DUMMYFUNCTION("""COMPUTED_VALUE"""),"DMG: +25000, Storm DMG: +25000 (The Frozen Spear Master Set) ++50% chance to freeze any enemies hit with this weapon")</f>
        <v>DMG: +25000, Storm DMG: +25000 (The Frozen Spear Master Set) ++50% chance to freeze any enemies hit with this weapon</v>
      </c>
      <c r="G93" s="1">
        <f>IFERROR(__xludf.DUMMYFUNCTION("""COMPUTED_VALUE"""),4.95E7)</f>
        <v>49500000</v>
      </c>
      <c r="H93" s="1" t="b">
        <f>IFERROR(__xludf.DUMMYFUNCTION("""COMPUTED_VALUE"""),FALSE)</f>
        <v>0</v>
      </c>
      <c r="I93" s="1" t="str">
        <f>IFERROR(__xludf.DUMMYFUNCTION("""COMPUTED_VALUE"""),"Land of Spira")</f>
        <v>Land of Spira</v>
      </c>
    </row>
    <row r="94">
      <c r="A94" s="1" t="str">
        <f>IFERROR(__xludf.DUMMYFUNCTION("""COMPUTED_VALUE"""),"Frozen Falchion")</f>
        <v>Frozen Falchion</v>
      </c>
      <c r="B94" s="1"/>
      <c r="C94" s="1" t="str">
        <f>IFERROR(__xludf.DUMMYFUNCTION("""COMPUTED_VALUE"""),"Sword")</f>
        <v>Sword</v>
      </c>
      <c r="D94" s="1" t="str">
        <f>IFERROR(__xludf.DUMMYFUNCTION("""COMPUTED_VALUE"""),"Hand")</f>
        <v>Hand</v>
      </c>
      <c r="E94" s="1">
        <f>IFERROR(__xludf.DUMMYFUNCTION("""COMPUTED_VALUE"""),400.0)</f>
        <v>400</v>
      </c>
      <c r="F94" s="1" t="str">
        <f>IFERROR(__xludf.DUMMYFUNCTION("""COMPUTED_VALUE"""),"DMG: +10000, Water DMG: +10000 ++40% chance to freeze the target. ++While enemies are frozen in battle they will take 20,000 Water damage per round. +-Cannot be duplicated.")</f>
        <v>DMG: +10000, Water DMG: +10000 ++40% chance to freeze the target. ++While enemies are frozen in battle they will take 20,000 Water damage per round. +-Cannot be duplicated.</v>
      </c>
      <c r="G94" s="1">
        <f>IFERROR(__xludf.DUMMYFUNCTION("""COMPUTED_VALUE"""),7800000.0)</f>
        <v>7800000</v>
      </c>
      <c r="H94" s="1" t="b">
        <f>IFERROR(__xludf.DUMMYFUNCTION("""COMPUTED_VALUE"""),FALSE)</f>
        <v>0</v>
      </c>
      <c r="I94" s="1" t="str">
        <f>IFERROR(__xludf.DUMMYFUNCTION("""COMPUTED_VALUE"""),"Land of Spira")</f>
        <v>Land of Spira</v>
      </c>
    </row>
    <row r="95">
      <c r="A95" s="1" t="str">
        <f>IFERROR(__xludf.DUMMYFUNCTION("""COMPUTED_VALUE"""),"Giant Spider Leg")</f>
        <v>Giant Spider Leg</v>
      </c>
      <c r="B95" s="1"/>
      <c r="C95" s="1" t="str">
        <f>IFERROR(__xludf.DUMMYFUNCTION("""COMPUTED_VALUE"""),"Knife")</f>
        <v>Knife</v>
      </c>
      <c r="D95" s="1" t="str">
        <f>IFERROR(__xludf.DUMMYFUNCTION("""COMPUTED_VALUE"""),"Hand")</f>
        <v>Hand</v>
      </c>
      <c r="E95" s="1">
        <f>IFERROR(__xludf.DUMMYFUNCTION("""COMPUTED_VALUE"""),200.0)</f>
        <v>200</v>
      </c>
      <c r="F95" s="1" t="str">
        <f>IFERROR(__xludf.DUMMYFUNCTION("""COMPUTED_VALUE"""),"ATK: +10000 ++When hitting an enemy inflict them with poison 500")</f>
        <v>ATK: +10000 ++When hitting an enemy inflict them with poison 500</v>
      </c>
      <c r="G95" s="1">
        <f>IFERROR(__xludf.DUMMYFUNCTION("""COMPUTED_VALUE"""),1900000.0)</f>
        <v>1900000</v>
      </c>
      <c r="H95" s="1" t="b">
        <f>IFERROR(__xludf.DUMMYFUNCTION("""COMPUTED_VALUE"""),FALSE)</f>
        <v>0</v>
      </c>
      <c r="I95" s="1" t="str">
        <f>IFERROR(__xludf.DUMMYFUNCTION("""COMPUTED_VALUE"""),"Land of Spira")</f>
        <v>Land of Spira</v>
      </c>
    </row>
    <row r="96">
      <c r="A96" s="1" t="str">
        <f>IFERROR(__xludf.DUMMYFUNCTION("""COMPUTED_VALUE"""),"Glass Shield")</f>
        <v>Glass Shield</v>
      </c>
      <c r="B96" s="1"/>
      <c r="C96" s="1" t="str">
        <f>IFERROR(__xludf.DUMMYFUNCTION("""COMPUTED_VALUE"""),"Towershield")</f>
        <v>Towershield</v>
      </c>
      <c r="D96" s="1" t="str">
        <f>IFERROR(__xludf.DUMMYFUNCTION("""COMPUTED_VALUE"""),"Hand")</f>
        <v>Hand</v>
      </c>
      <c r="E96" s="1">
        <f>IFERROR(__xludf.DUMMYFUNCTION("""COMPUTED_VALUE"""),1000.0)</f>
        <v>1000</v>
      </c>
      <c r="F96" s="1" t="str">
        <f>IFERROR(__xludf.DUMMYFUNCTION("""COMPUTED_VALUE"""),"DEF: +50000 +-has a 50% chance of breaking upon taking damage")</f>
        <v>DEF: +50000 +-has a 50% chance of breaking upon taking damage</v>
      </c>
      <c r="G96" s="1">
        <f>IFERROR(__xludf.DUMMYFUNCTION("""COMPUTED_VALUE"""),4.95E7)</f>
        <v>49500000</v>
      </c>
      <c r="H96" s="1" t="b">
        <f>IFERROR(__xludf.DUMMYFUNCTION("""COMPUTED_VALUE"""),FALSE)</f>
        <v>0</v>
      </c>
      <c r="I96" s="1" t="str">
        <f>IFERROR(__xludf.DUMMYFUNCTION("""COMPUTED_VALUE"""),"Land of Spira")</f>
        <v>Land of Spira</v>
      </c>
    </row>
    <row r="97">
      <c r="A97" s="1" t="str">
        <f>IFERROR(__xludf.DUMMYFUNCTION("""COMPUTED_VALUE"""),"Goose Staff")</f>
        <v>Goose Staff</v>
      </c>
      <c r="B97" s="1"/>
      <c r="C97" s="1" t="str">
        <f>IFERROR(__xludf.DUMMYFUNCTION("""COMPUTED_VALUE"""),"Staff")</f>
        <v>Staff</v>
      </c>
      <c r="D97" s="1" t="str">
        <f>IFERROR(__xludf.DUMMYFUNCTION("""COMPUTED_VALUE"""),"Hand")</f>
        <v>Hand</v>
      </c>
      <c r="E97" s="1">
        <f>IFERROR(__xludf.DUMMYFUNCTION("""COMPUTED_VALUE"""),1.0)</f>
        <v>1</v>
      </c>
      <c r="F97" s="1" t="str">
        <f>IFERROR(__xludf.DUMMYFUNCTION("""COMPUTED_VALUE""")," ++Summons Lord Goose to aid you in battle, 1000 SP.")</f>
        <v> ++Summons Lord Goose to aid you in battle, 1000 SP.</v>
      </c>
      <c r="G97" s="1">
        <f>IFERROR(__xludf.DUMMYFUNCTION("""COMPUTED_VALUE"""),0.0)</f>
        <v>0</v>
      </c>
      <c r="H97" s="1" t="b">
        <f>IFERROR(__xludf.DUMMYFUNCTION("""COMPUTED_VALUE"""),FALSE)</f>
        <v>0</v>
      </c>
      <c r="I97" s="1" t="str">
        <f>IFERROR(__xludf.DUMMYFUNCTION("""COMPUTED_VALUE"""),"Land of Spira")</f>
        <v>Land of Spira</v>
      </c>
    </row>
    <row r="98">
      <c r="A98" s="1" t="str">
        <f>IFERROR(__xludf.DUMMYFUNCTION("""COMPUTED_VALUE"""),"Grand Master Bow")</f>
        <v>Grand Master Bow</v>
      </c>
      <c r="B98" s="1"/>
      <c r="C98" s="1" t="str">
        <f>IFERROR(__xludf.DUMMYFUNCTION("""COMPUTED_VALUE"""),"Bow")</f>
        <v>Bow</v>
      </c>
      <c r="D98" s="1" t="str">
        <f>IFERROR(__xludf.DUMMYFUNCTION("""COMPUTED_VALUE"""),"Hand")</f>
        <v>Hand</v>
      </c>
      <c r="E98" s="1">
        <f>IFERROR(__xludf.DUMMYFUNCTION("""COMPUTED_VALUE"""),20.0)</f>
        <v>20</v>
      </c>
      <c r="F98" s="1" t="str">
        <f>IFERROR(__xludf.DUMMYFUNCTION("""COMPUTED_VALUE"""),"DMG: +1000 ++X4 additional damage towards ranged attacks. +-Only Archers can equip. +-Cannot be duplicated. ")</f>
        <v>DMG: +1000 ++X4 additional damage towards ranged attacks. +-Only Archers can equip. +-Cannot be duplicated. </v>
      </c>
      <c r="G98" s="1">
        <f>IFERROR(__xludf.DUMMYFUNCTION("""COMPUTED_VALUE"""),10000.0)</f>
        <v>10000</v>
      </c>
      <c r="H98" s="1" t="b">
        <f>IFERROR(__xludf.DUMMYFUNCTION("""COMPUTED_VALUE"""),FALSE)</f>
        <v>0</v>
      </c>
      <c r="I98" s="1" t="str">
        <f>IFERROR(__xludf.DUMMYFUNCTION("""COMPUTED_VALUE"""),"Land of Spira")</f>
        <v>Land of Spira</v>
      </c>
    </row>
    <row r="99">
      <c r="A99" s="1" t="str">
        <f>IFERROR(__xludf.DUMMYFUNCTION("""COMPUTED_VALUE"""),"Grass Sword")</f>
        <v>Grass Sword</v>
      </c>
      <c r="B99" s="1" t="str">
        <f>IFERROR(__xludf.DUMMYFUNCTION("""COMPUTED_VALUE"""),"A strong grass entity in the form of a sword")</f>
        <v>A strong grass entity in the form of a sword</v>
      </c>
      <c r="C99" s="1" t="str">
        <f>IFERROR(__xludf.DUMMYFUNCTION("""COMPUTED_VALUE"""),"Sword")</f>
        <v>Sword</v>
      </c>
      <c r="D99" s="1" t="str">
        <f>IFERROR(__xludf.DUMMYFUNCTION("""COMPUTED_VALUE"""),"Hand")</f>
        <v>Hand</v>
      </c>
      <c r="E99" s="1">
        <f>IFERROR(__xludf.DUMMYFUNCTION("""COMPUTED_VALUE"""),1.0)</f>
        <v>1</v>
      </c>
      <c r="F99" s="1" t="str">
        <f>IFERROR(__xludf.DUMMYFUNCTION("""COMPUTED_VALUE"""),"DMG: +250")</f>
        <v>DMG: +250</v>
      </c>
      <c r="G99" s="1">
        <f>IFERROR(__xludf.DUMMYFUNCTION("""COMPUTED_VALUE"""),0.0)</f>
        <v>0</v>
      </c>
      <c r="H99" s="1" t="b">
        <f>IFERROR(__xludf.DUMMYFUNCTION("""COMPUTED_VALUE"""),FALSE)</f>
        <v>0</v>
      </c>
      <c r="I99" s="1" t="str">
        <f>IFERROR(__xludf.DUMMYFUNCTION("""COMPUTED_VALUE"""),"Land of Spira")</f>
        <v>Land of Spira</v>
      </c>
    </row>
    <row r="100">
      <c r="A100" s="1" t="str">
        <f>IFERROR(__xludf.DUMMYFUNCTION("""COMPUTED_VALUE"""),"Hammer of Chaotic Shadows")</f>
        <v>Hammer of Chaotic Shadows</v>
      </c>
      <c r="B100" s="1"/>
      <c r="C100" s="1" t="str">
        <f>IFERROR(__xludf.DUMMYFUNCTION("""COMPUTED_VALUE"""),"Club")</f>
        <v>Club</v>
      </c>
      <c r="D100" s="1" t="str">
        <f>IFERROR(__xludf.DUMMYFUNCTION("""COMPUTED_VALUE"""),"Hand")</f>
        <v>Hand</v>
      </c>
      <c r="E100" s="1">
        <f>IFERROR(__xludf.DUMMYFUNCTION("""COMPUTED_VALUE"""),300.0)</f>
        <v>300</v>
      </c>
      <c r="F100" s="1" t="str">
        <f>IFERROR(__xludf.DUMMYFUNCTION("""COMPUTED_VALUE"""),"DMG: +5000, Dark DMG: +5000, Chaos DMG: +5000 ++X2 Additional Dark and Chaos Damage. ")</f>
        <v>DMG: +5000, Dark DMG: +5000, Chaos DMG: +5000 ++X2 Additional Dark and Chaos Damage. </v>
      </c>
      <c r="G100" s="1">
        <f>IFERROR(__xludf.DUMMYFUNCTION("""COMPUTED_VALUE"""),4350000.0)</f>
        <v>4350000</v>
      </c>
      <c r="H100" s="1" t="b">
        <f>IFERROR(__xludf.DUMMYFUNCTION("""COMPUTED_VALUE"""),FALSE)</f>
        <v>0</v>
      </c>
      <c r="I100" s="1" t="str">
        <f>IFERROR(__xludf.DUMMYFUNCTION("""COMPUTED_VALUE"""),"Land of Spira")</f>
        <v>Land of Spira</v>
      </c>
    </row>
    <row r="101">
      <c r="A101" s="1" t="str">
        <f>IFERROR(__xludf.DUMMYFUNCTION("""COMPUTED_VALUE"""),"Haunted Katana")</f>
        <v>Haunted Katana</v>
      </c>
      <c r="B101" s="1"/>
      <c r="C101" s="1" t="str">
        <f>IFERROR(__xludf.DUMMYFUNCTION("""COMPUTED_VALUE"""),"Sword")</f>
        <v>Sword</v>
      </c>
      <c r="D101" s="1" t="str">
        <f>IFERROR(__xludf.DUMMYFUNCTION("""COMPUTED_VALUE"""),"Hand")</f>
        <v>Hand</v>
      </c>
      <c r="E101" s="1">
        <f>IFERROR(__xludf.DUMMYFUNCTION("""COMPUTED_VALUE"""),600.0)</f>
        <v>600</v>
      </c>
      <c r="F101" s="1" t="str">
        <f>IFERROR(__xludf.DUMMYFUNCTION("""COMPUTED_VALUE"""),"DMG: +10000, Dark DMG: +10000, Spirit DMG: +10000 +-You go last during the turn order in battle.. ")</f>
        <v>DMG: +10000, Dark DMG: +10000, Spirit DMG: +10000 +-You go last during the turn order in battle.. </v>
      </c>
      <c r="G101" s="1">
        <f>IFERROR(__xludf.DUMMYFUNCTION("""COMPUTED_VALUE"""),1.77E7)</f>
        <v>17700000</v>
      </c>
      <c r="H101" s="1" t="b">
        <f>IFERROR(__xludf.DUMMYFUNCTION("""COMPUTED_VALUE"""),FALSE)</f>
        <v>0</v>
      </c>
      <c r="I101" s="1" t="str">
        <f>IFERROR(__xludf.DUMMYFUNCTION("""COMPUTED_VALUE"""),"Land of Spira")</f>
        <v>Land of Spira</v>
      </c>
    </row>
    <row r="102">
      <c r="A102" s="1" t="str">
        <f>IFERROR(__xludf.DUMMYFUNCTION("""COMPUTED_VALUE"""),"Heatmore Flame Golem Head")</f>
        <v>Heatmore Flame Golem Head</v>
      </c>
      <c r="B102" s="1"/>
      <c r="C102" s="1"/>
      <c r="D102" s="1" t="str">
        <f>IFERROR(__xludf.DUMMYFUNCTION("""COMPUTED_VALUE"""),"Head")</f>
        <v>Head</v>
      </c>
      <c r="E102" s="1">
        <f>IFERROR(__xludf.DUMMYFUNCTION("""COMPUTED_VALUE"""),300.0)</f>
        <v>300</v>
      </c>
      <c r="F102" s="1" t="str">
        <f>IFERROR(__xludf.DUMMYFUNCTION("""COMPUTED_VALUE"""),"DEF: +5000, Fire DEF: +5000, Earth DEF: +5000 ++X2 additional Earth and Fire Resistance.")</f>
        <v>DEF: +5000, Fire DEF: +5000, Earth DEF: +5000 ++X2 additional Earth and Fire Resistance.</v>
      </c>
      <c r="G102" s="1">
        <f>IFERROR(__xludf.DUMMYFUNCTION("""COMPUTED_VALUE"""),4350000.0)</f>
        <v>4350000</v>
      </c>
      <c r="H102" s="1" t="b">
        <f>IFERROR(__xludf.DUMMYFUNCTION("""COMPUTED_VALUE"""),FALSE)</f>
        <v>0</v>
      </c>
      <c r="I102" s="1" t="str">
        <f>IFERROR(__xludf.DUMMYFUNCTION("""COMPUTED_VALUE"""),"Land of Spira")</f>
        <v>Land of Spira</v>
      </c>
    </row>
    <row r="103">
      <c r="A103" s="1" t="str">
        <f>IFERROR(__xludf.DUMMYFUNCTION("""COMPUTED_VALUE"""),"Helmet of Darkness")</f>
        <v>Helmet of Darkness</v>
      </c>
      <c r="B103" s="1"/>
      <c r="C103" s="1"/>
      <c r="D103" s="1" t="str">
        <f>IFERROR(__xludf.DUMMYFUNCTION("""COMPUTED_VALUE"""),"Head")</f>
        <v>Head</v>
      </c>
      <c r="E103" s="1">
        <f>IFERROR(__xludf.DUMMYFUNCTION("""COMPUTED_VALUE"""),400.0)</f>
        <v>400</v>
      </c>
      <c r="F103" s="1" t="str">
        <f>IFERROR(__xludf.DUMMYFUNCTION("""COMPUTED_VALUE"""),"DEF: +10000, Dark DEF: +10000 ++Immunity to Dark damage.")</f>
        <v>DEF: +10000, Dark DEF: +10000 ++Immunity to Dark damage.</v>
      </c>
      <c r="G103" s="1">
        <f>IFERROR(__xludf.DUMMYFUNCTION("""COMPUTED_VALUE"""),7800000.0)</f>
        <v>7800000</v>
      </c>
      <c r="H103" s="1" t="b">
        <f>IFERROR(__xludf.DUMMYFUNCTION("""COMPUTED_VALUE"""),FALSE)</f>
        <v>0</v>
      </c>
      <c r="I103" s="1" t="str">
        <f>IFERROR(__xludf.DUMMYFUNCTION("""COMPUTED_VALUE"""),"Land of Spira")</f>
        <v>Land of Spira</v>
      </c>
    </row>
    <row r="104">
      <c r="A104" s="1" t="str">
        <f>IFERROR(__xludf.DUMMYFUNCTION("""COMPUTED_VALUE"""),"Helmet of Waking Waters")</f>
        <v>Helmet of Waking Waters</v>
      </c>
      <c r="B104" s="1"/>
      <c r="C104" s="1"/>
      <c r="D104" s="1" t="str">
        <f>IFERROR(__xludf.DUMMYFUNCTION("""COMPUTED_VALUE"""),"Head")</f>
        <v>Head</v>
      </c>
      <c r="E104" s="1">
        <f>IFERROR(__xludf.DUMMYFUNCTION("""COMPUTED_VALUE"""),200.0)</f>
        <v>200</v>
      </c>
      <c r="F104" s="1" t="str">
        <f>IFERROR(__xludf.DUMMYFUNCTION("""COMPUTED_VALUE"""),"DEF: +5000, Water DEF: +5000 ++X4 additional water damage.")</f>
        <v>DEF: +5000, Water DEF: +5000 ++X4 additional water damage.</v>
      </c>
      <c r="G104" s="1">
        <f>IFERROR(__xludf.DUMMYFUNCTION("""COMPUTED_VALUE"""),1900000.0)</f>
        <v>1900000</v>
      </c>
      <c r="H104" s="1" t="b">
        <f>IFERROR(__xludf.DUMMYFUNCTION("""COMPUTED_VALUE"""),FALSE)</f>
        <v>0</v>
      </c>
      <c r="I104" s="1" t="str">
        <f>IFERROR(__xludf.DUMMYFUNCTION("""COMPUTED_VALUE"""),"Land of Spira")</f>
        <v>Land of Spira</v>
      </c>
    </row>
    <row r="105">
      <c r="A105" s="1" t="str">
        <f>IFERROR(__xludf.DUMMYFUNCTION("""COMPUTED_VALUE"""),"High Range Bow")</f>
        <v>High Range Bow</v>
      </c>
      <c r="B105" s="1"/>
      <c r="C105" s="1" t="str">
        <f>IFERROR(__xludf.DUMMYFUNCTION("""COMPUTED_VALUE"""),"Bow")</f>
        <v>Bow</v>
      </c>
      <c r="D105" s="1" t="str">
        <f>IFERROR(__xludf.DUMMYFUNCTION("""COMPUTED_VALUE"""),"Hand")</f>
        <v>Hand</v>
      </c>
      <c r="E105" s="1">
        <f>IFERROR(__xludf.DUMMYFUNCTION("""COMPUTED_VALUE"""),10.0)</f>
        <v>10</v>
      </c>
      <c r="F105" s="1" t="str">
        <f>IFERROR(__xludf.DUMMYFUNCTION("""COMPUTED_VALUE"""),"DMG: +500 ++Hawkeye: X2 more arrow damage and ranged attacks deal half damage that are dealt to the wearer. ")</f>
        <v>DMG: +500 ++Hawkeye: X2 more arrow damage and ranged attacks deal half damage that are dealt to the wearer. </v>
      </c>
      <c r="G105" s="1">
        <f>IFERROR(__xludf.DUMMYFUNCTION("""COMPUTED_VALUE"""),1000.0)</f>
        <v>1000</v>
      </c>
      <c r="H105" s="1" t="b">
        <f>IFERROR(__xludf.DUMMYFUNCTION("""COMPUTED_VALUE"""),FALSE)</f>
        <v>0</v>
      </c>
      <c r="I105" s="1" t="str">
        <f>IFERROR(__xludf.DUMMYFUNCTION("""COMPUTED_VALUE"""),"Land of Spira")</f>
        <v>Land of Spira</v>
      </c>
    </row>
    <row r="106">
      <c r="A106" s="1" t="str">
        <f>IFERROR(__xludf.DUMMYFUNCTION("""COMPUTED_VALUE"""),"Houyi's Bow")</f>
        <v>Houyi's Bow</v>
      </c>
      <c r="B106" s="1"/>
      <c r="C106" s="1" t="str">
        <f>IFERROR(__xludf.DUMMYFUNCTION("""COMPUTED_VALUE"""),"Bow")</f>
        <v>Bow</v>
      </c>
      <c r="D106" s="1" t="str">
        <f>IFERROR(__xludf.DUMMYFUNCTION("""COMPUTED_VALUE"""),"Hand")</f>
        <v>Hand</v>
      </c>
      <c r="E106" s="1">
        <f>IFERROR(__xludf.DUMMYFUNCTION("""COMPUTED_VALUE"""),400.0)</f>
        <v>400</v>
      </c>
      <c r="F106" s="1" t="str">
        <f>IFERROR(__xludf.DUMMYFUNCTION("""COMPUTED_VALUE"""),"DMG: +20000 ++Skill Shot - gives the wielder X2 accuracy and X2 damage for bows.")</f>
        <v>DMG: +20000 ++Skill Shot - gives the wielder X2 accuracy and X2 damage for bows.</v>
      </c>
      <c r="G106" s="1">
        <f>IFERROR(__xludf.DUMMYFUNCTION("""COMPUTED_VALUE"""),7800000.0)</f>
        <v>7800000</v>
      </c>
      <c r="H106" s="1" t="b">
        <f>IFERROR(__xludf.DUMMYFUNCTION("""COMPUTED_VALUE"""),FALSE)</f>
        <v>0</v>
      </c>
      <c r="I106" s="1" t="str">
        <f>IFERROR(__xludf.DUMMYFUNCTION("""COMPUTED_VALUE"""),"Land of Spira")</f>
        <v>Land of Spira</v>
      </c>
    </row>
    <row r="107">
      <c r="A107" s="1" t="str">
        <f>IFERROR(__xludf.DUMMYFUNCTION("""COMPUTED_VALUE"""),"Ice Blade")</f>
        <v>Ice Blade</v>
      </c>
      <c r="B107" s="1"/>
      <c r="C107" s="1" t="str">
        <f>IFERROR(__xludf.DUMMYFUNCTION("""COMPUTED_VALUE"""),"Sword")</f>
        <v>Sword</v>
      </c>
      <c r="D107" s="1" t="str">
        <f>IFERROR(__xludf.DUMMYFUNCTION("""COMPUTED_VALUE"""),"Hand")</f>
        <v>Hand</v>
      </c>
      <c r="E107" s="1">
        <f>IFERROR(__xludf.DUMMYFUNCTION("""COMPUTED_VALUE"""),100.0)</f>
        <v>100</v>
      </c>
      <c r="F107" s="1" t="str">
        <f>IFERROR(__xludf.DUMMYFUNCTION("""COMPUTED_VALUE"""),"DMG: +2000, Water DMG: +3000 ++50% chance to freeze the target.")</f>
        <v>DMG: +2000, Water DMG: +3000 ++50% chance to freeze the target.</v>
      </c>
      <c r="G107" s="1">
        <f>IFERROR(__xludf.DUMMYFUNCTION("""COMPUTED_VALUE"""),450000.0)</f>
        <v>450000</v>
      </c>
      <c r="H107" s="1" t="b">
        <f>IFERROR(__xludf.DUMMYFUNCTION("""COMPUTED_VALUE"""),FALSE)</f>
        <v>0</v>
      </c>
      <c r="I107" s="1" t="str">
        <f>IFERROR(__xludf.DUMMYFUNCTION("""COMPUTED_VALUE"""),"Land of Spira")</f>
        <v>Land of Spira</v>
      </c>
    </row>
    <row r="108">
      <c r="A108" s="1" t="str">
        <f>IFERROR(__xludf.DUMMYFUNCTION("""COMPUTED_VALUE"""),"Inferno Staff")</f>
        <v>Inferno Staff</v>
      </c>
      <c r="B108" s="1"/>
      <c r="C108" s="1" t="str">
        <f>IFERROR(__xludf.DUMMYFUNCTION("""COMPUTED_VALUE"""),"Staff")</f>
        <v>Staff</v>
      </c>
      <c r="D108" s="1" t="str">
        <f>IFERROR(__xludf.DUMMYFUNCTION("""COMPUTED_VALUE"""),"Hand")</f>
        <v>Hand</v>
      </c>
      <c r="E108" s="1">
        <f>IFERROR(__xludf.DUMMYFUNCTION("""COMPUTED_VALUE"""),200.0)</f>
        <v>200</v>
      </c>
      <c r="F108" s="1" t="str">
        <f>IFERROR(__xludf.DUMMYFUNCTION("""COMPUTED_VALUE"""),", Fire : +10000 ++Burn 10,000 to 1 target for 3 rounds. 100sp.")</f>
        <v>, Fire : +10000 ++Burn 10,000 to 1 target for 3 rounds. 100sp.</v>
      </c>
      <c r="G108" s="1">
        <f>IFERROR(__xludf.DUMMYFUNCTION("""COMPUTED_VALUE"""),1900000.0)</f>
        <v>1900000</v>
      </c>
      <c r="H108" s="1" t="b">
        <f>IFERROR(__xludf.DUMMYFUNCTION("""COMPUTED_VALUE"""),FALSE)</f>
        <v>0</v>
      </c>
      <c r="I108" s="1" t="str">
        <f>IFERROR(__xludf.DUMMYFUNCTION("""COMPUTED_VALUE"""),"Land of Spira")</f>
        <v>Land of Spira</v>
      </c>
    </row>
    <row r="109">
      <c r="A109" s="1" t="str">
        <f>IFERROR(__xludf.DUMMYFUNCTION("""COMPUTED_VALUE"""),"Katana")</f>
        <v>Katana</v>
      </c>
      <c r="B109" s="1"/>
      <c r="C109" s="1" t="str">
        <f>IFERROR(__xludf.DUMMYFUNCTION("""COMPUTED_VALUE"""),"Sword")</f>
        <v>Sword</v>
      </c>
      <c r="D109" s="1" t="str">
        <f>IFERROR(__xludf.DUMMYFUNCTION("""COMPUTED_VALUE"""),"Hand")</f>
        <v>Hand</v>
      </c>
      <c r="E109" s="1">
        <f>IFERROR(__xludf.DUMMYFUNCTION("""COMPUTED_VALUE"""),10.0)</f>
        <v>10</v>
      </c>
      <c r="F109" s="1" t="str">
        <f>IFERROR(__xludf.DUMMYFUNCTION("""COMPUTED_VALUE"""),"DMG: +500 ++ +10% chance of the sword ability activating.")</f>
        <v>DMG: +500 ++ +10% chance of the sword ability activating.</v>
      </c>
      <c r="G109" s="1">
        <f>IFERROR(__xludf.DUMMYFUNCTION("""COMPUTED_VALUE"""),1000.0)</f>
        <v>1000</v>
      </c>
      <c r="H109" s="1" t="b">
        <f>IFERROR(__xludf.DUMMYFUNCTION("""COMPUTED_VALUE"""),FALSE)</f>
        <v>0</v>
      </c>
      <c r="I109" s="1" t="str">
        <f>IFERROR(__xludf.DUMMYFUNCTION("""COMPUTED_VALUE"""),"Land of Spira")</f>
        <v>Land of Spira</v>
      </c>
    </row>
    <row r="110">
      <c r="A110" s="1" t="str">
        <f>IFERROR(__xludf.DUMMYFUNCTION("""COMPUTED_VALUE"""),"King Of Mekanas Sword")</f>
        <v>King Of Mekanas Sword</v>
      </c>
      <c r="B110" s="1" t="str">
        <f>IFERROR(__xludf.DUMMYFUNCTION("""COMPUTED_VALUE"""),"Mob Exclusive")</f>
        <v>Mob Exclusive</v>
      </c>
      <c r="C110" s="1" t="str">
        <f>IFERROR(__xludf.DUMMYFUNCTION("""COMPUTED_VALUE"""),"Sword")</f>
        <v>Sword</v>
      </c>
      <c r="D110" s="1" t="str">
        <f>IFERROR(__xludf.DUMMYFUNCTION("""COMPUTED_VALUE"""),"Hand")</f>
        <v>Hand</v>
      </c>
      <c r="E110" s="1">
        <f>IFERROR(__xludf.DUMMYFUNCTION("""COMPUTED_VALUE"""),3000.0)</f>
        <v>3000</v>
      </c>
      <c r="F110" s="1" t="str">
        <f>IFERROR(__xludf.DUMMYFUNCTION("""COMPUTED_VALUE"""),"DMG: +50000, Fire DMG: +50000, Storm DMG: +50000 ++X8 additional Fire and Storm damage. ")</f>
        <v>DMG: +50000, Fire DMG: +50000, Storm DMG: +50000 ++X8 additional Fire and Storm damage. </v>
      </c>
      <c r="G110" s="1">
        <f>IFERROR(__xludf.DUMMYFUNCTION("""COMPUTED_VALUE"""),4.485E8)</f>
        <v>448500000</v>
      </c>
      <c r="H110" s="1" t="b">
        <f>IFERROR(__xludf.DUMMYFUNCTION("""COMPUTED_VALUE"""),FALSE)</f>
        <v>0</v>
      </c>
      <c r="I110" s="1" t="str">
        <f>IFERROR(__xludf.DUMMYFUNCTION("""COMPUTED_VALUE"""),"Land of Spira")</f>
        <v>Land of Spira</v>
      </c>
    </row>
    <row r="111">
      <c r="A111" s="1" t="str">
        <f>IFERROR(__xludf.DUMMYFUNCTION("""COMPUTED_VALUE"""),"King's Royal Sword")</f>
        <v>King's Royal Sword</v>
      </c>
      <c r="B111" s="1" t="str">
        <f>IFERROR(__xludf.DUMMYFUNCTION("""COMPUTED_VALUE"""),"Quest Item")</f>
        <v>Quest Item</v>
      </c>
      <c r="C111" s="1" t="str">
        <f>IFERROR(__xludf.DUMMYFUNCTION("""COMPUTED_VALUE"""),"Sword")</f>
        <v>Sword</v>
      </c>
      <c r="D111" s="1" t="str">
        <f>IFERROR(__xludf.DUMMYFUNCTION("""COMPUTED_VALUE"""),"Hand")</f>
        <v>Hand</v>
      </c>
      <c r="E111" s="1">
        <f>IFERROR(__xludf.DUMMYFUNCTION("""COMPUTED_VALUE"""),200.0)</f>
        <v>200</v>
      </c>
      <c r="F111" s="1" t="str">
        <f>IFERROR(__xludf.DUMMYFUNCTION("""COMPUTED_VALUE"""),"DMG: +100000, Celestial DMG: +100000 ++ +5 can be added to your d20 rolls. X12 additional Celestial damage. +-Cannot be duplicated")</f>
        <v>DMG: +100000, Celestial DMG: +100000 ++ +5 can be added to your d20 rolls. X12 additional Celestial damage. +-Cannot be duplicated</v>
      </c>
      <c r="G111" s="1">
        <f>IFERROR(__xludf.DUMMYFUNCTION("""COMPUTED_VALUE"""),7.98E8)</f>
        <v>798000000</v>
      </c>
      <c r="H111" s="1" t="b">
        <f>IFERROR(__xludf.DUMMYFUNCTION("""COMPUTED_VALUE"""),FALSE)</f>
        <v>0</v>
      </c>
      <c r="I111" s="1" t="str">
        <f>IFERROR(__xludf.DUMMYFUNCTION("""COMPUTED_VALUE"""),"Land of Spira")</f>
        <v>Land of Spira</v>
      </c>
    </row>
    <row r="112">
      <c r="A112" s="1" t="str">
        <f>IFERROR(__xludf.DUMMYFUNCTION("""COMPUTED_VALUE"""),"Knife")</f>
        <v>Knife</v>
      </c>
      <c r="B112" s="1"/>
      <c r="C112" s="1" t="str">
        <f>IFERROR(__xludf.DUMMYFUNCTION("""COMPUTED_VALUE"""),"Knife")</f>
        <v>Knife</v>
      </c>
      <c r="D112" s="1" t="str">
        <f>IFERROR(__xludf.DUMMYFUNCTION("""COMPUTED_VALUE"""),"Hand")</f>
        <v>Hand</v>
      </c>
      <c r="E112" s="1">
        <f>IFERROR(__xludf.DUMMYFUNCTION("""COMPUTED_VALUE"""),20.0)</f>
        <v>20</v>
      </c>
      <c r="F112" s="1" t="str">
        <f>IFERROR(__xludf.DUMMYFUNCTION("""COMPUTED_VALUE"""),"DMG: +1000")</f>
        <v>DMG: +1000</v>
      </c>
      <c r="G112" s="1">
        <f>IFERROR(__xludf.DUMMYFUNCTION("""COMPUTED_VALUE"""),10000.0)</f>
        <v>10000</v>
      </c>
      <c r="H112" s="1" t="b">
        <f>IFERROR(__xludf.DUMMYFUNCTION("""COMPUTED_VALUE"""),FALSE)</f>
        <v>0</v>
      </c>
      <c r="I112" s="1" t="str">
        <f>IFERROR(__xludf.DUMMYFUNCTION("""COMPUTED_VALUE"""),"Land of Spira")</f>
        <v>Land of Spira</v>
      </c>
    </row>
    <row r="113">
      <c r="A113" s="1" t="str">
        <f>IFERROR(__xludf.DUMMYFUNCTION("""COMPUTED_VALUE"""),"Knife of Jinx")</f>
        <v>Knife of Jinx</v>
      </c>
      <c r="B113" s="1"/>
      <c r="C113" s="1" t="str">
        <f>IFERROR(__xludf.DUMMYFUNCTION("""COMPUTED_VALUE"""),"Knife")</f>
        <v>Knife</v>
      </c>
      <c r="D113" s="1" t="str">
        <f>IFERROR(__xludf.DUMMYFUNCTION("""COMPUTED_VALUE"""),"Hand")</f>
        <v>Hand</v>
      </c>
      <c r="E113" s="1">
        <f>IFERROR(__xludf.DUMMYFUNCTION("""COMPUTED_VALUE"""),1.0)</f>
        <v>1</v>
      </c>
      <c r="F113" s="1" t="str">
        <f>IFERROR(__xludf.DUMMYFUNCTION("""COMPUTED_VALUE"""),"DMG: +10 ++ If this weapon is used against a character owned by James, This will instantly kill that character even if they are immune to instant death, otherwise this will deal 10 damage")</f>
        <v>DMG: +10 ++ If this weapon is used against a character owned by James, This will instantly kill that character even if they are immune to instant death, otherwise this will deal 10 damage</v>
      </c>
      <c r="G113" s="1">
        <f>IFERROR(__xludf.DUMMYFUNCTION("""COMPUTED_VALUE"""),0.0)</f>
        <v>0</v>
      </c>
      <c r="H113" s="1" t="b">
        <f>IFERROR(__xludf.DUMMYFUNCTION("""COMPUTED_VALUE"""),FALSE)</f>
        <v>0</v>
      </c>
      <c r="I113" s="1" t="str">
        <f>IFERROR(__xludf.DUMMYFUNCTION("""COMPUTED_VALUE"""),"Land of Spira")</f>
        <v>Land of Spira</v>
      </c>
    </row>
    <row r="114">
      <c r="A114" s="1" t="str">
        <f>IFERROR(__xludf.DUMMYFUNCTION("""COMPUTED_VALUE"""),"kraken's power ring")</f>
        <v>kraken's power ring</v>
      </c>
      <c r="B114" s="1"/>
      <c r="C114" s="1"/>
      <c r="D114" s="1" t="str">
        <f>IFERROR(__xludf.DUMMYFUNCTION("""COMPUTED_VALUE"""),"Ring")</f>
        <v>Ring</v>
      </c>
      <c r="E114" s="1">
        <f>IFERROR(__xludf.DUMMYFUNCTION("""COMPUTED_VALUE"""),1.0)</f>
        <v>1</v>
      </c>
      <c r="F114" s="1" t="str">
        <f>IFERROR(__xludf.DUMMYFUNCTION("""COMPUTED_VALUE""")," ++water based attacks double in damage. ++sp cost is halved for water spells only")</f>
        <v> ++water based attacks double in damage. ++sp cost is halved for water spells only</v>
      </c>
      <c r="G114" s="1">
        <f>IFERROR(__xludf.DUMMYFUNCTION("""COMPUTED_VALUE"""),0.0)</f>
        <v>0</v>
      </c>
      <c r="H114" s="1" t="b">
        <f>IFERROR(__xludf.DUMMYFUNCTION("""COMPUTED_VALUE"""),FALSE)</f>
        <v>0</v>
      </c>
      <c r="I114" s="1" t="str">
        <f>IFERROR(__xludf.DUMMYFUNCTION("""COMPUTED_VALUE"""),"Land of Spira")</f>
        <v>Land of Spira</v>
      </c>
    </row>
    <row r="115">
      <c r="A115" s="1" t="str">
        <f>IFERROR(__xludf.DUMMYFUNCTION("""COMPUTED_VALUE"""),"Krakens Power Ring")</f>
        <v>Krakens Power Ring</v>
      </c>
      <c r="B115" s="1"/>
      <c r="C115" s="1"/>
      <c r="D115" s="1" t="str">
        <f>IFERROR(__xludf.DUMMYFUNCTION("""COMPUTED_VALUE"""),"Ring")</f>
        <v>Ring</v>
      </c>
      <c r="E115" s="1">
        <f>IFERROR(__xludf.DUMMYFUNCTION("""COMPUTED_VALUE"""),1.0)</f>
        <v>1</v>
      </c>
      <c r="F115" s="1" t="str">
        <f>IFERROR(__xludf.DUMMYFUNCTION("""COMPUTED_VALUE""")," ++water based attacks deal x2 damage, ++sp is halved for water spells only. +-(one use per battle)")</f>
        <v> ++water based attacks deal x2 damage, ++sp is halved for water spells only. +-(one use per battle)</v>
      </c>
      <c r="G115" s="1">
        <f>IFERROR(__xludf.DUMMYFUNCTION("""COMPUTED_VALUE"""),0.0)</f>
        <v>0</v>
      </c>
      <c r="H115" s="1" t="b">
        <f>IFERROR(__xludf.DUMMYFUNCTION("""COMPUTED_VALUE"""),FALSE)</f>
        <v>0</v>
      </c>
      <c r="I115" s="1" t="str">
        <f>IFERROR(__xludf.DUMMYFUNCTION("""COMPUTED_VALUE"""),"Land of Spira")</f>
        <v>Land of Spira</v>
      </c>
    </row>
    <row r="116">
      <c r="A116" s="1" t="str">
        <f>IFERROR(__xludf.DUMMYFUNCTION("""COMPUTED_VALUE"""),"Lava Longsword")</f>
        <v>Lava Longsword</v>
      </c>
      <c r="B116" s="1"/>
      <c r="C116" s="1" t="str">
        <f>IFERROR(__xludf.DUMMYFUNCTION("""COMPUTED_VALUE"""),"Sword")</f>
        <v>Sword</v>
      </c>
      <c r="D116" s="1" t="str">
        <f>IFERROR(__xludf.DUMMYFUNCTION("""COMPUTED_VALUE"""),"Hand")</f>
        <v>Hand</v>
      </c>
      <c r="E116" s="1">
        <f>IFERROR(__xludf.DUMMYFUNCTION("""COMPUTED_VALUE"""),800.0)</f>
        <v>800</v>
      </c>
      <c r="F116" s="1" t="str">
        <f>IFERROR(__xludf.DUMMYFUNCTION("""COMPUTED_VALUE"""),"DMG: +20000, Fire DMG: +20000 ++Burn 10,000 for 3 rounds.")</f>
        <v>DMG: +20000, Fire DMG: +20000 ++Burn 10,000 for 3 rounds.</v>
      </c>
      <c r="G116" s="1">
        <f>IFERROR(__xludf.DUMMYFUNCTION("""COMPUTED_VALUE"""),3.16E7)</f>
        <v>31600000</v>
      </c>
      <c r="H116" s="1" t="b">
        <f>IFERROR(__xludf.DUMMYFUNCTION("""COMPUTED_VALUE"""),FALSE)</f>
        <v>0</v>
      </c>
      <c r="I116" s="1" t="str">
        <f>IFERROR(__xludf.DUMMYFUNCTION("""COMPUTED_VALUE"""),"Land of Spira")</f>
        <v>Land of Spira</v>
      </c>
    </row>
    <row r="117">
      <c r="A117" s="1" t="str">
        <f>IFERROR(__xludf.DUMMYFUNCTION("""COMPUTED_VALUE"""),"Lazer Infused Sword")</f>
        <v>Lazer Infused Sword</v>
      </c>
      <c r="B117" s="1"/>
      <c r="C117" s="1" t="str">
        <f>IFERROR(__xludf.DUMMYFUNCTION("""COMPUTED_VALUE"""),"Sword")</f>
        <v>Sword</v>
      </c>
      <c r="D117" s="1" t="str">
        <f>IFERROR(__xludf.DUMMYFUNCTION("""COMPUTED_VALUE"""),"Hand")</f>
        <v>Hand</v>
      </c>
      <c r="E117" s="1">
        <f>IFERROR(__xludf.DUMMYFUNCTION("""COMPUTED_VALUE"""),600.0)</f>
        <v>600</v>
      </c>
      <c r="F117" s="1" t="str">
        <f>IFERROR(__xludf.DUMMYFUNCTION("""COMPUTED_VALUE"""),"DMG: +10000, Fire DMG: +10000, Blood DMG: +10000 ++Ignores Defense. +-Cannot be duplicated.")</f>
        <v>DMG: +10000, Fire DMG: +10000, Blood DMG: +10000 ++Ignores Defense. +-Cannot be duplicated.</v>
      </c>
      <c r="G117" s="1">
        <f>IFERROR(__xludf.DUMMYFUNCTION("""COMPUTED_VALUE"""),1.77E7)</f>
        <v>17700000</v>
      </c>
      <c r="H117" s="1" t="b">
        <f>IFERROR(__xludf.DUMMYFUNCTION("""COMPUTED_VALUE"""),FALSE)</f>
        <v>0</v>
      </c>
      <c r="I117" s="1" t="str">
        <f>IFERROR(__xludf.DUMMYFUNCTION("""COMPUTED_VALUE"""),"Land of Spira")</f>
        <v>Land of Spira</v>
      </c>
    </row>
    <row r="118">
      <c r="A118" s="1" t="str">
        <f>IFERROR(__xludf.DUMMYFUNCTION("""COMPUTED_VALUE"""),"Leggings Of Tritonoch")</f>
        <v>Leggings Of Tritonoch</v>
      </c>
      <c r="B118" s="1"/>
      <c r="C118" s="1"/>
      <c r="D118" s="1" t="str">
        <f>IFERROR(__xludf.DUMMYFUNCTION("""COMPUTED_VALUE"""),"Legs")</f>
        <v>Legs</v>
      </c>
      <c r="E118" s="1">
        <f>IFERROR(__xludf.DUMMYFUNCTION("""COMPUTED_VALUE"""),400.0)</f>
        <v>400</v>
      </c>
      <c r="F118" s="1" t="str">
        <f>IFERROR(__xludf.DUMMYFUNCTION("""COMPUTED_VALUE"""),"DEF: +20000 ++Waves of Entitlement - x5 additional Water damage")</f>
        <v>DEF: +20000 ++Waves of Entitlement - x5 additional Water damage</v>
      </c>
      <c r="G118" s="1">
        <f>IFERROR(__xludf.DUMMYFUNCTION("""COMPUTED_VALUE"""),7800000.0)</f>
        <v>7800000</v>
      </c>
      <c r="H118" s="1" t="b">
        <f>IFERROR(__xludf.DUMMYFUNCTION("""COMPUTED_VALUE"""),FALSE)</f>
        <v>0</v>
      </c>
      <c r="I118" s="1" t="str">
        <f>IFERROR(__xludf.DUMMYFUNCTION("""COMPUTED_VALUE"""),"Land of Spira")</f>
        <v>Land of Spira</v>
      </c>
    </row>
    <row r="119">
      <c r="A119" s="1" t="str">
        <f>IFERROR(__xludf.DUMMYFUNCTION("""COMPUTED_VALUE"""),"Lightning Lance")</f>
        <v>Lightning Lance</v>
      </c>
      <c r="B119" s="1"/>
      <c r="C119" s="1" t="str">
        <f>IFERROR(__xludf.DUMMYFUNCTION("""COMPUTED_VALUE"""),"Spear")</f>
        <v>Spear</v>
      </c>
      <c r="D119" s="1" t="str">
        <f>IFERROR(__xludf.DUMMYFUNCTION("""COMPUTED_VALUE"""),"Hand")</f>
        <v>Hand</v>
      </c>
      <c r="E119" s="1">
        <f>IFERROR(__xludf.DUMMYFUNCTION("""COMPUTED_VALUE"""),500.0)</f>
        <v>500</v>
      </c>
      <c r="F119" s="1" t="str">
        <f>IFERROR(__xludf.DUMMYFUNCTION("""COMPUTED_VALUE"""),"DMG: +10000, Storm DMG: +15000 ++Stun 2")</f>
        <v>DMG: +10000, Storm DMG: +15000 ++Stun 2</v>
      </c>
      <c r="G119" s="1">
        <f>IFERROR(__xludf.DUMMYFUNCTION("""COMPUTED_VALUE"""),1.225E7)</f>
        <v>12250000</v>
      </c>
      <c r="H119" s="1" t="b">
        <f>IFERROR(__xludf.DUMMYFUNCTION("""COMPUTED_VALUE"""),FALSE)</f>
        <v>0</v>
      </c>
      <c r="I119" s="1" t="str">
        <f>IFERROR(__xludf.DUMMYFUNCTION("""COMPUTED_VALUE"""),"Land of Spira")</f>
        <v>Land of Spira</v>
      </c>
    </row>
    <row r="120">
      <c r="A120" s="1" t="str">
        <f>IFERROR(__xludf.DUMMYFUNCTION("""COMPUTED_VALUE"""),"Long Spear")</f>
        <v>Long Spear</v>
      </c>
      <c r="B120" s="1"/>
      <c r="C120" s="1" t="str">
        <f>IFERROR(__xludf.DUMMYFUNCTION("""COMPUTED_VALUE"""),"Spear")</f>
        <v>Spear</v>
      </c>
      <c r="D120" s="1" t="str">
        <f>IFERROR(__xludf.DUMMYFUNCTION("""COMPUTED_VALUE"""),"Hand")</f>
        <v>Hand</v>
      </c>
      <c r="E120" s="1">
        <f>IFERROR(__xludf.DUMMYFUNCTION("""COMPUTED_VALUE"""),10.0)</f>
        <v>10</v>
      </c>
      <c r="F120" s="1" t="str">
        <f>IFERROR(__xludf.DUMMYFUNCTION("""COMPUTED_VALUE"""),"DMG: +500 ++25% chance of instant death. ")</f>
        <v>DMG: +500 ++25% chance of instant death. </v>
      </c>
      <c r="G120" s="1">
        <f>IFERROR(__xludf.DUMMYFUNCTION("""COMPUTED_VALUE"""),1000.0)</f>
        <v>1000</v>
      </c>
      <c r="H120" s="1" t="b">
        <f>IFERROR(__xludf.DUMMYFUNCTION("""COMPUTED_VALUE"""),FALSE)</f>
        <v>0</v>
      </c>
      <c r="I120" s="1" t="str">
        <f>IFERROR(__xludf.DUMMYFUNCTION("""COMPUTED_VALUE"""),"Land of Spira")</f>
        <v>Land of Spira</v>
      </c>
    </row>
    <row r="121">
      <c r="A121" s="1" t="str">
        <f>IFERROR(__xludf.DUMMYFUNCTION("""COMPUTED_VALUE"""),"Magma Morningstar")</f>
        <v>Magma Morningstar</v>
      </c>
      <c r="B121" s="1"/>
      <c r="C121" s="1" t="str">
        <f>IFERROR(__xludf.DUMMYFUNCTION("""COMPUTED_VALUE"""),"Club")</f>
        <v>Club</v>
      </c>
      <c r="D121" s="1" t="str">
        <f>IFERROR(__xludf.DUMMYFUNCTION("""COMPUTED_VALUE"""),"Hand")</f>
        <v>Hand</v>
      </c>
      <c r="E121" s="1">
        <f>IFERROR(__xludf.DUMMYFUNCTION("""COMPUTED_VALUE"""),20.0)</f>
        <v>20</v>
      </c>
      <c r="F121" s="1" t="str">
        <f>IFERROR(__xludf.DUMMYFUNCTION("""COMPUTED_VALUE"""),"DMG: +500, Fire DMG: +400 ++Will return to you each round when thrown")</f>
        <v>DMG: +500, Fire DMG: +400 ++Will return to you each round when thrown</v>
      </c>
      <c r="G121" s="1">
        <f>IFERROR(__xludf.DUMMYFUNCTION("""COMPUTED_VALUE"""),1000.0)</f>
        <v>1000</v>
      </c>
      <c r="H121" s="1" t="b">
        <f>IFERROR(__xludf.DUMMYFUNCTION("""COMPUTED_VALUE"""),FALSE)</f>
        <v>0</v>
      </c>
      <c r="I121" s="1" t="str">
        <f>IFERROR(__xludf.DUMMYFUNCTION("""COMPUTED_VALUE"""),"Land of Spira")</f>
        <v>Land of Spira</v>
      </c>
    </row>
    <row r="122">
      <c r="A122" s="1" t="str">
        <f>IFERROR(__xludf.DUMMYFUNCTION("""COMPUTED_VALUE"""),"Masking Cloak")</f>
        <v>Masking Cloak</v>
      </c>
      <c r="B122" s="1"/>
      <c r="C122" s="1"/>
      <c r="D122" s="1" t="str">
        <f>IFERROR(__xludf.DUMMYFUNCTION("""COMPUTED_VALUE"""),"Torso")</f>
        <v>Torso</v>
      </c>
      <c r="E122" s="1">
        <f>IFERROR(__xludf.DUMMYFUNCTION("""COMPUTED_VALUE"""),1.0)</f>
        <v>1</v>
      </c>
      <c r="F122" s="1" t="str">
        <f>IFERROR(__xludf.DUMMYFUNCTION("""COMPUTED_VALUE""")," ++5 Evasion +-(Cannot be duplicated)")</f>
        <v> ++5 Evasion +-(Cannot be duplicated)</v>
      </c>
      <c r="G122" s="1">
        <f>IFERROR(__xludf.DUMMYFUNCTION("""COMPUTED_VALUE"""),0.0)</f>
        <v>0</v>
      </c>
      <c r="H122" s="1" t="b">
        <f>IFERROR(__xludf.DUMMYFUNCTION("""COMPUTED_VALUE"""),FALSE)</f>
        <v>0</v>
      </c>
      <c r="I122" s="1" t="str">
        <f>IFERROR(__xludf.DUMMYFUNCTION("""COMPUTED_VALUE"""),"Land of Spira")</f>
        <v>Land of Spira</v>
      </c>
    </row>
    <row r="123">
      <c r="A123" s="1" t="str">
        <f>IFERROR(__xludf.DUMMYFUNCTION("""COMPUTED_VALUE"""),"Mini Lucky Fish in a Bottle")</f>
        <v>Mini Lucky Fish in a Bottle</v>
      </c>
      <c r="B123" s="1"/>
      <c r="C123" s="1" t="str">
        <f>IFERROR(__xludf.DUMMYFUNCTION("""COMPUTED_VALUE"""),"Wand")</f>
        <v>Wand</v>
      </c>
      <c r="D123" s="1" t="str">
        <f>IFERROR(__xludf.DUMMYFUNCTION("""COMPUTED_VALUE"""),"Hand")</f>
        <v>Hand</v>
      </c>
      <c r="E123" s="1">
        <f>IFERROR(__xludf.DUMMYFUNCTION("""COMPUTED_VALUE"""),1.0)</f>
        <v>1</v>
      </c>
      <c r="F123" s="1" t="str">
        <f>IFERROR(__xludf.DUMMYFUNCTION("""COMPUTED_VALUE""")," ++Percentage rolls are now increased by 10% for caster that holds this item. +-Can only equip one")</f>
        <v> ++Percentage rolls are now increased by 10% for caster that holds this item. +-Can only equip one</v>
      </c>
      <c r="G123" s="1">
        <f>IFERROR(__xludf.DUMMYFUNCTION("""COMPUTED_VALUE"""),0.0)</f>
        <v>0</v>
      </c>
      <c r="H123" s="1" t="b">
        <f>IFERROR(__xludf.DUMMYFUNCTION("""COMPUTED_VALUE"""),FALSE)</f>
        <v>0</v>
      </c>
      <c r="I123" s="1" t="str">
        <f>IFERROR(__xludf.DUMMYFUNCTION("""COMPUTED_VALUE"""),"Land of Spira")</f>
        <v>Land of Spira</v>
      </c>
    </row>
    <row r="124">
      <c r="A124" s="1" t="str">
        <f>IFERROR(__xludf.DUMMYFUNCTION("""COMPUTED_VALUE"""),"Nature Faery Wand")</f>
        <v>Nature Faery Wand</v>
      </c>
      <c r="B124" s="1"/>
      <c r="C124" s="1" t="str">
        <f>IFERROR(__xludf.DUMMYFUNCTION("""COMPUTED_VALUE"""),"Wand")</f>
        <v>Wand</v>
      </c>
      <c r="D124" s="1" t="str">
        <f>IFERROR(__xludf.DUMMYFUNCTION("""COMPUTED_VALUE"""),"Hand")</f>
        <v>Hand</v>
      </c>
      <c r="E124" s="1">
        <f>IFERROR(__xludf.DUMMYFUNCTION("""COMPUTED_VALUE"""),1.0)</f>
        <v>1</v>
      </c>
      <c r="F124" s="1" t="str">
        <f>IFERROR(__xludf.DUMMYFUNCTION("""COMPUTED_VALUE""")," ++half the sp cost of nature spells")</f>
        <v> ++half the sp cost of nature spells</v>
      </c>
      <c r="G124" s="1">
        <f>IFERROR(__xludf.DUMMYFUNCTION("""COMPUTED_VALUE"""),0.0)</f>
        <v>0</v>
      </c>
      <c r="H124" s="1" t="b">
        <f>IFERROR(__xludf.DUMMYFUNCTION("""COMPUTED_VALUE"""),FALSE)</f>
        <v>0</v>
      </c>
      <c r="I124" s="1" t="str">
        <f>IFERROR(__xludf.DUMMYFUNCTION("""COMPUTED_VALUE"""),"Land of Spira")</f>
        <v>Land of Spira</v>
      </c>
    </row>
    <row r="125">
      <c r="A125" s="1" t="str">
        <f>IFERROR(__xludf.DUMMYFUNCTION("""COMPUTED_VALUE"""),"Nature's Sword")</f>
        <v>Nature's Sword</v>
      </c>
      <c r="B125" s="1"/>
      <c r="C125" s="1" t="str">
        <f>IFERROR(__xludf.DUMMYFUNCTION("""COMPUTED_VALUE"""),"Sword")</f>
        <v>Sword</v>
      </c>
      <c r="D125" s="1" t="str">
        <f>IFERROR(__xludf.DUMMYFUNCTION("""COMPUTED_VALUE"""),"Hand")</f>
        <v>Hand</v>
      </c>
      <c r="E125" s="1">
        <f>IFERROR(__xludf.DUMMYFUNCTION("""COMPUTED_VALUE"""),40.0)</f>
        <v>40</v>
      </c>
      <c r="F125" s="1" t="str">
        <f>IFERROR(__xludf.DUMMYFUNCTION("""COMPUTED_VALUE"""),"DMG: +800, Nature DMG: +800 ++Upon a successful hit, the next turn you will automatically use the spell Tree Stance.")</f>
        <v>DMG: +800, Nature DMG: +800 ++Upon a successful hit, the next turn you will automatically use the spell Tree Stance.</v>
      </c>
      <c r="G125" s="1">
        <f>IFERROR(__xludf.DUMMYFUNCTION("""COMPUTED_VALUE"""),30000.0)</f>
        <v>30000</v>
      </c>
      <c r="H125" s="1" t="b">
        <f>IFERROR(__xludf.DUMMYFUNCTION("""COMPUTED_VALUE"""),FALSE)</f>
        <v>0</v>
      </c>
      <c r="I125" s="1" t="str">
        <f>IFERROR(__xludf.DUMMYFUNCTION("""COMPUTED_VALUE"""),"Land of Spira")</f>
        <v>Land of Spira</v>
      </c>
    </row>
    <row r="126">
      <c r="A126" s="1" t="str">
        <f>IFERROR(__xludf.DUMMYFUNCTION("""COMPUTED_VALUE"""),"Necklace o' Lending")</f>
        <v>Necklace o' Lending</v>
      </c>
      <c r="B126" s="1"/>
      <c r="C126" s="1"/>
      <c r="D126" s="1" t="str">
        <f>IFERROR(__xludf.DUMMYFUNCTION("""COMPUTED_VALUE"""),"Neck")</f>
        <v>Neck</v>
      </c>
      <c r="E126" s="1">
        <f>IFERROR(__xludf.DUMMYFUNCTION("""COMPUTED_VALUE"""),1.0)</f>
        <v>1</v>
      </c>
      <c r="F126" s="1" t="str">
        <f>IFERROR(__xludf.DUMMYFUNCTION("""COMPUTED_VALUE""")," ++Decrease XHP and XSP from your character sheet and add that amount to another target.")</f>
        <v> ++Decrease XHP and XSP from your character sheet and add that amount to another target.</v>
      </c>
      <c r="G126" s="1">
        <f>IFERROR(__xludf.DUMMYFUNCTION("""COMPUTED_VALUE"""),0.0)</f>
        <v>0</v>
      </c>
      <c r="H126" s="1" t="b">
        <f>IFERROR(__xludf.DUMMYFUNCTION("""COMPUTED_VALUE"""),FALSE)</f>
        <v>0</v>
      </c>
      <c r="I126" s="1" t="str">
        <f>IFERROR(__xludf.DUMMYFUNCTION("""COMPUTED_VALUE"""),"Land of Spira")</f>
        <v>Land of Spira</v>
      </c>
    </row>
    <row r="127">
      <c r="A127" s="1" t="str">
        <f>IFERROR(__xludf.DUMMYFUNCTION("""COMPUTED_VALUE"""),"Necklace Of Heatmore")</f>
        <v>Necklace Of Heatmore</v>
      </c>
      <c r="B127" s="1"/>
      <c r="C127" s="1"/>
      <c r="D127" s="1" t="str">
        <f>IFERROR(__xludf.DUMMYFUNCTION("""COMPUTED_VALUE"""),"Neck")</f>
        <v>Neck</v>
      </c>
      <c r="E127" s="1">
        <f>IFERROR(__xludf.DUMMYFUNCTION("""COMPUTED_VALUE"""),1.0)</f>
        <v>1</v>
      </c>
      <c r="F127" s="1" t="str">
        <f>IFERROR(__xludf.DUMMYFUNCTION("""COMPUTED_VALUE""")," ++ +2 is added to your d20 roll.")</f>
        <v> ++ +2 is added to your d20 roll.</v>
      </c>
      <c r="G127" s="1">
        <f>IFERROR(__xludf.DUMMYFUNCTION("""COMPUTED_VALUE"""),0.0)</f>
        <v>0</v>
      </c>
      <c r="H127" s="1" t="b">
        <f>IFERROR(__xludf.DUMMYFUNCTION("""COMPUTED_VALUE"""),FALSE)</f>
        <v>0</v>
      </c>
      <c r="I127" s="1" t="str">
        <f>IFERROR(__xludf.DUMMYFUNCTION("""COMPUTED_VALUE"""),"Land of Spira")</f>
        <v>Land of Spira</v>
      </c>
    </row>
    <row r="128">
      <c r="A128" s="1" t="str">
        <f>IFERROR(__xludf.DUMMYFUNCTION("""COMPUTED_VALUE"""),"Necklace of The Lost Soul")</f>
        <v>Necklace of The Lost Soul</v>
      </c>
      <c r="B128" s="1"/>
      <c r="C128" s="1"/>
      <c r="D128" s="1" t="str">
        <f>IFERROR(__xludf.DUMMYFUNCTION("""COMPUTED_VALUE"""),"Neck")</f>
        <v>Neck</v>
      </c>
      <c r="E128" s="1">
        <f>IFERROR(__xludf.DUMMYFUNCTION("""COMPUTED_VALUE"""),1.0)</f>
        <v>1</v>
      </c>
      <c r="F128" s="1" t="str">
        <f>IFERROR(__xludf.DUMMYFUNCTION("""COMPUTED_VALUE"""),"DEF: +100 ++X2 Spirit Damage, ++Soul Enhanced II - Each soul you put into this item will increase its base defense by 100 up to 200,000.")</f>
        <v>DEF: +100 ++X2 Spirit Damage, ++Soul Enhanced II - Each soul you put into this item will increase its base defense by 100 up to 200,000.</v>
      </c>
      <c r="G128" s="1">
        <f>IFERROR(__xludf.DUMMYFUNCTION("""COMPUTED_VALUE"""),0.0)</f>
        <v>0</v>
      </c>
      <c r="H128" s="1" t="b">
        <f>IFERROR(__xludf.DUMMYFUNCTION("""COMPUTED_VALUE"""),FALSE)</f>
        <v>0</v>
      </c>
      <c r="I128" s="1" t="str">
        <f>IFERROR(__xludf.DUMMYFUNCTION("""COMPUTED_VALUE"""),"Land of Spira")</f>
        <v>Land of Spira</v>
      </c>
    </row>
    <row r="129">
      <c r="A129" s="1" t="str">
        <f>IFERROR(__xludf.DUMMYFUNCTION("""COMPUTED_VALUE"""),"Necklace Of Tritonoch")</f>
        <v>Necklace Of Tritonoch</v>
      </c>
      <c r="B129" s="1"/>
      <c r="C129" s="1"/>
      <c r="D129" s="1" t="str">
        <f>IFERROR(__xludf.DUMMYFUNCTION("""COMPUTED_VALUE"""),"Neck")</f>
        <v>Neck</v>
      </c>
      <c r="E129" s="1">
        <f>IFERROR(__xludf.DUMMYFUNCTION("""COMPUTED_VALUE"""),1.0)</f>
        <v>1</v>
      </c>
      <c r="F129" s="1" t="str">
        <f>IFERROR(__xludf.DUMMYFUNCTION("""COMPUTED_VALUE""")," ++Any water attack dealt by the wearer has a 50% chance to freeze the targets it hits, ++Waves of Entitlement - x5 additional Water damage")</f>
        <v> ++Any water attack dealt by the wearer has a 50% chance to freeze the targets it hits, ++Waves of Entitlement - x5 additional Water damage</v>
      </c>
      <c r="G129" s="1">
        <f>IFERROR(__xludf.DUMMYFUNCTION("""COMPUTED_VALUE"""),0.0)</f>
        <v>0</v>
      </c>
      <c r="H129" s="1" t="b">
        <f>IFERROR(__xludf.DUMMYFUNCTION("""COMPUTED_VALUE"""),FALSE)</f>
        <v>0</v>
      </c>
      <c r="I129" s="1" t="str">
        <f>IFERROR(__xludf.DUMMYFUNCTION("""COMPUTED_VALUE"""),"Land of Spira")</f>
        <v>Land of Spira</v>
      </c>
    </row>
    <row r="130">
      <c r="A130" s="1" t="str">
        <f>IFERROR(__xludf.DUMMYFUNCTION("""COMPUTED_VALUE"""),"Necklace of Waking Waters")</f>
        <v>Necklace of Waking Waters</v>
      </c>
      <c r="B130" s="1"/>
      <c r="C130" s="1"/>
      <c r="D130" s="1" t="str">
        <f>IFERROR(__xludf.DUMMYFUNCTION("""COMPUTED_VALUE"""),"Neck")</f>
        <v>Neck</v>
      </c>
      <c r="E130" s="1">
        <f>IFERROR(__xludf.DUMMYFUNCTION("""COMPUTED_VALUE"""),1.0)</f>
        <v>1</v>
      </c>
      <c r="F130" s="1" t="str">
        <f>IFERROR(__xludf.DUMMYFUNCTION("""COMPUTED_VALUE""")," ++Immunity to sleep. ++X4 Water damage.")</f>
        <v> ++Immunity to sleep. ++X4 Water damage.</v>
      </c>
      <c r="G130" s="1">
        <f>IFERROR(__xludf.DUMMYFUNCTION("""COMPUTED_VALUE"""),0.0)</f>
        <v>0</v>
      </c>
      <c r="H130" s="1" t="b">
        <f>IFERROR(__xludf.DUMMYFUNCTION("""COMPUTED_VALUE"""),FALSE)</f>
        <v>0</v>
      </c>
      <c r="I130" s="1" t="str">
        <f>IFERROR(__xludf.DUMMYFUNCTION("""COMPUTED_VALUE"""),"Land of Spira")</f>
        <v>Land of Spira</v>
      </c>
    </row>
    <row r="131">
      <c r="A131" s="1" t="str">
        <f>IFERROR(__xludf.DUMMYFUNCTION("""COMPUTED_VALUE"""),"Necklace of Water Breathing")</f>
        <v>Necklace of Water Breathing</v>
      </c>
      <c r="B131" s="1"/>
      <c r="C131" s="1"/>
      <c r="D131" s="1" t="str">
        <f>IFERROR(__xludf.DUMMYFUNCTION("""COMPUTED_VALUE"""),"Neck")</f>
        <v>Neck</v>
      </c>
      <c r="E131" s="1">
        <f>IFERROR(__xludf.DUMMYFUNCTION("""COMPUTED_VALUE"""),1.0)</f>
        <v>1</v>
      </c>
      <c r="F131" s="1" t="str">
        <f>IFERROR(__xludf.DUMMYFUNCTION("""COMPUTED_VALUE""")," ++Allows you to breath underwater.")</f>
        <v> ++Allows you to breath underwater.</v>
      </c>
      <c r="G131" s="1">
        <f>IFERROR(__xludf.DUMMYFUNCTION("""COMPUTED_VALUE"""),0.0)</f>
        <v>0</v>
      </c>
      <c r="H131" s="1" t="b">
        <f>IFERROR(__xludf.DUMMYFUNCTION("""COMPUTED_VALUE"""),FALSE)</f>
        <v>0</v>
      </c>
      <c r="I131" s="1" t="str">
        <f>IFERROR(__xludf.DUMMYFUNCTION("""COMPUTED_VALUE"""),"Land of Spira")</f>
        <v>Land of Spira</v>
      </c>
    </row>
    <row r="132">
      <c r="A132" s="1" t="str">
        <f>IFERROR(__xludf.DUMMYFUNCTION("""COMPUTED_VALUE"""),"Obsidian Chestplate")</f>
        <v>Obsidian Chestplate</v>
      </c>
      <c r="B132" s="1" t="str">
        <f>IFERROR(__xludf.DUMMYFUNCTION("""COMPUTED_VALUE"""),"Quest Item")</f>
        <v>Quest Item</v>
      </c>
      <c r="C132" s="1"/>
      <c r="D132" s="1" t="str">
        <f>IFERROR(__xludf.DUMMYFUNCTION("""COMPUTED_VALUE"""),"Torso")</f>
        <v>Torso</v>
      </c>
      <c r="E132" s="1">
        <f>IFERROR(__xludf.DUMMYFUNCTION("""COMPUTED_VALUE"""),4000.0)</f>
        <v>4000</v>
      </c>
      <c r="F132" s="1" t="str">
        <f>IFERROR(__xludf.DUMMYFUNCTION("""COMPUTED_VALUE"""),"DEF: +100000, Fire DEF: +100000 ++Fire Immunity. +-Cannot be duplicated.")</f>
        <v>DEF: +100000, Fire DEF: +100000 ++Fire Immunity. +-Cannot be duplicated.</v>
      </c>
      <c r="G132" s="1">
        <f>IFERROR(__xludf.DUMMYFUNCTION("""COMPUTED_VALUE"""),7.98E8)</f>
        <v>798000000</v>
      </c>
      <c r="H132" s="1" t="b">
        <f>IFERROR(__xludf.DUMMYFUNCTION("""COMPUTED_VALUE"""),FALSE)</f>
        <v>0</v>
      </c>
      <c r="I132" s="1" t="str">
        <f>IFERROR(__xludf.DUMMYFUNCTION("""COMPUTED_VALUE"""),"Land of Spira")</f>
        <v>Land of Spira</v>
      </c>
    </row>
    <row r="133">
      <c r="A133" s="1" t="str">
        <f>IFERROR(__xludf.DUMMYFUNCTION("""COMPUTED_VALUE"""),"Ancient Oni Mask")</f>
        <v>Ancient Oni Mask</v>
      </c>
      <c r="B133" s="1" t="str">
        <f>IFERROR(__xludf.DUMMYFUNCTION("""COMPUTED_VALUE"""),"An ancient relic to Zhenmay")</f>
        <v>An ancient relic to Zhenmay</v>
      </c>
      <c r="C133" s="1"/>
      <c r="D133" s="1" t="str">
        <f>IFERROR(__xludf.DUMMYFUNCTION("""COMPUTED_VALUE"""),"Head")</f>
        <v>Head</v>
      </c>
      <c r="E133" s="1">
        <f>IFERROR(__xludf.DUMMYFUNCTION("""COMPUTED_VALUE"""),200.0)</f>
        <v>200</v>
      </c>
      <c r="F133"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133" s="1">
        <f>IFERROR(__xludf.DUMMYFUNCTION("""COMPUTED_VALUE"""),5.104E8)</f>
        <v>510400000</v>
      </c>
      <c r="H133" s="1" t="b">
        <f>IFERROR(__xludf.DUMMYFUNCTION("""COMPUTED_VALUE"""),FALSE)</f>
        <v>0</v>
      </c>
      <c r="I133" s="1" t="str">
        <f>IFERROR(__xludf.DUMMYFUNCTION("""COMPUTED_VALUE"""),"Land of Spira")</f>
        <v>Land of Spira</v>
      </c>
    </row>
    <row r="134">
      <c r="A134" s="1" t="str">
        <f>IFERROR(__xludf.DUMMYFUNCTION("""COMPUTED_VALUE"""),"Pauldrons of Waking Waters")</f>
        <v>Pauldrons of Waking Waters</v>
      </c>
      <c r="B134" s="1"/>
      <c r="C134" s="1"/>
      <c r="D134" s="1" t="str">
        <f>IFERROR(__xludf.DUMMYFUNCTION("""COMPUTED_VALUE"""),"Shoulders")</f>
        <v>Shoulders</v>
      </c>
      <c r="E134" s="1">
        <f>IFERROR(__xludf.DUMMYFUNCTION("""COMPUTED_VALUE"""),200.0)</f>
        <v>200</v>
      </c>
      <c r="F134" s="1" t="str">
        <f>IFERROR(__xludf.DUMMYFUNCTION("""COMPUTED_VALUE"""),"DEF: +5000, Water DEF: +5000 ++X4 additional water damage for self.")</f>
        <v>DEF: +5000, Water DEF: +5000 ++X4 additional water damage for self.</v>
      </c>
      <c r="G134" s="1">
        <f>IFERROR(__xludf.DUMMYFUNCTION("""COMPUTED_VALUE"""),1900000.0)</f>
        <v>1900000</v>
      </c>
      <c r="H134" s="1" t="b">
        <f>IFERROR(__xludf.DUMMYFUNCTION("""COMPUTED_VALUE"""),FALSE)</f>
        <v>0</v>
      </c>
      <c r="I134" s="1" t="str">
        <f>IFERROR(__xludf.DUMMYFUNCTION("""COMPUTED_VALUE"""),"Land of Spira")</f>
        <v>Land of Spira</v>
      </c>
    </row>
    <row r="135">
      <c r="A135" s="1" t="str">
        <f>IFERROR(__xludf.DUMMYFUNCTION("""COMPUTED_VALUE"""),"Pendent of the Sea Serpent")</f>
        <v>Pendent of the Sea Serpent</v>
      </c>
      <c r="B135" s="1"/>
      <c r="C135" s="1"/>
      <c r="D135" s="1" t="str">
        <f>IFERROR(__xludf.DUMMYFUNCTION("""COMPUTED_VALUE"""),"Neck")</f>
        <v>Neck</v>
      </c>
      <c r="E135" s="1">
        <f>IFERROR(__xludf.DUMMYFUNCTION("""COMPUTED_VALUE"""),1.0)</f>
        <v>1</v>
      </c>
      <c r="F135" s="1" t="str">
        <f>IFERROR(__xludf.DUMMYFUNCTION("""COMPUTED_VALUE""")," ++X2 Water Resistance.")</f>
        <v> ++X2 Water Resistance.</v>
      </c>
      <c r="G135" s="1">
        <f>IFERROR(__xludf.DUMMYFUNCTION("""COMPUTED_VALUE"""),0.0)</f>
        <v>0</v>
      </c>
      <c r="H135" s="1" t="b">
        <f>IFERROR(__xludf.DUMMYFUNCTION("""COMPUTED_VALUE"""),FALSE)</f>
        <v>0</v>
      </c>
      <c r="I135" s="1" t="str">
        <f>IFERROR(__xludf.DUMMYFUNCTION("""COMPUTED_VALUE"""),"Land of Spira")</f>
        <v>Land of Spira</v>
      </c>
    </row>
    <row r="136">
      <c r="A136" s="1" t="str">
        <f>IFERROR(__xludf.DUMMYFUNCTION("""COMPUTED_VALUE"""),"Pendent of Confusion")</f>
        <v>Pendent of Confusion</v>
      </c>
      <c r="B136" s="1"/>
      <c r="C136" s="1"/>
      <c r="D136" s="1" t="str">
        <f>IFERROR(__xludf.DUMMYFUNCTION("""COMPUTED_VALUE"""),"Neck")</f>
        <v>Neck</v>
      </c>
      <c r="E136" s="1">
        <f>IFERROR(__xludf.DUMMYFUNCTION("""COMPUTED_VALUE"""),1.0)</f>
        <v>1</v>
      </c>
      <c r="F136" s="1" t="str">
        <f>IFERROR(__xludf.DUMMYFUNCTION("""COMPUTED_VALUE""")," ++At the beginning of battle choose a target and choose two numbers between 1-40 whenever the target rolls the numbers you chose while they are attacking they attack themself (1 use per battle)")</f>
        <v> ++At the beginning of battle choose a target and choose two numbers between 1-40 whenever the target rolls the numbers you chose while they are attacking they attack themself (1 use per battle)</v>
      </c>
      <c r="G136" s="1">
        <f>IFERROR(__xludf.DUMMYFUNCTION("""COMPUTED_VALUE"""),0.0)</f>
        <v>0</v>
      </c>
      <c r="H136" s="1" t="b">
        <f>IFERROR(__xludf.DUMMYFUNCTION("""COMPUTED_VALUE"""),FALSE)</f>
        <v>0</v>
      </c>
      <c r="I136" s="1" t="str">
        <f>IFERROR(__xludf.DUMMYFUNCTION("""COMPUTED_VALUE"""),"Land of Spira")</f>
        <v>Land of Spira</v>
      </c>
    </row>
    <row r="137">
      <c r="A137" s="1" t="str">
        <f>IFERROR(__xludf.DUMMYFUNCTION("""COMPUTED_VALUE"""),"Pendent of Luck")</f>
        <v>Pendent of Luck</v>
      </c>
      <c r="B137" s="1"/>
      <c r="C137" s="1"/>
      <c r="D137" s="1" t="str">
        <f>IFERROR(__xludf.DUMMYFUNCTION("""COMPUTED_VALUE"""),"Neck")</f>
        <v>Neck</v>
      </c>
      <c r="E137" s="1">
        <f>IFERROR(__xludf.DUMMYFUNCTION("""COMPUTED_VALUE"""),1.0)</f>
        <v>1</v>
      </c>
      <c r="F137" s="1" t="str">
        <f>IFERROR(__xludf.DUMMYFUNCTION("""COMPUTED_VALUE""")," ++Plus 100 to each base Stat.")</f>
        <v> ++Plus 100 to each base Stat.</v>
      </c>
      <c r="G137" s="1">
        <f>IFERROR(__xludf.DUMMYFUNCTION("""COMPUTED_VALUE"""),0.0)</f>
        <v>0</v>
      </c>
      <c r="H137" s="1" t="b">
        <f>IFERROR(__xludf.DUMMYFUNCTION("""COMPUTED_VALUE"""),FALSE)</f>
        <v>0</v>
      </c>
      <c r="I137" s="1" t="str">
        <f>IFERROR(__xludf.DUMMYFUNCTION("""COMPUTED_VALUE"""),"Land of Spira")</f>
        <v>Land of Spira</v>
      </c>
    </row>
    <row r="138">
      <c r="A138" s="1" t="str">
        <f>IFERROR(__xludf.DUMMYFUNCTION("""COMPUTED_VALUE"""),"Poison Vine Sword")</f>
        <v>Poison Vine Sword</v>
      </c>
      <c r="B138" s="1"/>
      <c r="C138" s="1" t="str">
        <f>IFERROR(__xludf.DUMMYFUNCTION("""COMPUTED_VALUE"""),"Sword")</f>
        <v>Sword</v>
      </c>
      <c r="D138" s="1" t="str">
        <f>IFERROR(__xludf.DUMMYFUNCTION("""COMPUTED_VALUE"""),"Hand")</f>
        <v>Hand</v>
      </c>
      <c r="E138" s="1">
        <f>IFERROR(__xludf.DUMMYFUNCTION("""COMPUTED_VALUE"""),2000.0)</f>
        <v>2000</v>
      </c>
      <c r="F138" s="1" t="str">
        <f>IFERROR(__xludf.DUMMYFUNCTION("""COMPUTED_VALUE"""),"DMG: +50000, Nature DMG: +50000 ++Poison 25,000")</f>
        <v>DMG: +50000, Nature DMG: +50000 ++Poison 25,000</v>
      </c>
      <c r="G138" s="1">
        <f>IFERROR(__xludf.DUMMYFUNCTION("""COMPUTED_VALUE"""),1.99E8)</f>
        <v>199000000</v>
      </c>
      <c r="H138" s="1" t="b">
        <f>IFERROR(__xludf.DUMMYFUNCTION("""COMPUTED_VALUE"""),FALSE)</f>
        <v>0</v>
      </c>
      <c r="I138" s="1" t="str">
        <f>IFERROR(__xludf.DUMMYFUNCTION("""COMPUTED_VALUE"""),"Land of Spira")</f>
        <v>Land of Spira</v>
      </c>
    </row>
    <row r="139">
      <c r="A139" s="1" t="str">
        <f>IFERROR(__xludf.DUMMYFUNCTION("""COMPUTED_VALUE"""),"Ring o’ Luck and Nature")</f>
        <v>Ring o’ Luck and Nature</v>
      </c>
      <c r="B139" s="1"/>
      <c r="C139" s="1"/>
      <c r="D139" s="1" t="str">
        <f>IFERROR(__xludf.DUMMYFUNCTION("""COMPUTED_VALUE"""),"Ring")</f>
        <v>Ring</v>
      </c>
      <c r="E139" s="1">
        <f>IFERROR(__xludf.DUMMYFUNCTION("""COMPUTED_VALUE"""),1.0)</f>
        <v>1</v>
      </c>
      <c r="F139" s="1" t="str">
        <f>IFERROR(__xludf.DUMMYFUNCTION("""COMPUTED_VALUE""")," ++Immunity to nature damage, ++increases the roll of a d20 by 2. +-Can only equip one")</f>
        <v> ++Immunity to nature damage, ++increases the roll of a d20 by 2. +-Can only equip one</v>
      </c>
      <c r="G139" s="1">
        <f>IFERROR(__xludf.DUMMYFUNCTION("""COMPUTED_VALUE"""),0.0)</f>
        <v>0</v>
      </c>
      <c r="H139" s="1" t="b">
        <f>IFERROR(__xludf.DUMMYFUNCTION("""COMPUTED_VALUE"""),FALSE)</f>
        <v>0</v>
      </c>
      <c r="I139" s="1" t="str">
        <f>IFERROR(__xludf.DUMMYFUNCTION("""COMPUTED_VALUE"""),"Land of Spira")</f>
        <v>Land of Spira</v>
      </c>
    </row>
    <row r="140">
      <c r="A140" s="1" t="str">
        <f>IFERROR(__xludf.DUMMYFUNCTION("""COMPUTED_VALUE"""),"Ring of Darkness")</f>
        <v>Ring of Darkness</v>
      </c>
      <c r="B140" s="1"/>
      <c r="C140" s="1"/>
      <c r="D140" s="1" t="str">
        <f>IFERROR(__xludf.DUMMYFUNCTION("""COMPUTED_VALUE"""),"Ring")</f>
        <v>Ring</v>
      </c>
      <c r="E140" s="1">
        <f>IFERROR(__xludf.DUMMYFUNCTION("""COMPUTED_VALUE"""),1.0)</f>
        <v>1</v>
      </c>
      <c r="F140" s="1" t="str">
        <f>IFERROR(__xludf.DUMMYFUNCTION("""COMPUTED_VALUE""")," ++Shadow Cloud - Cloaks you in a cloud darkness - causes all enemies to miss you with any attack, including cannot avoid attacks for the rest of the round, Fail/Succeed, -200 sp.")</f>
        <v> ++Shadow Cloud - Cloaks you in a cloud darkness - causes all enemies to miss you with any attack, including cannot avoid attacks for the rest of the round, Fail/Succeed, -200 sp.</v>
      </c>
      <c r="G140" s="1">
        <f>IFERROR(__xludf.DUMMYFUNCTION("""COMPUTED_VALUE"""),0.0)</f>
        <v>0</v>
      </c>
      <c r="H140" s="1" t="b">
        <f>IFERROR(__xludf.DUMMYFUNCTION("""COMPUTED_VALUE"""),FALSE)</f>
        <v>0</v>
      </c>
      <c r="I140" s="1" t="str">
        <f>IFERROR(__xludf.DUMMYFUNCTION("""COMPUTED_VALUE"""),"Land of Spira")</f>
        <v>Land of Spira</v>
      </c>
    </row>
    <row r="141">
      <c r="A141" s="1" t="str">
        <f>IFERROR(__xludf.DUMMYFUNCTION("""COMPUTED_VALUE"""),"Ring of Death")</f>
        <v>Ring of Death</v>
      </c>
      <c r="B141" s="1"/>
      <c r="C141" s="1"/>
      <c r="D141" s="1" t="str">
        <f>IFERROR(__xludf.DUMMYFUNCTION("""COMPUTED_VALUE"""),"Ring")</f>
        <v>Ring</v>
      </c>
      <c r="E141" s="1">
        <f>IFERROR(__xludf.DUMMYFUNCTION("""COMPUTED_VALUE"""),1.0)</f>
        <v>1</v>
      </c>
      <c r="F141" s="1" t="str">
        <f>IFERROR(__xludf.DUMMYFUNCTION("""COMPUTED_VALUE""")," ++Causes instant death with a fail/succeed roll.")</f>
        <v> ++Causes instant death with a fail/succeed roll.</v>
      </c>
      <c r="G141" s="1">
        <f>IFERROR(__xludf.DUMMYFUNCTION("""COMPUTED_VALUE"""),0.0)</f>
        <v>0</v>
      </c>
      <c r="H141" s="1" t="b">
        <f>IFERROR(__xludf.DUMMYFUNCTION("""COMPUTED_VALUE"""),FALSE)</f>
        <v>0</v>
      </c>
      <c r="I141" s="1" t="str">
        <f>IFERROR(__xludf.DUMMYFUNCTION("""COMPUTED_VALUE"""),"Land of Spira")</f>
        <v>Land of Spira</v>
      </c>
    </row>
    <row r="142">
      <c r="A142" s="1" t="str">
        <f>IFERROR(__xludf.DUMMYFUNCTION("""COMPUTED_VALUE"""),"Ring Of Dwelling Waters")</f>
        <v>Ring Of Dwelling Waters</v>
      </c>
      <c r="B142" s="1"/>
      <c r="C142" s="1"/>
      <c r="D142" s="1" t="str">
        <f>IFERROR(__xludf.DUMMYFUNCTION("""COMPUTED_VALUE"""),"Ring")</f>
        <v>Ring</v>
      </c>
      <c r="E142" s="1">
        <f>IFERROR(__xludf.DUMMYFUNCTION("""COMPUTED_VALUE"""),1.0)</f>
        <v>1</v>
      </c>
      <c r="F142" s="1" t="str">
        <f>IFERROR(__xludf.DUMMYFUNCTION("""COMPUTED_VALUE"""),", Fire : +  ++X2 Water and Dark damage.")</f>
        <v>, Fire : +  ++X2 Water and Dark damage.</v>
      </c>
      <c r="G142" s="1">
        <f>IFERROR(__xludf.DUMMYFUNCTION("""COMPUTED_VALUE"""),0.0)</f>
        <v>0</v>
      </c>
      <c r="H142" s="1" t="b">
        <f>IFERROR(__xludf.DUMMYFUNCTION("""COMPUTED_VALUE"""),FALSE)</f>
        <v>0</v>
      </c>
      <c r="I142" s="1" t="str">
        <f>IFERROR(__xludf.DUMMYFUNCTION("""COMPUTED_VALUE"""),"Land of Spira")</f>
        <v>Land of Spira</v>
      </c>
    </row>
    <row r="143">
      <c r="A143" s="1" t="str">
        <f>IFERROR(__xludf.DUMMYFUNCTION("""COMPUTED_VALUE"""),"Ring of Healing")</f>
        <v>Ring of Healing</v>
      </c>
      <c r="B143" s="1"/>
      <c r="C143" s="1"/>
      <c r="D143" s="1" t="str">
        <f>IFERROR(__xludf.DUMMYFUNCTION("""COMPUTED_VALUE"""),"Ring")</f>
        <v>Ring</v>
      </c>
      <c r="E143" s="1">
        <f>IFERROR(__xludf.DUMMYFUNCTION("""COMPUTED_VALUE"""),1.0)</f>
        <v>1</v>
      </c>
      <c r="F143" s="1" t="str">
        <f>IFERROR(__xludf.DUMMYFUNCTION("""COMPUTED_VALUE""")," ++500 hp per round.")</f>
        <v> ++500 hp per round.</v>
      </c>
      <c r="G143" s="1">
        <f>IFERROR(__xludf.DUMMYFUNCTION("""COMPUTED_VALUE"""),0.0)</f>
        <v>0</v>
      </c>
      <c r="H143" s="1" t="b">
        <f>IFERROR(__xludf.DUMMYFUNCTION("""COMPUTED_VALUE"""),FALSE)</f>
        <v>0</v>
      </c>
      <c r="I143" s="1" t="str">
        <f>IFERROR(__xludf.DUMMYFUNCTION("""COMPUTED_VALUE"""),"Land of Spira")</f>
        <v>Land of Spira</v>
      </c>
    </row>
    <row r="144">
      <c r="A144" s="1" t="str">
        <f>IFERROR(__xludf.DUMMYFUNCTION("""COMPUTED_VALUE"""),"Ring of Pure Defense")</f>
        <v>Ring of Pure Defense</v>
      </c>
      <c r="B144" s="1"/>
      <c r="C144" s="1"/>
      <c r="D144" s="1" t="str">
        <f>IFERROR(__xludf.DUMMYFUNCTION("""COMPUTED_VALUE"""),"Ring")</f>
        <v>Ring</v>
      </c>
      <c r="E144" s="1">
        <f>IFERROR(__xludf.DUMMYFUNCTION("""COMPUTED_VALUE"""),1.0)</f>
        <v>1</v>
      </c>
      <c r="F144" s="1" t="str">
        <f>IFERROR(__xludf.DUMMYFUNCTION("""COMPUTED_VALUE""")," ++Half the damage taken from the next attack 100SP Will Succeed.")</f>
        <v> ++Half the damage taken from the next attack 100SP Will Succeed.</v>
      </c>
      <c r="G144" s="1">
        <f>IFERROR(__xludf.DUMMYFUNCTION("""COMPUTED_VALUE"""),0.0)</f>
        <v>0</v>
      </c>
      <c r="H144" s="1" t="b">
        <f>IFERROR(__xludf.DUMMYFUNCTION("""COMPUTED_VALUE"""),FALSE)</f>
        <v>0</v>
      </c>
      <c r="I144" s="1" t="str">
        <f>IFERROR(__xludf.DUMMYFUNCTION("""COMPUTED_VALUE"""),"Land of Spira")</f>
        <v>Land of Spira</v>
      </c>
    </row>
    <row r="145">
      <c r="A145" s="1" t="str">
        <f>IFERROR(__xludf.DUMMYFUNCTION("""COMPUTED_VALUE"""),"Ring of Reflect")</f>
        <v>Ring of Reflect</v>
      </c>
      <c r="B145" s="1"/>
      <c r="C145" s="1"/>
      <c r="D145" s="1" t="str">
        <f>IFERROR(__xludf.DUMMYFUNCTION("""COMPUTED_VALUE"""),"Ring")</f>
        <v>Ring</v>
      </c>
      <c r="E145" s="1">
        <f>IFERROR(__xludf.DUMMYFUNCTION("""COMPUTED_VALUE"""),1.0)</f>
        <v>1</v>
      </c>
      <c r="F145" s="1" t="str">
        <f>IFERROR(__xludf.DUMMYFUNCTION("""COMPUTED_VALUE""")," ++Inflict half the damage you take back to the enemy that dealt it. +-Can only have one equipped. +-Cannot be duplicated.")</f>
        <v> ++Inflict half the damage you take back to the enemy that dealt it. +-Can only have one equipped. +-Cannot be duplicated.</v>
      </c>
      <c r="G145" s="1">
        <f>IFERROR(__xludf.DUMMYFUNCTION("""COMPUTED_VALUE"""),0.0)</f>
        <v>0</v>
      </c>
      <c r="H145" s="1" t="b">
        <f>IFERROR(__xludf.DUMMYFUNCTION("""COMPUTED_VALUE"""),FALSE)</f>
        <v>0</v>
      </c>
      <c r="I145" s="1" t="str">
        <f>IFERROR(__xludf.DUMMYFUNCTION("""COMPUTED_VALUE"""),"Land of Spira")</f>
        <v>Land of Spira</v>
      </c>
    </row>
    <row r="146">
      <c r="A146" s="1" t="str">
        <f>IFERROR(__xludf.DUMMYFUNCTION("""COMPUTED_VALUE"""),"Ring of the Bonded Undead")</f>
        <v>Ring of the Bonded Undead</v>
      </c>
      <c r="B146" s="1"/>
      <c r="C146" s="1"/>
      <c r="D146" s="1" t="str">
        <f>IFERROR(__xludf.DUMMYFUNCTION("""COMPUTED_VALUE"""),"Ring")</f>
        <v>Ring</v>
      </c>
      <c r="E146" s="1">
        <f>IFERROR(__xludf.DUMMYFUNCTION("""COMPUTED_VALUE"""),1.0)</f>
        <v>1</v>
      </c>
      <c r="F146" s="1" t="str">
        <f>IFERROR(__xludf.DUMMYFUNCTION("""COMPUTED_VALUE""")," ++When you battle with any Undead target you can deal X2 more damage.")</f>
        <v> ++When you battle with any Undead target you can deal X2 more damage.</v>
      </c>
      <c r="G146" s="1">
        <f>IFERROR(__xludf.DUMMYFUNCTION("""COMPUTED_VALUE"""),0.0)</f>
        <v>0</v>
      </c>
      <c r="H146" s="1" t="b">
        <f>IFERROR(__xludf.DUMMYFUNCTION("""COMPUTED_VALUE"""),FALSE)</f>
        <v>0</v>
      </c>
      <c r="I146" s="1" t="str">
        <f>IFERROR(__xludf.DUMMYFUNCTION("""COMPUTED_VALUE"""),"Land of Spira")</f>
        <v>Land of Spira</v>
      </c>
    </row>
    <row r="147">
      <c r="A147" s="1" t="str">
        <f>IFERROR(__xludf.DUMMYFUNCTION("""COMPUTED_VALUE"""),"Ring Of Tritonoch")</f>
        <v>Ring Of Tritonoch</v>
      </c>
      <c r="B147" s="1"/>
      <c r="C147" s="1"/>
      <c r="D147" s="1" t="str">
        <f>IFERROR(__xludf.DUMMYFUNCTION("""COMPUTED_VALUE"""),"Ring")</f>
        <v>Ring</v>
      </c>
      <c r="E147" s="1">
        <f>IFERROR(__xludf.DUMMYFUNCTION("""COMPUTED_VALUE"""),1.0)</f>
        <v>1</v>
      </c>
      <c r="F147" s="1" t="str">
        <f>IFERROR(__xludf.DUMMYFUNCTION("""COMPUTED_VALUE""")," ++Waves of Entitlement - x5 additional Water damage")</f>
        <v> ++Waves of Entitlement - x5 additional Water damage</v>
      </c>
      <c r="G147" s="1">
        <f>IFERROR(__xludf.DUMMYFUNCTION("""COMPUTED_VALUE"""),0.0)</f>
        <v>0</v>
      </c>
      <c r="H147" s="1" t="b">
        <f>IFERROR(__xludf.DUMMYFUNCTION("""COMPUTED_VALUE"""),FALSE)</f>
        <v>0</v>
      </c>
      <c r="I147" s="1" t="str">
        <f>IFERROR(__xludf.DUMMYFUNCTION("""COMPUTED_VALUE"""),"Land of Spira")</f>
        <v>Land of Spira</v>
      </c>
    </row>
    <row r="148">
      <c r="A148" s="1" t="str">
        <f>IFERROR(__xludf.DUMMYFUNCTION("""COMPUTED_VALUE"""),"Ring of Waking Waters")</f>
        <v>Ring of Waking Waters</v>
      </c>
      <c r="B148" s="1"/>
      <c r="C148" s="1"/>
      <c r="D148" s="1" t="str">
        <f>IFERROR(__xludf.DUMMYFUNCTION("""COMPUTED_VALUE"""),"Ring")</f>
        <v>Ring</v>
      </c>
      <c r="E148" s="1">
        <f>IFERROR(__xludf.DUMMYFUNCTION("""COMPUTED_VALUE"""),100.0)</f>
        <v>100</v>
      </c>
      <c r="F148" s="1" t="str">
        <f>IFERROR(__xludf.DUMMYFUNCTION("""COMPUTED_VALUE"""),", Water DEF: +5000 ++X4 additional water damage for self.")</f>
        <v>, Water DEF: +5000 ++X4 additional water damage for self.</v>
      </c>
      <c r="G148" s="1">
        <f>IFERROR(__xludf.DUMMYFUNCTION("""COMPUTED_VALUE"""),450000.0)</f>
        <v>450000</v>
      </c>
      <c r="H148" s="1" t="b">
        <f>IFERROR(__xludf.DUMMYFUNCTION("""COMPUTED_VALUE"""),FALSE)</f>
        <v>0</v>
      </c>
      <c r="I148" s="1" t="str">
        <f>IFERROR(__xludf.DUMMYFUNCTION("""COMPUTED_VALUE"""),"Land of Spira")</f>
        <v>Land of Spira</v>
      </c>
    </row>
    <row r="149">
      <c r="A149" s="1" t="str">
        <f>IFERROR(__xludf.DUMMYFUNCTION("""COMPUTED_VALUE"""),"Robe of The Cultist")</f>
        <v>Robe of The Cultist</v>
      </c>
      <c r="B149" s="1"/>
      <c r="C149" s="1"/>
      <c r="D149" s="1" t="str">
        <f>IFERROR(__xludf.DUMMYFUNCTION("""COMPUTED_VALUE"""),"Torso")</f>
        <v>Torso</v>
      </c>
      <c r="E149" s="1">
        <f>IFERROR(__xludf.DUMMYFUNCTION("""COMPUTED_VALUE"""),80.0)</f>
        <v>80</v>
      </c>
      <c r="F149" s="1" t="str">
        <f>IFERROR(__xludf.DUMMYFUNCTION("""COMPUTED_VALUE"""),"DEF: +2000, Dark DEF: +2000 ++Instant Death Immunity. ++500HP +-Cannot be forged +-Cannot be duplicated")</f>
        <v>DEF: +2000, Dark DEF: +2000 ++Instant Death Immunity. ++500HP +-Cannot be forged +-Cannot be duplicated</v>
      </c>
      <c r="G149" s="1">
        <f>IFERROR(__xludf.DUMMYFUNCTION("""COMPUTED_VALUE"""),280000.0)</f>
        <v>280000</v>
      </c>
      <c r="H149" s="1" t="b">
        <f>IFERROR(__xludf.DUMMYFUNCTION("""COMPUTED_VALUE"""),FALSE)</f>
        <v>0</v>
      </c>
      <c r="I149" s="1" t="str">
        <f>IFERROR(__xludf.DUMMYFUNCTION("""COMPUTED_VALUE"""),"Land of Spira")</f>
        <v>Land of Spira</v>
      </c>
    </row>
    <row r="150">
      <c r="A150" s="1" t="str">
        <f>IFERROR(__xludf.DUMMYFUNCTION("""COMPUTED_VALUE"""),"Royal Keeper Shield")</f>
        <v>Royal Keeper Shield</v>
      </c>
      <c r="B150" s="1"/>
      <c r="C150" s="1" t="str">
        <f>IFERROR(__xludf.DUMMYFUNCTION("""COMPUTED_VALUE"""),"Towershield")</f>
        <v>Towershield</v>
      </c>
      <c r="D150" s="1" t="str">
        <f>IFERROR(__xludf.DUMMYFUNCTION("""COMPUTED_VALUE"""),"Hand")</f>
        <v>Hand</v>
      </c>
      <c r="E150" s="1">
        <f>IFERROR(__xludf.DUMMYFUNCTION("""COMPUTED_VALUE"""),20.0)</f>
        <v>20</v>
      </c>
      <c r="F150" s="1" t="str">
        <f>IFERROR(__xludf.DUMMYFUNCTION("""COMPUTED_VALUE"""),"DEF: +1000 ++Royal Block - Gan invulnerability to all damage for 3 rounds of battle. 5000SP Will Succeed.")</f>
        <v>DEF: +1000 ++Royal Block - Gan invulnerability to all damage for 3 rounds of battle. 5000SP Will Succeed.</v>
      </c>
      <c r="G150" s="1">
        <f>IFERROR(__xludf.DUMMYFUNCTION("""COMPUTED_VALUE"""),10000.0)</f>
        <v>10000</v>
      </c>
      <c r="H150" s="1" t="b">
        <f>IFERROR(__xludf.DUMMYFUNCTION("""COMPUTED_VALUE"""),FALSE)</f>
        <v>0</v>
      </c>
      <c r="I150" s="1" t="str">
        <f>IFERROR(__xludf.DUMMYFUNCTION("""COMPUTED_VALUE"""),"Land of Spira")</f>
        <v>Land of Spira</v>
      </c>
    </row>
    <row r="151">
      <c r="A151" s="1" t="str">
        <f>IFERROR(__xludf.DUMMYFUNCTION("""COMPUTED_VALUE"""),"Royal Keeper Spear")</f>
        <v>Royal Keeper Spear</v>
      </c>
      <c r="B151" s="1"/>
      <c r="C151" s="1" t="str">
        <f>IFERROR(__xludf.DUMMYFUNCTION("""COMPUTED_VALUE"""),"Spear")</f>
        <v>Spear</v>
      </c>
      <c r="D151" s="1" t="str">
        <f>IFERROR(__xludf.DUMMYFUNCTION("""COMPUTED_VALUE"""),"Hand")</f>
        <v>Hand</v>
      </c>
      <c r="E151" s="1">
        <f>IFERROR(__xludf.DUMMYFUNCTION("""COMPUTED_VALUE"""),400.0)</f>
        <v>400</v>
      </c>
      <c r="F151" s="1" t="str">
        <f>IFERROR(__xludf.DUMMYFUNCTION("""COMPUTED_VALUE"""),"DMG: +10000, Fire DMG: +10000 ++Royal Stance -  Shuttering 1 for the first round of battle.")</f>
        <v>DMG: +10000, Fire DMG: +10000 ++Royal Stance -  Shuttering 1 for the first round of battle.</v>
      </c>
      <c r="G151" s="1">
        <f>IFERROR(__xludf.DUMMYFUNCTION("""COMPUTED_VALUE"""),7800000.0)</f>
        <v>7800000</v>
      </c>
      <c r="H151" s="1" t="b">
        <f>IFERROR(__xludf.DUMMYFUNCTION("""COMPUTED_VALUE"""),FALSE)</f>
        <v>0</v>
      </c>
      <c r="I151" s="1" t="str">
        <f>IFERROR(__xludf.DUMMYFUNCTION("""COMPUTED_VALUE"""),"Land of Spira")</f>
        <v>Land of Spira</v>
      </c>
    </row>
    <row r="152">
      <c r="A152" s="1" t="str">
        <f>IFERROR(__xludf.DUMMYFUNCTION("""COMPUTED_VALUE"""),"Royal Sword of Chaotic Shadows")</f>
        <v>Royal Sword of Chaotic Shadows</v>
      </c>
      <c r="B152" s="1"/>
      <c r="C152" s="1" t="str">
        <f>IFERROR(__xludf.DUMMYFUNCTION("""COMPUTED_VALUE"""),"Sword")</f>
        <v>Sword</v>
      </c>
      <c r="D152" s="1" t="str">
        <f>IFERROR(__xludf.DUMMYFUNCTION("""COMPUTED_VALUE"""),"Hand")</f>
        <v>Hand</v>
      </c>
      <c r="E152" s="1">
        <f>IFERROR(__xludf.DUMMYFUNCTION("""COMPUTED_VALUE"""),900.0)</f>
        <v>900</v>
      </c>
      <c r="F152" s="1" t="str">
        <f>IFERROR(__xludf.DUMMYFUNCTION("""COMPUTED_VALUE"""),"DMG: +15000, Dark DMG: +15000, Chaos DMG: +15000 ++Dark and Chaos Weapons and Spells deal an additional X2 damage while this item is equipped.. +-Cannot be duplicated.")</f>
        <v>DMG: +15000, Dark DMG: +15000, Chaos DMG: +15000 ++Dark and Chaos Weapons and Spells deal an additional X2 damage while this item is equipped.. +-Cannot be duplicated.</v>
      </c>
      <c r="G152" s="1">
        <f>IFERROR(__xludf.DUMMYFUNCTION("""COMPUTED_VALUE"""),4.005E7)</f>
        <v>40050000</v>
      </c>
      <c r="H152" s="1" t="b">
        <f>IFERROR(__xludf.DUMMYFUNCTION("""COMPUTED_VALUE"""),FALSE)</f>
        <v>0</v>
      </c>
      <c r="I152" s="1" t="str">
        <f>IFERROR(__xludf.DUMMYFUNCTION("""COMPUTED_VALUE"""),"Land of Spira")</f>
        <v>Land of Spira</v>
      </c>
    </row>
    <row r="153">
      <c r="A153" s="1" t="str">
        <f>IFERROR(__xludf.DUMMYFUNCTION("""COMPUTED_VALUE"""),"Rusty sword")</f>
        <v>Rusty sword</v>
      </c>
      <c r="B153" s="1"/>
      <c r="C153" s="1" t="str">
        <f>IFERROR(__xludf.DUMMYFUNCTION("""COMPUTED_VALUE"""),"Sword")</f>
        <v>Sword</v>
      </c>
      <c r="D153" s="1" t="str">
        <f>IFERROR(__xludf.DUMMYFUNCTION("""COMPUTED_VALUE"""),"Hand")</f>
        <v>Hand</v>
      </c>
      <c r="E153" s="1">
        <f>IFERROR(__xludf.DUMMYFUNCTION("""COMPUTED_VALUE"""),1.0)</f>
        <v>1</v>
      </c>
      <c r="F153" s="1" t="str">
        <f>IFERROR(__xludf.DUMMYFUNCTION("""COMPUTED_VALUE"""),"DMG: +60 ++25% chance to break with each use")</f>
        <v>DMG: +60 ++25% chance to break with each use</v>
      </c>
      <c r="G153" s="1">
        <f>IFERROR(__xludf.DUMMYFUNCTION("""COMPUTED_VALUE"""),0.0)</f>
        <v>0</v>
      </c>
      <c r="H153" s="1" t="b">
        <f>IFERROR(__xludf.DUMMYFUNCTION("""COMPUTED_VALUE"""),FALSE)</f>
        <v>0</v>
      </c>
      <c r="I153" s="1" t="str">
        <f>IFERROR(__xludf.DUMMYFUNCTION("""COMPUTED_VALUE"""),"Land of Spira")</f>
        <v>Land of Spira</v>
      </c>
    </row>
    <row r="154">
      <c r="A154" s="1" t="str">
        <f>IFERROR(__xludf.DUMMYFUNCTION("""COMPUTED_VALUE"""),"Ancient Oni Chestplate")</f>
        <v>Ancient Oni Chestplate</v>
      </c>
      <c r="B154" s="1" t="str">
        <f>IFERROR(__xludf.DUMMYFUNCTION("""COMPUTED_VALUE"""),"An ancient relic to Zhenmay")</f>
        <v>An ancient relic to Zhenmay</v>
      </c>
      <c r="C154" s="1"/>
      <c r="D154" s="1" t="str">
        <f>IFERROR(__xludf.DUMMYFUNCTION("""COMPUTED_VALUE"""),"Torso")</f>
        <v>Torso</v>
      </c>
      <c r="E154" s="1">
        <f>IFERROR(__xludf.DUMMYFUNCTION("""COMPUTED_VALUE"""),200.0)</f>
        <v>200</v>
      </c>
      <c r="F154"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duplicated or forged.")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duplicated or forged.</v>
      </c>
      <c r="G154" s="1">
        <f>IFERROR(__xludf.DUMMYFUNCTION("""COMPUTED_VALUE"""),5.104E8)</f>
        <v>510400000</v>
      </c>
      <c r="H154" s="1" t="b">
        <f>IFERROR(__xludf.DUMMYFUNCTION("""COMPUTED_VALUE"""),FALSE)</f>
        <v>0</v>
      </c>
      <c r="I154" s="1" t="str">
        <f>IFERROR(__xludf.DUMMYFUNCTION("""COMPUTED_VALUE"""),"Land of Spira")</f>
        <v>Land of Spira</v>
      </c>
    </row>
    <row r="155">
      <c r="A155" s="1" t="str">
        <f>IFERROR(__xludf.DUMMYFUNCTION("""COMPUTED_VALUE"""),"Scythe of Mischief ")</f>
        <v>Scythe of Mischief </v>
      </c>
      <c r="B155" s="1"/>
      <c r="C155" s="1" t="str">
        <f>IFERROR(__xludf.DUMMYFUNCTION("""COMPUTED_VALUE"""),"Scythe")</f>
        <v>Scythe</v>
      </c>
      <c r="D155" s="1" t="str">
        <f>IFERROR(__xludf.DUMMYFUNCTION("""COMPUTED_VALUE"""),"Hand")</f>
        <v>Hand</v>
      </c>
      <c r="E155" s="1">
        <f>IFERROR(__xludf.DUMMYFUNCTION("""COMPUTED_VALUE"""),200.0)</f>
        <v>200</v>
      </c>
      <c r="F155" s="1" t="str">
        <f>IFERROR(__xludf.DUMMYFUNCTION("""COMPUTED_VALUE"""),"DMG: +5000, Fire DMG: +5000, Dark DMG: +5000, Spirit DMG: +5000, Chaos DMG: +5000, Stasis DMG: +5000, Twilight DMG: +5000, Voodoo DMG: +5000, Blood DMG: +5000, Celestial DMG: +10000 ++Enemies deduct 2 from their rolls when targeting you. +-Cannot be dupli"&amp;"cated")</f>
        <v>DMG: +5000, Fire DMG: +5000, Dark DMG: +5000, Spirit DMG: +5000, Chaos DMG: +5000, Stasis DMG: +5000, Twilight DMG: +5000, Voodoo DMG: +5000, Blood DMG: +5000, Celestial DMG: +10000 ++Enemies deduct 2 from their rolls when targeting you. +-Cannot be duplicated</v>
      </c>
      <c r="G155" s="1">
        <f>IFERROR(__xludf.DUMMYFUNCTION("""COMPUTED_VALUE"""),5.995E7)</f>
        <v>59950000</v>
      </c>
      <c r="H155" s="1" t="b">
        <f>IFERROR(__xludf.DUMMYFUNCTION("""COMPUTED_VALUE"""),FALSE)</f>
        <v>0</v>
      </c>
      <c r="I155" s="1" t="str">
        <f>IFERROR(__xludf.DUMMYFUNCTION("""COMPUTED_VALUE"""),"Land of Spira")</f>
        <v>Land of Spira</v>
      </c>
    </row>
    <row r="156">
      <c r="A156" s="1" t="str">
        <f>IFERROR(__xludf.DUMMYFUNCTION("""COMPUTED_VALUE"""),"Shadow Flute")</f>
        <v>Shadow Flute</v>
      </c>
      <c r="B156" s="1"/>
      <c r="C156" s="1"/>
      <c r="D156" s="1" t="str">
        <f>IFERROR(__xludf.DUMMYFUNCTION("""COMPUTED_VALUE"""),"Hand")</f>
        <v>Hand</v>
      </c>
      <c r="E156" s="1">
        <f>IFERROR(__xludf.DUMMYFUNCTION("""COMPUTED_VALUE"""),1.0)</f>
        <v>1</v>
      </c>
      <c r="F156" s="1" t="str">
        <f>IFERROR(__xludf.DUMMYFUNCTION("""COMPUTED_VALUE""")," ++Can summon a chaotic shadow gnome to battle.")</f>
        <v> ++Can summon a chaotic shadow gnome to battle.</v>
      </c>
      <c r="G156" s="1">
        <f>IFERROR(__xludf.DUMMYFUNCTION("""COMPUTED_VALUE"""),0.0)</f>
        <v>0</v>
      </c>
      <c r="H156" s="1" t="b">
        <f>IFERROR(__xludf.DUMMYFUNCTION("""COMPUTED_VALUE"""),FALSE)</f>
        <v>0</v>
      </c>
      <c r="I156" s="1" t="str">
        <f>IFERROR(__xludf.DUMMYFUNCTION("""COMPUTED_VALUE"""),"Land of Spira")</f>
        <v>Land of Spira</v>
      </c>
    </row>
    <row r="157">
      <c r="A157" s="1" t="str">
        <f>IFERROR(__xludf.DUMMYFUNCTION("""COMPUTED_VALUE"""),"Shield of Targeting")</f>
        <v>Shield of Targeting</v>
      </c>
      <c r="B157" s="1"/>
      <c r="C157" s="1" t="str">
        <f>IFERROR(__xludf.DUMMYFUNCTION("""COMPUTED_VALUE"""),"Buckler")</f>
        <v>Buckler</v>
      </c>
      <c r="D157" s="1" t="str">
        <f>IFERROR(__xludf.DUMMYFUNCTION("""COMPUTED_VALUE"""),"Hand")</f>
        <v>Hand</v>
      </c>
      <c r="E157" s="1">
        <f>IFERROR(__xludf.DUMMYFUNCTION("""COMPUTED_VALUE"""),20.0)</f>
        <v>20</v>
      </c>
      <c r="F157" s="1" t="str">
        <f>IFERROR(__xludf.DUMMYFUNCTION("""COMPUTED_VALUE"""),"DEF: +1000 ++Target me you B**** - enemies will automatically target you no matter, Use intimidation for this item effect.")</f>
        <v>DEF: +1000 ++Target me you B**** - enemies will automatically target you no matter, Use intimidation for this item effect.</v>
      </c>
      <c r="G157" s="1">
        <f>IFERROR(__xludf.DUMMYFUNCTION("""COMPUTED_VALUE"""),10000.0)</f>
        <v>10000</v>
      </c>
      <c r="H157" s="1" t="b">
        <f>IFERROR(__xludf.DUMMYFUNCTION("""COMPUTED_VALUE"""),FALSE)</f>
        <v>0</v>
      </c>
      <c r="I157" s="1" t="str">
        <f>IFERROR(__xludf.DUMMYFUNCTION("""COMPUTED_VALUE"""),"Land of Spira")</f>
        <v>Land of Spira</v>
      </c>
    </row>
    <row r="158">
      <c r="A158" s="1" t="str">
        <f>IFERROR(__xludf.DUMMYFUNCTION("""COMPUTED_VALUE"""),"Shining Katana")</f>
        <v>Shining Katana</v>
      </c>
      <c r="B158" s="1"/>
      <c r="C158" s="1"/>
      <c r="D158" s="1" t="str">
        <f>IFERROR(__xludf.DUMMYFUNCTION("""COMPUTED_VALUE"""),"Hand")</f>
        <v>Hand</v>
      </c>
      <c r="E158" s="1">
        <f>IFERROR(__xludf.DUMMYFUNCTION("""COMPUTED_VALUE"""),200.0)</f>
        <v>200</v>
      </c>
      <c r="F158" s="1" t="str">
        <f>IFERROR(__xludf.DUMMYFUNCTION("""COMPUTED_VALUE"""),"DMG: +10000 ++++500 bleeding damage p/r.")</f>
        <v>DMG: +10000 ++++500 bleeding damage p/r.</v>
      </c>
      <c r="G158" s="1">
        <f>IFERROR(__xludf.DUMMYFUNCTION("""COMPUTED_VALUE"""),1900000.0)</f>
        <v>1900000</v>
      </c>
      <c r="H158" s="1" t="b">
        <f>IFERROR(__xludf.DUMMYFUNCTION("""COMPUTED_VALUE"""),FALSE)</f>
        <v>0</v>
      </c>
      <c r="I158" s="1" t="str">
        <f>IFERROR(__xludf.DUMMYFUNCTION("""COMPUTED_VALUE"""),"Land of Spira")</f>
        <v>Land of Spira</v>
      </c>
    </row>
    <row r="159">
      <c r="A159" s="1" t="str">
        <f>IFERROR(__xludf.DUMMYFUNCTION("""COMPUTED_VALUE"""),"Shoes of Metal Harmony's")</f>
        <v>Shoes of Metal Harmony's</v>
      </c>
      <c r="B159" s="1"/>
      <c r="C159" s="1"/>
      <c r="D159" s="1" t="str">
        <f>IFERROR(__xludf.DUMMYFUNCTION("""COMPUTED_VALUE"""),"Feet")</f>
        <v>Feet</v>
      </c>
      <c r="E159" s="1">
        <f>IFERROR(__xludf.DUMMYFUNCTION("""COMPUTED_VALUE"""),200.0)</f>
        <v>200</v>
      </c>
      <c r="F159" s="1" t="str">
        <f>IFERROR(__xludf.DUMMYFUNCTION("""COMPUTED_VALUE"""),"DEF: +10000 ++When dealing damage with an instrument you will regain hp equal to the damage you caused.")</f>
        <v>DEF: +10000 ++When dealing damage with an instrument you will regain hp equal to the damage you caused.</v>
      </c>
      <c r="G159" s="1">
        <f>IFERROR(__xludf.DUMMYFUNCTION("""COMPUTED_VALUE"""),1900000.0)</f>
        <v>1900000</v>
      </c>
      <c r="H159" s="1" t="b">
        <f>IFERROR(__xludf.DUMMYFUNCTION("""COMPUTED_VALUE"""),FALSE)</f>
        <v>0</v>
      </c>
      <c r="I159" s="1" t="str">
        <f>IFERROR(__xludf.DUMMYFUNCTION("""COMPUTED_VALUE"""),"Land of Spira")</f>
        <v>Land of Spira</v>
      </c>
    </row>
    <row r="160">
      <c r="A160" s="1" t="str">
        <f>IFERROR(__xludf.DUMMYFUNCTION("""COMPUTED_VALUE"""),"Shoes of Water Walking")</f>
        <v>Shoes of Water Walking</v>
      </c>
      <c r="B160" s="1"/>
      <c r="C160" s="1"/>
      <c r="D160" s="1" t="str">
        <f>IFERROR(__xludf.DUMMYFUNCTION("""COMPUTED_VALUE"""),"Feet")</f>
        <v>Feet</v>
      </c>
      <c r="E160" s="1">
        <f>IFERROR(__xludf.DUMMYFUNCTION("""COMPUTED_VALUE"""),200.0)</f>
        <v>200</v>
      </c>
      <c r="F160" s="1" t="str">
        <f>IFERROR(__xludf.DUMMYFUNCTION("""COMPUTED_VALUE"""),"DEF: +5000, Water DEF: +5000 ++All water damage can now be any Element of choosing (this will still be counted as water damage for additional buffs).")</f>
        <v>DEF: +5000, Water DEF: +5000 ++All water damage can now be any Element of choosing (this will still be counted as water damage for additional buffs).</v>
      </c>
      <c r="G160" s="1">
        <f>IFERROR(__xludf.DUMMYFUNCTION("""COMPUTED_VALUE"""),1900000.0)</f>
        <v>1900000</v>
      </c>
      <c r="H160" s="1" t="b">
        <f>IFERROR(__xludf.DUMMYFUNCTION("""COMPUTED_VALUE"""),FALSE)</f>
        <v>0</v>
      </c>
      <c r="I160" s="1" t="str">
        <f>IFERROR(__xludf.DUMMYFUNCTION("""COMPUTED_VALUE"""),"Land of Spira")</f>
        <v>Land of Spira</v>
      </c>
    </row>
    <row r="161">
      <c r="A161" s="1" t="str">
        <f>IFERROR(__xludf.DUMMYFUNCTION("""COMPUTED_VALUE"""),"Short Spear")</f>
        <v>Short Spear</v>
      </c>
      <c r="B161" s="1"/>
      <c r="C161" s="1" t="str">
        <f>IFERROR(__xludf.DUMMYFUNCTION("""COMPUTED_VALUE"""),"Spear")</f>
        <v>Spear</v>
      </c>
      <c r="D161" s="1" t="str">
        <f>IFERROR(__xludf.DUMMYFUNCTION("""COMPUTED_VALUE"""),"Hand")</f>
        <v>Hand</v>
      </c>
      <c r="E161" s="1">
        <f>IFERROR(__xludf.DUMMYFUNCTION("""COMPUTED_VALUE"""),1.0)</f>
        <v>1</v>
      </c>
      <c r="F161" s="1" t="str">
        <f>IFERROR(__xludf.DUMMYFUNCTION("""COMPUTED_VALUE"""),"DMG: +250")</f>
        <v>DMG: +250</v>
      </c>
      <c r="G161" s="1">
        <f>IFERROR(__xludf.DUMMYFUNCTION("""COMPUTED_VALUE"""),0.0)</f>
        <v>0</v>
      </c>
      <c r="H161" s="1" t="b">
        <f>IFERROR(__xludf.DUMMYFUNCTION("""COMPUTED_VALUE"""),FALSE)</f>
        <v>0</v>
      </c>
      <c r="I161" s="1" t="str">
        <f>IFERROR(__xludf.DUMMYFUNCTION("""COMPUTED_VALUE"""),"Land of Spira")</f>
        <v>Land of Spira</v>
      </c>
    </row>
    <row r="162">
      <c r="A162" s="1" t="str">
        <f>IFERROR(__xludf.DUMMYFUNCTION("""COMPUTED_VALUE"""),"Shuriken")</f>
        <v>Shuriken</v>
      </c>
      <c r="B162" s="1"/>
      <c r="C162" s="1" t="str">
        <f>IFERROR(__xludf.DUMMYFUNCTION("""COMPUTED_VALUE"""),"Boomerang")</f>
        <v>Boomerang</v>
      </c>
      <c r="D162" s="1" t="str">
        <f>IFERROR(__xludf.DUMMYFUNCTION("""COMPUTED_VALUE"""),"Hand")</f>
        <v>Hand</v>
      </c>
      <c r="E162" s="1">
        <f>IFERROR(__xludf.DUMMYFUNCTION("""COMPUTED_VALUE"""),200.0)</f>
        <v>200</v>
      </c>
      <c r="F162" s="1" t="str">
        <f>IFERROR(__xludf.DUMMYFUNCTION("""COMPUTED_VALUE"""),"DMG: +5000, Blood DMG: +5000 ++Will return to you when thrown.")</f>
        <v>DMG: +5000, Blood DMG: +5000 ++Will return to you when thrown.</v>
      </c>
      <c r="G162" s="1">
        <f>IFERROR(__xludf.DUMMYFUNCTION("""COMPUTED_VALUE"""),1900000.0)</f>
        <v>1900000</v>
      </c>
      <c r="H162" s="1" t="b">
        <f>IFERROR(__xludf.DUMMYFUNCTION("""COMPUTED_VALUE"""),FALSE)</f>
        <v>0</v>
      </c>
      <c r="I162" s="1" t="str">
        <f>IFERROR(__xludf.DUMMYFUNCTION("""COMPUTED_VALUE"""),"Land of Spira")</f>
        <v>Land of Spira</v>
      </c>
    </row>
    <row r="163">
      <c r="A163" s="1" t="str">
        <f>IFERROR(__xludf.DUMMYFUNCTION("""COMPUTED_VALUE"""),"Silver Armor")</f>
        <v>Silver Armor</v>
      </c>
      <c r="B163" s="1"/>
      <c r="C163" s="1"/>
      <c r="D163" s="1" t="str">
        <f>IFERROR(__xludf.DUMMYFUNCTION("""COMPUTED_VALUE"""),"Torso")</f>
        <v>Torso</v>
      </c>
      <c r="E163" s="1">
        <f>IFERROR(__xludf.DUMMYFUNCTION("""COMPUTED_VALUE"""),1.0)</f>
        <v>1</v>
      </c>
      <c r="F163" s="1" t="str">
        <f>IFERROR(__xludf.DUMMYFUNCTION("""COMPUTED_VALUE"""),"DEF: +30")</f>
        <v>DEF: +30</v>
      </c>
      <c r="G163" s="1">
        <f>IFERROR(__xludf.DUMMYFUNCTION("""COMPUTED_VALUE"""),0.0)</f>
        <v>0</v>
      </c>
      <c r="H163" s="1" t="b">
        <f>IFERROR(__xludf.DUMMYFUNCTION("""COMPUTED_VALUE"""),FALSE)</f>
        <v>0</v>
      </c>
      <c r="I163" s="1" t="str">
        <f>IFERROR(__xludf.DUMMYFUNCTION("""COMPUTED_VALUE"""),"Land of Spira")</f>
        <v>Land of Spira</v>
      </c>
    </row>
    <row r="164">
      <c r="A164" s="1" t="str">
        <f>IFERROR(__xludf.DUMMYFUNCTION("""COMPUTED_VALUE"""),"Silver Katana")</f>
        <v>Silver Katana</v>
      </c>
      <c r="B164" s="1"/>
      <c r="C164" s="1" t="str">
        <f>IFERROR(__xludf.DUMMYFUNCTION("""COMPUTED_VALUE"""),"Sword")</f>
        <v>Sword</v>
      </c>
      <c r="D164" s="1" t="str">
        <f>IFERROR(__xludf.DUMMYFUNCTION("""COMPUTED_VALUE"""),"Hand")</f>
        <v>Hand</v>
      </c>
      <c r="E164" s="1">
        <f>IFERROR(__xludf.DUMMYFUNCTION("""COMPUTED_VALUE"""),200.0)</f>
        <v>200</v>
      </c>
      <c r="F164" s="1" t="str">
        <f>IFERROR(__xludf.DUMMYFUNCTION("""COMPUTED_VALUE"""),"DMG: +10000 ++Causes Blindness 3")</f>
        <v>DMG: +10000 ++Causes Blindness 3</v>
      </c>
      <c r="G164" s="1">
        <f>IFERROR(__xludf.DUMMYFUNCTION("""COMPUTED_VALUE"""),1900000.0)</f>
        <v>1900000</v>
      </c>
      <c r="H164" s="1" t="b">
        <f>IFERROR(__xludf.DUMMYFUNCTION("""COMPUTED_VALUE"""),FALSE)</f>
        <v>0</v>
      </c>
      <c r="I164" s="1" t="str">
        <f>IFERROR(__xludf.DUMMYFUNCTION("""COMPUTED_VALUE"""),"Land of Spira")</f>
        <v>Land of Spira</v>
      </c>
    </row>
    <row r="165">
      <c r="A165" s="1" t="str">
        <f>IFERROR(__xludf.DUMMYFUNCTION("""COMPUTED_VALUE"""),"Silver Knife")</f>
        <v>Silver Knife</v>
      </c>
      <c r="B165" s="1"/>
      <c r="C165" s="1" t="str">
        <f>IFERROR(__xludf.DUMMYFUNCTION("""COMPUTED_VALUE"""),"Knife")</f>
        <v>Knife</v>
      </c>
      <c r="D165" s="1" t="str">
        <f>IFERROR(__xludf.DUMMYFUNCTION("""COMPUTED_VALUE"""),"Hand")</f>
        <v>Hand</v>
      </c>
      <c r="E165" s="1">
        <f>IFERROR(__xludf.DUMMYFUNCTION("""COMPUTED_VALUE"""),200.0)</f>
        <v>200</v>
      </c>
      <c r="F165" s="1" t="str">
        <f>IFERROR(__xludf.DUMMYFUNCTION("""COMPUTED_VALUE"""),"DMG: +10000")</f>
        <v>DMG: +10000</v>
      </c>
      <c r="G165" s="1">
        <f>IFERROR(__xludf.DUMMYFUNCTION("""COMPUTED_VALUE"""),1900000.0)</f>
        <v>1900000</v>
      </c>
      <c r="H165" s="1" t="b">
        <f>IFERROR(__xludf.DUMMYFUNCTION("""COMPUTED_VALUE"""),FALSE)</f>
        <v>0</v>
      </c>
      <c r="I165" s="1" t="str">
        <f>IFERROR(__xludf.DUMMYFUNCTION("""COMPUTED_VALUE"""),"Land of Spira")</f>
        <v>Land of Spira</v>
      </c>
    </row>
    <row r="166">
      <c r="A166" s="1" t="str">
        <f>IFERROR(__xludf.DUMMYFUNCTION("""COMPUTED_VALUE"""),"Skull of the many Kings")</f>
        <v>Skull of the many Kings</v>
      </c>
      <c r="B166" s="1"/>
      <c r="C166" s="1"/>
      <c r="D166" s="1" t="str">
        <f>IFERROR(__xludf.DUMMYFUNCTION("""COMPUTED_VALUE"""),"Head")</f>
        <v>Head</v>
      </c>
      <c r="E166" s="1">
        <f>IFERROR(__xludf.DUMMYFUNCTION("""COMPUTED_VALUE"""),1.0)</f>
        <v>1</v>
      </c>
      <c r="F166" s="1" t="str">
        <f>IFERROR(__xludf.DUMMYFUNCTION("""COMPUTED_VALUE"""),"DEF: +300 ++Immunity to all dark damage")</f>
        <v>DEF: +300 ++Immunity to all dark damage</v>
      </c>
      <c r="G166" s="1">
        <f>IFERROR(__xludf.DUMMYFUNCTION("""COMPUTED_VALUE"""),0.0)</f>
        <v>0</v>
      </c>
      <c r="H166" s="1" t="b">
        <f>IFERROR(__xludf.DUMMYFUNCTION("""COMPUTED_VALUE"""),FALSE)</f>
        <v>0</v>
      </c>
      <c r="I166" s="1" t="str">
        <f>IFERROR(__xludf.DUMMYFUNCTION("""COMPUTED_VALUE"""),"Land of Spira")</f>
        <v>Land of Spira</v>
      </c>
    </row>
    <row r="167">
      <c r="A167" s="1" t="str">
        <f>IFERROR(__xludf.DUMMYFUNCTION("""COMPUTED_VALUE"""),"Skull Ring")</f>
        <v>Skull Ring</v>
      </c>
      <c r="B167" s="1"/>
      <c r="C167" s="1"/>
      <c r="D167" s="1" t="str">
        <f>IFERROR(__xludf.DUMMYFUNCTION("""COMPUTED_VALUE"""),"Ring")</f>
        <v>Ring</v>
      </c>
      <c r="E167" s="1">
        <f>IFERROR(__xludf.DUMMYFUNCTION("""COMPUTED_VALUE"""),1.0)</f>
        <v>1</v>
      </c>
      <c r="F167" s="1" t="str">
        <f>IFERROR(__xludf.DUMMYFUNCTION("""COMPUTED_VALUE""")," ++Increase damage of all dark spells and weapons by X2")</f>
        <v> ++Increase damage of all dark spells and weapons by X2</v>
      </c>
      <c r="G167" s="1">
        <f>IFERROR(__xludf.DUMMYFUNCTION("""COMPUTED_VALUE"""),0.0)</f>
        <v>0</v>
      </c>
      <c r="H167" s="1" t="b">
        <f>IFERROR(__xludf.DUMMYFUNCTION("""COMPUTED_VALUE"""),FALSE)</f>
        <v>0</v>
      </c>
      <c r="I167" s="1" t="str">
        <f>IFERROR(__xludf.DUMMYFUNCTION("""COMPUTED_VALUE"""),"Land of Spira")</f>
        <v>Land of Spira</v>
      </c>
    </row>
    <row r="168">
      <c r="A168" s="1" t="str">
        <f>IFERROR(__xludf.DUMMYFUNCTION("""COMPUTED_VALUE"""),"Spear")</f>
        <v>Spear</v>
      </c>
      <c r="B168" s="1"/>
      <c r="C168" s="1" t="str">
        <f>IFERROR(__xludf.DUMMYFUNCTION("""COMPUTED_VALUE"""),"Spear")</f>
        <v>Spear</v>
      </c>
      <c r="D168" s="1" t="str">
        <f>IFERROR(__xludf.DUMMYFUNCTION("""COMPUTED_VALUE"""),"Hand")</f>
        <v>Hand</v>
      </c>
      <c r="E168" s="1">
        <f>IFERROR(__xludf.DUMMYFUNCTION("""COMPUTED_VALUE"""),1.0)</f>
        <v>1</v>
      </c>
      <c r="F168" s="1" t="str">
        <f>IFERROR(__xludf.DUMMYFUNCTION("""COMPUTED_VALUE"""),"DMG: +100")</f>
        <v>DMG: +100</v>
      </c>
      <c r="G168" s="1">
        <f>IFERROR(__xludf.DUMMYFUNCTION("""COMPUTED_VALUE"""),0.0)</f>
        <v>0</v>
      </c>
      <c r="H168" s="1" t="b">
        <f>IFERROR(__xludf.DUMMYFUNCTION("""COMPUTED_VALUE"""),FALSE)</f>
        <v>0</v>
      </c>
      <c r="I168" s="1" t="str">
        <f>IFERROR(__xludf.DUMMYFUNCTION("""COMPUTED_VALUE"""),"Land of Spira")</f>
        <v>Land of Spira</v>
      </c>
    </row>
    <row r="169">
      <c r="A169" s="1" t="str">
        <f>IFERROR(__xludf.DUMMYFUNCTION("""COMPUTED_VALUE"""),"Spiked Armor")</f>
        <v>Spiked Armor</v>
      </c>
      <c r="B169" s="1"/>
      <c r="C169" s="1"/>
      <c r="D169" s="1" t="str">
        <f>IFERROR(__xludf.DUMMYFUNCTION("""COMPUTED_VALUE"""),"Torso")</f>
        <v>Torso</v>
      </c>
      <c r="E169" s="1">
        <f>IFERROR(__xludf.DUMMYFUNCTION("""COMPUTED_VALUE"""),1.0)</f>
        <v>1</v>
      </c>
      <c r="F169" s="1" t="str">
        <f>IFERROR(__xludf.DUMMYFUNCTION("""COMPUTED_VALUE"""),"DEF: +100 ++Used for both offense and defense. ++Enemies take half the damage they caused, when they attack you.")</f>
        <v>DEF: +100 ++Used for both offense and defense. ++Enemies take half the damage they caused, when they attack you.</v>
      </c>
      <c r="G169" s="1">
        <f>IFERROR(__xludf.DUMMYFUNCTION("""COMPUTED_VALUE"""),0.0)</f>
        <v>0</v>
      </c>
      <c r="H169" s="1" t="b">
        <f>IFERROR(__xludf.DUMMYFUNCTION("""COMPUTED_VALUE"""),FALSE)</f>
        <v>0</v>
      </c>
      <c r="I169" s="1" t="str">
        <f>IFERROR(__xludf.DUMMYFUNCTION("""COMPUTED_VALUE"""),"Land of Spira")</f>
        <v>Land of Spira</v>
      </c>
    </row>
    <row r="170">
      <c r="A170" s="1" t="str">
        <f>IFERROR(__xludf.DUMMYFUNCTION("""COMPUTED_VALUE"""),"Spiny Shield")</f>
        <v>Spiny Shield</v>
      </c>
      <c r="B170" s="1"/>
      <c r="C170" s="1" t="str">
        <f>IFERROR(__xludf.DUMMYFUNCTION("""COMPUTED_VALUE"""),"Buckler")</f>
        <v>Buckler</v>
      </c>
      <c r="D170" s="1" t="str">
        <f>IFERROR(__xludf.DUMMYFUNCTION("""COMPUTED_VALUE"""),"Hand")</f>
        <v>Hand</v>
      </c>
      <c r="E170" s="1">
        <f>IFERROR(__xludf.DUMMYFUNCTION("""COMPUTED_VALUE"""),1.0)</f>
        <v>1</v>
      </c>
      <c r="F170" s="1" t="str">
        <f>IFERROR(__xludf.DUMMYFUNCTION("""COMPUTED_VALUE"""),"DEF: +170")</f>
        <v>DEF: +170</v>
      </c>
      <c r="G170" s="1">
        <f>IFERROR(__xludf.DUMMYFUNCTION("""COMPUTED_VALUE"""),0.0)</f>
        <v>0</v>
      </c>
      <c r="H170" s="1" t="b">
        <f>IFERROR(__xludf.DUMMYFUNCTION("""COMPUTED_VALUE"""),FALSE)</f>
        <v>0</v>
      </c>
      <c r="I170" s="1" t="str">
        <f>IFERROR(__xludf.DUMMYFUNCTION("""COMPUTED_VALUE"""),"Land of Spira")</f>
        <v>Land of Spira</v>
      </c>
    </row>
    <row r="171">
      <c r="A171" s="1" t="str">
        <f>IFERROR(__xludf.DUMMYFUNCTION("""COMPUTED_VALUE"""),"Staff of Chaotic Shadows")</f>
        <v>Staff of Chaotic Shadows</v>
      </c>
      <c r="B171" s="1"/>
      <c r="C171" s="1" t="str">
        <f>IFERROR(__xludf.DUMMYFUNCTION("""COMPUTED_VALUE"""),"Staff")</f>
        <v>Staff</v>
      </c>
      <c r="D171" s="1" t="str">
        <f>IFERROR(__xludf.DUMMYFUNCTION("""COMPUTED_VALUE"""),"Hand")</f>
        <v>Hand</v>
      </c>
      <c r="E171" s="1">
        <f>IFERROR(__xludf.DUMMYFUNCTION("""COMPUTED_VALUE"""),1200.0)</f>
        <v>1200</v>
      </c>
      <c r="F171" s="1" t="str">
        <f>IFERROR(__xludf.DUMMYFUNCTION("""COMPUTED_VALUE"""),", Fire DMG: +20000, Dark DMG: +20000, Chaos DMG: +20000 ++damages all enemies. +-Cannot be forged.")</f>
        <v>, Fire DMG: +20000, Dark DMG: +20000, Chaos DMG: +20000 ++damages all enemies. +-Cannot be forged.</v>
      </c>
      <c r="G171" s="1">
        <f>IFERROR(__xludf.DUMMYFUNCTION("""COMPUTED_VALUE"""),7.14E7)</f>
        <v>71400000</v>
      </c>
      <c r="H171" s="1" t="b">
        <f>IFERROR(__xludf.DUMMYFUNCTION("""COMPUTED_VALUE"""),FALSE)</f>
        <v>0</v>
      </c>
      <c r="I171" s="1" t="str">
        <f>IFERROR(__xludf.DUMMYFUNCTION("""COMPUTED_VALUE"""),"Land of Spira")</f>
        <v>Land of Spira</v>
      </c>
    </row>
    <row r="172">
      <c r="A172" s="1" t="str">
        <f>IFERROR(__xludf.DUMMYFUNCTION("""COMPUTED_VALUE"""),"Staff of Crystals")</f>
        <v>Staff of Crystals</v>
      </c>
      <c r="B172" s="1"/>
      <c r="C172" s="1" t="str">
        <f>IFERROR(__xludf.DUMMYFUNCTION("""COMPUTED_VALUE"""),"Staff")</f>
        <v>Staff</v>
      </c>
      <c r="D172" s="1" t="str">
        <f>IFERROR(__xludf.DUMMYFUNCTION("""COMPUTED_VALUE"""),"Hand")</f>
        <v>Hand</v>
      </c>
      <c r="E172" s="1">
        <f>IFERROR(__xludf.DUMMYFUNCTION("""COMPUTED_VALUE"""),400.0)</f>
        <v>400</v>
      </c>
      <c r="F172" s="1" t="str">
        <f>IFERROR(__xludf.DUMMYFUNCTION("""COMPUTED_VALUE"""),", Earth DMG: +20000 ++When Equipped any damage dealt by a Crystal or Gem related weapon is X4. +-Cannot be duplicated.")</f>
        <v>, Earth DMG: +20000 ++When Equipped any damage dealt by a Crystal or Gem related weapon is X4. +-Cannot be duplicated.</v>
      </c>
      <c r="G172" s="1">
        <f>IFERROR(__xludf.DUMMYFUNCTION("""COMPUTED_VALUE"""),7800000.0)</f>
        <v>7800000</v>
      </c>
      <c r="H172" s="1" t="b">
        <f>IFERROR(__xludf.DUMMYFUNCTION("""COMPUTED_VALUE"""),FALSE)</f>
        <v>0</v>
      </c>
      <c r="I172" s="1" t="str">
        <f>IFERROR(__xludf.DUMMYFUNCTION("""COMPUTED_VALUE"""),"Land of Spira")</f>
        <v>Land of Spira</v>
      </c>
    </row>
    <row r="173">
      <c r="A173" s="1" t="str">
        <f>IFERROR(__xludf.DUMMYFUNCTION("""COMPUTED_VALUE"""),"Staff Of Heatmore")</f>
        <v>Staff Of Heatmore</v>
      </c>
      <c r="B173" s="1"/>
      <c r="C173" s="1" t="str">
        <f>IFERROR(__xludf.DUMMYFUNCTION("""COMPUTED_VALUE"""),"Staff")</f>
        <v>Staff</v>
      </c>
      <c r="D173" s="1" t="str">
        <f>IFERROR(__xludf.DUMMYFUNCTION("""COMPUTED_VALUE"""),"Hand")</f>
        <v>Hand</v>
      </c>
      <c r="E173" s="1">
        <f>IFERROR(__xludf.DUMMYFUNCTION("""COMPUTED_VALUE"""),1.0)</f>
        <v>1</v>
      </c>
      <c r="F173" s="1" t="str">
        <f>IFERROR(__xludf.DUMMYFUNCTION("""COMPUTED_VALUE""")," ++20,000 fire damage to all enemies, cannot avoid. 10,000sp")</f>
        <v> ++20,000 fire damage to all enemies, cannot avoid. 10,000sp</v>
      </c>
      <c r="G173" s="1">
        <f>IFERROR(__xludf.DUMMYFUNCTION("""COMPUTED_VALUE"""),0.0)</f>
        <v>0</v>
      </c>
      <c r="H173" s="1" t="b">
        <f>IFERROR(__xludf.DUMMYFUNCTION("""COMPUTED_VALUE"""),FALSE)</f>
        <v>0</v>
      </c>
      <c r="I173" s="1" t="str">
        <f>IFERROR(__xludf.DUMMYFUNCTION("""COMPUTED_VALUE"""),"Land of Spira")</f>
        <v>Land of Spira</v>
      </c>
    </row>
    <row r="174">
      <c r="A174" s="1" t="str">
        <f>IFERROR(__xludf.DUMMYFUNCTION("""COMPUTED_VALUE"""),"Staff of Shadows")</f>
        <v>Staff of Shadows</v>
      </c>
      <c r="B174" s="1"/>
      <c r="C174" s="1" t="str">
        <f>IFERROR(__xludf.DUMMYFUNCTION("""COMPUTED_VALUE"""),"Staff")</f>
        <v>Staff</v>
      </c>
      <c r="D174" s="1" t="str">
        <f>IFERROR(__xludf.DUMMYFUNCTION("""COMPUTED_VALUE"""),"Hand")</f>
        <v>Hand</v>
      </c>
      <c r="E174" s="1">
        <f>IFERROR(__xludf.DUMMYFUNCTION("""COMPUTED_VALUE"""),1.0)</f>
        <v>1</v>
      </c>
      <c r="F174" s="1" t="str">
        <f>IFERROR(__xludf.DUMMYFUNCTION("""COMPUTED_VALUE""")," ++You are invisible and silent so long as you don't attack. You cannot be attacked while invisible. 200SP")</f>
        <v> ++You are invisible and silent so long as you don't attack. You cannot be attacked while invisible. 200SP</v>
      </c>
      <c r="G174" s="1">
        <f>IFERROR(__xludf.DUMMYFUNCTION("""COMPUTED_VALUE"""),0.0)</f>
        <v>0</v>
      </c>
      <c r="H174" s="1" t="b">
        <f>IFERROR(__xludf.DUMMYFUNCTION("""COMPUTED_VALUE"""),FALSE)</f>
        <v>0</v>
      </c>
      <c r="I174" s="1" t="str">
        <f>IFERROR(__xludf.DUMMYFUNCTION("""COMPUTED_VALUE"""),"Land of Spira")</f>
        <v>Land of Spira</v>
      </c>
    </row>
    <row r="175">
      <c r="A175" s="1" t="str">
        <f>IFERROR(__xludf.DUMMYFUNCTION("""COMPUTED_VALUE"""),"Staff Of Suffering")</f>
        <v>Staff Of Suffering</v>
      </c>
      <c r="B175" s="1"/>
      <c r="C175" s="1" t="str">
        <f>IFERROR(__xludf.DUMMYFUNCTION("""COMPUTED_VALUE"""),"Staff")</f>
        <v>Staff</v>
      </c>
      <c r="D175" s="1" t="str">
        <f>IFERROR(__xludf.DUMMYFUNCTION("""COMPUTED_VALUE"""),"Hand")</f>
        <v>Hand</v>
      </c>
      <c r="E175" s="1">
        <f>IFERROR(__xludf.DUMMYFUNCTION("""COMPUTED_VALUE"""),1.0)</f>
        <v>1</v>
      </c>
      <c r="F175" s="1" t="str">
        <f>IFERROR(__xludf.DUMMYFUNCTION("""COMPUTED_VALUE""")," ++Casts a chaotic aura around 1 target dealing 1000 unblockable damage to them each time they cast a spell.")</f>
        <v> ++Casts a chaotic aura around 1 target dealing 1000 unblockable damage to them each time they cast a spell.</v>
      </c>
      <c r="G175" s="1">
        <f>IFERROR(__xludf.DUMMYFUNCTION("""COMPUTED_VALUE"""),0.0)</f>
        <v>0</v>
      </c>
      <c r="H175" s="1" t="b">
        <f>IFERROR(__xludf.DUMMYFUNCTION("""COMPUTED_VALUE"""),FALSE)</f>
        <v>0</v>
      </c>
      <c r="I175" s="1" t="str">
        <f>IFERROR(__xludf.DUMMYFUNCTION("""COMPUTED_VALUE"""),"Land of Spira")</f>
        <v>Land of Spira</v>
      </c>
    </row>
    <row r="176">
      <c r="A176" s="1" t="str">
        <f>IFERROR(__xludf.DUMMYFUNCTION("""COMPUTED_VALUE"""),"Staff of Waves")</f>
        <v>Staff of Waves</v>
      </c>
      <c r="B176" s="1"/>
      <c r="C176" s="1" t="str">
        <f>IFERROR(__xludf.DUMMYFUNCTION("""COMPUTED_VALUE"""),"Staff")</f>
        <v>Staff</v>
      </c>
      <c r="D176" s="1" t="str">
        <f>IFERROR(__xludf.DUMMYFUNCTION("""COMPUTED_VALUE"""),"Hand")</f>
        <v>Hand</v>
      </c>
      <c r="E176" s="1">
        <f>IFERROR(__xludf.DUMMYFUNCTION("""COMPUTED_VALUE"""),1.0)</f>
        <v>1</v>
      </c>
      <c r="F176" s="1" t="str">
        <f>IFERROR(__xludf.DUMMYFUNCTION("""COMPUTED_VALUE""")," ++Casts the Spell Tsunami as if you would know it.")</f>
        <v> ++Casts the Spell Tsunami as if you would know it.</v>
      </c>
      <c r="G176" s="1">
        <f>IFERROR(__xludf.DUMMYFUNCTION("""COMPUTED_VALUE"""),0.0)</f>
        <v>0</v>
      </c>
      <c r="H176" s="1" t="b">
        <f>IFERROR(__xludf.DUMMYFUNCTION("""COMPUTED_VALUE"""),FALSE)</f>
        <v>0</v>
      </c>
      <c r="I176" s="1" t="str">
        <f>IFERROR(__xludf.DUMMYFUNCTION("""COMPUTED_VALUE"""),"Land of Spira")</f>
        <v>Land of Spira</v>
      </c>
    </row>
    <row r="177">
      <c r="A177" s="1" t="str">
        <f>IFERROR(__xludf.DUMMYFUNCTION("""COMPUTED_VALUE"""),"Steel Armor")</f>
        <v>Steel Armor</v>
      </c>
      <c r="B177" s="1"/>
      <c r="C177" s="1"/>
      <c r="D177" s="1" t="str">
        <f>IFERROR(__xludf.DUMMYFUNCTION("""COMPUTED_VALUE"""),"Torso")</f>
        <v>Torso</v>
      </c>
      <c r="E177" s="1">
        <f>IFERROR(__xludf.DUMMYFUNCTION("""COMPUTED_VALUE"""),1.0)</f>
        <v>1</v>
      </c>
      <c r="F177" s="1" t="str">
        <f>IFERROR(__xludf.DUMMYFUNCTION("""COMPUTED_VALUE"""),"DEF: +20")</f>
        <v>DEF: +20</v>
      </c>
      <c r="G177" s="1">
        <f>IFERROR(__xludf.DUMMYFUNCTION("""COMPUTED_VALUE"""),0.0)</f>
        <v>0</v>
      </c>
      <c r="H177" s="1" t="b">
        <f>IFERROR(__xludf.DUMMYFUNCTION("""COMPUTED_VALUE"""),FALSE)</f>
        <v>0</v>
      </c>
      <c r="I177" s="1" t="str">
        <f>IFERROR(__xludf.DUMMYFUNCTION("""COMPUTED_VALUE"""),"Land of Spira")</f>
        <v>Land of Spira</v>
      </c>
    </row>
    <row r="178">
      <c r="A178" s="1" t="str">
        <f>IFERROR(__xludf.DUMMYFUNCTION("""COMPUTED_VALUE"""),"Steel Broadsword")</f>
        <v>Steel Broadsword</v>
      </c>
      <c r="B178" s="1"/>
      <c r="C178" s="1" t="str">
        <f>IFERROR(__xludf.DUMMYFUNCTION("""COMPUTED_VALUE"""),"Sword")</f>
        <v>Sword</v>
      </c>
      <c r="D178" s="1" t="str">
        <f>IFERROR(__xludf.DUMMYFUNCTION("""COMPUTED_VALUE"""),"Hand")</f>
        <v>Hand</v>
      </c>
      <c r="E178" s="1">
        <f>IFERROR(__xludf.DUMMYFUNCTION("""COMPUTED_VALUE"""),40.0)</f>
        <v>40</v>
      </c>
      <c r="F178" s="1" t="str">
        <f>IFERROR(__xludf.DUMMYFUNCTION("""COMPUTED_VALUE"""),"DMG: +2000")</f>
        <v>DMG: +2000</v>
      </c>
      <c r="G178" s="1">
        <f>IFERROR(__xludf.DUMMYFUNCTION("""COMPUTED_VALUE"""),60000.0)</f>
        <v>60000</v>
      </c>
      <c r="H178" s="1" t="b">
        <f>IFERROR(__xludf.DUMMYFUNCTION("""COMPUTED_VALUE"""),FALSE)</f>
        <v>0</v>
      </c>
      <c r="I178" s="1" t="str">
        <f>IFERROR(__xludf.DUMMYFUNCTION("""COMPUTED_VALUE"""),"Land of Spira")</f>
        <v>Land of Spira</v>
      </c>
    </row>
    <row r="179">
      <c r="A179" s="1" t="str">
        <f>IFERROR(__xludf.DUMMYFUNCTION("""COMPUTED_VALUE"""),"Steel Sword")</f>
        <v>Steel Sword</v>
      </c>
      <c r="B179" s="1"/>
      <c r="C179" s="1" t="str">
        <f>IFERROR(__xludf.DUMMYFUNCTION("""COMPUTED_VALUE"""),"Sword")</f>
        <v>Sword</v>
      </c>
      <c r="D179" s="1" t="str">
        <f>IFERROR(__xludf.DUMMYFUNCTION("""COMPUTED_VALUE"""),"Hand")</f>
        <v>Hand</v>
      </c>
      <c r="E179" s="1">
        <f>IFERROR(__xludf.DUMMYFUNCTION("""COMPUTED_VALUE"""),10.0)</f>
        <v>10</v>
      </c>
      <c r="F179" s="1" t="str">
        <f>IFERROR(__xludf.DUMMYFUNCTION("""COMPUTED_VALUE"""),"DMG: +500")</f>
        <v>DMG: +500</v>
      </c>
      <c r="G179" s="1">
        <f>IFERROR(__xludf.DUMMYFUNCTION("""COMPUTED_VALUE"""),1000.0)</f>
        <v>1000</v>
      </c>
      <c r="H179" s="1" t="b">
        <f>IFERROR(__xludf.DUMMYFUNCTION("""COMPUTED_VALUE"""),FALSE)</f>
        <v>0</v>
      </c>
      <c r="I179" s="1" t="str">
        <f>IFERROR(__xludf.DUMMYFUNCTION("""COMPUTED_VALUE"""),"Land of Spira")</f>
        <v>Land of Spira</v>
      </c>
    </row>
    <row r="180">
      <c r="A180" s="1" t="str">
        <f>IFERROR(__xludf.DUMMYFUNCTION("""COMPUTED_VALUE"""),"Stick of Mystery ")</f>
        <v>Stick of Mystery </v>
      </c>
      <c r="B180" s="1" t="str">
        <f>IFERROR(__xludf.DUMMYFUNCTION("""COMPUTED_VALUE"""),"Those who doubt the stick's power will suffer the stick's wrath")</f>
        <v>Those who doubt the stick's power will suffer the stick's wrath</v>
      </c>
      <c r="C180" s="1" t="str">
        <f>IFERROR(__xludf.DUMMYFUNCTION("""COMPUTED_VALUE"""),"Wand")</f>
        <v>Wand</v>
      </c>
      <c r="D180" s="1" t="str">
        <f>IFERROR(__xludf.DUMMYFUNCTION("""COMPUTED_VALUE"""),"Hand")</f>
        <v>Hand</v>
      </c>
      <c r="E180" s="1">
        <f>IFERROR(__xludf.DUMMYFUNCTION("""COMPUTED_VALUE"""),1.0)</f>
        <v>1</v>
      </c>
      <c r="F180" s="1" t="str">
        <f>IFERROR(__xludf.DUMMYFUNCTION("""COMPUTED_VALUE""")," ++roll a d20 to see what it does :)")</f>
        <v> ++roll a d20 to see what it does :)</v>
      </c>
      <c r="G180" s="1">
        <f>IFERROR(__xludf.DUMMYFUNCTION("""COMPUTED_VALUE"""),0.0)</f>
        <v>0</v>
      </c>
      <c r="H180" s="1" t="b">
        <f>IFERROR(__xludf.DUMMYFUNCTION("""COMPUTED_VALUE"""),FALSE)</f>
        <v>0</v>
      </c>
      <c r="I180" s="1" t="str">
        <f>IFERROR(__xludf.DUMMYFUNCTION("""COMPUTED_VALUE"""),"Land of Spira")</f>
        <v>Land of Spira</v>
      </c>
    </row>
    <row r="181">
      <c r="A181" s="1" t="str">
        <f>IFERROR(__xludf.DUMMYFUNCTION("""COMPUTED_VALUE"""),"Stone Arming Sword")</f>
        <v>Stone Arming Sword</v>
      </c>
      <c r="B181" s="1"/>
      <c r="C181" s="1" t="str">
        <f>IFERROR(__xludf.DUMMYFUNCTION("""COMPUTED_VALUE"""),"Sword")</f>
        <v>Sword</v>
      </c>
      <c r="D181" s="1" t="str">
        <f>IFERROR(__xludf.DUMMYFUNCTION("""COMPUTED_VALUE"""),"Hand")</f>
        <v>Hand</v>
      </c>
      <c r="E181" s="1">
        <f>IFERROR(__xludf.DUMMYFUNCTION("""COMPUTED_VALUE"""),20.0)</f>
        <v>20</v>
      </c>
      <c r="F181" s="1" t="str">
        <f>IFERROR(__xludf.DUMMYFUNCTION("""COMPUTED_VALUE"""),"DMG: +500, Dark DMG: +200")</f>
        <v>DMG: +500, Dark DMG: +200</v>
      </c>
      <c r="G181" s="1">
        <f>IFERROR(__xludf.DUMMYFUNCTION("""COMPUTED_VALUE"""),1000.0)</f>
        <v>1000</v>
      </c>
      <c r="H181" s="1" t="b">
        <f>IFERROR(__xludf.DUMMYFUNCTION("""COMPUTED_VALUE"""),FALSE)</f>
        <v>0</v>
      </c>
      <c r="I181" s="1" t="str">
        <f>IFERROR(__xludf.DUMMYFUNCTION("""COMPUTED_VALUE"""),"Land of Spira")</f>
        <v>Land of Spira</v>
      </c>
    </row>
    <row r="182">
      <c r="A182" s="1" t="str">
        <f>IFERROR(__xludf.DUMMYFUNCTION("""COMPUTED_VALUE"""),"Stone Sledgehammer")</f>
        <v>Stone Sledgehammer</v>
      </c>
      <c r="B182" s="1"/>
      <c r="C182" s="1" t="str">
        <f>IFERROR(__xludf.DUMMYFUNCTION("""COMPUTED_VALUE"""),"Club")</f>
        <v>Club</v>
      </c>
      <c r="D182" s="1" t="str">
        <f>IFERROR(__xludf.DUMMYFUNCTION("""COMPUTED_VALUE"""),"Hand")</f>
        <v>Hand</v>
      </c>
      <c r="E182" s="1">
        <f>IFERROR(__xludf.DUMMYFUNCTION("""COMPUTED_VALUE"""),20.0)</f>
        <v>20</v>
      </c>
      <c r="F182" s="1" t="str">
        <f>IFERROR(__xludf.DUMMYFUNCTION("""COMPUTED_VALUE"""),"DMG: +400, Earth DMG: +200")</f>
        <v>DMG: +400, Earth DMG: +200</v>
      </c>
      <c r="G182" s="1">
        <f>IFERROR(__xludf.DUMMYFUNCTION("""COMPUTED_VALUE"""),1000.0)</f>
        <v>1000</v>
      </c>
      <c r="H182" s="1" t="b">
        <f>IFERROR(__xludf.DUMMYFUNCTION("""COMPUTED_VALUE"""),FALSE)</f>
        <v>0</v>
      </c>
      <c r="I182" s="1" t="str">
        <f>IFERROR(__xludf.DUMMYFUNCTION("""COMPUTED_VALUE"""),"Land of Spira")</f>
        <v>Land of Spira</v>
      </c>
    </row>
    <row r="183">
      <c r="A183" s="1" t="str">
        <f>IFERROR(__xludf.DUMMYFUNCTION("""COMPUTED_VALUE"""),"Stone Small Shield")</f>
        <v>Stone Small Shield</v>
      </c>
      <c r="B183" s="1"/>
      <c r="C183" s="1" t="str">
        <f>IFERROR(__xludf.DUMMYFUNCTION("""COMPUTED_VALUE"""),"Buckler")</f>
        <v>Buckler</v>
      </c>
      <c r="D183" s="1" t="str">
        <f>IFERROR(__xludf.DUMMYFUNCTION("""COMPUTED_VALUE"""),"Hand")</f>
        <v>Hand</v>
      </c>
      <c r="E183" s="1">
        <f>IFERROR(__xludf.DUMMYFUNCTION("""COMPUTED_VALUE"""),1.0)</f>
        <v>1</v>
      </c>
      <c r="F183" s="1" t="str">
        <f>IFERROR(__xludf.DUMMYFUNCTION("""COMPUTED_VALUE"""),"DEF: +100")</f>
        <v>DEF: +100</v>
      </c>
      <c r="G183" s="1">
        <f>IFERROR(__xludf.DUMMYFUNCTION("""COMPUTED_VALUE"""),0.0)</f>
        <v>0</v>
      </c>
      <c r="H183" s="1" t="b">
        <f>IFERROR(__xludf.DUMMYFUNCTION("""COMPUTED_VALUE"""),FALSE)</f>
        <v>0</v>
      </c>
      <c r="I183" s="1" t="str">
        <f>IFERROR(__xludf.DUMMYFUNCTION("""COMPUTED_VALUE"""),"Land of Spira")</f>
        <v>Land of Spira</v>
      </c>
    </row>
    <row r="184">
      <c r="A184" s="1" t="str">
        <f>IFERROR(__xludf.DUMMYFUNCTION("""COMPUTED_VALUE"""),"Stonewall Shield")</f>
        <v>Stonewall Shield</v>
      </c>
      <c r="B184" s="1"/>
      <c r="C184" s="1" t="str">
        <f>IFERROR(__xludf.DUMMYFUNCTION("""COMPUTED_VALUE"""),"Towershield")</f>
        <v>Towershield</v>
      </c>
      <c r="D184" s="1" t="str">
        <f>IFERROR(__xludf.DUMMYFUNCTION("""COMPUTED_VALUE"""),"Hand")</f>
        <v>Hand</v>
      </c>
      <c r="E184" s="1">
        <f>IFERROR(__xludf.DUMMYFUNCTION("""COMPUTED_VALUE"""),10.0)</f>
        <v>10</v>
      </c>
      <c r="F184" s="1" t="str">
        <f>IFERROR(__xludf.DUMMYFUNCTION("""COMPUTED_VALUE"""),"DEF: +500 ++Immunity to earth")</f>
        <v>DEF: +500 ++Immunity to earth</v>
      </c>
      <c r="G184" s="1">
        <f>IFERROR(__xludf.DUMMYFUNCTION("""COMPUTED_VALUE"""),1000.0)</f>
        <v>1000</v>
      </c>
      <c r="H184" s="1" t="b">
        <f>IFERROR(__xludf.DUMMYFUNCTION("""COMPUTED_VALUE"""),FALSE)</f>
        <v>0</v>
      </c>
      <c r="I184" s="1" t="str">
        <f>IFERROR(__xludf.DUMMYFUNCTION("""COMPUTED_VALUE"""),"Land of Spira")</f>
        <v>Land of Spira</v>
      </c>
    </row>
    <row r="185">
      <c r="A185" s="1" t="str">
        <f>IFERROR(__xludf.DUMMYFUNCTION("""COMPUTED_VALUE"""),"Sturdy Wooden Shield")</f>
        <v>Sturdy Wooden Shield</v>
      </c>
      <c r="B185" s="1" t="str">
        <f>IFERROR(__xludf.DUMMYFUNCTION("""COMPUTED_VALUE"""),"A wooden shield")</f>
        <v>A wooden shield</v>
      </c>
      <c r="C185" s="1" t="str">
        <f>IFERROR(__xludf.DUMMYFUNCTION("""COMPUTED_VALUE"""),"Towershield")</f>
        <v>Towershield</v>
      </c>
      <c r="D185" s="1" t="str">
        <f>IFERROR(__xludf.DUMMYFUNCTION("""COMPUTED_VALUE"""),"Hand")</f>
        <v>Hand</v>
      </c>
      <c r="E185" s="1">
        <f>IFERROR(__xludf.DUMMYFUNCTION("""COMPUTED_VALUE"""),1.0)</f>
        <v>1</v>
      </c>
      <c r="F185" s="1" t="str">
        <f>IFERROR(__xludf.DUMMYFUNCTION("""COMPUTED_VALUE"""),"DEF: +50")</f>
        <v>DEF: +50</v>
      </c>
      <c r="G185" s="1">
        <f>IFERROR(__xludf.DUMMYFUNCTION("""COMPUTED_VALUE"""),0.0)</f>
        <v>0</v>
      </c>
      <c r="H185" s="1" t="b">
        <f>IFERROR(__xludf.DUMMYFUNCTION("""COMPUTED_VALUE"""),FALSE)</f>
        <v>0</v>
      </c>
      <c r="I185" s="1" t="str">
        <f>IFERROR(__xludf.DUMMYFUNCTION("""COMPUTED_VALUE"""),"Land of Spira")</f>
        <v>Land of Spira</v>
      </c>
    </row>
    <row r="186">
      <c r="A186" s="1" t="str">
        <f>IFERROR(__xludf.DUMMYFUNCTION("""COMPUTED_VALUE"""),"Swampville Dagger")</f>
        <v>Swampville Dagger</v>
      </c>
      <c r="B186" s="1"/>
      <c r="C186" s="1" t="str">
        <f>IFERROR(__xludf.DUMMYFUNCTION("""COMPUTED_VALUE"""),"Knife")</f>
        <v>Knife</v>
      </c>
      <c r="D186" s="1" t="str">
        <f>IFERROR(__xludf.DUMMYFUNCTION("""COMPUTED_VALUE"""),"Hand")</f>
        <v>Hand</v>
      </c>
      <c r="E186" s="1">
        <f>IFERROR(__xludf.DUMMYFUNCTION("""COMPUTED_VALUE"""),400.0)</f>
        <v>400</v>
      </c>
      <c r="F186" s="1" t="str">
        <f>IFERROR(__xludf.DUMMYFUNCTION("""COMPUTED_VALUE"""),"DMG: +10000, Nature DMG: +10000 ++Poison 5000 for 3 rounds.")</f>
        <v>DMG: +10000, Nature DMG: +10000 ++Poison 5000 for 3 rounds.</v>
      </c>
      <c r="G186" s="1">
        <f>IFERROR(__xludf.DUMMYFUNCTION("""COMPUTED_VALUE"""),7800000.0)</f>
        <v>7800000</v>
      </c>
      <c r="H186" s="1" t="b">
        <f>IFERROR(__xludf.DUMMYFUNCTION("""COMPUTED_VALUE"""),FALSE)</f>
        <v>0</v>
      </c>
      <c r="I186" s="1" t="str">
        <f>IFERROR(__xludf.DUMMYFUNCTION("""COMPUTED_VALUE"""),"Land of Spira")</f>
        <v>Land of Spira</v>
      </c>
    </row>
    <row r="187">
      <c r="A187" s="1" t="str">
        <f>IFERROR(__xludf.DUMMYFUNCTION("""COMPUTED_VALUE"""),"Sword of Chaotic Shadows")</f>
        <v>Sword of Chaotic Shadows</v>
      </c>
      <c r="B187" s="1"/>
      <c r="C187" s="1" t="str">
        <f>IFERROR(__xludf.DUMMYFUNCTION("""COMPUTED_VALUE"""),"Sword")</f>
        <v>Sword</v>
      </c>
      <c r="D187" s="1" t="str">
        <f>IFERROR(__xludf.DUMMYFUNCTION("""COMPUTED_VALUE"""),"Hand")</f>
        <v>Hand</v>
      </c>
      <c r="E187" s="1">
        <f>IFERROR(__xludf.DUMMYFUNCTION("""COMPUTED_VALUE"""),600.0)</f>
        <v>600</v>
      </c>
      <c r="F187" s="1" t="str">
        <f>IFERROR(__xludf.DUMMYFUNCTION("""COMPUTED_VALUE"""),"DMG: +10000, Dark DMG: +10000, Chaos DMG: +10000")</f>
        <v>DMG: +10000, Dark DMG: +10000, Chaos DMG: +10000</v>
      </c>
      <c r="G187" s="1">
        <f>IFERROR(__xludf.DUMMYFUNCTION("""COMPUTED_VALUE"""),1.77E7)</f>
        <v>17700000</v>
      </c>
      <c r="H187" s="1" t="b">
        <f>IFERROR(__xludf.DUMMYFUNCTION("""COMPUTED_VALUE"""),FALSE)</f>
        <v>0</v>
      </c>
      <c r="I187" s="1" t="str">
        <f>IFERROR(__xludf.DUMMYFUNCTION("""COMPUTED_VALUE"""),"Land of Spira")</f>
        <v>Land of Spira</v>
      </c>
    </row>
    <row r="188">
      <c r="A188" s="1" t="str">
        <f>IFERROR(__xludf.DUMMYFUNCTION("""COMPUTED_VALUE"""),"Sword Of Darkness")</f>
        <v>Sword Of Darkness</v>
      </c>
      <c r="B188" s="1"/>
      <c r="C188" s="1" t="str">
        <f>IFERROR(__xludf.DUMMYFUNCTION("""COMPUTED_VALUE"""),"Sword")</f>
        <v>Sword</v>
      </c>
      <c r="D188" s="1" t="str">
        <f>IFERROR(__xludf.DUMMYFUNCTION("""COMPUTED_VALUE"""),"Hand")</f>
        <v>Hand</v>
      </c>
      <c r="E188" s="1">
        <f>IFERROR(__xludf.DUMMYFUNCTION("""COMPUTED_VALUE"""),20.0)</f>
        <v>20</v>
      </c>
      <c r="F188" s="1" t="str">
        <f>IFERROR(__xludf.DUMMYFUNCTION("""COMPUTED_VALUE"""),"DMG: +500, Dark DMG: +200")</f>
        <v>DMG: +500, Dark DMG: +200</v>
      </c>
      <c r="G188" s="1">
        <f>IFERROR(__xludf.DUMMYFUNCTION("""COMPUTED_VALUE"""),1000.0)</f>
        <v>1000</v>
      </c>
      <c r="H188" s="1" t="b">
        <f>IFERROR(__xludf.DUMMYFUNCTION("""COMPUTED_VALUE"""),FALSE)</f>
        <v>0</v>
      </c>
      <c r="I188" s="1" t="str">
        <f>IFERROR(__xludf.DUMMYFUNCTION("""COMPUTED_VALUE"""),"Land of Spira")</f>
        <v>Land of Spira</v>
      </c>
    </row>
    <row r="189">
      <c r="A189" s="1" t="str">
        <f>IFERROR(__xludf.DUMMYFUNCTION("""COMPUTED_VALUE"""),"Sword of Disorder")</f>
        <v>Sword of Disorder</v>
      </c>
      <c r="B189" s="1"/>
      <c r="C189" s="1" t="str">
        <f>IFERROR(__xludf.DUMMYFUNCTION("""COMPUTED_VALUE"""),"Sword")</f>
        <v>Sword</v>
      </c>
      <c r="D189" s="1" t="str">
        <f>IFERROR(__xludf.DUMMYFUNCTION("""COMPUTED_VALUE"""),"Hand")</f>
        <v>Hand</v>
      </c>
      <c r="E189" s="1">
        <f>IFERROR(__xludf.DUMMYFUNCTION("""COMPUTED_VALUE"""),1.0)</f>
        <v>1</v>
      </c>
      <c r="F189" s="1" t="str">
        <f>IFERROR(__xludf.DUMMYFUNCTION("""COMPUTED_VALUE""")," ++Make a fail or succeed roll while attacking to determine the effect. Fail = 1 damage. Succeed = 50,000 Chaos damage.
")</f>
        <v> ++Make a fail or succeed roll while attacking to determine the effect. Fail = 1 damage. Succeed = 50,000 Chaos damage.
</v>
      </c>
      <c r="G189" s="1">
        <f>IFERROR(__xludf.DUMMYFUNCTION("""COMPUTED_VALUE"""),0.0)</f>
        <v>0</v>
      </c>
      <c r="H189" s="1" t="b">
        <f>IFERROR(__xludf.DUMMYFUNCTION("""COMPUTED_VALUE"""),FALSE)</f>
        <v>0</v>
      </c>
      <c r="I189" s="1" t="str">
        <f>IFERROR(__xludf.DUMMYFUNCTION("""COMPUTED_VALUE"""),"Land of Spira")</f>
        <v>Land of Spira</v>
      </c>
    </row>
    <row r="190">
      <c r="A190" s="1" t="str">
        <f>IFERROR(__xludf.DUMMYFUNCTION("""COMPUTED_VALUE"""),"Sword Of Divine Flames")</f>
        <v>Sword Of Divine Flames</v>
      </c>
      <c r="B190" s="1"/>
      <c r="C190" s="1" t="str">
        <f>IFERROR(__xludf.DUMMYFUNCTION("""COMPUTED_VALUE"""),"Sword")</f>
        <v>Sword</v>
      </c>
      <c r="D190" s="1" t="str">
        <f>IFERROR(__xludf.DUMMYFUNCTION("""COMPUTED_VALUE"""),"Hand")</f>
        <v>Hand</v>
      </c>
      <c r="E190" s="1">
        <f>IFERROR(__xludf.DUMMYFUNCTION("""COMPUTED_VALUE"""),300.0)</f>
        <v>300</v>
      </c>
      <c r="F190" s="1" t="str">
        <f>IFERROR(__xludf.DUMMYFUNCTION("""COMPUTED_VALUE"""),"DMG: +10000, Fire DMG: +5000 ++Divine Flame - Fire spells and weapons will deal an additional X2 damage while this weapon is equipped")</f>
        <v>DMG: +10000, Fire DMG: +5000 ++Divine Flame - Fire spells and weapons will deal an additional X2 damage while this weapon is equipped</v>
      </c>
      <c r="G190" s="1">
        <f>IFERROR(__xludf.DUMMYFUNCTION("""COMPUTED_VALUE"""),4350000.0)</f>
        <v>4350000</v>
      </c>
      <c r="H190" s="1" t="b">
        <f>IFERROR(__xludf.DUMMYFUNCTION("""COMPUTED_VALUE"""),FALSE)</f>
        <v>0</v>
      </c>
      <c r="I190" s="1" t="str">
        <f>IFERROR(__xludf.DUMMYFUNCTION("""COMPUTED_VALUE"""),"Land of Spira")</f>
        <v>Land of Spira</v>
      </c>
    </row>
    <row r="191">
      <c r="A191" s="1" t="str">
        <f>IFERROR(__xludf.DUMMYFUNCTION("""COMPUTED_VALUE"""),"Sword of Eternal darkness")</f>
        <v>Sword of Eternal darkness</v>
      </c>
      <c r="B191" s="1"/>
      <c r="C191" s="1" t="str">
        <f>IFERROR(__xludf.DUMMYFUNCTION("""COMPUTED_VALUE"""),"Sword")</f>
        <v>Sword</v>
      </c>
      <c r="D191" s="1" t="str">
        <f>IFERROR(__xludf.DUMMYFUNCTION("""COMPUTED_VALUE"""),"Hand")</f>
        <v>Hand</v>
      </c>
      <c r="E191" s="1">
        <f>IFERROR(__xludf.DUMMYFUNCTION("""COMPUTED_VALUE"""),30.0)</f>
        <v>30</v>
      </c>
      <c r="F191" s="1" t="str">
        <f>IFERROR(__xludf.DUMMYFUNCTION("""COMPUTED_VALUE"""),"DMG: +500, Dark DMG: +600")</f>
        <v>DMG: +500, Dark DMG: +600</v>
      </c>
      <c r="G191" s="1">
        <f>IFERROR(__xludf.DUMMYFUNCTION("""COMPUTED_VALUE"""),10000.0)</f>
        <v>10000</v>
      </c>
      <c r="H191" s="1" t="b">
        <f>IFERROR(__xludf.DUMMYFUNCTION("""COMPUTED_VALUE"""),FALSE)</f>
        <v>0</v>
      </c>
      <c r="I191" s="1" t="str">
        <f>IFERROR(__xludf.DUMMYFUNCTION("""COMPUTED_VALUE"""),"Land of Spira")</f>
        <v>Land of Spira</v>
      </c>
    </row>
    <row r="192">
      <c r="A192" s="1" t="str">
        <f>IFERROR(__xludf.DUMMYFUNCTION("""COMPUTED_VALUE"""),"Sword of Nature’s Love")</f>
        <v>Sword of Nature’s Love</v>
      </c>
      <c r="B192" s="1"/>
      <c r="C192" s="1" t="str">
        <f>IFERROR(__xludf.DUMMYFUNCTION("""COMPUTED_VALUE"""),"Sword")</f>
        <v>Sword</v>
      </c>
      <c r="D192" s="1" t="str">
        <f>IFERROR(__xludf.DUMMYFUNCTION("""COMPUTED_VALUE"""),"Hand")</f>
        <v>Hand</v>
      </c>
      <c r="E192" s="1">
        <f>IFERROR(__xludf.DUMMYFUNCTION("""COMPUTED_VALUE"""),160.0)</f>
        <v>160</v>
      </c>
      <c r="F192" s="1" t="str">
        <f>IFERROR(__xludf.DUMMYFUNCTION("""COMPUTED_VALUE"""),"DMG: +4000, Nature DMG: +4000 ++Nature's Power - any damage dealt by this weapon gives HP back to the user equal to the damage dealt.")</f>
        <v>DMG: +4000, Nature DMG: +4000 ++Nature's Power - any damage dealt by this weapon gives HP back to the user equal to the damage dealt.</v>
      </c>
      <c r="G192" s="1">
        <f>IFERROR(__xludf.DUMMYFUNCTION("""COMPUTED_VALUE"""),1200000.0)</f>
        <v>1200000</v>
      </c>
      <c r="H192" s="1" t="b">
        <f>IFERROR(__xludf.DUMMYFUNCTION("""COMPUTED_VALUE"""),FALSE)</f>
        <v>0</v>
      </c>
      <c r="I192" s="1" t="str">
        <f>IFERROR(__xludf.DUMMYFUNCTION("""COMPUTED_VALUE"""),"Land of Spira")</f>
        <v>Land of Spira</v>
      </c>
    </row>
    <row r="193">
      <c r="A193" s="1" t="str">
        <f>IFERROR(__xludf.DUMMYFUNCTION("""COMPUTED_VALUE"""),"Sword of Shadows")</f>
        <v>Sword of Shadows</v>
      </c>
      <c r="B193" s="1"/>
      <c r="C193" s="1" t="str">
        <f>IFERROR(__xludf.DUMMYFUNCTION("""COMPUTED_VALUE"""),"Sword")</f>
        <v>Sword</v>
      </c>
      <c r="D193" s="1" t="str">
        <f>IFERROR(__xludf.DUMMYFUNCTION("""COMPUTED_VALUE"""),"Hand")</f>
        <v>Hand</v>
      </c>
      <c r="E193" s="1">
        <f>IFERROR(__xludf.DUMMYFUNCTION("""COMPUTED_VALUE"""),30.0)</f>
        <v>30</v>
      </c>
      <c r="F193" s="1" t="str">
        <f>IFERROR(__xludf.DUMMYFUNCTION("""COMPUTED_VALUE"""),"DMG: +1000, Dark DMG: +500")</f>
        <v>DMG: +1000, Dark DMG: +500</v>
      </c>
      <c r="G193" s="1">
        <f>IFERROR(__xludf.DUMMYFUNCTION("""COMPUTED_VALUE"""),30000.0)</f>
        <v>30000</v>
      </c>
      <c r="H193" s="1" t="b">
        <f>IFERROR(__xludf.DUMMYFUNCTION("""COMPUTED_VALUE"""),FALSE)</f>
        <v>0</v>
      </c>
      <c r="I193" s="1" t="str">
        <f>IFERROR(__xludf.DUMMYFUNCTION("""COMPUTED_VALUE"""),"Land of Spira")</f>
        <v>Land of Spira</v>
      </c>
    </row>
    <row r="194">
      <c r="A194" s="1" t="str">
        <f>IFERROR(__xludf.DUMMYFUNCTION("""COMPUTED_VALUE"""),"Sword of Steel")</f>
        <v>Sword of Steel</v>
      </c>
      <c r="B194" s="1"/>
      <c r="C194" s="1" t="str">
        <f>IFERROR(__xludf.DUMMYFUNCTION("""COMPUTED_VALUE"""),"Sword")</f>
        <v>Sword</v>
      </c>
      <c r="D194" s="1" t="str">
        <f>IFERROR(__xludf.DUMMYFUNCTION("""COMPUTED_VALUE"""),"Hand")</f>
        <v>Hand</v>
      </c>
      <c r="E194" s="1">
        <f>IFERROR(__xludf.DUMMYFUNCTION("""COMPUTED_VALUE"""),1.0)</f>
        <v>1</v>
      </c>
      <c r="F194" s="1" t="str">
        <f>IFERROR(__xludf.DUMMYFUNCTION("""COMPUTED_VALUE"""),"DMG: +300")</f>
        <v>DMG: +300</v>
      </c>
      <c r="G194" s="1">
        <f>IFERROR(__xludf.DUMMYFUNCTION("""COMPUTED_VALUE"""),0.0)</f>
        <v>0</v>
      </c>
      <c r="H194" s="1" t="b">
        <f>IFERROR(__xludf.DUMMYFUNCTION("""COMPUTED_VALUE"""),FALSE)</f>
        <v>0</v>
      </c>
      <c r="I194" s="1" t="str">
        <f>IFERROR(__xludf.DUMMYFUNCTION("""COMPUTED_VALUE"""),"Land of Spira")</f>
        <v>Land of Spira</v>
      </c>
    </row>
    <row r="195">
      <c r="A195" s="1" t="str">
        <f>IFERROR(__xludf.DUMMYFUNCTION("""COMPUTED_VALUE"""),"Sword of The Abyss")</f>
        <v>Sword of The Abyss</v>
      </c>
      <c r="B195" s="1"/>
      <c r="C195" s="1" t="str">
        <f>IFERROR(__xludf.DUMMYFUNCTION("""COMPUTED_VALUE"""),"Sword")</f>
        <v>Sword</v>
      </c>
      <c r="D195" s="1" t="str">
        <f>IFERROR(__xludf.DUMMYFUNCTION("""COMPUTED_VALUE"""),"Hand")</f>
        <v>Hand</v>
      </c>
      <c r="E195" s="1">
        <f>IFERROR(__xludf.DUMMYFUNCTION("""COMPUTED_VALUE"""),260.0)</f>
        <v>260</v>
      </c>
      <c r="F195" s="1" t="str">
        <f>IFERROR(__xludf.DUMMYFUNCTION("""COMPUTED_VALUE"""),"DMG: +8000, Dark DMG: +5000 ++Abyss Embodiment - dark damage is increased by X2 for the user.")</f>
        <v>DMG: +8000, Dark DMG: +5000 ++Abyss Embodiment - dark damage is increased by X2 for the user.</v>
      </c>
      <c r="G195" s="1">
        <f>IFERROR(__xludf.DUMMYFUNCTION("""COMPUTED_VALUE"""),3250000.0)</f>
        <v>3250000</v>
      </c>
      <c r="H195" s="1" t="b">
        <f>IFERROR(__xludf.DUMMYFUNCTION("""COMPUTED_VALUE"""),FALSE)</f>
        <v>0</v>
      </c>
      <c r="I195" s="1" t="str">
        <f>IFERROR(__xludf.DUMMYFUNCTION("""COMPUTED_VALUE"""),"Land of Spira")</f>
        <v>Land of Spira</v>
      </c>
    </row>
    <row r="196">
      <c r="A196" s="1" t="str">
        <f>IFERROR(__xludf.DUMMYFUNCTION("""COMPUTED_VALUE"""),"Sword of The Ancient Fire Serpent")</f>
        <v>Sword of The Ancient Fire Serpent</v>
      </c>
      <c r="B196" s="1"/>
      <c r="C196" s="1" t="str">
        <f>IFERROR(__xludf.DUMMYFUNCTION("""COMPUTED_VALUE"""),"Sword")</f>
        <v>Sword</v>
      </c>
      <c r="D196" s="1" t="str">
        <f>IFERROR(__xludf.DUMMYFUNCTION("""COMPUTED_VALUE"""),"Hand")</f>
        <v>Hand</v>
      </c>
      <c r="E196" s="1">
        <f>IFERROR(__xludf.DUMMYFUNCTION("""COMPUTED_VALUE"""),2000.0)</f>
        <v>2000</v>
      </c>
      <c r="F196" s="1" t="str">
        <f>IFERROR(__xludf.DUMMYFUNCTION("""COMPUTED_VALUE"""),"DMG: +50000, Fire DMG: +50000 ++ Burn 50,000. ++Serpents Luck - +5 can be added to the users d20 rolls. +-Cannot be duplicated.")</f>
        <v>DMG: +50000, Fire DMG: +50000 ++ Burn 50,000. ++Serpents Luck - +5 can be added to the users d20 rolls. +-Cannot be duplicated.</v>
      </c>
      <c r="G196" s="1">
        <f>IFERROR(__xludf.DUMMYFUNCTION("""COMPUTED_VALUE"""),1.99E8)</f>
        <v>199000000</v>
      </c>
      <c r="H196" s="1" t="b">
        <f>IFERROR(__xludf.DUMMYFUNCTION("""COMPUTED_VALUE"""),FALSE)</f>
        <v>0</v>
      </c>
      <c r="I196" s="1" t="str">
        <f>IFERROR(__xludf.DUMMYFUNCTION("""COMPUTED_VALUE"""),"Land of Spira")</f>
        <v>Land of Spira</v>
      </c>
    </row>
    <row r="197">
      <c r="A197" s="1" t="str">
        <f>IFERROR(__xludf.DUMMYFUNCTION("""COMPUTED_VALUE"""),"Sword of The Burning Forest")</f>
        <v>Sword of The Burning Forest</v>
      </c>
      <c r="B197" s="1" t="str">
        <f>IFERROR(__xludf.DUMMYFUNCTION("""COMPUTED_VALUE"""),"A sword forged by mekana to obliterate natural environments.")</f>
        <v>A sword forged by mekana to obliterate natural environments.</v>
      </c>
      <c r="C197" s="1" t="str">
        <f>IFERROR(__xludf.DUMMYFUNCTION("""COMPUTED_VALUE"""),"Sword")</f>
        <v>Sword</v>
      </c>
      <c r="D197" s="1" t="str">
        <f>IFERROR(__xludf.DUMMYFUNCTION("""COMPUTED_VALUE"""),"Hand")</f>
        <v>Hand</v>
      </c>
      <c r="E197" s="1">
        <f>IFERROR(__xludf.DUMMYFUNCTION("""COMPUTED_VALUE"""),600.0)</f>
        <v>600</v>
      </c>
      <c r="F197" s="1" t="str">
        <f>IFERROR(__xludf.DUMMYFUNCTION("""COMPUTED_VALUE"""),"DMG: +20000, Fire DMG: +10000 ++Forest Fire- Burn 10,000, x4 fire damage while in a natural environment.")</f>
        <v>DMG: +20000, Fire DMG: +10000 ++Forest Fire- Burn 10,000, x4 fire damage while in a natural environment.</v>
      </c>
      <c r="G197" s="1">
        <f>IFERROR(__xludf.DUMMYFUNCTION("""COMPUTED_VALUE"""),1.77E7)</f>
        <v>17700000</v>
      </c>
      <c r="H197" s="1" t="b">
        <f>IFERROR(__xludf.DUMMYFUNCTION("""COMPUTED_VALUE"""),FALSE)</f>
        <v>0</v>
      </c>
      <c r="I197" s="1" t="str">
        <f>IFERROR(__xludf.DUMMYFUNCTION("""COMPUTED_VALUE"""),"Land of Spira")</f>
        <v>Land of Spira</v>
      </c>
    </row>
    <row r="198">
      <c r="A198" s="1" t="str">
        <f>IFERROR(__xludf.DUMMYFUNCTION("""COMPUTED_VALUE"""),"Sword of The Crystal Chosen")</f>
        <v>Sword of The Crystal Chosen</v>
      </c>
      <c r="B198" s="1"/>
      <c r="C198" s="1" t="str">
        <f>IFERROR(__xludf.DUMMYFUNCTION("""COMPUTED_VALUE"""),"Sword")</f>
        <v>Sword</v>
      </c>
      <c r="D198" s="1" t="str">
        <f>IFERROR(__xludf.DUMMYFUNCTION("""COMPUTED_VALUE"""),"Hand")</f>
        <v>Hand</v>
      </c>
      <c r="E198" s="1">
        <f>IFERROR(__xludf.DUMMYFUNCTION("""COMPUTED_VALUE"""),400.0)</f>
        <v>400</v>
      </c>
      <c r="F198" s="1" t="str">
        <f>IFERROR(__xludf.DUMMYFUNCTION("""COMPUTED_VALUE"""),"DMG: +10000, Earth DMG: +10000 ++The Chosen Crystal - When Equipped any damage dealt by a Crystal or Gem related weapon is X4. +-Cannot be duplicated.")</f>
        <v>DMG: +10000, Earth DMG: +10000 ++The Chosen Crystal - When Equipped any damage dealt by a Crystal or Gem related weapon is X4. +-Cannot be duplicated.</v>
      </c>
      <c r="G198" s="1">
        <f>IFERROR(__xludf.DUMMYFUNCTION("""COMPUTED_VALUE"""),7800000.0)</f>
        <v>7800000</v>
      </c>
      <c r="H198" s="1" t="b">
        <f>IFERROR(__xludf.DUMMYFUNCTION("""COMPUTED_VALUE"""),FALSE)</f>
        <v>0</v>
      </c>
      <c r="I198" s="1" t="str">
        <f>IFERROR(__xludf.DUMMYFUNCTION("""COMPUTED_VALUE"""),"Land of Spira")</f>
        <v>Land of Spira</v>
      </c>
    </row>
    <row r="199">
      <c r="A199" s="1" t="str">
        <f>IFERROR(__xludf.DUMMYFUNCTION("""COMPUTED_VALUE"""),"Sword Of The Honorable Samurai")</f>
        <v>Sword Of The Honorable Samurai</v>
      </c>
      <c r="B199" s="1"/>
      <c r="C199" s="1" t="str">
        <f>IFERROR(__xludf.DUMMYFUNCTION("""COMPUTED_VALUE"""),"Sword")</f>
        <v>Sword</v>
      </c>
      <c r="D199" s="1" t="str">
        <f>IFERROR(__xludf.DUMMYFUNCTION("""COMPUTED_VALUE"""),"Hand")</f>
        <v>Hand</v>
      </c>
      <c r="E199" s="1">
        <f>IFERROR(__xludf.DUMMYFUNCTION("""COMPUTED_VALUE"""),400.0)</f>
        <v>400</v>
      </c>
      <c r="F199" s="1" t="str">
        <f>IFERROR(__xludf.DUMMYFUNCTION("""COMPUTED_VALUE"""),"DMG: +10000, Light DMG: +5000, Order DMG: +5000")</f>
        <v>DMG: +10000, Light DMG: +5000, Order DMG: +5000</v>
      </c>
      <c r="G199" s="1">
        <f>IFERROR(__xludf.DUMMYFUNCTION("""COMPUTED_VALUE"""),7800000.0)</f>
        <v>7800000</v>
      </c>
      <c r="H199" s="1" t="b">
        <f>IFERROR(__xludf.DUMMYFUNCTION("""COMPUTED_VALUE"""),FALSE)</f>
        <v>0</v>
      </c>
      <c r="I199" s="1" t="str">
        <f>IFERROR(__xludf.DUMMYFUNCTION("""COMPUTED_VALUE"""),"Land of Spira")</f>
        <v>Land of Spira</v>
      </c>
    </row>
    <row r="200">
      <c r="A200" s="1" t="str">
        <f>IFERROR(__xludf.DUMMYFUNCTION("""COMPUTED_VALUE"""),"Sword of The Sea Serpent")</f>
        <v>Sword of The Sea Serpent</v>
      </c>
      <c r="B200" s="1"/>
      <c r="C200" s="1" t="str">
        <f>IFERROR(__xludf.DUMMYFUNCTION("""COMPUTED_VALUE"""),"Sword")</f>
        <v>Sword</v>
      </c>
      <c r="D200" s="1" t="str">
        <f>IFERROR(__xludf.DUMMYFUNCTION("""COMPUTED_VALUE"""),"Hand")</f>
        <v>Hand</v>
      </c>
      <c r="E200" s="1">
        <f>IFERROR(__xludf.DUMMYFUNCTION("""COMPUTED_VALUE"""),400.0)</f>
        <v>400</v>
      </c>
      <c r="F200" s="1" t="str">
        <f>IFERROR(__xludf.DUMMYFUNCTION("""COMPUTED_VALUE"""),"DMG: +10000, Water DMG: +10000 ++X2 Additional water damage for self, ++Sea Serpents Call: Upon a succesful hit there will be a 50% chance of summoning a sea serpent to aid you in battle if the battle is in water.")</f>
        <v>DMG: +10000, Water DMG: +10000 ++X2 Additional water damage for self, ++Sea Serpents Call: Upon a succesful hit there will be a 50% chance of summoning a sea serpent to aid you in battle if the battle is in water.</v>
      </c>
      <c r="G200" s="1">
        <f>IFERROR(__xludf.DUMMYFUNCTION("""COMPUTED_VALUE"""),7800000.0)</f>
        <v>7800000</v>
      </c>
      <c r="H200" s="1" t="b">
        <f>IFERROR(__xludf.DUMMYFUNCTION("""COMPUTED_VALUE"""),FALSE)</f>
        <v>0</v>
      </c>
      <c r="I200" s="1" t="str">
        <f>IFERROR(__xludf.DUMMYFUNCTION("""COMPUTED_VALUE"""),"Land of Spira")</f>
        <v>Land of Spira</v>
      </c>
    </row>
    <row r="201">
      <c r="A201" s="1" t="str">
        <f>IFERROR(__xludf.DUMMYFUNCTION("""COMPUTED_VALUE"""),"Sword of the Vampire’s Lust")</f>
        <v>Sword of the Vampire’s Lust</v>
      </c>
      <c r="B201" s="1"/>
      <c r="C201" s="1" t="str">
        <f>IFERROR(__xludf.DUMMYFUNCTION("""COMPUTED_VALUE"""),"Sword")</f>
        <v>Sword</v>
      </c>
      <c r="D201" s="1" t="str">
        <f>IFERROR(__xludf.DUMMYFUNCTION("""COMPUTED_VALUE"""),"Hand")</f>
        <v>Hand</v>
      </c>
      <c r="E201" s="1">
        <f>IFERROR(__xludf.DUMMYFUNCTION("""COMPUTED_VALUE"""),800.0)</f>
        <v>800</v>
      </c>
      <c r="F201" s="1" t="str">
        <f>IFERROR(__xludf.DUMMYFUNCTION("""COMPUTED_VALUE"""),"DMG: +10000, Fire DMG: +10000, Dark DMG: +10000, Spirit DMG: +5000, Chaos DMG: +5000 ++Damage dealt by this weapon gives you hp back equal to the damage you deal")</f>
        <v>DMG: +10000, Fire DMG: +10000, Dark DMG: +10000, Spirit DMG: +5000, Chaos DMG: +5000 ++Damage dealt by this weapon gives you hp back equal to the damage you deal</v>
      </c>
      <c r="G201" s="1">
        <f>IFERROR(__xludf.DUMMYFUNCTION("""COMPUTED_VALUE"""),3.16E7)</f>
        <v>31600000</v>
      </c>
      <c r="H201" s="1" t="b">
        <f>IFERROR(__xludf.DUMMYFUNCTION("""COMPUTED_VALUE"""),FALSE)</f>
        <v>0</v>
      </c>
      <c r="I201" s="1" t="str">
        <f>IFERROR(__xludf.DUMMYFUNCTION("""COMPUTED_VALUE"""),"Land of Spira")</f>
        <v>Land of Spira</v>
      </c>
    </row>
    <row r="202">
      <c r="A202" s="1" t="str">
        <f>IFERROR(__xludf.DUMMYFUNCTION("""COMPUTED_VALUE"""),"Sword of The Waking Waters")</f>
        <v>Sword of The Waking Waters</v>
      </c>
      <c r="B202" s="1"/>
      <c r="C202" s="1" t="str">
        <f>IFERROR(__xludf.DUMMYFUNCTION("""COMPUTED_VALUE"""),"Sword")</f>
        <v>Sword</v>
      </c>
      <c r="D202" s="1" t="str">
        <f>IFERROR(__xludf.DUMMYFUNCTION("""COMPUTED_VALUE"""),"Hand")</f>
        <v>Hand</v>
      </c>
      <c r="E202" s="1">
        <f>IFERROR(__xludf.DUMMYFUNCTION("""COMPUTED_VALUE"""),800.0)</f>
        <v>800</v>
      </c>
      <c r="F202" s="1" t="str">
        <f>IFERROR(__xludf.DUMMYFUNCTION("""COMPUTED_VALUE"""),"DMG: +20000, Water DMG: +20000 ++X4 additional Water damage for this weapon only. ++Waking Waters: When the battle is in water and you are attacking with this weapon your d20 roll becomes double. +-Cannot be duplicated")</f>
        <v>DMG: +20000, Water DMG: +20000 ++X4 additional Water damage for this weapon only. ++Waking Waters: When the battle is in water and you are attacking with this weapon your d20 roll becomes double. +-Cannot be duplicated</v>
      </c>
      <c r="G202" s="1">
        <f>IFERROR(__xludf.DUMMYFUNCTION("""COMPUTED_VALUE"""),3.16E7)</f>
        <v>31600000</v>
      </c>
      <c r="H202" s="1" t="b">
        <f>IFERROR(__xludf.DUMMYFUNCTION("""COMPUTED_VALUE"""),FALSE)</f>
        <v>0</v>
      </c>
      <c r="I202" s="1" t="str">
        <f>IFERROR(__xludf.DUMMYFUNCTION("""COMPUTED_VALUE"""),"Land of Spira")</f>
        <v>Land of Spira</v>
      </c>
    </row>
    <row r="203">
      <c r="A203" s="1" t="str">
        <f>IFERROR(__xludf.DUMMYFUNCTION("""COMPUTED_VALUE"""),"Sword of the Wicked")</f>
        <v>Sword of the Wicked</v>
      </c>
      <c r="B203" s="1"/>
      <c r="C203" s="1" t="str">
        <f>IFERROR(__xludf.DUMMYFUNCTION("""COMPUTED_VALUE"""),"Sword")</f>
        <v>Sword</v>
      </c>
      <c r="D203" s="1" t="str">
        <f>IFERROR(__xludf.DUMMYFUNCTION("""COMPUTED_VALUE"""),"Hand")</f>
        <v>Hand</v>
      </c>
      <c r="E203" s="1">
        <f>IFERROR(__xludf.DUMMYFUNCTION("""COMPUTED_VALUE"""),50.0)</f>
        <v>50</v>
      </c>
      <c r="F203" s="1" t="str">
        <f>IFERROR(__xludf.DUMMYFUNCTION("""COMPUTED_VALUE"""),"DMG: +700, Dark DMG: +900, Chaos DMG: +900")</f>
        <v>DMG: +700, Dark DMG: +900, Chaos DMG: +900</v>
      </c>
      <c r="G203" s="1">
        <f>IFERROR(__xludf.DUMMYFUNCTION("""COMPUTED_VALUE"""),100000.0)</f>
        <v>100000</v>
      </c>
      <c r="H203" s="1" t="b">
        <f>IFERROR(__xludf.DUMMYFUNCTION("""COMPUTED_VALUE"""),FALSE)</f>
        <v>0</v>
      </c>
      <c r="I203" s="1" t="str">
        <f>IFERROR(__xludf.DUMMYFUNCTION("""COMPUTED_VALUE"""),"Land of Spira")</f>
        <v>Land of Spira</v>
      </c>
    </row>
    <row r="204">
      <c r="A204" s="1" t="str">
        <f>IFERROR(__xludf.DUMMYFUNCTION("""COMPUTED_VALUE"""),"Sword Of Tritonoch")</f>
        <v>Sword Of Tritonoch</v>
      </c>
      <c r="B204" s="1"/>
      <c r="C204" s="1" t="str">
        <f>IFERROR(__xludf.DUMMYFUNCTION("""COMPUTED_VALUE"""),"Sword")</f>
        <v>Sword</v>
      </c>
      <c r="D204" s="1" t="str">
        <f>IFERROR(__xludf.DUMMYFUNCTION("""COMPUTED_VALUE"""),"Hand")</f>
        <v>Hand</v>
      </c>
      <c r="E204" s="1">
        <f>IFERROR(__xludf.DUMMYFUNCTION("""COMPUTED_VALUE"""),800.0)</f>
        <v>800</v>
      </c>
      <c r="F204" s="1" t="str">
        <f>IFERROR(__xludf.DUMMYFUNCTION("""COMPUTED_VALUE"""),"DMG: +20000, Water DMG: +20000 ++Order of Atlanteans - +2 to your d20 roll, +5 charisma, ++Waves of Entitlement - x5 additional Water damage. +-Cannot be duplicated.")</f>
        <v>DMG: +20000, Water DMG: +20000 ++Order of Atlanteans - +2 to your d20 roll, +5 charisma, ++Waves of Entitlement - x5 additional Water damage. +-Cannot be duplicated.</v>
      </c>
      <c r="G204" s="1">
        <f>IFERROR(__xludf.DUMMYFUNCTION("""COMPUTED_VALUE"""),3.16E7)</f>
        <v>31600000</v>
      </c>
      <c r="H204" s="1" t="b">
        <f>IFERROR(__xludf.DUMMYFUNCTION("""COMPUTED_VALUE"""),FALSE)</f>
        <v>0</v>
      </c>
      <c r="I204" s="1" t="str">
        <f>IFERROR(__xludf.DUMMYFUNCTION("""COMPUTED_VALUE"""),"Land of Spira")</f>
        <v>Land of Spira</v>
      </c>
    </row>
    <row r="205">
      <c r="A205" s="1" t="str">
        <f>IFERROR(__xludf.DUMMYFUNCTION("""COMPUTED_VALUE"""),"Tentacle")</f>
        <v>Tentacle</v>
      </c>
      <c r="B205" s="1"/>
      <c r="C205" s="1" t="str">
        <f>IFERROR(__xludf.DUMMYFUNCTION("""COMPUTED_VALUE"""),"Claw")</f>
        <v>Claw</v>
      </c>
      <c r="D205" s="1" t="str">
        <f>IFERROR(__xludf.DUMMYFUNCTION("""COMPUTED_VALUE"""),"Hand")</f>
        <v>Hand</v>
      </c>
      <c r="E205" s="1">
        <f>IFERROR(__xludf.DUMMYFUNCTION("""COMPUTED_VALUE"""),30.0)</f>
        <v>30</v>
      </c>
      <c r="F205" s="1" t="str">
        <f>IFERROR(__xludf.DUMMYFUNCTION("""COMPUTED_VALUE"""),"DMG: +1000, Water DMG: +500 ++10% chance to remove target from battle")</f>
        <v>DMG: +1000, Water DMG: +500 ++10% chance to remove target from battle</v>
      </c>
      <c r="G205" s="1">
        <f>IFERROR(__xludf.DUMMYFUNCTION("""COMPUTED_VALUE"""),30000.0)</f>
        <v>30000</v>
      </c>
      <c r="H205" s="1" t="b">
        <f>IFERROR(__xludf.DUMMYFUNCTION("""COMPUTED_VALUE"""),FALSE)</f>
        <v>0</v>
      </c>
      <c r="I205" s="1" t="str">
        <f>IFERROR(__xludf.DUMMYFUNCTION("""COMPUTED_VALUE"""),"Land of Spira")</f>
        <v>Land of Spira</v>
      </c>
    </row>
    <row r="206">
      <c r="A206" s="1" t="str">
        <f>IFERROR(__xludf.DUMMYFUNCTION("""COMPUTED_VALUE"""),"The Blade of the Chosen")</f>
        <v>The Blade of the Chosen</v>
      </c>
      <c r="B206" s="1"/>
      <c r="C206" s="1" t="str">
        <f>IFERROR(__xludf.DUMMYFUNCTION("""COMPUTED_VALUE"""),"Sword")</f>
        <v>Sword</v>
      </c>
      <c r="D206" s="1" t="str">
        <f>IFERROR(__xludf.DUMMYFUNCTION("""COMPUTED_VALUE"""),"Hand")</f>
        <v>Hand</v>
      </c>
      <c r="E206" s="1">
        <f>IFERROR(__xludf.DUMMYFUNCTION("""COMPUTED_VALUE"""),1000.0)</f>
        <v>1000</v>
      </c>
      <c r="F206" s="1" t="str">
        <f>IFERROR(__xludf.DUMMYFUNCTION("""COMPUTED_VALUE"""),"DMG: +10000, Fire DMG: +10000, Order DMG: +10000, Nature DMG: +10000, Blood DMG: +10000 ++Roll a d20 at the beginning of battle, 11 or higher = double the users defense and damage dealt for the current battle, 10 or lower = half the users defense and dama"&amp;"ge dealt for the current battle.")</f>
        <v>DMG: +10000, Fire DMG: +10000, Order DMG: +10000, Nature DMG: +10000, Blood DMG: +10000 ++Roll a d20 at the beginning of battle, 11 or higher = double the users defense and damage dealt for the current battle, 10 or lower = half the users defense and damage dealt for the current battle.</v>
      </c>
      <c r="G206" s="1">
        <f>IFERROR(__xludf.DUMMYFUNCTION("""COMPUTED_VALUE"""),4.95E7)</f>
        <v>49500000</v>
      </c>
      <c r="H206" s="1" t="b">
        <f>IFERROR(__xludf.DUMMYFUNCTION("""COMPUTED_VALUE"""),FALSE)</f>
        <v>0</v>
      </c>
      <c r="I206" s="1" t="str">
        <f>IFERROR(__xludf.DUMMYFUNCTION("""COMPUTED_VALUE"""),"Land of Spira")</f>
        <v>Land of Spira</v>
      </c>
    </row>
    <row r="207">
      <c r="A207" s="1" t="str">
        <f>IFERROR(__xludf.DUMMYFUNCTION("""COMPUTED_VALUE"""),"The Bow of the Fallen Hero")</f>
        <v>The Bow of the Fallen Hero</v>
      </c>
      <c r="B207" s="1"/>
      <c r="C207" s="1" t="str">
        <f>IFERROR(__xludf.DUMMYFUNCTION("""COMPUTED_VALUE"""),"Bow")</f>
        <v>Bow</v>
      </c>
      <c r="D207" s="1" t="str">
        <f>IFERROR(__xludf.DUMMYFUNCTION("""COMPUTED_VALUE"""),"Hand")</f>
        <v>Hand</v>
      </c>
      <c r="E207" s="1">
        <f>IFERROR(__xludf.DUMMYFUNCTION("""COMPUTED_VALUE"""),100.0)</f>
        <v>100</v>
      </c>
      <c r="F207" s="1" t="str">
        <f>IFERROR(__xludf.DUMMYFUNCTION("""COMPUTED_VALUE"""),"DMG: +5000 ++Dashing Arrows - You can use up to 6 arrows when attacking with this bow. ")</f>
        <v>DMG: +5000 ++Dashing Arrows - You can use up to 6 arrows when attacking with this bow. </v>
      </c>
      <c r="G207" s="1">
        <f>IFERROR(__xludf.DUMMYFUNCTION("""COMPUTED_VALUE"""),450000.0)</f>
        <v>450000</v>
      </c>
      <c r="H207" s="1" t="b">
        <f>IFERROR(__xludf.DUMMYFUNCTION("""COMPUTED_VALUE"""),FALSE)</f>
        <v>0</v>
      </c>
      <c r="I207" s="1" t="str">
        <f>IFERROR(__xludf.DUMMYFUNCTION("""COMPUTED_VALUE"""),"Land of Spira")</f>
        <v>Land of Spira</v>
      </c>
    </row>
    <row r="208">
      <c r="A208" s="1" t="str">
        <f>IFERROR(__xludf.DUMMYFUNCTION("""COMPUTED_VALUE"""),"The Bow of the Pandarian")</f>
        <v>The Bow of the Pandarian</v>
      </c>
      <c r="B208" s="1"/>
      <c r="C208" s="1" t="str">
        <f>IFERROR(__xludf.DUMMYFUNCTION("""COMPUTED_VALUE"""),"Bow")</f>
        <v>Bow</v>
      </c>
      <c r="D208" s="1" t="str">
        <f>IFERROR(__xludf.DUMMYFUNCTION("""COMPUTED_VALUE"""),"Hand")</f>
        <v>Hand</v>
      </c>
      <c r="E208" s="1">
        <f>IFERROR(__xludf.DUMMYFUNCTION("""COMPUTED_VALUE"""),40.0)</f>
        <v>40</v>
      </c>
      <c r="F208" s="1" t="str">
        <f>IFERROR(__xludf.DUMMYFUNCTION("""COMPUTED_VALUE"""),"DMG: +2000 ++Half the Arrow - Ranged Spells cost half the sp cost, Ranger Enrage - All Ranged Attacks. do double in damage. ")</f>
        <v>DMG: +2000 ++Half the Arrow - Ranged Spells cost half the sp cost, Ranger Enrage - All Ranged Attacks. do double in damage. </v>
      </c>
      <c r="G208" s="1">
        <f>IFERROR(__xludf.DUMMYFUNCTION("""COMPUTED_VALUE"""),60000.0)</f>
        <v>60000</v>
      </c>
      <c r="H208" s="1" t="b">
        <f>IFERROR(__xludf.DUMMYFUNCTION("""COMPUTED_VALUE"""),FALSE)</f>
        <v>0</v>
      </c>
      <c r="I208" s="1" t="str">
        <f>IFERROR(__xludf.DUMMYFUNCTION("""COMPUTED_VALUE"""),"Land of Spira")</f>
        <v>Land of Spira</v>
      </c>
    </row>
    <row r="209">
      <c r="A209" s="1" t="str">
        <f>IFERROR(__xludf.DUMMYFUNCTION("""COMPUTED_VALUE"""),"The Buster")</f>
        <v>The Buster</v>
      </c>
      <c r="B209" s="1"/>
      <c r="C209" s="1" t="str">
        <f>IFERROR(__xludf.DUMMYFUNCTION("""COMPUTED_VALUE"""),"Sword")</f>
        <v>Sword</v>
      </c>
      <c r="D209" s="1" t="str">
        <f>IFERROR(__xludf.DUMMYFUNCTION("""COMPUTED_VALUE"""),"Hand")</f>
        <v>Hand</v>
      </c>
      <c r="E209" s="1">
        <f>IFERROR(__xludf.DUMMYFUNCTION("""COMPUTED_VALUE"""),400.0)</f>
        <v>400</v>
      </c>
      <c r="F209" s="1" t="str">
        <f>IFERROR(__xludf.DUMMYFUNCTION("""COMPUTED_VALUE"""),"DMG: +20000")</f>
        <v>DMG: +20000</v>
      </c>
      <c r="G209" s="1">
        <f>IFERROR(__xludf.DUMMYFUNCTION("""COMPUTED_VALUE"""),7800000.0)</f>
        <v>7800000</v>
      </c>
      <c r="H209" s="1" t="b">
        <f>IFERROR(__xludf.DUMMYFUNCTION("""COMPUTED_VALUE"""),FALSE)</f>
        <v>0</v>
      </c>
      <c r="I209" s="1" t="str">
        <f>IFERROR(__xludf.DUMMYFUNCTION("""COMPUTED_VALUE"""),"Land of Spira")</f>
        <v>Land of Spira</v>
      </c>
    </row>
    <row r="210">
      <c r="A210" s="1" t="str">
        <f>IFERROR(__xludf.DUMMYFUNCTION("""COMPUTED_VALUE"""),"The Dragon King's Crown")</f>
        <v>The Dragon King's Crown</v>
      </c>
      <c r="B210" s="1"/>
      <c r="C210" s="1"/>
      <c r="D210" s="1" t="str">
        <f>IFERROR(__xludf.DUMMYFUNCTION("""COMPUTED_VALUE"""),"Head")</f>
        <v>Head</v>
      </c>
      <c r="E210" s="1">
        <f>IFERROR(__xludf.DUMMYFUNCTION("""COMPUTED_VALUE"""),400.0)</f>
        <v>400</v>
      </c>
      <c r="F210" s="1" t="str">
        <f>IFERROR(__xludf.DUMMYFUNCTION("""COMPUTED_VALUE"""),"DEF: +20000 ++Immunity to damage from Natural Attacks...")</f>
        <v>DEF: +20000 ++Immunity to damage from Natural Attacks...</v>
      </c>
      <c r="G210" s="1">
        <f>IFERROR(__xludf.DUMMYFUNCTION("""COMPUTED_VALUE"""),7800000.0)</f>
        <v>7800000</v>
      </c>
      <c r="H210" s="1" t="b">
        <f>IFERROR(__xludf.DUMMYFUNCTION("""COMPUTED_VALUE"""),FALSE)</f>
        <v>0</v>
      </c>
      <c r="I210" s="1" t="str">
        <f>IFERROR(__xludf.DUMMYFUNCTION("""COMPUTED_VALUE"""),"Land of Spira")</f>
        <v>Land of Spira</v>
      </c>
    </row>
    <row r="211">
      <c r="A211" s="1" t="str">
        <f>IFERROR(__xludf.DUMMYFUNCTION("""COMPUTED_VALUE"""),"The Guardian Of Death's Sword")</f>
        <v>The Guardian Of Death's Sword</v>
      </c>
      <c r="B211" s="1"/>
      <c r="C211" s="1" t="str">
        <f>IFERROR(__xludf.DUMMYFUNCTION("""COMPUTED_VALUE"""),"Sword")</f>
        <v>Sword</v>
      </c>
      <c r="D211" s="1" t="str">
        <f>IFERROR(__xludf.DUMMYFUNCTION("""COMPUTED_VALUE"""),"Hand")</f>
        <v>Hand</v>
      </c>
      <c r="E211" s="1">
        <f>IFERROR(__xludf.DUMMYFUNCTION("""COMPUTED_VALUE"""),600.0)</f>
        <v>600</v>
      </c>
      <c r="F211" s="1" t="str">
        <f>IFERROR(__xludf.DUMMYFUNCTION("""COMPUTED_VALUE"""),"DMG: +15000, Dark DMG: +5000, Spirit DMG: +5000, Chaos DMG: +5000")</f>
        <v>DMG: +15000, Dark DMG: +5000, Spirit DMG: +5000, Chaos DMG: +5000</v>
      </c>
      <c r="G211" s="1">
        <f>IFERROR(__xludf.DUMMYFUNCTION("""COMPUTED_VALUE"""),1.77E7)</f>
        <v>17700000</v>
      </c>
      <c r="H211" s="1" t="b">
        <f>IFERROR(__xludf.DUMMYFUNCTION("""COMPUTED_VALUE"""),FALSE)</f>
        <v>0</v>
      </c>
      <c r="I211" s="1" t="str">
        <f>IFERROR(__xludf.DUMMYFUNCTION("""COMPUTED_VALUE"""),"Land of Spira")</f>
        <v>Land of Spira</v>
      </c>
    </row>
    <row r="212">
      <c r="A212" s="1" t="str">
        <f>IFERROR(__xludf.DUMMYFUNCTION("""COMPUTED_VALUE"""),"The Helm of Foul Night")</f>
        <v>The Helm of Foul Night</v>
      </c>
      <c r="B212" s="1"/>
      <c r="C212" s="1"/>
      <c r="D212" s="1" t="str">
        <f>IFERROR(__xludf.DUMMYFUNCTION("""COMPUTED_VALUE"""),"Head")</f>
        <v>Head</v>
      </c>
      <c r="E212" s="1">
        <f>IFERROR(__xludf.DUMMYFUNCTION("""COMPUTED_VALUE"""),200.0)</f>
        <v>200</v>
      </c>
      <c r="F212" s="1" t="str">
        <f>IFERROR(__xludf.DUMMYFUNCTION("""COMPUTED_VALUE"""),"DEF: +5000, Nature DEF: +5000 (Foul Night Set) ++X2 Nature and Poison damage. ++Poison Immunity. ")</f>
        <v>DEF: +5000, Nature DEF: +5000 (Foul Night Set) ++X2 Nature and Poison damage. ++Poison Immunity. </v>
      </c>
      <c r="G212" s="1">
        <f>IFERROR(__xludf.DUMMYFUNCTION("""COMPUTED_VALUE"""),1900000.0)</f>
        <v>1900000</v>
      </c>
      <c r="H212" s="1" t="b">
        <f>IFERROR(__xludf.DUMMYFUNCTION("""COMPUTED_VALUE"""),FALSE)</f>
        <v>0</v>
      </c>
      <c r="I212" s="1" t="str">
        <f>IFERROR(__xludf.DUMMYFUNCTION("""COMPUTED_VALUE"""),"Land of Spira")</f>
        <v>Land of Spira</v>
      </c>
    </row>
    <row r="213">
      <c r="A213" s="1" t="str">
        <f>IFERROR(__xludf.DUMMYFUNCTION("""COMPUTED_VALUE"""),"The Invisible Spear")</f>
        <v>The Invisible Spear</v>
      </c>
      <c r="B213" s="1"/>
      <c r="C213" s="1" t="str">
        <f>IFERROR(__xludf.DUMMYFUNCTION("""COMPUTED_VALUE"""),"Spear")</f>
        <v>Spear</v>
      </c>
      <c r="D213" s="1" t="str">
        <f>IFERROR(__xludf.DUMMYFUNCTION("""COMPUTED_VALUE"""),"Hand")</f>
        <v>Hand</v>
      </c>
      <c r="E213" s="1">
        <f>IFERROR(__xludf.DUMMYFUNCTION("""COMPUTED_VALUE"""),1.0)</f>
        <v>1</v>
      </c>
      <c r="F213" s="1" t="str">
        <f>IFERROR(__xludf.DUMMYFUNCTION("""COMPUTED_VALUE"""),"DMG: +200 ++ignores evasion")</f>
        <v>DMG: +200 ++ignores evasion</v>
      </c>
      <c r="G213" s="1">
        <f>IFERROR(__xludf.DUMMYFUNCTION("""COMPUTED_VALUE"""),0.0)</f>
        <v>0</v>
      </c>
      <c r="H213" s="1" t="b">
        <f>IFERROR(__xludf.DUMMYFUNCTION("""COMPUTED_VALUE"""),FALSE)</f>
        <v>0</v>
      </c>
      <c r="I213" s="1" t="str">
        <f>IFERROR(__xludf.DUMMYFUNCTION("""COMPUTED_VALUE"""),"Land of Spira")</f>
        <v>Land of Spira</v>
      </c>
    </row>
    <row r="214">
      <c r="A214" s="1" t="str">
        <f>IFERROR(__xludf.DUMMYFUNCTION("""COMPUTED_VALUE"""),"The Red Sword")</f>
        <v>The Red Sword</v>
      </c>
      <c r="B214" s="1" t="str">
        <f>IFERROR(__xludf.DUMMYFUNCTION("""COMPUTED_VALUE"""),"A Sword that was made of Vampire’s Blood")</f>
        <v>A Sword that was made of Vampire’s Blood</v>
      </c>
      <c r="C214" s="1" t="str">
        <f>IFERROR(__xludf.DUMMYFUNCTION("""COMPUTED_VALUE"""),"Sword")</f>
        <v>Sword</v>
      </c>
      <c r="D214" s="1" t="str">
        <f>IFERROR(__xludf.DUMMYFUNCTION("""COMPUTED_VALUE"""),"Hand")</f>
        <v>Hand</v>
      </c>
      <c r="E214" s="1">
        <f>IFERROR(__xludf.DUMMYFUNCTION("""COMPUTED_VALUE"""),1.0)</f>
        <v>1</v>
      </c>
      <c r="F214" s="1" t="str">
        <f>IFERROR(__xludf.DUMMYFUNCTION("""COMPUTED_VALUE"""),"DMG: +300")</f>
        <v>DMG: +300</v>
      </c>
      <c r="G214" s="1">
        <f>IFERROR(__xludf.DUMMYFUNCTION("""COMPUTED_VALUE"""),0.0)</f>
        <v>0</v>
      </c>
      <c r="H214" s="1" t="b">
        <f>IFERROR(__xludf.DUMMYFUNCTION("""COMPUTED_VALUE"""),FALSE)</f>
        <v>0</v>
      </c>
      <c r="I214" s="1" t="str">
        <f>IFERROR(__xludf.DUMMYFUNCTION("""COMPUTED_VALUE"""),"Land of Spira")</f>
        <v>Land of Spira</v>
      </c>
    </row>
    <row r="215">
      <c r="A215" s="1" t="str">
        <f>IFERROR(__xludf.DUMMYFUNCTION("""COMPUTED_VALUE"""),"The Shield of Foul Night")</f>
        <v>The Shield of Foul Night</v>
      </c>
      <c r="B215" s="1"/>
      <c r="C215" s="1" t="str">
        <f>IFERROR(__xludf.DUMMYFUNCTION("""COMPUTED_VALUE"""),"Buckler")</f>
        <v>Buckler</v>
      </c>
      <c r="D215" s="1" t="str">
        <f>IFERROR(__xludf.DUMMYFUNCTION("""COMPUTED_VALUE"""),"Hand")</f>
        <v>Hand</v>
      </c>
      <c r="E215" s="1">
        <f>IFERROR(__xludf.DUMMYFUNCTION("""COMPUTED_VALUE"""),200.0)</f>
        <v>200</v>
      </c>
      <c r="F215" s="1" t="str">
        <f>IFERROR(__xludf.DUMMYFUNCTION("""COMPUTED_VALUE"""),"DEF: +5000, Nature DEF: +5000 (Foul Night Set) ++Nature Immunity, Poison Immunity")</f>
        <v>DEF: +5000, Nature DEF: +5000 (Foul Night Set) ++Nature Immunity, Poison Immunity</v>
      </c>
      <c r="G215" s="1">
        <f>IFERROR(__xludf.DUMMYFUNCTION("""COMPUTED_VALUE"""),1900000.0)</f>
        <v>1900000</v>
      </c>
      <c r="H215" s="1" t="b">
        <f>IFERROR(__xludf.DUMMYFUNCTION("""COMPUTED_VALUE"""),FALSE)</f>
        <v>0</v>
      </c>
      <c r="I215" s="1" t="str">
        <f>IFERROR(__xludf.DUMMYFUNCTION("""COMPUTED_VALUE"""),"Land of Spira")</f>
        <v>Land of Spira</v>
      </c>
    </row>
    <row r="216">
      <c r="A216" s="1" t="str">
        <f>IFERROR(__xludf.DUMMYFUNCTION("""COMPUTED_VALUE"""),"The Staff of the Aquas")</f>
        <v>The Staff of the Aquas</v>
      </c>
      <c r="B216" s="1"/>
      <c r="C216" s="1" t="str">
        <f>IFERROR(__xludf.DUMMYFUNCTION("""COMPUTED_VALUE"""),"Staff")</f>
        <v>Staff</v>
      </c>
      <c r="D216" s="1" t="str">
        <f>IFERROR(__xludf.DUMMYFUNCTION("""COMPUTED_VALUE"""),"Hand")</f>
        <v>Hand</v>
      </c>
      <c r="E216" s="1">
        <f>IFERROR(__xludf.DUMMYFUNCTION("""COMPUTED_VALUE"""),1.0)</f>
        <v>1</v>
      </c>
      <c r="F216" s="1" t="str">
        <f>IFERROR(__xludf.DUMMYFUNCTION("""COMPUTED_VALUE""")," ++All Water Spells Deal x3 damage and cost half sp to use.")</f>
        <v> ++All Water Spells Deal x3 damage and cost half sp to use.</v>
      </c>
      <c r="G216" s="1">
        <f>IFERROR(__xludf.DUMMYFUNCTION("""COMPUTED_VALUE"""),0.0)</f>
        <v>0</v>
      </c>
      <c r="H216" s="1" t="b">
        <f>IFERROR(__xludf.DUMMYFUNCTION("""COMPUTED_VALUE"""),FALSE)</f>
        <v>0</v>
      </c>
      <c r="I216" s="1" t="str">
        <f>IFERROR(__xludf.DUMMYFUNCTION("""COMPUTED_VALUE"""),"Land of Spira")</f>
        <v>Land of Spira</v>
      </c>
    </row>
    <row r="217">
      <c r="A217" s="1" t="str">
        <f>IFERROR(__xludf.DUMMYFUNCTION("""COMPUTED_VALUE"""),"The Stick of the Panda")</f>
        <v>The Stick of the Panda</v>
      </c>
      <c r="B217" s="1"/>
      <c r="C217" s="1" t="str">
        <f>IFERROR(__xludf.DUMMYFUNCTION("""COMPUTED_VALUE"""),"Club")</f>
        <v>Club</v>
      </c>
      <c r="D217" s="1" t="str">
        <f>IFERROR(__xludf.DUMMYFUNCTION("""COMPUTED_VALUE"""),"Hand")</f>
        <v>Hand</v>
      </c>
      <c r="E217" s="1">
        <f>IFERROR(__xludf.DUMMYFUNCTION("""COMPUTED_VALUE"""),400.0)</f>
        <v>400</v>
      </c>
      <c r="F217" s="1" t="str">
        <f>IFERROR(__xludf.DUMMYFUNCTION("""COMPUTED_VALUE"""),"DMG: +10000, Nature DMG: +10000 ++When you find an herb you get 2 of the herb found instead of 1. +-Cannot be duplicated")</f>
        <v>DMG: +10000, Nature DMG: +10000 ++When you find an herb you get 2 of the herb found instead of 1. +-Cannot be duplicated</v>
      </c>
      <c r="G217" s="1">
        <f>IFERROR(__xludf.DUMMYFUNCTION("""COMPUTED_VALUE"""),7800000.0)</f>
        <v>7800000</v>
      </c>
      <c r="H217" s="1" t="b">
        <f>IFERROR(__xludf.DUMMYFUNCTION("""COMPUTED_VALUE"""),FALSE)</f>
        <v>0</v>
      </c>
      <c r="I217" s="1" t="str">
        <f>IFERROR(__xludf.DUMMYFUNCTION("""COMPUTED_VALUE"""),"Land of Spira")</f>
        <v>Land of Spira</v>
      </c>
    </row>
    <row r="218">
      <c r="A218" s="1" t="str">
        <f>IFERROR(__xludf.DUMMYFUNCTION("""COMPUTED_VALUE"""),"The Sword Of Death")</f>
        <v>The Sword Of Death</v>
      </c>
      <c r="B218" s="1"/>
      <c r="C218" s="1" t="str">
        <f>IFERROR(__xludf.DUMMYFUNCTION("""COMPUTED_VALUE"""),"Sword")</f>
        <v>Sword</v>
      </c>
      <c r="D218" s="1" t="str">
        <f>IFERROR(__xludf.DUMMYFUNCTION("""COMPUTED_VALUE"""),"Hand")</f>
        <v>Hand</v>
      </c>
      <c r="E218" s="1">
        <f>IFERROR(__xludf.DUMMYFUNCTION("""COMPUTED_VALUE"""),1.0)</f>
        <v>1</v>
      </c>
      <c r="F218" s="1" t="str">
        <f>IFERROR(__xludf.DUMMYFUNCTION("""COMPUTED_VALUE"""),"DMG: +250")</f>
        <v>DMG: +250</v>
      </c>
      <c r="G218" s="1">
        <f>IFERROR(__xludf.DUMMYFUNCTION("""COMPUTED_VALUE"""),0.0)</f>
        <v>0</v>
      </c>
      <c r="H218" s="1" t="b">
        <f>IFERROR(__xludf.DUMMYFUNCTION("""COMPUTED_VALUE"""),FALSE)</f>
        <v>0</v>
      </c>
      <c r="I218" s="1" t="str">
        <f>IFERROR(__xludf.DUMMYFUNCTION("""COMPUTED_VALUE"""),"Land of Spira")</f>
        <v>Land of Spira</v>
      </c>
    </row>
    <row r="219">
      <c r="A219" s="1" t="str">
        <f>IFERROR(__xludf.DUMMYFUNCTION("""COMPUTED_VALUE"""),"The Sword Of Easter's Gathering (Exclusive)")</f>
        <v>The Sword Of Easter's Gathering (Exclusive)</v>
      </c>
      <c r="B219" s="1"/>
      <c r="C219" s="1" t="str">
        <f>IFERROR(__xludf.DUMMYFUNCTION("""COMPUTED_VALUE"""),"Sword")</f>
        <v>Sword</v>
      </c>
      <c r="D219" s="1" t="str">
        <f>IFERROR(__xludf.DUMMYFUNCTION("""COMPUTED_VALUE"""),"Hand")</f>
        <v>Hand</v>
      </c>
      <c r="E219" s="1">
        <f>IFERROR(__xludf.DUMMYFUNCTION("""COMPUTED_VALUE"""),200.0)</f>
        <v>200</v>
      </c>
      <c r="F219" s="1" t="str">
        <f>IFERROR(__xludf.DUMMYFUNCTION("""COMPUTED_VALUE"""),", Nature DMG: +10000, Celestial DMG: +10000 ++Doubles all elemental damage when held, ++2 on all rolls while in battle, +-Cannot be forged +-Cannot be duplicated")</f>
        <v>, Nature DMG: +10000, Celestial DMG: +10000 ++Doubles all elemental damage when held, ++2 on all rolls while in battle, +-Cannot be forged +-Cannot be duplicated</v>
      </c>
      <c r="G219" s="1">
        <f>IFERROR(__xludf.DUMMYFUNCTION("""COMPUTED_VALUE"""),7800000.0)</f>
        <v>7800000</v>
      </c>
      <c r="H219" s="1" t="b">
        <f>IFERROR(__xludf.DUMMYFUNCTION("""COMPUTED_VALUE"""),FALSE)</f>
        <v>0</v>
      </c>
      <c r="I219" s="1" t="str">
        <f>IFERROR(__xludf.DUMMYFUNCTION("""COMPUTED_VALUE"""),"Land of Spira")</f>
        <v>Land of Spira</v>
      </c>
    </row>
    <row r="220">
      <c r="A220" s="1" t="str">
        <f>IFERROR(__xludf.DUMMYFUNCTION("""COMPUTED_VALUE"""),"The Sword of Manannán (Exclusive)")</f>
        <v>The Sword of Manannán (Exclusive)</v>
      </c>
      <c r="B220" s="1" t="str">
        <f>IFERROR(__xludf.DUMMYFUNCTION("""COMPUTED_VALUE"""),"Lugh's Sword he wielded in battle")</f>
        <v>Lugh's Sword he wielded in battle</v>
      </c>
      <c r="C220" s="1" t="str">
        <f>IFERROR(__xludf.DUMMYFUNCTION("""COMPUTED_VALUE"""),"Sword")</f>
        <v>Sword</v>
      </c>
      <c r="D220" s="1" t="str">
        <f>IFERROR(__xludf.DUMMYFUNCTION("""COMPUTED_VALUE"""),"Hand")</f>
        <v>Hand</v>
      </c>
      <c r="E220" s="1">
        <f>IFERROR(__xludf.DUMMYFUNCTION("""COMPUTED_VALUE"""),200.0)</f>
        <v>200</v>
      </c>
      <c r="F220" s="1" t="str">
        <f>IFERROR(__xludf.DUMMYFUNCTION("""COMPUTED_VALUE"""),"DMG: +75000, Celestial DMG: +75000 ++Intimidation and Charisma stat is double while equipped")</f>
        <v>DMG: +75000, Celestial DMG: +75000 ++Intimidation and Charisma stat is double while equipped</v>
      </c>
      <c r="G220" s="1">
        <f>IFERROR(__xludf.DUMMYFUNCTION("""COMPUTED_VALUE"""),4.485E8)</f>
        <v>448500000</v>
      </c>
      <c r="H220" s="1" t="b">
        <f>IFERROR(__xludf.DUMMYFUNCTION("""COMPUTED_VALUE"""),FALSE)</f>
        <v>0</v>
      </c>
      <c r="I220" s="1" t="str">
        <f>IFERROR(__xludf.DUMMYFUNCTION("""COMPUTED_VALUE"""),"Land of Spira")</f>
        <v>Land of Spira</v>
      </c>
    </row>
    <row r="221">
      <c r="A221" s="1" t="str">
        <f>IFERROR(__xludf.DUMMYFUNCTION("""COMPUTED_VALUE"""),"The Wand of Aquatic Beasts")</f>
        <v>The Wand of Aquatic Beasts</v>
      </c>
      <c r="B221" s="1"/>
      <c r="C221" s="1" t="str">
        <f>IFERROR(__xludf.DUMMYFUNCTION("""COMPUTED_VALUE"""),"Wand")</f>
        <v>Wand</v>
      </c>
      <c r="D221" s="1" t="str">
        <f>IFERROR(__xludf.DUMMYFUNCTION("""COMPUTED_VALUE"""),"Hand")</f>
        <v>Hand</v>
      </c>
      <c r="E221" s="1">
        <f>IFERROR(__xludf.DUMMYFUNCTION("""COMPUTED_VALUE"""),1.0)</f>
        <v>1</v>
      </c>
      <c r="F221" s="1" t="str">
        <f>IFERROR(__xludf.DUMMYFUNCTION("""COMPUTED_VALUE""")," ++All water and storm spells are decreased by half sp.")</f>
        <v> ++All water and storm spells are decreased by half sp.</v>
      </c>
      <c r="G221" s="1">
        <f>IFERROR(__xludf.DUMMYFUNCTION("""COMPUTED_VALUE"""),0.0)</f>
        <v>0</v>
      </c>
      <c r="H221" s="1" t="b">
        <f>IFERROR(__xludf.DUMMYFUNCTION("""COMPUTED_VALUE"""),FALSE)</f>
        <v>0</v>
      </c>
      <c r="I221" s="1" t="str">
        <f>IFERROR(__xludf.DUMMYFUNCTION("""COMPUTED_VALUE"""),"Land of Spira")</f>
        <v>Land of Spira</v>
      </c>
    </row>
    <row r="222">
      <c r="A222" s="1" t="str">
        <f>IFERROR(__xludf.DUMMYFUNCTION("""COMPUTED_VALUE"""),"Titanic Two Hander")</f>
        <v>Titanic Two Hander</v>
      </c>
      <c r="B222" s="1"/>
      <c r="C222" s="1" t="str">
        <f>IFERROR(__xludf.DUMMYFUNCTION("""COMPUTED_VALUE"""),"Sword")</f>
        <v>Sword</v>
      </c>
      <c r="D222" s="1" t="str">
        <f>IFERROR(__xludf.DUMMYFUNCTION("""COMPUTED_VALUE"""),"Hand")</f>
        <v>Hand</v>
      </c>
      <c r="E222" s="1">
        <f>IFERROR(__xludf.DUMMYFUNCTION("""COMPUTED_VALUE"""),200.0)</f>
        <v>200</v>
      </c>
      <c r="F222" s="1" t="str">
        <f>IFERROR(__xludf.DUMMYFUNCTION("""COMPUTED_VALUE"""),"DMG: +10000")</f>
        <v>DMG: +10000</v>
      </c>
      <c r="G222" s="1">
        <f>IFERROR(__xludf.DUMMYFUNCTION("""COMPUTED_VALUE"""),1900000.0)</f>
        <v>1900000</v>
      </c>
      <c r="H222" s="1" t="b">
        <f>IFERROR(__xludf.DUMMYFUNCTION("""COMPUTED_VALUE"""),FALSE)</f>
        <v>0</v>
      </c>
      <c r="I222" s="1" t="str">
        <f>IFERROR(__xludf.DUMMYFUNCTION("""COMPUTED_VALUE"""),"Land of Spira")</f>
        <v>Land of Spira</v>
      </c>
    </row>
    <row r="223">
      <c r="A223" s="1" t="str">
        <f>IFERROR(__xludf.DUMMYFUNCTION("""COMPUTED_VALUE"""),"Top Hat")</f>
        <v>Top Hat</v>
      </c>
      <c r="B223" s="1" t="str">
        <f>IFERROR(__xludf.DUMMYFUNCTION("""COMPUTED_VALUE"""),"nothing like good ol abraham")</f>
        <v>nothing like good ol abraham</v>
      </c>
      <c r="C223" s="1"/>
      <c r="D223" s="1" t="str">
        <f>IFERROR(__xludf.DUMMYFUNCTION("""COMPUTED_VALUE"""),"Head")</f>
        <v>Head</v>
      </c>
      <c r="E223" s="1">
        <f>IFERROR(__xludf.DUMMYFUNCTION("""COMPUTED_VALUE"""),1.0)</f>
        <v>1</v>
      </c>
      <c r="F223" s="1" t="str">
        <f>IFERROR(__xludf.DUMMYFUNCTION("""COMPUTED_VALUE"""),"DEF: +1")</f>
        <v>DEF: +1</v>
      </c>
      <c r="G223" s="1">
        <f>IFERROR(__xludf.DUMMYFUNCTION("""COMPUTED_VALUE"""),0.0)</f>
        <v>0</v>
      </c>
      <c r="H223" s="1" t="b">
        <f>IFERROR(__xludf.DUMMYFUNCTION("""COMPUTED_VALUE"""),FALSE)</f>
        <v>0</v>
      </c>
      <c r="I223" s="1" t="str">
        <f>IFERROR(__xludf.DUMMYFUNCTION("""COMPUTED_VALUE"""),"Land of Spira")</f>
        <v>Land of Spira</v>
      </c>
    </row>
    <row r="224">
      <c r="A224" s="1" t="str">
        <f>IFERROR(__xludf.DUMMYFUNCTION("""COMPUTED_VALUE"""),"Trident")</f>
        <v>Trident</v>
      </c>
      <c r="B224" s="1"/>
      <c r="C224" s="1" t="str">
        <f>IFERROR(__xludf.DUMMYFUNCTION("""COMPUTED_VALUE"""),"Spear")</f>
        <v>Spear</v>
      </c>
      <c r="D224" s="1" t="str">
        <f>IFERROR(__xludf.DUMMYFUNCTION("""COMPUTED_VALUE"""),"Hand")</f>
        <v>Hand</v>
      </c>
      <c r="E224" s="1">
        <f>IFERROR(__xludf.DUMMYFUNCTION("""COMPUTED_VALUE"""),20.0)</f>
        <v>20</v>
      </c>
      <c r="F224" s="1" t="str">
        <f>IFERROR(__xludf.DUMMYFUNCTION("""COMPUTED_VALUE"""),"DMG: +600")</f>
        <v>DMG: +600</v>
      </c>
      <c r="G224" s="1">
        <f>IFERROR(__xludf.DUMMYFUNCTION("""COMPUTED_VALUE"""),1000.0)</f>
        <v>1000</v>
      </c>
      <c r="H224" s="1" t="b">
        <f>IFERROR(__xludf.DUMMYFUNCTION("""COMPUTED_VALUE"""),FALSE)</f>
        <v>0</v>
      </c>
      <c r="I224" s="1" t="str">
        <f>IFERROR(__xludf.DUMMYFUNCTION("""COMPUTED_VALUE"""),"Land of Spira")</f>
        <v>Land of Spira</v>
      </c>
    </row>
    <row r="225">
      <c r="A225" s="1" t="str">
        <f>IFERROR(__xludf.DUMMYFUNCTION("""COMPUTED_VALUE"""),"Tundra Staff")</f>
        <v>Tundra Staff</v>
      </c>
      <c r="B225" s="1"/>
      <c r="C225" s="1" t="str">
        <f>IFERROR(__xludf.DUMMYFUNCTION("""COMPUTED_VALUE"""),"Staff")</f>
        <v>Staff</v>
      </c>
      <c r="D225" s="1" t="str">
        <f>IFERROR(__xludf.DUMMYFUNCTION("""COMPUTED_VALUE"""),"Hand")</f>
        <v>Hand</v>
      </c>
      <c r="E225" s="1">
        <f>IFERROR(__xludf.DUMMYFUNCTION("""COMPUTED_VALUE"""),200.0)</f>
        <v>200</v>
      </c>
      <c r="F225" s="1" t="str">
        <f>IFERROR(__xludf.DUMMYFUNCTION("""COMPUTED_VALUE"""),", Earth : +10000 ++X2 Earth damage. +-Cannot be duplicated")</f>
        <v>, Earth : +10000 ++X2 Earth damage. +-Cannot be duplicated</v>
      </c>
      <c r="G225" s="1">
        <f>IFERROR(__xludf.DUMMYFUNCTION("""COMPUTED_VALUE"""),1900000.0)</f>
        <v>1900000</v>
      </c>
      <c r="H225" s="1" t="b">
        <f>IFERROR(__xludf.DUMMYFUNCTION("""COMPUTED_VALUE"""),FALSE)</f>
        <v>0</v>
      </c>
      <c r="I225" s="1" t="str">
        <f>IFERROR(__xludf.DUMMYFUNCTION("""COMPUTED_VALUE"""),"Land of Spira")</f>
        <v>Land of Spira</v>
      </c>
    </row>
    <row r="226">
      <c r="A226" s="1" t="str">
        <f>IFERROR(__xludf.DUMMYFUNCTION("""COMPUTED_VALUE"""),"Twilight Bow")</f>
        <v>Twilight Bow</v>
      </c>
      <c r="B226" s="1"/>
      <c r="C226" s="1" t="str">
        <f>IFERROR(__xludf.DUMMYFUNCTION("""COMPUTED_VALUE"""),"Bow")</f>
        <v>Bow</v>
      </c>
      <c r="D226" s="1" t="str">
        <f>IFERROR(__xludf.DUMMYFUNCTION("""COMPUTED_VALUE"""),"Hand")</f>
        <v>Hand</v>
      </c>
      <c r="E226" s="1">
        <f>IFERROR(__xludf.DUMMYFUNCTION("""COMPUTED_VALUE"""),400.0)</f>
        <v>400</v>
      </c>
      <c r="F226" s="1" t="str">
        <f>IFERROR(__xludf.DUMMYFUNCTION("""COMPUTED_VALUE"""),"DMG: +10000, Twilight DMG: +10000")</f>
        <v>DMG: +10000, Twilight DMG: +10000</v>
      </c>
      <c r="G226" s="1">
        <f>IFERROR(__xludf.DUMMYFUNCTION("""COMPUTED_VALUE"""),7800000.0)</f>
        <v>7800000</v>
      </c>
      <c r="H226" s="1" t="b">
        <f>IFERROR(__xludf.DUMMYFUNCTION("""COMPUTED_VALUE"""),FALSE)</f>
        <v>0</v>
      </c>
      <c r="I226" s="1" t="str">
        <f>IFERROR(__xludf.DUMMYFUNCTION("""COMPUTED_VALUE"""),"Land of Spira")</f>
        <v>Land of Spira</v>
      </c>
    </row>
    <row r="227">
      <c r="A227" s="1" t="str">
        <f>IFERROR(__xludf.DUMMYFUNCTION("""COMPUTED_VALUE"""),"Twilight Sword")</f>
        <v>Twilight Sword</v>
      </c>
      <c r="B227" s="1"/>
      <c r="C227" s="1" t="str">
        <f>IFERROR(__xludf.DUMMYFUNCTION("""COMPUTED_VALUE"""),"Sword")</f>
        <v>Sword</v>
      </c>
      <c r="D227" s="1" t="str">
        <f>IFERROR(__xludf.DUMMYFUNCTION("""COMPUTED_VALUE"""),"Hand")</f>
        <v>Hand</v>
      </c>
      <c r="E227" s="1">
        <f>IFERROR(__xludf.DUMMYFUNCTION("""COMPUTED_VALUE"""),20.0)</f>
        <v>20</v>
      </c>
      <c r="F227" s="1" t="str">
        <f>IFERROR(__xludf.DUMMYFUNCTION("""COMPUTED_VALUE"""),"DMG: +500, Twilight DMG: +200")</f>
        <v>DMG: +500, Twilight DMG: +200</v>
      </c>
      <c r="G227" s="1">
        <f>IFERROR(__xludf.DUMMYFUNCTION("""COMPUTED_VALUE"""),1000.0)</f>
        <v>1000</v>
      </c>
      <c r="H227" s="1" t="b">
        <f>IFERROR(__xludf.DUMMYFUNCTION("""COMPUTED_VALUE"""),FALSE)</f>
        <v>0</v>
      </c>
      <c r="I227" s="1" t="str">
        <f>IFERROR(__xludf.DUMMYFUNCTION("""COMPUTED_VALUE"""),"Land of Spira")</f>
        <v>Land of Spira</v>
      </c>
    </row>
    <row r="228">
      <c r="A228" s="1" t="str">
        <f>IFERROR(__xludf.DUMMYFUNCTION("""COMPUTED_VALUE"""),"Unknown Amulet")</f>
        <v>Unknown Amulet</v>
      </c>
      <c r="B228" s="1"/>
      <c r="C228" s="1"/>
      <c r="D228" s="1" t="str">
        <f>IFERROR(__xludf.DUMMYFUNCTION("""COMPUTED_VALUE"""),"Neck")</f>
        <v>Neck</v>
      </c>
      <c r="E228" s="1">
        <f>IFERROR(__xludf.DUMMYFUNCTION("""COMPUTED_VALUE"""),1.0)</f>
        <v>1</v>
      </c>
      <c r="F228" s="1" t="str">
        <f>IFERROR(__xludf.DUMMYFUNCTION("""COMPUTED_VALUE""")," ++At the beginning of battle, roll a d20. If the number is 1-5, everyone in the battle loses 1 HP. If the number is 6-10, all enemies lose 25% of their current HP. If the number is 11-19, the wearer loses 40% current HP. If the number is 20, the battle i"&amp;"s instantly won. (If you roll above a 20 , double your loot amount of each item)")</f>
        <v>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v>
      </c>
      <c r="G228" s="1">
        <f>IFERROR(__xludf.DUMMYFUNCTION("""COMPUTED_VALUE"""),0.0)</f>
        <v>0</v>
      </c>
      <c r="H228" s="1" t="b">
        <f>IFERROR(__xludf.DUMMYFUNCTION("""COMPUTED_VALUE"""),FALSE)</f>
        <v>0</v>
      </c>
      <c r="I228" s="1" t="str">
        <f>IFERROR(__xludf.DUMMYFUNCTION("""COMPUTED_VALUE"""),"Land of Spira")</f>
        <v>Land of Spira</v>
      </c>
    </row>
    <row r="229">
      <c r="A229" s="1" t="str">
        <f>IFERROR(__xludf.DUMMYFUNCTION("""COMPUTED_VALUE"""),"Vambraces of Waking Waters")</f>
        <v>Vambraces of Waking Waters</v>
      </c>
      <c r="B229" s="1"/>
      <c r="C229" s="1"/>
      <c r="D229" s="1" t="str">
        <f>IFERROR(__xludf.DUMMYFUNCTION("""COMPUTED_VALUE"""),"Arms")</f>
        <v>Arms</v>
      </c>
      <c r="E229" s="1">
        <f>IFERROR(__xludf.DUMMYFUNCTION("""COMPUTED_VALUE"""),200.0)</f>
        <v>200</v>
      </c>
      <c r="F229" s="1" t="str">
        <f>IFERROR(__xludf.DUMMYFUNCTION("""COMPUTED_VALUE"""),"DEF: +5000, Water DEF: +5000 ++X4 additional Water damage.")</f>
        <v>DEF: +5000, Water DEF: +5000 ++X4 additional Water damage.</v>
      </c>
      <c r="G229" s="1">
        <f>IFERROR(__xludf.DUMMYFUNCTION("""COMPUTED_VALUE"""),1900000.0)</f>
        <v>1900000</v>
      </c>
      <c r="H229" s="1" t="b">
        <f>IFERROR(__xludf.DUMMYFUNCTION("""COMPUTED_VALUE"""),FALSE)</f>
        <v>0</v>
      </c>
      <c r="I229" s="1" t="str">
        <f>IFERROR(__xludf.DUMMYFUNCTION("""COMPUTED_VALUE"""),"Land of Spira")</f>
        <v>Land of Spira</v>
      </c>
    </row>
    <row r="230">
      <c r="A230" s="1" t="str">
        <f>IFERROR(__xludf.DUMMYFUNCTION("""COMPUTED_VALUE"""),"Viking Helm")</f>
        <v>Viking Helm</v>
      </c>
      <c r="B230" s="1"/>
      <c r="C230" s="1"/>
      <c r="D230" s="1" t="str">
        <f>IFERROR(__xludf.DUMMYFUNCTION("""COMPUTED_VALUE"""),"Head")</f>
        <v>Head</v>
      </c>
      <c r="E230" s="1">
        <f>IFERROR(__xludf.DUMMYFUNCTION("""COMPUTED_VALUE"""),1.0)</f>
        <v>1</v>
      </c>
      <c r="F230" s="1" t="str">
        <f>IFERROR(__xludf.DUMMYFUNCTION("""COMPUTED_VALUE"""),"DEF: +200 (Viking Set)")</f>
        <v>DEF: +200 (Viking Set)</v>
      </c>
      <c r="G230" s="1">
        <f>IFERROR(__xludf.DUMMYFUNCTION("""COMPUTED_VALUE"""),0.0)</f>
        <v>0</v>
      </c>
      <c r="H230" s="1" t="b">
        <f>IFERROR(__xludf.DUMMYFUNCTION("""COMPUTED_VALUE"""),FALSE)</f>
        <v>0</v>
      </c>
      <c r="I230" s="1" t="str">
        <f>IFERROR(__xludf.DUMMYFUNCTION("""COMPUTED_VALUE"""),"Land of Spira")</f>
        <v>Land of Spira</v>
      </c>
    </row>
    <row r="231">
      <c r="A231" s="1" t="str">
        <f>IFERROR(__xludf.DUMMYFUNCTION("""COMPUTED_VALUE"""),"Void sword")</f>
        <v>Void sword</v>
      </c>
      <c r="B231" s="1"/>
      <c r="C231" s="1" t="str">
        <f>IFERROR(__xludf.DUMMYFUNCTION("""COMPUTED_VALUE"""),"Sword")</f>
        <v>Sword</v>
      </c>
      <c r="D231" s="1" t="str">
        <f>IFERROR(__xludf.DUMMYFUNCTION("""COMPUTED_VALUE"""),"Hand")</f>
        <v>Hand</v>
      </c>
      <c r="E231" s="1">
        <f>IFERROR(__xludf.DUMMYFUNCTION("""COMPUTED_VALUE"""),200.0)</f>
        <v>200</v>
      </c>
      <c r="F231" s="1" t="str">
        <f>IFERROR(__xludf.DUMMYFUNCTION("""COMPUTED_VALUE"""),", Celestial : +1 ++100% chance of instant death. Breaks upon instant death and causes a giant explosion causing 10,000,000 Celestial damage to all enemies..")</f>
        <v>, Celestial : +1 ++100% chance of instant death. Breaks upon instant death and causes a giant explosion causing 10,000,000 Celestial damage to all enemies..</v>
      </c>
      <c r="G231" s="1">
        <f>IFERROR(__xludf.DUMMYFUNCTION("""COMPUTED_VALUE"""),0.0)</f>
        <v>0</v>
      </c>
      <c r="H231" s="1" t="b">
        <f>IFERROR(__xludf.DUMMYFUNCTION("""COMPUTED_VALUE"""),FALSE)</f>
        <v>0</v>
      </c>
      <c r="I231" s="1" t="str">
        <f>IFERROR(__xludf.DUMMYFUNCTION("""COMPUTED_VALUE"""),"Land of Spira")</f>
        <v>Land of Spira</v>
      </c>
    </row>
    <row r="232">
      <c r="A232" s="1" t="str">
        <f>IFERROR(__xludf.DUMMYFUNCTION("""COMPUTED_VALUE"""),"Wand of Grey")</f>
        <v>Wand of Grey</v>
      </c>
      <c r="B232" s="1"/>
      <c r="C232" s="1" t="str">
        <f>IFERROR(__xludf.DUMMYFUNCTION("""COMPUTED_VALUE"""),"Wand")</f>
        <v>Wand</v>
      </c>
      <c r="D232" s="1" t="str">
        <f>IFERROR(__xludf.DUMMYFUNCTION("""COMPUTED_VALUE"""),"Hand")</f>
        <v>Hand</v>
      </c>
      <c r="E232" s="1">
        <f>IFERROR(__xludf.DUMMYFUNCTION("""COMPUTED_VALUE"""),1.0)</f>
        <v>1</v>
      </c>
      <c r="F232" s="1" t="str">
        <f>IFERROR(__xludf.DUMMYFUNCTION("""COMPUTED_VALUE""")," ++X2 more damage to all spells. +-Cannot be duplicated.")</f>
        <v> ++X2 more damage to all spells. +-Cannot be duplicated.</v>
      </c>
      <c r="G232" s="1">
        <f>IFERROR(__xludf.DUMMYFUNCTION("""COMPUTED_VALUE"""),0.0)</f>
        <v>0</v>
      </c>
      <c r="H232" s="1" t="b">
        <f>IFERROR(__xludf.DUMMYFUNCTION("""COMPUTED_VALUE"""),FALSE)</f>
        <v>0</v>
      </c>
      <c r="I232" s="1" t="str">
        <f>IFERROR(__xludf.DUMMYFUNCTION("""COMPUTED_VALUE"""),"Land of Spira")</f>
        <v>Land of Spira</v>
      </c>
    </row>
    <row r="233">
      <c r="A233" s="1" t="str">
        <f>IFERROR(__xludf.DUMMYFUNCTION("""COMPUTED_VALUE"""),"Wand of Multi-Color")</f>
        <v>Wand of Multi-Color</v>
      </c>
      <c r="B233" s="1"/>
      <c r="C233" s="1" t="str">
        <f>IFERROR(__xludf.DUMMYFUNCTION("""COMPUTED_VALUE"""),"Wand")</f>
        <v>Wand</v>
      </c>
      <c r="D233" s="1" t="str">
        <f>IFERROR(__xludf.DUMMYFUNCTION("""COMPUTED_VALUE"""),"Hand")</f>
        <v>Hand</v>
      </c>
      <c r="E233" s="1">
        <f>IFERROR(__xludf.DUMMYFUNCTION("""COMPUTED_VALUE"""),1.0)</f>
        <v>1</v>
      </c>
      <c r="F233" s="1" t="str">
        <f>IFERROR(__xludf.DUMMYFUNCTION("""COMPUTED_VALUE""")," ++All types of spells are reduced by half sp. +-Cannot be duplicated. +-Can only equip one")</f>
        <v> ++All types of spells are reduced by half sp. +-Cannot be duplicated. +-Can only equip one</v>
      </c>
      <c r="G233" s="1">
        <f>IFERROR(__xludf.DUMMYFUNCTION("""COMPUTED_VALUE"""),0.0)</f>
        <v>0</v>
      </c>
      <c r="H233" s="1" t="b">
        <f>IFERROR(__xludf.DUMMYFUNCTION("""COMPUTED_VALUE"""),FALSE)</f>
        <v>0</v>
      </c>
      <c r="I233" s="1" t="str">
        <f>IFERROR(__xludf.DUMMYFUNCTION("""COMPUTED_VALUE"""),"Land of Spira")</f>
        <v>Land of Spira</v>
      </c>
    </row>
    <row r="234">
      <c r="A234" s="1" t="str">
        <f>IFERROR(__xludf.DUMMYFUNCTION("""COMPUTED_VALUE"""),"Warlock’s Armored Chestplate")</f>
        <v>Warlock’s Armored Chestplate</v>
      </c>
      <c r="B234" s="1"/>
      <c r="C234" s="1"/>
      <c r="D234" s="1" t="str">
        <f>IFERROR(__xludf.DUMMYFUNCTION("""COMPUTED_VALUE"""),"Torso")</f>
        <v>Torso</v>
      </c>
      <c r="E234" s="1">
        <f>IFERROR(__xludf.DUMMYFUNCTION("""COMPUTED_VALUE"""),100.0)</f>
        <v>100</v>
      </c>
      <c r="F234" s="1" t="str">
        <f>IFERROR(__xludf.DUMMYFUNCTION("""COMPUTED_VALUE"""),"DEF: +5000 ++All Dark, and Weapon attacks deal X2 more damage, All SP costs for Melee, Dark, and Physical Spells are reduced to half. ++Immunity to Dark and Chaos Damage.")</f>
        <v>DEF: +5000 ++All Dark, and Weapon attacks deal X2 more damage, All SP costs for Melee, Dark, and Physical Spells are reduced to half. ++Immunity to Dark and Chaos Damage.</v>
      </c>
      <c r="G234" s="1">
        <f>IFERROR(__xludf.DUMMYFUNCTION("""COMPUTED_VALUE"""),450000.0)</f>
        <v>450000</v>
      </c>
      <c r="H234" s="1" t="b">
        <f>IFERROR(__xludf.DUMMYFUNCTION("""COMPUTED_VALUE"""),FALSE)</f>
        <v>0</v>
      </c>
      <c r="I234" s="1" t="str">
        <f>IFERROR(__xludf.DUMMYFUNCTION("""COMPUTED_VALUE"""),"Land of Spira")</f>
        <v>Land of Spira</v>
      </c>
    </row>
    <row r="235">
      <c r="A235" s="1" t="str">
        <f>IFERROR(__xludf.DUMMYFUNCTION("""COMPUTED_VALUE"""),"Water Warhammer")</f>
        <v>Water Warhammer</v>
      </c>
      <c r="B235" s="1"/>
      <c r="C235" s="1" t="str">
        <f>IFERROR(__xludf.DUMMYFUNCTION("""COMPUTED_VALUE"""),"Club")</f>
        <v>Club</v>
      </c>
      <c r="D235" s="1" t="str">
        <f>IFERROR(__xludf.DUMMYFUNCTION("""COMPUTED_VALUE"""),"Hand")</f>
        <v>Hand</v>
      </c>
      <c r="E235" s="1">
        <f>IFERROR(__xludf.DUMMYFUNCTION("""COMPUTED_VALUE"""),200.0)</f>
        <v>200</v>
      </c>
      <c r="F235" s="1" t="str">
        <f>IFERROR(__xludf.DUMMYFUNCTION("""COMPUTED_VALUE"""),"DMG: +5000, Water DMG: +5000")</f>
        <v>DMG: +5000, Water DMG: +5000</v>
      </c>
      <c r="G235" s="1">
        <f>IFERROR(__xludf.DUMMYFUNCTION("""COMPUTED_VALUE"""),1900000.0)</f>
        <v>1900000</v>
      </c>
      <c r="H235" s="1" t="b">
        <f>IFERROR(__xludf.DUMMYFUNCTION("""COMPUTED_VALUE"""),FALSE)</f>
        <v>0</v>
      </c>
      <c r="I235" s="1" t="str">
        <f>IFERROR(__xludf.DUMMYFUNCTION("""COMPUTED_VALUE"""),"Land of Spira")</f>
        <v>Land of Spira</v>
      </c>
    </row>
    <row r="236">
      <c r="A236" s="1" t="str">
        <f>IFERROR(__xludf.DUMMYFUNCTION("""COMPUTED_VALUE"""),"Weaponized Bamboo Hat")</f>
        <v>Weaponized Bamboo Hat</v>
      </c>
      <c r="B236" s="1"/>
      <c r="C236" s="1" t="str">
        <f>IFERROR(__xludf.DUMMYFUNCTION("""COMPUTED_VALUE"""),"Knife")</f>
        <v>Knife</v>
      </c>
      <c r="D236" s="1" t="str">
        <f>IFERROR(__xludf.DUMMYFUNCTION("""COMPUTED_VALUE"""),"Head")</f>
        <v>Head</v>
      </c>
      <c r="E236" s="1">
        <f>IFERROR(__xludf.DUMMYFUNCTION("""COMPUTED_VALUE"""),40.0)</f>
        <v>40</v>
      </c>
      <c r="F236" s="1" t="str">
        <f>IFERROR(__xludf.DUMMYFUNCTION("""COMPUTED_VALUE"""),"DEF: +1000, Nature DEF: +1000 ++10,000 damage when thrown, this item will return to you after thrown.")</f>
        <v>DEF: +1000, Nature DEF: +1000 ++10,000 damage when thrown, this item will return to you after thrown.</v>
      </c>
      <c r="G236" s="1">
        <f>IFERROR(__xludf.DUMMYFUNCTION("""COMPUTED_VALUE"""),60000.0)</f>
        <v>60000</v>
      </c>
      <c r="H236" s="1" t="b">
        <f>IFERROR(__xludf.DUMMYFUNCTION("""COMPUTED_VALUE"""),FALSE)</f>
        <v>0</v>
      </c>
      <c r="I236" s="1" t="str">
        <f>IFERROR(__xludf.DUMMYFUNCTION("""COMPUTED_VALUE"""),"Land of Spira")</f>
        <v>Land of Spira</v>
      </c>
    </row>
    <row r="237">
      <c r="A237" s="1" t="str">
        <f>IFERROR(__xludf.DUMMYFUNCTION("""COMPUTED_VALUE"""),"Wig of Temper Fire")</f>
        <v>Wig of Temper Fire</v>
      </c>
      <c r="B237" s="1"/>
      <c r="C237" s="1"/>
      <c r="D237" s="1" t="str">
        <f>IFERROR(__xludf.DUMMYFUNCTION("""COMPUTED_VALUE"""),"Head")</f>
        <v>Head</v>
      </c>
      <c r="E237" s="1">
        <f>IFERROR(__xludf.DUMMYFUNCTION("""COMPUTED_VALUE"""),1.0)</f>
        <v>1</v>
      </c>
      <c r="F237" s="1" t="str">
        <f>IFERROR(__xludf.DUMMYFUNCTION("""COMPUTED_VALUE""")," ++reduces any fire damage to 1 +-Cannot be duplicated")</f>
        <v> ++reduces any fire damage to 1 +-Cannot be duplicated</v>
      </c>
      <c r="G237" s="1">
        <f>IFERROR(__xludf.DUMMYFUNCTION("""COMPUTED_VALUE"""),0.0)</f>
        <v>0</v>
      </c>
      <c r="H237" s="1" t="b">
        <f>IFERROR(__xludf.DUMMYFUNCTION("""COMPUTED_VALUE"""),FALSE)</f>
        <v>0</v>
      </c>
      <c r="I237" s="1" t="str">
        <f>IFERROR(__xludf.DUMMYFUNCTION("""COMPUTED_VALUE"""),"Land of Spira")</f>
        <v>Land of Spira</v>
      </c>
    </row>
    <row r="238">
      <c r="A238" s="1" t="str">
        <f>IFERROR(__xludf.DUMMYFUNCTION("""COMPUTED_VALUE"""),"Woodsman’s Hacker")</f>
        <v>Woodsman’s Hacker</v>
      </c>
      <c r="B238" s="1"/>
      <c r="C238" s="1" t="str">
        <f>IFERROR(__xludf.DUMMYFUNCTION("""COMPUTED_VALUE"""),"Axe")</f>
        <v>Axe</v>
      </c>
      <c r="D238" s="1" t="str">
        <f>IFERROR(__xludf.DUMMYFUNCTION("""COMPUTED_VALUE"""),"Hand")</f>
        <v>Hand</v>
      </c>
      <c r="E238" s="1">
        <f>IFERROR(__xludf.DUMMYFUNCTION("""COMPUTED_VALUE"""),10.0)</f>
        <v>10</v>
      </c>
      <c r="F238" s="1" t="str">
        <f>IFERROR(__xludf.DUMMYFUNCTION("""COMPUTED_VALUE"""),"DMG: +500")</f>
        <v>DMG: +500</v>
      </c>
      <c r="G238" s="1">
        <f>IFERROR(__xludf.DUMMYFUNCTION("""COMPUTED_VALUE"""),1000.0)</f>
        <v>1000</v>
      </c>
      <c r="H238" s="1" t="b">
        <f>IFERROR(__xludf.DUMMYFUNCTION("""COMPUTED_VALUE"""),FALSE)</f>
        <v>0</v>
      </c>
      <c r="I238" s="1" t="str">
        <f>IFERROR(__xludf.DUMMYFUNCTION("""COMPUTED_VALUE"""),"Land of Spira")</f>
        <v>Land of Spira</v>
      </c>
    </row>
    <row r="239">
      <c r="A239" s="1" t="str">
        <f>IFERROR(__xludf.DUMMYFUNCTION("""COMPUTED_VALUE"""),"World Tree Sword")</f>
        <v>World Tree Sword</v>
      </c>
      <c r="B239" s="1"/>
      <c r="C239" s="1"/>
      <c r="D239" s="1" t="str">
        <f>IFERROR(__xludf.DUMMYFUNCTION("""COMPUTED_VALUE"""),"Hand")</f>
        <v>Hand</v>
      </c>
      <c r="E239" s="1">
        <f>IFERROR(__xludf.DUMMYFUNCTION("""COMPUTED_VALUE"""),200.0)</f>
        <v>200</v>
      </c>
      <c r="F239" s="1" t="str">
        <f>IFERROR(__xludf.DUMMYFUNCTION("""COMPUTED_VALUE"""),"DMG: +100000, Earth DMG: +50000, Light DMG: +50000, Spirit DMG: +50000, Order DMG: +50000, Nature DMG: +50000, Celestial DMG: +50000 ++If you kill an enemy with this weapon your HP and SP will fully be restored. +-Cannot be forged +-Cannot be duplicated")</f>
        <v>DMG: +100000, Earth DMG: +50000, Light DMG: +50000, Spirit DMG: +50000, Order DMG: +50000, Nature DMG: +50000, Celestial DMG: +50000 ++If you kill an enemy with this weapon your HP and SP will fully be restored. +-Cannot be forged +-Cannot be duplicated</v>
      </c>
      <c r="G239" s="1">
        <f>IFERROR(__xludf.DUMMYFUNCTION("""COMPUTED_VALUE"""),3.196E9)</f>
        <v>3196000000</v>
      </c>
      <c r="H239" s="1" t="b">
        <f>IFERROR(__xludf.DUMMYFUNCTION("""COMPUTED_VALUE"""),FALSE)</f>
        <v>0</v>
      </c>
      <c r="I239" s="1" t="str">
        <f>IFERROR(__xludf.DUMMYFUNCTION("""COMPUTED_VALUE"""),"Land of Spira")</f>
        <v>Land of Spira</v>
      </c>
    </row>
    <row r="240">
      <c r="A240" s="1" t="str">
        <f>IFERROR(__xludf.DUMMYFUNCTION("""COMPUTED_VALUE"""),"Revolver")</f>
        <v>Revolver</v>
      </c>
      <c r="B240" s="1"/>
      <c r="C240" s="1" t="str">
        <f>IFERROR(__xludf.DUMMYFUNCTION("""COMPUTED_VALUE"""),"Firearm")</f>
        <v>Firearm</v>
      </c>
      <c r="D240" s="1" t="str">
        <f>IFERROR(__xludf.DUMMYFUNCTION("""COMPUTED_VALUE"""),"Hand")</f>
        <v>Hand</v>
      </c>
      <c r="E240" s="1">
        <f>IFERROR(__xludf.DUMMYFUNCTION("""COMPUTED_VALUE"""),200.0)</f>
        <v>200</v>
      </c>
      <c r="F240" s="1" t="str">
        <f>IFERROR(__xludf.DUMMYFUNCTION("""COMPUTED_VALUE"""),"DMG: +5000, Blood DMG: +5000")</f>
        <v>DMG: +5000, Blood DMG: +5000</v>
      </c>
      <c r="G240" s="1">
        <f>IFERROR(__xludf.DUMMYFUNCTION("""COMPUTED_VALUE"""),1900000.0)</f>
        <v>1900000</v>
      </c>
      <c r="H240" s="1" t="b">
        <f>IFERROR(__xludf.DUMMYFUNCTION("""COMPUTED_VALUE"""),FALSE)</f>
        <v>0</v>
      </c>
      <c r="I240" s="1" t="str">
        <f>IFERROR(__xludf.DUMMYFUNCTION("""COMPUTED_VALUE"""),"Land of Spira")</f>
        <v>Land of Spira</v>
      </c>
    </row>
    <row r="241">
      <c r="A241" s="1" t="str">
        <f>IFERROR(__xludf.DUMMYFUNCTION("""COMPUTED_VALUE"""),"Musket")</f>
        <v>Musket</v>
      </c>
      <c r="B241" s="1"/>
      <c r="C241" s="1" t="str">
        <f>IFERROR(__xludf.DUMMYFUNCTION("""COMPUTED_VALUE"""),"Firearm")</f>
        <v>Firearm</v>
      </c>
      <c r="D241" s="1" t="str">
        <f>IFERROR(__xludf.DUMMYFUNCTION("""COMPUTED_VALUE"""),"Hand")</f>
        <v>Hand</v>
      </c>
      <c r="E241" s="1">
        <f>IFERROR(__xludf.DUMMYFUNCTION("""COMPUTED_VALUE"""),400.0)</f>
        <v>400</v>
      </c>
      <c r="F241" s="1" t="str">
        <f>IFERROR(__xludf.DUMMYFUNCTION("""COMPUTED_VALUE"""),"DMG: +10000, Blood DMG: +10000")</f>
        <v>DMG: +10000, Blood DMG: +10000</v>
      </c>
      <c r="G241" s="1">
        <f>IFERROR(__xludf.DUMMYFUNCTION("""COMPUTED_VALUE"""),7800000.0)</f>
        <v>7800000</v>
      </c>
      <c r="H241" s="1" t="b">
        <f>IFERROR(__xludf.DUMMYFUNCTION("""COMPUTED_VALUE"""),FALSE)</f>
        <v>0</v>
      </c>
      <c r="I241" s="1" t="str">
        <f>IFERROR(__xludf.DUMMYFUNCTION("""COMPUTED_VALUE"""),"Land of Spira")</f>
        <v>Land of Spira</v>
      </c>
    </row>
    <row r="242">
      <c r="A242" s="1" t="str">
        <f>IFERROR(__xludf.DUMMYFUNCTION("""COMPUTED_VALUE"""),"Lazer Infused Railgun")</f>
        <v>Lazer Infused Railgun</v>
      </c>
      <c r="B242" s="1"/>
      <c r="C242" s="1" t="str">
        <f>IFERROR(__xludf.DUMMYFUNCTION("""COMPUTED_VALUE"""),"Firearm")</f>
        <v>Firearm</v>
      </c>
      <c r="D242" s="1" t="str">
        <f>IFERROR(__xludf.DUMMYFUNCTION("""COMPUTED_VALUE"""),"Hand")</f>
        <v>Hand</v>
      </c>
      <c r="E242" s="1">
        <f>IFERROR(__xludf.DUMMYFUNCTION("""COMPUTED_VALUE"""),1600.0)</f>
        <v>1600</v>
      </c>
      <c r="F242" s="1" t="str">
        <f>IFERROR(__xludf.DUMMYFUNCTION("""COMPUTED_VALUE"""),"DMG: +40000, Blood DMG: +40000 ++Damages all enemies, Cannot Avoid. ++Ignores defense, ++Does not need ammunition. +-Cannot be forged. ")</f>
        <v>DMG: +40000, Blood DMG: +40000 ++Damages all enemies, Cannot Avoid. ++Ignores defense, ++Does not need ammunition. +-Cannot be forged. </v>
      </c>
      <c r="G242" s="1">
        <f>IFERROR(__xludf.DUMMYFUNCTION("""COMPUTED_VALUE"""),1.272E8)</f>
        <v>127200000</v>
      </c>
      <c r="H242" s="1" t="b">
        <f>IFERROR(__xludf.DUMMYFUNCTION("""COMPUTED_VALUE"""),FALSE)</f>
        <v>0</v>
      </c>
      <c r="I242" s="1" t="str">
        <f>IFERROR(__xludf.DUMMYFUNCTION("""COMPUTED_VALUE"""),"Land of Spira")</f>
        <v>Land of Spira</v>
      </c>
    </row>
    <row r="243">
      <c r="A243" s="1" t="str">
        <f>IFERROR(__xludf.DUMMYFUNCTION("""COMPUTED_VALUE"""),"Minigun")</f>
        <v>Minigun</v>
      </c>
      <c r="B243" s="1"/>
      <c r="C243" s="1" t="str">
        <f>IFERROR(__xludf.DUMMYFUNCTION("""COMPUTED_VALUE"""),"Firearm")</f>
        <v>Firearm</v>
      </c>
      <c r="D243" s="1" t="str">
        <f>IFERROR(__xludf.DUMMYFUNCTION("""COMPUTED_VALUE"""),"Hand")</f>
        <v>Hand</v>
      </c>
      <c r="E243" s="1">
        <f>IFERROR(__xludf.DUMMYFUNCTION("""COMPUTED_VALUE"""),1200.0)</f>
        <v>1200</v>
      </c>
      <c r="F243" s="1" t="str">
        <f>IFERROR(__xludf.DUMMYFUNCTION("""COMPUTED_VALUE"""),"DMG: +30000, Blood DMG: +30000 ++Damages all enemies, Cannot Avoid, Roll a d100 the turn you use this weapon to see how many bullets it shoots.")</f>
        <v>DMG: +30000, Blood DMG: +30000 ++Damages all enemies, Cannot Avoid, Roll a d100 the turn you use this weapon to see how many bullets it shoots.</v>
      </c>
      <c r="G243" s="1">
        <f>IFERROR(__xludf.DUMMYFUNCTION("""COMPUTED_VALUE"""),7.14E7)</f>
        <v>71400000</v>
      </c>
      <c r="H243" s="1" t="b">
        <f>IFERROR(__xludf.DUMMYFUNCTION("""COMPUTED_VALUE"""),FALSE)</f>
        <v>0</v>
      </c>
      <c r="I243" s="1" t="str">
        <f>IFERROR(__xludf.DUMMYFUNCTION("""COMPUTED_VALUE"""),"Land of Spira")</f>
        <v>Land of Spira</v>
      </c>
    </row>
    <row r="244">
      <c r="A244" s="1" t="str">
        <f>IFERROR(__xludf.DUMMYFUNCTION("""COMPUTED_VALUE"""),"Seahorse’s Ring")</f>
        <v>Seahorse’s Ring</v>
      </c>
      <c r="B244" s="1"/>
      <c r="C244" s="1"/>
      <c r="D244" s="1" t="str">
        <f>IFERROR(__xludf.DUMMYFUNCTION("""COMPUTED_VALUE"""),"Ring")</f>
        <v>Ring</v>
      </c>
      <c r="E244" s="1">
        <f>IFERROR(__xludf.DUMMYFUNCTION("""COMPUTED_VALUE"""),20.0)</f>
        <v>20</v>
      </c>
      <c r="F244" s="1" t="str">
        <f>IFERROR(__xludf.DUMMYFUNCTION("""COMPUTED_VALUE"""),", Nature : +1000 ++When fishing you have a 5% chance to encounter a rare seahorse, and he will give you a unique item (Chosen by a DM/GM)")</f>
        <v>, Nature : +1000 ++When fishing you have a 5% chance to encounter a rare seahorse, and he will give you a unique item (Chosen by a DM/GM)</v>
      </c>
      <c r="G244" s="1">
        <f>IFERROR(__xludf.DUMMYFUNCTION("""COMPUTED_VALUE"""),10000.0)</f>
        <v>10000</v>
      </c>
      <c r="H244" s="1" t="b">
        <f>IFERROR(__xludf.DUMMYFUNCTION("""COMPUTED_VALUE"""),FALSE)</f>
        <v>0</v>
      </c>
      <c r="I244" s="1" t="str">
        <f>IFERROR(__xludf.DUMMYFUNCTION("""COMPUTED_VALUE"""),"Land of Spira")</f>
        <v>Land of Spira</v>
      </c>
    </row>
    <row r="245">
      <c r="A245" s="1" t="str">
        <f>IFERROR(__xludf.DUMMYFUNCTION("""COMPUTED_VALUE"""),"Bamboo Vambraces")</f>
        <v>Bamboo Vambraces</v>
      </c>
      <c r="B245" s="1"/>
      <c r="C245" s="1"/>
      <c r="D245" s="1" t="str">
        <f>IFERROR(__xludf.DUMMYFUNCTION("""COMPUTED_VALUE"""),"Arms")</f>
        <v>Arms</v>
      </c>
      <c r="E245" s="1">
        <f>IFERROR(__xludf.DUMMYFUNCTION("""COMPUTED_VALUE"""),40.0)</f>
        <v>40</v>
      </c>
      <c r="F245" s="1" t="str">
        <f>IFERROR(__xludf.DUMMYFUNCTION("""COMPUTED_VALUE"""),"DEF: +1000, Nature DEF: +1000")</f>
        <v>DEF: +1000, Nature DEF: +1000</v>
      </c>
      <c r="G245" s="1">
        <f>IFERROR(__xludf.DUMMYFUNCTION("""COMPUTED_VALUE"""),60000.0)</f>
        <v>60000</v>
      </c>
      <c r="H245" s="1" t="b">
        <f>IFERROR(__xludf.DUMMYFUNCTION("""COMPUTED_VALUE"""),FALSE)</f>
        <v>0</v>
      </c>
      <c r="I245" s="1" t="str">
        <f>IFERROR(__xludf.DUMMYFUNCTION("""COMPUTED_VALUE"""),"Land of Spira")</f>
        <v>Land of Spira</v>
      </c>
    </row>
    <row r="246">
      <c r="A246" s="1" t="str">
        <f>IFERROR(__xludf.DUMMYFUNCTION("""COMPUTED_VALUE"""),"Bamboo Pauldrons")</f>
        <v>Bamboo Pauldrons</v>
      </c>
      <c r="B246" s="1"/>
      <c r="C246" s="1"/>
      <c r="D246" s="1" t="str">
        <f>IFERROR(__xludf.DUMMYFUNCTION("""COMPUTED_VALUE"""),"Shoulders")</f>
        <v>Shoulders</v>
      </c>
      <c r="E246" s="1">
        <f>IFERROR(__xludf.DUMMYFUNCTION("""COMPUTED_VALUE"""),40.0)</f>
        <v>40</v>
      </c>
      <c r="F246" s="1" t="str">
        <f>IFERROR(__xludf.DUMMYFUNCTION("""COMPUTED_VALUE"""),"DEF: +1000, Nature DEF: +1000")</f>
        <v>DEF: +1000, Nature DEF: +1000</v>
      </c>
      <c r="G246" s="1">
        <f>IFERROR(__xludf.DUMMYFUNCTION("""COMPUTED_VALUE"""),60000.0)</f>
        <v>60000</v>
      </c>
      <c r="H246" s="1" t="b">
        <f>IFERROR(__xludf.DUMMYFUNCTION("""COMPUTED_VALUE"""),FALSE)</f>
        <v>0</v>
      </c>
      <c r="I246" s="1" t="str">
        <f>IFERROR(__xludf.DUMMYFUNCTION("""COMPUTED_VALUE"""),"Land of Spira")</f>
        <v>Land of Spira</v>
      </c>
    </row>
    <row r="247">
      <c r="A247" s="1" t="str">
        <f>IFERROR(__xludf.DUMMYFUNCTION("""COMPUTED_VALUE"""),"Bamboo Chestplate")</f>
        <v>Bamboo Chestplate</v>
      </c>
      <c r="B247" s="1"/>
      <c r="C247" s="1"/>
      <c r="D247" s="1" t="str">
        <f>IFERROR(__xludf.DUMMYFUNCTION("""COMPUTED_VALUE"""),"Torso")</f>
        <v>Torso</v>
      </c>
      <c r="E247" s="1">
        <f>IFERROR(__xludf.DUMMYFUNCTION("""COMPUTED_VALUE"""),40.0)</f>
        <v>40</v>
      </c>
      <c r="F247" s="1" t="str">
        <f>IFERROR(__xludf.DUMMYFUNCTION("""COMPUTED_VALUE"""),"DEF: +1000, Nature DEF: +1000")</f>
        <v>DEF: +1000, Nature DEF: +1000</v>
      </c>
      <c r="G247" s="1">
        <f>IFERROR(__xludf.DUMMYFUNCTION("""COMPUTED_VALUE"""),60000.0)</f>
        <v>60000</v>
      </c>
      <c r="H247" s="1" t="b">
        <f>IFERROR(__xludf.DUMMYFUNCTION("""COMPUTED_VALUE"""),FALSE)</f>
        <v>0</v>
      </c>
      <c r="I247" s="1" t="str">
        <f>IFERROR(__xludf.DUMMYFUNCTION("""COMPUTED_VALUE"""),"Land of Spira")</f>
        <v>Land of Spira</v>
      </c>
    </row>
    <row r="248">
      <c r="A248" s="1" t="str">
        <f>IFERROR(__xludf.DUMMYFUNCTION("""COMPUTED_VALUE"""),"Bamboo Greaves")</f>
        <v>Bamboo Greaves</v>
      </c>
      <c r="B248" s="1"/>
      <c r="C248" s="1"/>
      <c r="D248" s="1" t="str">
        <f>IFERROR(__xludf.DUMMYFUNCTION("""COMPUTED_VALUE"""),"Legs")</f>
        <v>Legs</v>
      </c>
      <c r="E248" s="1">
        <f>IFERROR(__xludf.DUMMYFUNCTION("""COMPUTED_VALUE"""),40.0)</f>
        <v>40</v>
      </c>
      <c r="F248" s="1" t="str">
        <f>IFERROR(__xludf.DUMMYFUNCTION("""COMPUTED_VALUE"""),"DEF: +1000, Nature DEF: +1000")</f>
        <v>DEF: +1000, Nature DEF: +1000</v>
      </c>
      <c r="G248" s="1">
        <f>IFERROR(__xludf.DUMMYFUNCTION("""COMPUTED_VALUE"""),60000.0)</f>
        <v>60000</v>
      </c>
      <c r="H248" s="1" t="b">
        <f>IFERROR(__xludf.DUMMYFUNCTION("""COMPUTED_VALUE"""),FALSE)</f>
        <v>0</v>
      </c>
      <c r="I248" s="1" t="str">
        <f>IFERROR(__xludf.DUMMYFUNCTION("""COMPUTED_VALUE"""),"Land of Spira")</f>
        <v>Land of Spira</v>
      </c>
    </row>
    <row r="249">
      <c r="A249" s="1" t="str">
        <f>IFERROR(__xludf.DUMMYFUNCTION("""COMPUTED_VALUE"""),"Strengthened Bamboo Sword")</f>
        <v>Strengthened Bamboo Sword</v>
      </c>
      <c r="B249" s="1"/>
      <c r="C249" s="1" t="str">
        <f>IFERROR(__xludf.DUMMYFUNCTION("""COMPUTED_VALUE"""),"Sword")</f>
        <v>Sword</v>
      </c>
      <c r="D249" s="1" t="str">
        <f>IFERROR(__xludf.DUMMYFUNCTION("""COMPUTED_VALUE"""),"Hand")</f>
        <v>Hand</v>
      </c>
      <c r="E249" s="1">
        <f>IFERROR(__xludf.DUMMYFUNCTION("""COMPUTED_VALUE"""),40.0)</f>
        <v>40</v>
      </c>
      <c r="F249" s="1" t="str">
        <f>IFERROR(__xludf.DUMMYFUNCTION("""COMPUTED_VALUE"""),"DMG: +1000, Nature DMG: +1000 ++X4 damage for this weapon if the battle is in a Forest or Jungle.")</f>
        <v>DMG: +1000, Nature DMG: +1000 ++X4 damage for this weapon if the battle is in a Forest or Jungle.</v>
      </c>
      <c r="G249" s="1">
        <f>IFERROR(__xludf.DUMMYFUNCTION("""COMPUTED_VALUE"""),60000.0)</f>
        <v>60000</v>
      </c>
      <c r="H249" s="1" t="b">
        <f>IFERROR(__xludf.DUMMYFUNCTION("""COMPUTED_VALUE"""),FALSE)</f>
        <v>0</v>
      </c>
      <c r="I249" s="1" t="str">
        <f>IFERROR(__xludf.DUMMYFUNCTION("""COMPUTED_VALUE"""),"Land of Spira")</f>
        <v>Land of Spira</v>
      </c>
    </row>
    <row r="250">
      <c r="A250" s="1" t="str">
        <f>IFERROR(__xludf.DUMMYFUNCTION("""COMPUTED_VALUE"""),"Bamboo Sandals")</f>
        <v>Bamboo Sandals</v>
      </c>
      <c r="B250" s="1"/>
      <c r="C250" s="1"/>
      <c r="D250" s="1" t="str">
        <f>IFERROR(__xludf.DUMMYFUNCTION("""COMPUTED_VALUE"""),"Feet")</f>
        <v>Feet</v>
      </c>
      <c r="E250" s="1">
        <f>IFERROR(__xludf.DUMMYFUNCTION("""COMPUTED_VALUE"""),40.0)</f>
        <v>40</v>
      </c>
      <c r="F250" s="1" t="str">
        <f>IFERROR(__xludf.DUMMYFUNCTION("""COMPUTED_VALUE"""),"DEF: +1000, Nature DEF: +1000")</f>
        <v>DEF: +1000, Nature DEF: +1000</v>
      </c>
      <c r="G250" s="1">
        <f>IFERROR(__xludf.DUMMYFUNCTION("""COMPUTED_VALUE"""),60000.0)</f>
        <v>60000</v>
      </c>
      <c r="H250" s="1" t="b">
        <f>IFERROR(__xludf.DUMMYFUNCTION("""COMPUTED_VALUE"""),FALSE)</f>
        <v>0</v>
      </c>
      <c r="I250" s="1" t="str">
        <f>IFERROR(__xludf.DUMMYFUNCTION("""COMPUTED_VALUE"""),"Land of Spira")</f>
        <v>Land of Spira</v>
      </c>
    </row>
    <row r="251">
      <c r="A251" s="1" t="str">
        <f>IFERROR(__xludf.DUMMYFUNCTION("""COMPUTED_VALUE"""),"Greaves of Foul Night")</f>
        <v>Greaves of Foul Night</v>
      </c>
      <c r="B251" s="1"/>
      <c r="C251" s="1"/>
      <c r="D251" s="1" t="str">
        <f>IFERROR(__xludf.DUMMYFUNCTION("""COMPUTED_VALUE"""),"Legs")</f>
        <v>Legs</v>
      </c>
      <c r="E251" s="1">
        <f>IFERROR(__xludf.DUMMYFUNCTION("""COMPUTED_VALUE"""),200.0)</f>
        <v>200</v>
      </c>
      <c r="F251" s="1" t="str">
        <f>IFERROR(__xludf.DUMMYFUNCTION("""COMPUTED_VALUE"""),"DEF: +5000, Nature DEF: +5000 (Foul Night Set) ++X2 Nature and Poison damage, Poison Immunity.")</f>
        <v>DEF: +5000, Nature DEF: +5000 (Foul Night Set) ++X2 Nature and Poison damage, Poison Immunity.</v>
      </c>
      <c r="G251" s="1">
        <f>IFERROR(__xludf.DUMMYFUNCTION("""COMPUTED_VALUE"""),1900000.0)</f>
        <v>1900000</v>
      </c>
      <c r="H251" s="1" t="b">
        <f>IFERROR(__xludf.DUMMYFUNCTION("""COMPUTED_VALUE"""),FALSE)</f>
        <v>0</v>
      </c>
      <c r="I251" s="1" t="str">
        <f>IFERROR(__xludf.DUMMYFUNCTION("""COMPUTED_VALUE"""),"Land of Spira")</f>
        <v>Land of Spira</v>
      </c>
    </row>
    <row r="252">
      <c r="A252" s="1" t="str">
        <f>IFERROR(__xludf.DUMMYFUNCTION("""COMPUTED_VALUE"""),"Vambraces of Foul Night")</f>
        <v>Vambraces of Foul Night</v>
      </c>
      <c r="B252" s="1"/>
      <c r="C252" s="1"/>
      <c r="D252" s="1" t="str">
        <f>IFERROR(__xludf.DUMMYFUNCTION("""COMPUTED_VALUE"""),"Arms")</f>
        <v>Arms</v>
      </c>
      <c r="E252" s="1">
        <f>IFERROR(__xludf.DUMMYFUNCTION("""COMPUTED_VALUE"""),200.0)</f>
        <v>200</v>
      </c>
      <c r="F252" s="1" t="str">
        <f>IFERROR(__xludf.DUMMYFUNCTION("""COMPUTED_VALUE"""),"DEF: +5000, Dark DEF: +5000 (Foul Night Set) ++X2 Dark and Poison damage, Poison Immunity.")</f>
        <v>DEF: +5000, Dark DEF: +5000 (Foul Night Set) ++X2 Dark and Poison damage, Poison Immunity.</v>
      </c>
      <c r="G252" s="1">
        <f>IFERROR(__xludf.DUMMYFUNCTION("""COMPUTED_VALUE"""),1900000.0)</f>
        <v>1900000</v>
      </c>
      <c r="H252" s="1" t="b">
        <f>IFERROR(__xludf.DUMMYFUNCTION("""COMPUTED_VALUE"""),FALSE)</f>
        <v>0</v>
      </c>
      <c r="I252" s="1" t="str">
        <f>IFERROR(__xludf.DUMMYFUNCTION("""COMPUTED_VALUE"""),"Land of Spira")</f>
        <v>Land of Spira</v>
      </c>
    </row>
    <row r="253">
      <c r="A253" s="1" t="str">
        <f>IFERROR(__xludf.DUMMYFUNCTION("""COMPUTED_VALUE"""),"Boots of Foul Night")</f>
        <v>Boots of Foul Night</v>
      </c>
      <c r="B253" s="1"/>
      <c r="C253" s="1"/>
      <c r="D253" s="1" t="str">
        <f>IFERROR(__xludf.DUMMYFUNCTION("""COMPUTED_VALUE"""),"Feet")</f>
        <v>Feet</v>
      </c>
      <c r="E253" s="1">
        <f>IFERROR(__xludf.DUMMYFUNCTION("""COMPUTED_VALUE"""),200.0)</f>
        <v>200</v>
      </c>
      <c r="F253" s="1" t="str">
        <f>IFERROR(__xludf.DUMMYFUNCTION("""COMPUTED_VALUE"""),"DEF: +5000, Dark DEF: +5000 (Foul Night Set) ++X2 Dark and Poison damage, Poison Immunity.")</f>
        <v>DEF: +5000, Dark DEF: +5000 (Foul Night Set) ++X2 Dark and Poison damage, Poison Immunity.</v>
      </c>
      <c r="G253" s="1">
        <f>IFERROR(__xludf.DUMMYFUNCTION("""COMPUTED_VALUE"""),1900000.0)</f>
        <v>1900000</v>
      </c>
      <c r="H253" s="1" t="b">
        <f>IFERROR(__xludf.DUMMYFUNCTION("""COMPUTED_VALUE"""),FALSE)</f>
        <v>0</v>
      </c>
      <c r="I253" s="1" t="str">
        <f>IFERROR(__xludf.DUMMYFUNCTION("""COMPUTED_VALUE"""),"Land of Spira")</f>
        <v>Land of Spira</v>
      </c>
    </row>
    <row r="254">
      <c r="A254" s="1" t="str">
        <f>IFERROR(__xludf.DUMMYFUNCTION("""COMPUTED_VALUE"""),"Pauldrons of Foul Night")</f>
        <v>Pauldrons of Foul Night</v>
      </c>
      <c r="B254" s="1"/>
      <c r="C254" s="1"/>
      <c r="D254" s="1" t="str">
        <f>IFERROR(__xludf.DUMMYFUNCTION("""COMPUTED_VALUE"""),"Shoulders")</f>
        <v>Shoulders</v>
      </c>
      <c r="E254" s="1">
        <f>IFERROR(__xludf.DUMMYFUNCTION("""COMPUTED_VALUE"""),200.0)</f>
        <v>200</v>
      </c>
      <c r="F254" s="1" t="str">
        <f>IFERROR(__xludf.DUMMYFUNCTION("""COMPUTED_VALUE"""),"DEF: +5000, Dark DEF: +5000 (Foul Night Set) ++X2 Dark and Poison damage, Poison Immunity.")</f>
        <v>DEF: +5000, Dark DEF: +5000 (Foul Night Set) ++X2 Dark and Poison damage, Poison Immunity.</v>
      </c>
      <c r="G254" s="1">
        <f>IFERROR(__xludf.DUMMYFUNCTION("""COMPUTED_VALUE"""),1900000.0)</f>
        <v>1900000</v>
      </c>
      <c r="H254" s="1" t="b">
        <f>IFERROR(__xludf.DUMMYFUNCTION("""COMPUTED_VALUE"""),FALSE)</f>
        <v>0</v>
      </c>
      <c r="I254" s="1" t="str">
        <f>IFERROR(__xludf.DUMMYFUNCTION("""COMPUTED_VALUE"""),"Land of Spira")</f>
        <v>Land of Spira</v>
      </c>
    </row>
    <row r="255">
      <c r="A255" s="1" t="str">
        <f>IFERROR(__xludf.DUMMYFUNCTION("""COMPUTED_VALUE"""),"Crystal Forged Pauldrons")</f>
        <v>Crystal Forged Pauldrons</v>
      </c>
      <c r="B255" s="1"/>
      <c r="C255" s="1"/>
      <c r="D255" s="1" t="str">
        <f>IFERROR(__xludf.DUMMYFUNCTION("""COMPUTED_VALUE"""),"Shoulders")</f>
        <v>Shoulders</v>
      </c>
      <c r="E255" s="1">
        <f>IFERROR(__xludf.DUMMYFUNCTION("""COMPUTED_VALUE"""),200.0)</f>
        <v>200</v>
      </c>
      <c r="F255"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255" s="1">
        <f>IFERROR(__xludf.DUMMYFUNCTION("""COMPUTED_VALUE"""),1900000.0)</f>
        <v>1900000</v>
      </c>
      <c r="H255" s="1" t="b">
        <f>IFERROR(__xludf.DUMMYFUNCTION("""COMPUTED_VALUE"""),FALSE)</f>
        <v>0</v>
      </c>
      <c r="I255" s="1" t="str">
        <f>IFERROR(__xludf.DUMMYFUNCTION("""COMPUTED_VALUE"""),"Land of Spira")</f>
        <v>Land of Spira</v>
      </c>
    </row>
    <row r="256">
      <c r="A256" s="1" t="str">
        <f>IFERROR(__xludf.DUMMYFUNCTION("""COMPUTED_VALUE"""),"Crystal Forged Greaves")</f>
        <v>Crystal Forged Greaves</v>
      </c>
      <c r="B256" s="1"/>
      <c r="C256" s="1"/>
      <c r="D256" s="1" t="str">
        <f>IFERROR(__xludf.DUMMYFUNCTION("""COMPUTED_VALUE"""),"Legs")</f>
        <v>Legs</v>
      </c>
      <c r="E256" s="1">
        <f>IFERROR(__xludf.DUMMYFUNCTION("""COMPUTED_VALUE"""),200.0)</f>
        <v>200</v>
      </c>
      <c r="F256"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256" s="1">
        <f>IFERROR(__xludf.DUMMYFUNCTION("""COMPUTED_VALUE"""),1900000.0)</f>
        <v>1900000</v>
      </c>
      <c r="H256" s="1" t="b">
        <f>IFERROR(__xludf.DUMMYFUNCTION("""COMPUTED_VALUE"""),FALSE)</f>
        <v>0</v>
      </c>
      <c r="I256" s="1" t="str">
        <f>IFERROR(__xludf.DUMMYFUNCTION("""COMPUTED_VALUE"""),"Land of Spira")</f>
        <v>Land of Spira</v>
      </c>
    </row>
    <row r="257">
      <c r="A257" s="1" t="str">
        <f>IFERROR(__xludf.DUMMYFUNCTION("""COMPUTED_VALUE"""),"Crystal Forged Boots")</f>
        <v>Crystal Forged Boots</v>
      </c>
      <c r="B257" s="1"/>
      <c r="C257" s="1"/>
      <c r="D257" s="1" t="str">
        <f>IFERROR(__xludf.DUMMYFUNCTION("""COMPUTED_VALUE"""),"Feet")</f>
        <v>Feet</v>
      </c>
      <c r="E257" s="1">
        <f>IFERROR(__xludf.DUMMYFUNCTION("""COMPUTED_VALUE"""),200.0)</f>
        <v>200</v>
      </c>
      <c r="F257"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257" s="1">
        <f>IFERROR(__xludf.DUMMYFUNCTION("""COMPUTED_VALUE"""),1900000.0)</f>
        <v>1900000</v>
      </c>
      <c r="H257" s="1" t="b">
        <f>IFERROR(__xludf.DUMMYFUNCTION("""COMPUTED_VALUE"""),FALSE)</f>
        <v>0</v>
      </c>
      <c r="I257" s="1" t="str">
        <f>IFERROR(__xludf.DUMMYFUNCTION("""COMPUTED_VALUE"""),"Land of Spira")</f>
        <v>Land of Spira</v>
      </c>
    </row>
    <row r="258">
      <c r="A258" s="1" t="str">
        <f>IFERROR(__xludf.DUMMYFUNCTION("""COMPUTED_VALUE"""),"Crystal Forged Vambraces")</f>
        <v>Crystal Forged Vambraces</v>
      </c>
      <c r="B258" s="1"/>
      <c r="C258" s="1"/>
      <c r="D258" s="1" t="str">
        <f>IFERROR(__xludf.DUMMYFUNCTION("""COMPUTED_VALUE"""),"Arms")</f>
        <v>Arms</v>
      </c>
      <c r="E258" s="1">
        <f>IFERROR(__xludf.DUMMYFUNCTION("""COMPUTED_VALUE"""),200.0)</f>
        <v>200</v>
      </c>
      <c r="F258" s="1"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258" s="1">
        <f>IFERROR(__xludf.DUMMYFUNCTION("""COMPUTED_VALUE"""),1900000.0)</f>
        <v>1900000</v>
      </c>
      <c r="H258" s="1" t="b">
        <f>IFERROR(__xludf.DUMMYFUNCTION("""COMPUTED_VALUE"""),FALSE)</f>
        <v>0</v>
      </c>
      <c r="I258" s="1" t="str">
        <f>IFERROR(__xludf.DUMMYFUNCTION("""COMPUTED_VALUE"""),"Land of Spira")</f>
        <v>Land of Spira</v>
      </c>
    </row>
    <row r="259">
      <c r="A259" s="1" t="str">
        <f>IFERROR(__xludf.DUMMYFUNCTION("""COMPUTED_VALUE"""),"Fiddle")</f>
        <v>Fiddle</v>
      </c>
      <c r="B259" s="1"/>
      <c r="C259" s="1" t="str">
        <f>IFERROR(__xludf.DUMMYFUNCTION("""COMPUTED_VALUE"""),"Instrument")</f>
        <v>Instrument</v>
      </c>
      <c r="D259" s="1" t="str">
        <f>IFERROR(__xludf.DUMMYFUNCTION("""COMPUTED_VALUE"""),"Hand")</f>
        <v>Hand</v>
      </c>
      <c r="E259" s="1">
        <f>IFERROR(__xludf.DUMMYFUNCTION("""COMPUTED_VALUE"""),40.0)</f>
        <v>40</v>
      </c>
      <c r="F259" s="1" t="str">
        <f>IFERROR(__xludf.DUMMYFUNCTION("""COMPUTED_VALUE"""),"DMG: +2000")</f>
        <v>DMG: +2000</v>
      </c>
      <c r="G259" s="1">
        <f>IFERROR(__xludf.DUMMYFUNCTION("""COMPUTED_VALUE"""),60000.0)</f>
        <v>60000</v>
      </c>
      <c r="H259" s="1" t="b">
        <f>IFERROR(__xludf.DUMMYFUNCTION("""COMPUTED_VALUE"""),FALSE)</f>
        <v>0</v>
      </c>
      <c r="I259" s="1" t="str">
        <f>IFERROR(__xludf.DUMMYFUNCTION("""COMPUTED_VALUE"""),"Land of Spira")</f>
        <v>Land of Spira</v>
      </c>
    </row>
    <row r="260">
      <c r="A260" s="1" t="str">
        <f>IFERROR(__xludf.DUMMYFUNCTION("""COMPUTED_VALUE"""),".50 Caliber Machine Gun (car)")</f>
        <v>.50 Caliber Machine Gun (car)</v>
      </c>
      <c r="B260" s="1"/>
      <c r="C260" s="1" t="str">
        <f>IFERROR(__xludf.DUMMYFUNCTION("""COMPUTED_VALUE"""),"Firearm")</f>
        <v>Firearm</v>
      </c>
      <c r="D260" s="1" t="str">
        <f>IFERROR(__xludf.DUMMYFUNCTION("""COMPUTED_VALUE"""),"CarGun")</f>
        <v>CarGun</v>
      </c>
      <c r="E260" s="1">
        <f>IFERROR(__xludf.DUMMYFUNCTION("""COMPUTED_VALUE"""),400.0)</f>
        <v>400</v>
      </c>
      <c r="F260" s="1" t="str">
        <f>IFERROR(__xludf.DUMMYFUNCTION("""COMPUTED_VALUE"""),"DMG: +20000 ++Roll a d500 to see how many bullets are used when you attack with this weapon. +-Uses bullets. ++Damages 2 targets. ++Cannot Avoid.")</f>
        <v>DMG: +20000 ++Roll a d500 to see how many bullets are used when you attack with this weapon. +-Uses bullets. ++Damages 2 targets. ++Cannot Avoid.</v>
      </c>
      <c r="G260" s="1">
        <f>IFERROR(__xludf.DUMMYFUNCTION("""COMPUTED_VALUE"""),7800000.0)</f>
        <v>7800000</v>
      </c>
      <c r="H260" s="1" t="b">
        <f>IFERROR(__xludf.DUMMYFUNCTION("""COMPUTED_VALUE"""),FALSE)</f>
        <v>0</v>
      </c>
      <c r="I260" s="1" t="str">
        <f>IFERROR(__xludf.DUMMYFUNCTION("""COMPUTED_VALUE"""),"Land of Spira")</f>
        <v>Land of Spira</v>
      </c>
    </row>
    <row r="261">
      <c r="A261" s="1" t="str">
        <f>IFERROR(__xludf.DUMMYFUNCTION("""COMPUTED_VALUE"""),"Auto Turret")</f>
        <v>Auto Turret</v>
      </c>
      <c r="B261" s="1"/>
      <c r="C261" s="1" t="str">
        <f>IFERROR(__xludf.DUMMYFUNCTION("""COMPUTED_VALUE"""),"Firearm")</f>
        <v>Firearm</v>
      </c>
      <c r="D261" s="1" t="str">
        <f>IFERROR(__xludf.DUMMYFUNCTION("""COMPUTED_VALUE"""),"CarGun")</f>
        <v>CarGun</v>
      </c>
      <c r="E261" s="1">
        <f>IFERROR(__xludf.DUMMYFUNCTION("""COMPUTED_VALUE"""),800.0)</f>
        <v>800</v>
      </c>
      <c r="F261" s="1" t="str">
        <f>IFERROR(__xludf.DUMMYFUNCTION("""COMPUTED_VALUE"""),"DMG: +40000 ++Does not take an action to use, Acts as if it has a turn order of its own. ++Has unlimited bullets. +-Uses bullets ++Roll a d1000 to see how many bullets are used. ++Damages all targets. ++Cannot avoid.")</f>
        <v>DMG: +40000 ++Does not take an action to use, Acts as if it has a turn order of its own. ++Has unlimited bullets. +-Uses bullets ++Roll a d1000 to see how many bullets are used. ++Damages all targets. ++Cannot avoid.</v>
      </c>
      <c r="G261" s="1">
        <f>IFERROR(__xludf.DUMMYFUNCTION("""COMPUTED_VALUE"""),3.16E7)</f>
        <v>31600000</v>
      </c>
      <c r="H261" s="1" t="b">
        <f>IFERROR(__xludf.DUMMYFUNCTION("""COMPUTED_VALUE"""),FALSE)</f>
        <v>0</v>
      </c>
      <c r="I261" s="1" t="str">
        <f>IFERROR(__xludf.DUMMYFUNCTION("""COMPUTED_VALUE"""),"Land of Spira")</f>
        <v>Land of Spira</v>
      </c>
    </row>
    <row r="262">
      <c r="A262" s="1" t="str">
        <f>IFERROR(__xludf.DUMMYFUNCTION("""COMPUTED_VALUE"""),"Lazer Infused Cannon")</f>
        <v>Lazer Infused Cannon</v>
      </c>
      <c r="B262" s="1"/>
      <c r="C262" s="1" t="str">
        <f>IFERROR(__xludf.DUMMYFUNCTION("""COMPUTED_VALUE"""),"Firearm")</f>
        <v>Firearm</v>
      </c>
      <c r="D262" s="1" t="str">
        <f>IFERROR(__xludf.DUMMYFUNCTION("""COMPUTED_VALUE"""),"BoatGun")</f>
        <v>BoatGun</v>
      </c>
      <c r="E262" s="1">
        <f>IFERROR(__xludf.DUMMYFUNCTION("""COMPUTED_VALUE"""),5000.0)</f>
        <v>5000</v>
      </c>
      <c r="F262" s="1" t="str">
        <f>IFERROR(__xludf.DUMMYFUNCTION("""COMPUTED_VALUE"""),", Fire DMG: +250000 ++Does not use Ammunition. ++Cannot avoid, ++Damages all enemies.")</f>
        <v>, Fire DMG: +250000 ++Does not use Ammunition. ++Cannot avoid, ++Damages all enemies.</v>
      </c>
      <c r="G262" s="1">
        <f>IFERROR(__xludf.DUMMYFUNCTION("""COMPUTED_VALUE"""),1.2475E9)</f>
        <v>1247500000</v>
      </c>
      <c r="H262" s="1" t="b">
        <f>IFERROR(__xludf.DUMMYFUNCTION("""COMPUTED_VALUE"""),FALSE)</f>
        <v>0</v>
      </c>
      <c r="I262" s="1" t="str">
        <f>IFERROR(__xludf.DUMMYFUNCTION("""COMPUTED_VALUE"""),"Land of Spira")</f>
        <v>Land of Spira</v>
      </c>
    </row>
    <row r="263">
      <c r="A263" s="1" t="str">
        <f>IFERROR(__xludf.DUMMYFUNCTION("""COMPUTED_VALUE"""),"Roof Mounted Turret")</f>
        <v>Roof Mounted Turret</v>
      </c>
      <c r="B263" s="1"/>
      <c r="C263" s="1" t="str">
        <f>IFERROR(__xludf.DUMMYFUNCTION("""COMPUTED_VALUE"""),"Firearm")</f>
        <v>Firearm</v>
      </c>
      <c r="D263" s="1" t="str">
        <f>IFERROR(__xludf.DUMMYFUNCTION("""COMPUTED_VALUE"""),"CarGun")</f>
        <v>CarGun</v>
      </c>
      <c r="E263" s="1">
        <f>IFERROR(__xludf.DUMMYFUNCTION("""COMPUTED_VALUE"""),500.0)</f>
        <v>500</v>
      </c>
      <c r="F263" s="1" t="str">
        <f>IFERROR(__xludf.DUMMYFUNCTION("""COMPUTED_VALUE"""),"DMG: +25000 ++Roll a d500 to see how many bullets are used when you attack with this weapon. +-Uses bullets ++Damages up to 2 targets.")</f>
        <v>DMG: +25000 ++Roll a d500 to see how many bullets are used when you attack with this weapon. +-Uses bullets ++Damages up to 2 targets.</v>
      </c>
      <c r="G263" s="1">
        <f>IFERROR(__xludf.DUMMYFUNCTION("""COMPUTED_VALUE"""),1.225E7)</f>
        <v>12250000</v>
      </c>
      <c r="H263" s="1" t="b">
        <f>IFERROR(__xludf.DUMMYFUNCTION("""COMPUTED_VALUE"""),FALSE)</f>
        <v>0</v>
      </c>
      <c r="I263" s="1" t="str">
        <f>IFERROR(__xludf.DUMMYFUNCTION("""COMPUTED_VALUE"""),"Land of Spira")</f>
        <v>Land of Spira</v>
      </c>
    </row>
    <row r="264">
      <c r="A264" s="1" t="str">
        <f>IFERROR(__xludf.DUMMYFUNCTION("""COMPUTED_VALUE"""),".50 Caliber Machine Gun (boat)")</f>
        <v>.50 Caliber Machine Gun (boat)</v>
      </c>
      <c r="B264" s="1"/>
      <c r="C264" s="1" t="str">
        <f>IFERROR(__xludf.DUMMYFUNCTION("""COMPUTED_VALUE"""),"Firearm")</f>
        <v>Firearm</v>
      </c>
      <c r="D264" s="1" t="str">
        <f>IFERROR(__xludf.DUMMYFUNCTION("""COMPUTED_VALUE"""),"BoatGun")</f>
        <v>BoatGun</v>
      </c>
      <c r="E264" s="1">
        <f>IFERROR(__xludf.DUMMYFUNCTION("""COMPUTED_VALUE"""),500.0)</f>
        <v>500</v>
      </c>
      <c r="F264" s="1" t="str">
        <f>IFERROR(__xludf.DUMMYFUNCTION("""COMPUTED_VALUE"""),"DMG: +25000 ++Roll a d500 to see how many bullets are used when you attack with this weapon. +-Uses bullets")</f>
        <v>DMG: +25000 ++Roll a d500 to see how many bullets are used when you attack with this weapon. +-Uses bullets</v>
      </c>
      <c r="G264" s="1">
        <f>IFERROR(__xludf.DUMMYFUNCTION("""COMPUTED_VALUE"""),1.225E7)</f>
        <v>12250000</v>
      </c>
      <c r="H264" s="1" t="b">
        <f>IFERROR(__xludf.DUMMYFUNCTION("""COMPUTED_VALUE"""),FALSE)</f>
        <v>0</v>
      </c>
      <c r="I264" s="1" t="str">
        <f>IFERROR(__xludf.DUMMYFUNCTION("""COMPUTED_VALUE"""),"Land of Spira")</f>
        <v>Land of Spira</v>
      </c>
    </row>
    <row r="265">
      <c r="A265" s="1" t="str">
        <f>IFERROR(__xludf.DUMMYFUNCTION("""COMPUTED_VALUE"""),"Missile Turret (car)")</f>
        <v>Missile Turret (car)</v>
      </c>
      <c r="B265" s="1"/>
      <c r="C265" s="1" t="str">
        <f>IFERROR(__xludf.DUMMYFUNCTION("""COMPUTED_VALUE"""),"Firearm")</f>
        <v>Firearm</v>
      </c>
      <c r="D265" s="1" t="str">
        <f>IFERROR(__xludf.DUMMYFUNCTION("""COMPUTED_VALUE"""),"CarGun")</f>
        <v>CarGun</v>
      </c>
      <c r="E265" s="1">
        <f>IFERROR(__xludf.DUMMYFUNCTION("""COMPUTED_VALUE"""),2000.0)</f>
        <v>2000</v>
      </c>
      <c r="F265" s="1" t="str">
        <f>IFERROR(__xludf.DUMMYFUNCTION("""COMPUTED_VALUE"""),"DMG: +50000, Fire DMG: +50000 ++Damages all enemies. +-Uses Missiles.")</f>
        <v>DMG: +50000, Fire DMG: +50000 ++Damages all enemies. +-Uses Missiles.</v>
      </c>
      <c r="G265" s="1">
        <f>IFERROR(__xludf.DUMMYFUNCTION("""COMPUTED_VALUE"""),1.99E8)</f>
        <v>199000000</v>
      </c>
      <c r="H265" s="1" t="b">
        <f>IFERROR(__xludf.DUMMYFUNCTION("""COMPUTED_VALUE"""),FALSE)</f>
        <v>0</v>
      </c>
      <c r="I265" s="1" t="str">
        <f>IFERROR(__xludf.DUMMYFUNCTION("""COMPUTED_VALUE"""),"Land of Spira")</f>
        <v>Land of Spira</v>
      </c>
    </row>
    <row r="266">
      <c r="A266" s="1" t="str">
        <f>IFERROR(__xludf.DUMMYFUNCTION("""COMPUTED_VALUE"""),"Missile Turret (boat)")</f>
        <v>Missile Turret (boat)</v>
      </c>
      <c r="B266" s="1"/>
      <c r="C266" s="1" t="str">
        <f>IFERROR(__xludf.DUMMYFUNCTION("""COMPUTED_VALUE"""),"Firearm")</f>
        <v>Firearm</v>
      </c>
      <c r="D266" s="1" t="str">
        <f>IFERROR(__xludf.DUMMYFUNCTION("""COMPUTED_VALUE"""),"BoatGun")</f>
        <v>BoatGun</v>
      </c>
      <c r="E266" s="1">
        <f>IFERROR(__xludf.DUMMYFUNCTION("""COMPUTED_VALUE"""),2000.0)</f>
        <v>2000</v>
      </c>
      <c r="F266" s="1" t="str">
        <f>IFERROR(__xludf.DUMMYFUNCTION("""COMPUTED_VALUE"""),"DMG: +50000, Fire DMG: +50000 ++Damages all enemies. +-Uses Missiles.")</f>
        <v>DMG: +50000, Fire DMG: +50000 ++Damages all enemies. +-Uses Missiles.</v>
      </c>
      <c r="G266" s="1">
        <f>IFERROR(__xludf.DUMMYFUNCTION("""COMPUTED_VALUE"""),1.99E8)</f>
        <v>199000000</v>
      </c>
      <c r="H266" s="1" t="b">
        <f>IFERROR(__xludf.DUMMYFUNCTION("""COMPUTED_VALUE"""),FALSE)</f>
        <v>0</v>
      </c>
      <c r="I266" s="1" t="str">
        <f>IFERROR(__xludf.DUMMYFUNCTION("""COMPUTED_VALUE"""),"Land of Spira")</f>
        <v>Land of Spira</v>
      </c>
    </row>
    <row r="267">
      <c r="A267" s="1" t="str">
        <f>IFERROR(__xludf.DUMMYFUNCTION("""COMPUTED_VALUE"""),"Ancient Oni Pauldrons")</f>
        <v>Ancient Oni Pauldrons</v>
      </c>
      <c r="B267" s="1" t="str">
        <f>IFERROR(__xludf.DUMMYFUNCTION("""COMPUTED_VALUE"""),"An ancient relic to Zhenmay")</f>
        <v>An ancient relic to Zhenmay</v>
      </c>
      <c r="C267" s="1"/>
      <c r="D267" s="1" t="str">
        <f>IFERROR(__xludf.DUMMYFUNCTION("""COMPUTED_VALUE"""),"Shoulders")</f>
        <v>Shoulders</v>
      </c>
      <c r="E267" s="1">
        <f>IFERROR(__xludf.DUMMYFUNCTION("""COMPUTED_VALUE"""),200.0)</f>
        <v>200</v>
      </c>
      <c r="F267"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267" s="1">
        <f>IFERROR(__xludf.DUMMYFUNCTION("""COMPUTED_VALUE"""),5.104E8)</f>
        <v>510400000</v>
      </c>
      <c r="H267" s="1" t="b">
        <f>IFERROR(__xludf.DUMMYFUNCTION("""COMPUTED_VALUE"""),FALSE)</f>
        <v>0</v>
      </c>
      <c r="I267" s="1" t="str">
        <f>IFERROR(__xludf.DUMMYFUNCTION("""COMPUTED_VALUE"""),"Land of Spira")</f>
        <v>Land of Spira</v>
      </c>
    </row>
    <row r="268">
      <c r="A268" s="1" t="str">
        <f>IFERROR(__xludf.DUMMYFUNCTION("""COMPUTED_VALUE"""),"Ancient Oni Vambraces")</f>
        <v>Ancient Oni Vambraces</v>
      </c>
      <c r="B268" s="1" t="str">
        <f>IFERROR(__xludf.DUMMYFUNCTION("""COMPUTED_VALUE"""),"An ancient relic to Zhenmay")</f>
        <v>An ancient relic to Zhenmay</v>
      </c>
      <c r="C268" s="1"/>
      <c r="D268" s="1" t="str">
        <f>IFERROR(__xludf.DUMMYFUNCTION("""COMPUTED_VALUE"""),"Arms")</f>
        <v>Arms</v>
      </c>
      <c r="E268" s="1">
        <f>IFERROR(__xludf.DUMMYFUNCTION("""COMPUTED_VALUE"""),200.0)</f>
        <v>200</v>
      </c>
      <c r="F268"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268" s="1">
        <f>IFERROR(__xludf.DUMMYFUNCTION("""COMPUTED_VALUE"""),5.104E8)</f>
        <v>510400000</v>
      </c>
      <c r="H268" s="1" t="b">
        <f>IFERROR(__xludf.DUMMYFUNCTION("""COMPUTED_VALUE"""),FALSE)</f>
        <v>0</v>
      </c>
      <c r="I268" s="1" t="str">
        <f>IFERROR(__xludf.DUMMYFUNCTION("""COMPUTED_VALUE"""),"Land of Spira")</f>
        <v>Land of Spira</v>
      </c>
    </row>
    <row r="269">
      <c r="A269" s="1" t="str">
        <f>IFERROR(__xludf.DUMMYFUNCTION("""COMPUTED_VALUE"""),"Ancient Oni Greaves")</f>
        <v>Ancient Oni Greaves</v>
      </c>
      <c r="B269" s="1" t="str">
        <f>IFERROR(__xludf.DUMMYFUNCTION("""COMPUTED_VALUE"""),"An ancient relic to Zhenmay")</f>
        <v>An ancient relic to Zhenmay</v>
      </c>
      <c r="C269" s="1"/>
      <c r="D269" s="1" t="str">
        <f>IFERROR(__xludf.DUMMYFUNCTION("""COMPUTED_VALUE"""),"Legs")</f>
        <v>Legs</v>
      </c>
      <c r="E269" s="1">
        <f>IFERROR(__xludf.DUMMYFUNCTION("""COMPUTED_VALUE"""),200.0)</f>
        <v>200</v>
      </c>
      <c r="F269"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269" s="1">
        <f>IFERROR(__xludf.DUMMYFUNCTION("""COMPUTED_VALUE"""),5.104E8)</f>
        <v>510400000</v>
      </c>
      <c r="H269" s="1" t="b">
        <f>IFERROR(__xludf.DUMMYFUNCTION("""COMPUTED_VALUE"""),FALSE)</f>
        <v>0</v>
      </c>
      <c r="I269" s="1" t="str">
        <f>IFERROR(__xludf.DUMMYFUNCTION("""COMPUTED_VALUE"""),"Land of Spira")</f>
        <v>Land of Spira</v>
      </c>
    </row>
    <row r="270">
      <c r="A270" s="1" t="str">
        <f>IFERROR(__xludf.DUMMYFUNCTION("""COMPUTED_VALUE"""),"Ancient Oni Boots")</f>
        <v>Ancient Oni Boots</v>
      </c>
      <c r="B270" s="1" t="str">
        <f>IFERROR(__xludf.DUMMYFUNCTION("""COMPUTED_VALUE"""),"An ancient relic to Zhenmay")</f>
        <v>An ancient relic to Zhenmay</v>
      </c>
      <c r="C270" s="1"/>
      <c r="D270" s="1" t="str">
        <f>IFERROR(__xludf.DUMMYFUNCTION("""COMPUTED_VALUE"""),"Feet")</f>
        <v>Feet</v>
      </c>
      <c r="E270" s="1">
        <f>IFERROR(__xludf.DUMMYFUNCTION("""COMPUTED_VALUE"""),200.0)</f>
        <v>200</v>
      </c>
      <c r="F270" s="1"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270" s="1">
        <f>IFERROR(__xludf.DUMMYFUNCTION("""COMPUTED_VALUE"""),5.104E8)</f>
        <v>510400000</v>
      </c>
      <c r="H270" s="1" t="b">
        <f>IFERROR(__xludf.DUMMYFUNCTION("""COMPUTED_VALUE"""),FALSE)</f>
        <v>0</v>
      </c>
      <c r="I270" s="1" t="str">
        <f>IFERROR(__xludf.DUMMYFUNCTION("""COMPUTED_VALUE"""),"Land of Spira")</f>
        <v>Land of Spira</v>
      </c>
    </row>
    <row r="271">
      <c r="A271" s="1" t="str">
        <f>IFERROR(__xludf.DUMMYFUNCTION("""COMPUTED_VALUE"""),"Ancient Oni Katana")</f>
        <v>Ancient Oni Katana</v>
      </c>
      <c r="B271" s="1" t="str">
        <f>IFERROR(__xludf.DUMMYFUNCTION("""COMPUTED_VALUE"""),"An ancient relic to Zhenmay")</f>
        <v>An ancient relic to Zhenmay</v>
      </c>
      <c r="C271" s="1" t="str">
        <f>IFERROR(__xludf.DUMMYFUNCTION("""COMPUTED_VALUE"""),"Sword")</f>
        <v>Sword</v>
      </c>
      <c r="D271" s="1" t="str">
        <f>IFERROR(__xludf.DUMMYFUNCTION("""COMPUTED_VALUE"""),"Hand")</f>
        <v>Hand</v>
      </c>
      <c r="E271" s="1">
        <f>IFERROR(__xludf.DUMMYFUNCTION("""COMPUTED_VALUE"""),200.0)</f>
        <v>200</v>
      </c>
      <c r="F271" s="1" t="str">
        <f>IFERROR(__xludf.DUMMYFUNCTION("""COMPUTED_VALUE"""),"DMG: +10000, Fire DMG: +10000, Physical DMG: +10000, Water DMG: +10000, Storm DMG: +10000, Earth DMG: +10000, Light DMG: +10000, Dark DMG: +10000, Spirit DMG: +10000, Order DMG: +10000, Chaos DMG: +10000, Nature DMG: +10000, Voodoo DMG: +10000, Blood DMG:"&amp;" +10000, Astral DMG: +10000, Celestial DMG: +10000 ++X2 additional damage for all elements. +-Only Samurai's, Monks, and Ninjas can equip. +-Cannot be forged +-Cannot be duplicated")</f>
        <v>DMG: +10000, Fire DMG: +10000, Physical DMG: +10000, Water DMG: +10000, Storm DMG: +10000, Earth DMG: +10000, Light DMG: +10000, Dark DMG: +10000, Spirit DMG: +10000, Order DMG: +10000, Chaos DMG: +10000, Nature DMG: +10000, Voodoo DMG: +10000, Blood DMG: +10000, Astral DMG: +10000, Celestial DMG: +10000 ++X2 additional damage for all elements. +-Only Samurai's, Monks, and Ninjas can equip. +-Cannot be forged +-Cannot be duplicated</v>
      </c>
      <c r="G271" s="1">
        <f>IFERROR(__xludf.DUMMYFUNCTION("""COMPUTED_VALUE"""),5.104E8)</f>
        <v>510400000</v>
      </c>
      <c r="H271" s="1" t="b">
        <f>IFERROR(__xludf.DUMMYFUNCTION("""COMPUTED_VALUE"""),FALSE)</f>
        <v>0</v>
      </c>
      <c r="I271" s="1" t="str">
        <f>IFERROR(__xludf.DUMMYFUNCTION("""COMPUTED_VALUE"""),"Land of Spira")</f>
        <v>Land of Spira</v>
      </c>
    </row>
    <row r="272">
      <c r="A272" s="1" t="str">
        <f>IFERROR(__xludf.DUMMYFUNCTION("""COMPUTED_VALUE"""),"Flute of The Majestic Forest")</f>
        <v>Flute of The Majestic Forest</v>
      </c>
      <c r="B272" s="1"/>
      <c r="C272" s="1" t="str">
        <f>IFERROR(__xludf.DUMMYFUNCTION("""COMPUTED_VALUE"""),"Instrument")</f>
        <v>Instrument</v>
      </c>
      <c r="D272" s="1" t="str">
        <f>IFERROR(__xludf.DUMMYFUNCTION("""COMPUTED_VALUE"""),"Hand")</f>
        <v>Hand</v>
      </c>
      <c r="E272" s="1">
        <f>IFERROR(__xludf.DUMMYFUNCTION("""COMPUTED_VALUE"""),300.0)</f>
        <v>300</v>
      </c>
      <c r="F272" s="1" t="str">
        <f>IFERROR(__xludf.DUMMYFUNCTION("""COMPUTED_VALUE"""),"DMG: +5000, Nature DMG: +5000, Acoustic DMG: +5000 ++X2 Additional Nature damage while equipped. ++Song of The Forest - Summons a nature mob determined by the DM/GM to assist you in battle. +-Cannot be duplicated. +-Only Bards can equip.")</f>
        <v>DMG: +5000, Nature DMG: +5000, Acoustic DMG: +5000 ++X2 Additional Nature damage while equipped. ++Song of The Forest - Summons a nature mob determined by the DM/GM to assist you in battle. +-Cannot be duplicated. +-Only Bards can equip.</v>
      </c>
      <c r="G272" s="1">
        <f>IFERROR(__xludf.DUMMYFUNCTION("""COMPUTED_VALUE"""),4350000.0)</f>
        <v>4350000</v>
      </c>
      <c r="H272" s="1" t="b">
        <f>IFERROR(__xludf.DUMMYFUNCTION("""COMPUTED_VALUE"""),FALSE)</f>
        <v>0</v>
      </c>
      <c r="I272" s="1" t="str">
        <f>IFERROR(__xludf.DUMMYFUNCTION("""COMPUTED_VALUE"""),"Land of Spira")</f>
        <v>Land of Spira</v>
      </c>
    </row>
    <row r="273">
      <c r="A273" s="1" t="str">
        <f>IFERROR(__xludf.DUMMYFUNCTION("""COMPUTED_VALUE"""),"Heatmore Tribal Drums")</f>
        <v>Heatmore Tribal Drums</v>
      </c>
      <c r="B273" s="1"/>
      <c r="C273" s="1" t="str">
        <f>IFERROR(__xludf.DUMMYFUNCTION("""COMPUTED_VALUE"""),"Instrument")</f>
        <v>Instrument</v>
      </c>
      <c r="D273" s="1" t="str">
        <f>IFERROR(__xludf.DUMMYFUNCTION("""COMPUTED_VALUE"""),"Hand")</f>
        <v>Hand</v>
      </c>
      <c r="E273" s="1">
        <f>IFERROR(__xludf.DUMMYFUNCTION("""COMPUTED_VALUE"""),600.0)</f>
        <v>600</v>
      </c>
      <c r="F273" s="1" t="str">
        <f>IFERROR(__xludf.DUMMYFUNCTION("""COMPUTED_VALUE"""),"DMG: +10000, Fire DMG: +10000, Acoustic DMG: +10000 ++X2 Additional Fire damage while equipped. ++Tribal Chant 25% chance to call Master Sawoogo to aid you in battle. +-Cannot be duplicated. +-Only Bards can equip.")</f>
        <v>DMG: +10000, Fire DMG: +10000, Acoustic DMG: +10000 ++X2 Additional Fire damage while equipped. ++Tribal Chant 25% chance to call Master Sawoogo to aid you in battle. +-Cannot be duplicated. +-Only Bards can equip.</v>
      </c>
      <c r="G273" s="1">
        <f>IFERROR(__xludf.DUMMYFUNCTION("""COMPUTED_VALUE"""),1.77E7)</f>
        <v>17700000</v>
      </c>
      <c r="H273" s="1" t="b">
        <f>IFERROR(__xludf.DUMMYFUNCTION("""COMPUTED_VALUE"""),FALSE)</f>
        <v>0</v>
      </c>
      <c r="I273" s="1" t="str">
        <f>IFERROR(__xludf.DUMMYFUNCTION("""COMPUTED_VALUE"""),"Land of Spira")</f>
        <v>Land of Spira</v>
      </c>
    </row>
    <row r="274">
      <c r="A274" s="1" t="str">
        <f>IFERROR(__xludf.DUMMYFUNCTION("""COMPUTED_VALUE"""),"Heatmore Tribal Maracas")</f>
        <v>Heatmore Tribal Maracas</v>
      </c>
      <c r="B274" s="1"/>
      <c r="C274" s="1" t="str">
        <f>IFERROR(__xludf.DUMMYFUNCTION("""COMPUTED_VALUE"""),"Instrument")</f>
        <v>Instrument</v>
      </c>
      <c r="D274" s="1" t="str">
        <f>IFERROR(__xludf.DUMMYFUNCTION("""COMPUTED_VALUE"""),"Hand")</f>
        <v>Hand</v>
      </c>
      <c r="E274" s="1">
        <f>IFERROR(__xludf.DUMMYFUNCTION("""COMPUTED_VALUE"""),900.0)</f>
        <v>900</v>
      </c>
      <c r="F274" s="1" t="str">
        <f>IFERROR(__xludf.DUMMYFUNCTION("""COMPUTED_VALUE"""),"DMG: +15000, Fire DMG: +15000, Acoustic DMG: +15000 ++X4 additional Fire and Acoustic damage while equipped. +-Cannot be duplicated. +-Only Bards can equip.")</f>
        <v>DMG: +15000, Fire DMG: +15000, Acoustic DMG: +15000 ++X4 additional Fire and Acoustic damage while equipped. +-Cannot be duplicated. +-Only Bards can equip.</v>
      </c>
      <c r="G274" s="1">
        <f>IFERROR(__xludf.DUMMYFUNCTION("""COMPUTED_VALUE"""),4.005E7)</f>
        <v>40050000</v>
      </c>
      <c r="H274" s="1" t="b">
        <f>IFERROR(__xludf.DUMMYFUNCTION("""COMPUTED_VALUE"""),FALSE)</f>
        <v>0</v>
      </c>
      <c r="I274" s="1" t="str">
        <f>IFERROR(__xludf.DUMMYFUNCTION("""COMPUTED_VALUE"""),"Land of Spira")</f>
        <v>Land of Spira</v>
      </c>
    </row>
    <row r="275">
      <c r="A275" s="1" t="str">
        <f>IFERROR(__xludf.DUMMYFUNCTION("""COMPUTED_VALUE"""),"Scimitar")</f>
        <v>Scimitar</v>
      </c>
      <c r="B275" s="1"/>
      <c r="C275" s="1" t="str">
        <f>IFERROR(__xludf.DUMMYFUNCTION("""COMPUTED_VALUE"""),"Sword")</f>
        <v>Sword</v>
      </c>
      <c r="D275" s="1" t="str">
        <f>IFERROR(__xludf.DUMMYFUNCTION("""COMPUTED_VALUE"""),"Hand")</f>
        <v>Hand</v>
      </c>
      <c r="E275" s="1">
        <f>IFERROR(__xludf.DUMMYFUNCTION("""COMPUTED_VALUE"""),300.0)</f>
        <v>300</v>
      </c>
      <c r="F275" s="1" t="str">
        <f>IFERROR(__xludf.DUMMYFUNCTION("""COMPUTED_VALUE"""),"DMG: +10000, Fire DMG: +5000")</f>
        <v>DMG: +10000, Fire DMG: +5000</v>
      </c>
      <c r="G275" s="1">
        <f>IFERROR(__xludf.DUMMYFUNCTION("""COMPUTED_VALUE"""),4350000.0)</f>
        <v>4350000</v>
      </c>
      <c r="H275" s="1" t="b">
        <f>IFERROR(__xludf.DUMMYFUNCTION("""COMPUTED_VALUE"""),FALSE)</f>
        <v>0</v>
      </c>
      <c r="I275" s="1" t="str">
        <f>IFERROR(__xludf.DUMMYFUNCTION("""COMPUTED_VALUE"""),"Land of Spira")</f>
        <v>Land of Spira</v>
      </c>
    </row>
    <row r="276">
      <c r="A276" s="1" t="str">
        <f>IFERROR(__xludf.DUMMYFUNCTION("""COMPUTED_VALUE"""),"Ring o' Strength and Fire")</f>
        <v>Ring o' Strength and Fire</v>
      </c>
      <c r="B276" s="1"/>
      <c r="C276" s="1"/>
      <c r="D276" s="1" t="str">
        <f>IFERROR(__xludf.DUMMYFUNCTION("""COMPUTED_VALUE"""),"Ring")</f>
        <v>Ring</v>
      </c>
      <c r="E276" s="1">
        <f>IFERROR(__xludf.DUMMYFUNCTION("""COMPUTED_VALUE"""),1.0)</f>
        <v>1</v>
      </c>
      <c r="F276" s="1" t="str">
        <f>IFERROR(__xludf.DUMMYFUNCTION("""COMPUTED_VALUE""")," ++Grants immunity to fire. ++Grants X2 damage. +-Can only equip one +-Cannot be duplicated")</f>
        <v> ++Grants immunity to fire. ++Grants X2 damage. +-Can only equip one +-Cannot be duplicated</v>
      </c>
      <c r="G276" s="1">
        <f>IFERROR(__xludf.DUMMYFUNCTION("""COMPUTED_VALUE"""),0.0)</f>
        <v>0</v>
      </c>
      <c r="H276" s="1" t="b">
        <f>IFERROR(__xludf.DUMMYFUNCTION("""COMPUTED_VALUE"""),FALSE)</f>
        <v>0</v>
      </c>
      <c r="I276" s="1" t="str">
        <f>IFERROR(__xludf.DUMMYFUNCTION("""COMPUTED_VALUE"""),"Land of Spira")</f>
        <v>Land of Spira</v>
      </c>
    </row>
    <row r="277">
      <c r="A277" s="1" t="str">
        <f>IFERROR(__xludf.DUMMYFUNCTION("""COMPUTED_VALUE"""),"Ring o' Fortitude and Earth")</f>
        <v>Ring o' Fortitude and Earth</v>
      </c>
      <c r="B277" s="1"/>
      <c r="C277" s="1"/>
      <c r="D277" s="1" t="str">
        <f>IFERROR(__xludf.DUMMYFUNCTION("""COMPUTED_VALUE"""),"Ring")</f>
        <v>Ring</v>
      </c>
      <c r="E277" s="1">
        <f>IFERROR(__xludf.DUMMYFUNCTION("""COMPUTED_VALUE"""),1.0)</f>
        <v>1</v>
      </c>
      <c r="F277" s="1" t="str">
        <f>IFERROR(__xludf.DUMMYFUNCTION("""COMPUTED_VALUE""")," ++Grants immunity to Earth. ++Grants X2 Defense. +-Can only equip one +-Cannot be duplicated")</f>
        <v> ++Grants immunity to Earth. ++Grants X2 Defense. +-Can only equip one +-Cannot be duplicated</v>
      </c>
      <c r="G277" s="1">
        <f>IFERROR(__xludf.DUMMYFUNCTION("""COMPUTED_VALUE"""),0.0)</f>
        <v>0</v>
      </c>
      <c r="H277" s="1" t="b">
        <f>IFERROR(__xludf.DUMMYFUNCTION("""COMPUTED_VALUE"""),FALSE)</f>
        <v>0</v>
      </c>
      <c r="I277" s="1" t="str">
        <f>IFERROR(__xludf.DUMMYFUNCTION("""COMPUTED_VALUE"""),"Land of Spira")</f>
        <v>Land of Spira</v>
      </c>
    </row>
    <row r="278">
      <c r="A278" s="1" t="str">
        <f>IFERROR(__xludf.DUMMYFUNCTION("""COMPUTED_VALUE"""),"Ring o' Agility and Water")</f>
        <v>Ring o' Agility and Water</v>
      </c>
      <c r="B278" s="1"/>
      <c r="C278" s="1"/>
      <c r="D278" s="1" t="str">
        <f>IFERROR(__xludf.DUMMYFUNCTION("""COMPUTED_VALUE"""),"Ring")</f>
        <v>Ring</v>
      </c>
      <c r="E278" s="1">
        <f>IFERROR(__xludf.DUMMYFUNCTION("""COMPUTED_VALUE"""),1.0)</f>
        <v>1</v>
      </c>
      <c r="F278" s="1" t="str">
        <f>IFERROR(__xludf.DUMMYFUNCTION("""COMPUTED_VALUE""")," ++Grants Immunity to Water. ++Grants +5 to evasion. +-Can only equip one +-Cannot be duplicated")</f>
        <v> ++Grants Immunity to Water. ++Grants +5 to evasion. +-Can only equip one +-Cannot be duplicated</v>
      </c>
      <c r="G278" s="1">
        <f>IFERROR(__xludf.DUMMYFUNCTION("""COMPUTED_VALUE"""),0.0)</f>
        <v>0</v>
      </c>
      <c r="H278" s="1" t="b">
        <f>IFERROR(__xludf.DUMMYFUNCTION("""COMPUTED_VALUE"""),FALSE)</f>
        <v>0</v>
      </c>
      <c r="I278" s="1" t="str">
        <f>IFERROR(__xludf.DUMMYFUNCTION("""COMPUTED_VALUE"""),"Land of Spira")</f>
        <v>Land of Spira</v>
      </c>
    </row>
    <row r="279">
      <c r="A279" s="1" t="str">
        <f>IFERROR(__xludf.DUMMYFUNCTION("""COMPUTED_VALUE"""),"Ring o' Power and Delta")</f>
        <v>Ring o' Power and Delta</v>
      </c>
      <c r="B279" s="1"/>
      <c r="C279" s="1"/>
      <c r="D279" s="1" t="str">
        <f>IFERROR(__xludf.DUMMYFUNCTION("""COMPUTED_VALUE"""),"Ring")</f>
        <v>Ring</v>
      </c>
      <c r="E279" s="1">
        <f>IFERROR(__xludf.DUMMYFUNCTION("""COMPUTED_VALUE"""),1.0)</f>
        <v>1</v>
      </c>
      <c r="F279" s="1" t="str">
        <f>IFERROR(__xludf.DUMMYFUNCTION("""COMPUTED_VALUE""")," ++Grants X4 Delta damage. ++Take Half delta damage. +-Can only equip one +-Cannot be duplicated")</f>
        <v> ++Grants X4 Delta damage. ++Take Half delta damage. +-Can only equip one +-Cannot be duplicated</v>
      </c>
      <c r="G279" s="1">
        <f>IFERROR(__xludf.DUMMYFUNCTION("""COMPUTED_VALUE"""),0.0)</f>
        <v>0</v>
      </c>
      <c r="H279" s="1" t="b">
        <f>IFERROR(__xludf.DUMMYFUNCTION("""COMPUTED_VALUE"""),FALSE)</f>
        <v>0</v>
      </c>
      <c r="I279" s="1" t="str">
        <f>IFERROR(__xludf.DUMMYFUNCTION("""COMPUTED_VALUE"""),"Land of Spira")</f>
        <v>Land of Spira</v>
      </c>
    </row>
    <row r="280">
      <c r="A280" s="1" t="str">
        <f>IFERROR(__xludf.DUMMYFUNCTION("""COMPUTED_VALUE"""),"Ring o' Courage and Order")</f>
        <v>Ring o' Courage and Order</v>
      </c>
      <c r="B280" s="1"/>
      <c r="C280" s="1"/>
      <c r="D280" s="1" t="str">
        <f>IFERROR(__xludf.DUMMYFUNCTION("""COMPUTED_VALUE"""),"Ring")</f>
        <v>Ring</v>
      </c>
      <c r="E280" s="1">
        <f>IFERROR(__xludf.DUMMYFUNCTION("""COMPUTED_VALUE"""),1.0)</f>
        <v>1</v>
      </c>
      <c r="F280" s="1" t="str">
        <f>IFERROR(__xludf.DUMMYFUNCTION("""COMPUTED_VALUE""")," ++Grants Immunity to Order. ++Enemies halve their rolls when fleeing. +-Can only equip one +-Cannot be duplicated")</f>
        <v> ++Grants Immunity to Order. ++Enemies halve their rolls when fleeing. +-Can only equip one +-Cannot be duplicated</v>
      </c>
      <c r="G280" s="1">
        <f>IFERROR(__xludf.DUMMYFUNCTION("""COMPUTED_VALUE"""),0.0)</f>
        <v>0</v>
      </c>
      <c r="H280" s="1" t="b">
        <f>IFERROR(__xludf.DUMMYFUNCTION("""COMPUTED_VALUE"""),FALSE)</f>
        <v>0</v>
      </c>
      <c r="I280" s="1" t="str">
        <f>IFERROR(__xludf.DUMMYFUNCTION("""COMPUTED_VALUE"""),"Land of Spira")</f>
        <v>Land of Spira</v>
      </c>
    </row>
    <row r="281">
      <c r="A281" s="1" t="str">
        <f>IFERROR(__xludf.DUMMYFUNCTION("""COMPUTED_VALUE"""),"Ring o' Resilience and Physicality")</f>
        <v>Ring o' Resilience and Physicality</v>
      </c>
      <c r="B281" s="1"/>
      <c r="C281" s="1"/>
      <c r="D281" s="1" t="str">
        <f>IFERROR(__xludf.DUMMYFUNCTION("""COMPUTED_VALUE"""),"Ring")</f>
        <v>Ring</v>
      </c>
      <c r="E281" s="1">
        <f>IFERROR(__xludf.DUMMYFUNCTION("""COMPUTED_VALUE"""),1.0)</f>
        <v>1</v>
      </c>
      <c r="F281" s="1" t="str">
        <f>IFERROR(__xludf.DUMMYFUNCTION("""COMPUTED_VALUE""")," ++Grants Immunity to Natural attacks. ++Grants +5 Mobility. +-Can only equip one +-Cannot be duplicated")</f>
        <v> ++Grants Immunity to Natural attacks. ++Grants +5 Mobility. +-Can only equip one +-Cannot be duplicated</v>
      </c>
      <c r="G281" s="1">
        <f>IFERROR(__xludf.DUMMYFUNCTION("""COMPUTED_VALUE"""),0.0)</f>
        <v>0</v>
      </c>
      <c r="H281" s="1" t="b">
        <f>IFERROR(__xludf.DUMMYFUNCTION("""COMPUTED_VALUE"""),FALSE)</f>
        <v>0</v>
      </c>
      <c r="I281" s="1" t="str">
        <f>IFERROR(__xludf.DUMMYFUNCTION("""COMPUTED_VALUE"""),"Land of Spira")</f>
        <v>Land of Spira</v>
      </c>
    </row>
    <row r="282">
      <c r="A282" s="1" t="str">
        <f>IFERROR(__xludf.DUMMYFUNCTION("""COMPUTED_VALUE"""),"Ring o' Insanity and Chaos")</f>
        <v>Ring o' Insanity and Chaos</v>
      </c>
      <c r="B282" s="1"/>
      <c r="C282" s="1"/>
      <c r="D282" s="1" t="str">
        <f>IFERROR(__xludf.DUMMYFUNCTION("""COMPUTED_VALUE"""),"Ring")</f>
        <v>Ring</v>
      </c>
      <c r="E282" s="1">
        <f>IFERROR(__xludf.DUMMYFUNCTION("""COMPUTED_VALUE"""),1.0)</f>
        <v>1</v>
      </c>
      <c r="F282" s="1" t="str">
        <f>IFERROR(__xludf.DUMMYFUNCTION("""COMPUTED_VALUE""")," ++Grants Immunity to Chaos. +5 to Intimidation. +-Can only equip one +-Cannot be duplicated")</f>
        <v> ++Grants Immunity to Chaos. +5 to Intimidation. +-Can only equip one +-Cannot be duplicated</v>
      </c>
      <c r="G282" s="1">
        <f>IFERROR(__xludf.DUMMYFUNCTION("""COMPUTED_VALUE"""),0.0)</f>
        <v>0</v>
      </c>
      <c r="H282" s="1" t="b">
        <f>IFERROR(__xludf.DUMMYFUNCTION("""COMPUTED_VALUE"""),FALSE)</f>
        <v>0</v>
      </c>
      <c r="I282" s="1" t="str">
        <f>IFERROR(__xludf.DUMMYFUNCTION("""COMPUTED_VALUE"""),"Land of Spira")</f>
        <v>Land of Spira</v>
      </c>
    </row>
    <row r="283">
      <c r="A283" s="1" t="str">
        <f>IFERROR(__xludf.DUMMYFUNCTION("""COMPUTED_VALUE"""),"Ring o' Debonair and Light")</f>
        <v>Ring o' Debonair and Light</v>
      </c>
      <c r="B283" s="1"/>
      <c r="C283" s="1"/>
      <c r="D283" s="1" t="str">
        <f>IFERROR(__xludf.DUMMYFUNCTION("""COMPUTED_VALUE"""),"Ring")</f>
        <v>Ring</v>
      </c>
      <c r="E283" s="1">
        <f>IFERROR(__xludf.DUMMYFUNCTION("""COMPUTED_VALUE"""),1.0)</f>
        <v>1</v>
      </c>
      <c r="F283" s="1" t="str">
        <f>IFERROR(__xludf.DUMMYFUNCTION("""COMPUTED_VALUE""")," ++Grants Immunity to Light. +5 to Charisma. +-Can only equip one +-Cannot be duplicated")</f>
        <v> ++Grants Immunity to Light. +5 to Charisma. +-Can only equip one +-Cannot be duplicated</v>
      </c>
      <c r="G283" s="1">
        <f>IFERROR(__xludf.DUMMYFUNCTION("""COMPUTED_VALUE"""),0.0)</f>
        <v>0</v>
      </c>
      <c r="H283" s="1" t="b">
        <f>IFERROR(__xludf.DUMMYFUNCTION("""COMPUTED_VALUE"""),FALSE)</f>
        <v>0</v>
      </c>
      <c r="I283" s="1" t="str">
        <f>IFERROR(__xludf.DUMMYFUNCTION("""COMPUTED_VALUE"""),"Land of Spira")</f>
        <v>Land of Spira</v>
      </c>
    </row>
    <row r="284">
      <c r="A284" s="1" t="str">
        <f>IFERROR(__xludf.DUMMYFUNCTION("""COMPUTED_VALUE"""),"Ring o' Spite and Blood")</f>
        <v>Ring o' Spite and Blood</v>
      </c>
      <c r="B284" s="1"/>
      <c r="C284" s="1"/>
      <c r="D284" s="1" t="str">
        <f>IFERROR(__xludf.DUMMYFUNCTION("""COMPUTED_VALUE"""),"Ring")</f>
        <v>Ring</v>
      </c>
      <c r="E284" s="1">
        <f>IFERROR(__xludf.DUMMYFUNCTION("""COMPUTED_VALUE"""),1.0)</f>
        <v>1</v>
      </c>
      <c r="F284" s="1" t="str">
        <f>IFERROR(__xludf.DUMMYFUNCTION("""COMPUTED_VALUE""")," ++Grants Immunity to Blood. ++X4 Blood damage, ++Deal X4 damage to any enemy who attempted to attack you. +-Can only equip one +-Cannot be duplicated")</f>
        <v> ++Grants Immunity to Blood. ++X4 Blood damage, ++Deal X4 damage to any enemy who attempted to attack you. +-Can only equip one +-Cannot be duplicated</v>
      </c>
      <c r="G284" s="1">
        <f>IFERROR(__xludf.DUMMYFUNCTION("""COMPUTED_VALUE"""),0.0)</f>
        <v>0</v>
      </c>
      <c r="H284" s="1" t="b">
        <f>IFERROR(__xludf.DUMMYFUNCTION("""COMPUTED_VALUE"""),FALSE)</f>
        <v>0</v>
      </c>
      <c r="I284" s="1" t="str">
        <f>IFERROR(__xludf.DUMMYFUNCTION("""COMPUTED_VALUE"""),"Land of Spira")</f>
        <v>Land of Spira</v>
      </c>
    </row>
    <row r="285">
      <c r="A285" s="1" t="str">
        <f>IFERROR(__xludf.DUMMYFUNCTION("""COMPUTED_VALUE"""),"Ring o' Neurodivergence and Spirit")</f>
        <v>Ring o' Neurodivergence and Spirit</v>
      </c>
      <c r="B285" s="1"/>
      <c r="C285" s="1"/>
      <c r="D285" s="1" t="str">
        <f>IFERROR(__xludf.DUMMYFUNCTION("""COMPUTED_VALUE"""),"Ring")</f>
        <v>Ring</v>
      </c>
      <c r="E285" s="1">
        <f>IFERROR(__xludf.DUMMYFUNCTION("""COMPUTED_VALUE"""),1.0)</f>
        <v>1</v>
      </c>
      <c r="F285" s="1" t="str">
        <f>IFERROR(__xludf.DUMMYFUNCTION("""COMPUTED_VALUE""")," ++Grants Immunity to Spirit. ++As an action you can Create a clone of yourself who has the same stats as yourself once per battle, 200 sp. +-Can only equip one +-Cannot be duplicated")</f>
        <v> ++Grants Immunity to Spirit. ++As an action you can Create a clone of yourself who has the same stats as yourself once per battle, 200 sp. +-Can only equip one +-Cannot be duplicated</v>
      </c>
      <c r="G285" s="1">
        <f>IFERROR(__xludf.DUMMYFUNCTION("""COMPUTED_VALUE"""),0.0)</f>
        <v>0</v>
      </c>
      <c r="H285" s="1" t="b">
        <f>IFERROR(__xludf.DUMMYFUNCTION("""COMPUTED_VALUE"""),FALSE)</f>
        <v>0</v>
      </c>
      <c r="I285" s="1" t="str">
        <f>IFERROR(__xludf.DUMMYFUNCTION("""COMPUTED_VALUE"""),"Land of Spira")</f>
        <v>Land of Spira</v>
      </c>
    </row>
    <row r="286">
      <c r="A286" s="1" t="str">
        <f>IFERROR(__xludf.DUMMYFUNCTION("""COMPUTED_VALUE"""),"Ring o' Impassivity and Storm")</f>
        <v>Ring o' Impassivity and Storm</v>
      </c>
      <c r="B286" s="1"/>
      <c r="C286" s="1"/>
      <c r="D286" s="1" t="str">
        <f>IFERROR(__xludf.DUMMYFUNCTION("""COMPUTED_VALUE"""),"Ring")</f>
        <v>Ring</v>
      </c>
      <c r="E286" s="1">
        <f>IFERROR(__xludf.DUMMYFUNCTION("""COMPUTED_VALUE"""),1.0)</f>
        <v>1</v>
      </c>
      <c r="F286" s="1" t="str">
        <f>IFERROR(__xludf.DUMMYFUNCTION("""COMPUTED_VALUE""")," ++Grants Immunity to Storm. ++20% chance to be unaffected by magic that affects you including your own. +-Can only equip one +-Cannot be duplicated")</f>
        <v> ++Grants Immunity to Storm. ++20% chance to be unaffected by magic that affects you including your own. +-Can only equip one +-Cannot be duplicated</v>
      </c>
      <c r="G286" s="1">
        <f>IFERROR(__xludf.DUMMYFUNCTION("""COMPUTED_VALUE"""),0.0)</f>
        <v>0</v>
      </c>
      <c r="H286" s="1" t="b">
        <f>IFERROR(__xludf.DUMMYFUNCTION("""COMPUTED_VALUE"""),FALSE)</f>
        <v>0</v>
      </c>
      <c r="I286" s="1" t="str">
        <f>IFERROR(__xludf.DUMMYFUNCTION("""COMPUTED_VALUE"""),"Land of Spira")</f>
        <v>Land of Spira</v>
      </c>
    </row>
    <row r="287">
      <c r="A287" s="1" t="str">
        <f>IFERROR(__xludf.DUMMYFUNCTION("""COMPUTED_VALUE"""),"Ring o' Rigidity and Stasis")</f>
        <v>Ring o' Rigidity and Stasis</v>
      </c>
      <c r="B287" s="1"/>
      <c r="C287" s="1"/>
      <c r="D287" s="1" t="str">
        <f>IFERROR(__xludf.DUMMYFUNCTION("""COMPUTED_VALUE"""),"Ring")</f>
        <v>Ring</v>
      </c>
      <c r="E287" s="1">
        <f>IFERROR(__xludf.DUMMYFUNCTION("""COMPUTED_VALUE"""),1.0)</f>
        <v>1</v>
      </c>
      <c r="F287" s="1" t="str">
        <f>IFERROR(__xludf.DUMMYFUNCTION("""COMPUTED_VALUE""")," ++You take half Damage from both Chaos and Light. ++Grants a 30% chance to be unaffected by status affects. +-Can only equip one +-Cannot be duplicated")</f>
        <v> ++You take half Damage from both Chaos and Light. ++Grants a 30% chance to be unaffected by status affects. +-Can only equip one +-Cannot be duplicated</v>
      </c>
      <c r="G287" s="1">
        <f>IFERROR(__xludf.DUMMYFUNCTION("""COMPUTED_VALUE"""),0.0)</f>
        <v>0</v>
      </c>
      <c r="H287" s="1" t="b">
        <f>IFERROR(__xludf.DUMMYFUNCTION("""COMPUTED_VALUE"""),FALSE)</f>
        <v>0</v>
      </c>
      <c r="I287" s="1" t="str">
        <f>IFERROR(__xludf.DUMMYFUNCTION("""COMPUTED_VALUE"""),"Land of Spira")</f>
        <v>Land of Spira</v>
      </c>
    </row>
    <row r="288">
      <c r="A288" s="1" t="str">
        <f>IFERROR(__xludf.DUMMYFUNCTION("""COMPUTED_VALUE"""),"Ring o' Loyalty and Celestial")</f>
        <v>Ring o' Loyalty and Celestial</v>
      </c>
      <c r="B288" s="1"/>
      <c r="C288" s="1"/>
      <c r="D288" s="1" t="str">
        <f>IFERROR(__xludf.DUMMYFUNCTION("""COMPUTED_VALUE"""),"Ring")</f>
        <v>Ring</v>
      </c>
      <c r="E288" s="1">
        <f>IFERROR(__xludf.DUMMYFUNCTION("""COMPUTED_VALUE"""),1.0)</f>
        <v>1</v>
      </c>
      <c r="F288" s="1" t="str">
        <f>IFERROR(__xludf.DUMMYFUNCTION("""COMPUTED_VALUE""")," ++Grants X6 Celestial damage. Take half damage from celestial. +-Can only equip one +-Cannot be duplicated")</f>
        <v> ++Grants X6 Celestial damage. Take half damage from celestial. +-Can only equip one +-Cannot be duplicated</v>
      </c>
      <c r="G288" s="1">
        <f>IFERROR(__xludf.DUMMYFUNCTION("""COMPUTED_VALUE"""),0.0)</f>
        <v>0</v>
      </c>
      <c r="H288" s="1" t="b">
        <f>IFERROR(__xludf.DUMMYFUNCTION("""COMPUTED_VALUE"""),FALSE)</f>
        <v>0</v>
      </c>
      <c r="I288" s="1" t="str">
        <f>IFERROR(__xludf.DUMMYFUNCTION("""COMPUTED_VALUE"""),"Land of Spira")</f>
        <v>Land of Spira</v>
      </c>
    </row>
    <row r="289">
      <c r="A289" s="1" t="str">
        <f>IFERROR(__xludf.DUMMYFUNCTION("""COMPUTED_VALUE"""),"Ring o' Arrogance and Twilight")</f>
        <v>Ring o' Arrogance and Twilight</v>
      </c>
      <c r="B289" s="1"/>
      <c r="C289" s="1"/>
      <c r="D289" s="1" t="str">
        <f>IFERROR(__xludf.DUMMYFUNCTION("""COMPUTED_VALUE"""),"Ring")</f>
        <v>Ring</v>
      </c>
      <c r="E289" s="1">
        <f>IFERROR(__xludf.DUMMYFUNCTION("""COMPUTED_VALUE"""),1.0)</f>
        <v>1</v>
      </c>
      <c r="F289" s="1" t="str">
        <f>IFERROR(__xludf.DUMMYFUNCTION("""COMPUTED_VALUE""")," ++You take Half Damage from both Light and Dark. Grants immunity to Instant Death. +-Can only equip one +-Cannot be duplicated")</f>
        <v> ++You take Half Damage from both Light and Dark. Grants immunity to Instant Death. +-Can only equip one +-Cannot be duplicated</v>
      </c>
      <c r="G289" s="1">
        <f>IFERROR(__xludf.DUMMYFUNCTION("""COMPUTED_VALUE"""),0.0)</f>
        <v>0</v>
      </c>
      <c r="H289" s="1" t="b">
        <f>IFERROR(__xludf.DUMMYFUNCTION("""COMPUTED_VALUE"""),FALSE)</f>
        <v>0</v>
      </c>
      <c r="I289" s="1" t="str">
        <f>IFERROR(__xludf.DUMMYFUNCTION("""COMPUTED_VALUE"""),"Land of Spira")</f>
        <v>Land of Spira</v>
      </c>
    </row>
    <row r="290">
      <c r="A290" s="1" t="str">
        <f>IFERROR(__xludf.DUMMYFUNCTION("""COMPUTED_VALUE"""),"Ring o' Grace and Astral")</f>
        <v>Ring o' Grace and Astral</v>
      </c>
      <c r="B290" s="1"/>
      <c r="C290" s="1"/>
      <c r="D290" s="1" t="str">
        <f>IFERROR(__xludf.DUMMYFUNCTION("""COMPUTED_VALUE"""),"Ring")</f>
        <v>Ring</v>
      </c>
      <c r="E290" s="1">
        <f>IFERROR(__xludf.DUMMYFUNCTION("""COMPUTED_VALUE"""),1.0)</f>
        <v>1</v>
      </c>
      <c r="F290" s="1" t="str">
        <f>IFERROR(__xludf.DUMMYFUNCTION("""COMPUTED_VALUE""")," ++Grants Immunity to Astral. ++You roll twice when rolling to evade and take the higher result. +-Can only equip one +-Cannot be duplicated")</f>
        <v> ++Grants Immunity to Astral. ++You roll twice when rolling to evade and take the higher result. +-Can only equip one +-Cannot be duplicated</v>
      </c>
      <c r="G290" s="1">
        <f>IFERROR(__xludf.DUMMYFUNCTION("""COMPUTED_VALUE"""),0.0)</f>
        <v>0</v>
      </c>
      <c r="H290" s="1" t="b">
        <f>IFERROR(__xludf.DUMMYFUNCTION("""COMPUTED_VALUE"""),FALSE)</f>
        <v>0</v>
      </c>
      <c r="I290" s="1" t="str">
        <f>IFERROR(__xludf.DUMMYFUNCTION("""COMPUTED_VALUE"""),"Land of Spira")</f>
        <v>Land of Spira</v>
      </c>
    </row>
    <row r="291">
      <c r="A291" s="1" t="str">
        <f>IFERROR(__xludf.DUMMYFUNCTION("""COMPUTED_VALUE"""),"Ring o' Villainy and Voodoo")</f>
        <v>Ring o' Villainy and Voodoo</v>
      </c>
      <c r="B291" s="1"/>
      <c r="C291" s="1"/>
      <c r="D291" s="1" t="str">
        <f>IFERROR(__xludf.DUMMYFUNCTION("""COMPUTED_VALUE"""),"Ring")</f>
        <v>Ring</v>
      </c>
      <c r="E291" s="1">
        <f>IFERROR(__xludf.DUMMYFUNCTION("""COMPUTED_VALUE"""),1.0)</f>
        <v>1</v>
      </c>
      <c r="F291" s="1" t="str">
        <f>IFERROR(__xludf.DUMMYFUNCTION("""COMPUTED_VALUE""")," ++Grants Immunity to Voodoo. ++You automatically succeed at using confiscate and get a ++2 to any roll related to committing a crime. X4 Voodoo damage. +-Can only equip one +-Cannot be duplicated. +-Cannot become a Spira guard if you wear this.")</f>
        <v> ++Grants Immunity to Voodoo. ++You automatically succeed at using confiscate and get a ++2 to any roll related to committing a crime. X4 Voodoo damage. +-Can only equip one +-Cannot be duplicated. +-Cannot become a Spira guard if you wear this.</v>
      </c>
      <c r="G291" s="1">
        <f>IFERROR(__xludf.DUMMYFUNCTION("""COMPUTED_VALUE"""),0.0)</f>
        <v>0</v>
      </c>
      <c r="H291" s="1" t="b">
        <f>IFERROR(__xludf.DUMMYFUNCTION("""COMPUTED_VALUE"""),FALSE)</f>
        <v>0</v>
      </c>
      <c r="I291" s="1" t="str">
        <f>IFERROR(__xludf.DUMMYFUNCTION("""COMPUTED_VALUE"""),"Land of Spira")</f>
        <v>Land of Spira</v>
      </c>
    </row>
    <row r="292">
      <c r="A292" s="1" t="str">
        <f>IFERROR(__xludf.DUMMYFUNCTION("""COMPUTED_VALUE"""),"Pauldrons of Tritonoch")</f>
        <v>Pauldrons of Tritonoch</v>
      </c>
      <c r="B292" s="1"/>
      <c r="C292" s="1"/>
      <c r="D292" s="1" t="str">
        <f>IFERROR(__xludf.DUMMYFUNCTION("""COMPUTED_VALUE"""),"Shoulders")</f>
        <v>Shoulders</v>
      </c>
      <c r="E292" s="1">
        <f>IFERROR(__xludf.DUMMYFUNCTION("""COMPUTED_VALUE"""),800.0)</f>
        <v>800</v>
      </c>
      <c r="F292" s="1" t="str">
        <f>IFERROR(__xludf.DUMMYFUNCTION("""COMPUTED_VALUE"""),"DEF: +20000, Water DEF: +20000 ++Waves of Entitlement - x5 additional Water damage")</f>
        <v>DEF: +20000, Water DEF: +20000 ++Waves of Entitlement - x5 additional Water damage</v>
      </c>
      <c r="G292" s="1">
        <f>IFERROR(__xludf.DUMMYFUNCTION("""COMPUTED_VALUE"""),3.16E7)</f>
        <v>31600000</v>
      </c>
      <c r="H292" s="1" t="b">
        <f>IFERROR(__xludf.DUMMYFUNCTION("""COMPUTED_VALUE"""),FALSE)</f>
        <v>0</v>
      </c>
      <c r="I292" s="1" t="str">
        <f>IFERROR(__xludf.DUMMYFUNCTION("""COMPUTED_VALUE"""),"Land of Spira")</f>
        <v>Land of Spira</v>
      </c>
    </row>
    <row r="293">
      <c r="A293" s="1" t="str">
        <f>IFERROR(__xludf.DUMMYFUNCTION("""COMPUTED_VALUE"""),"Chestplate of Tritonoch")</f>
        <v>Chestplate of Tritonoch</v>
      </c>
      <c r="B293" s="1"/>
      <c r="C293" s="1"/>
      <c r="D293" s="1" t="str">
        <f>IFERROR(__xludf.DUMMYFUNCTION("""COMPUTED_VALUE"""),"Torso")</f>
        <v>Torso</v>
      </c>
      <c r="E293" s="1">
        <f>IFERROR(__xludf.DUMMYFUNCTION("""COMPUTED_VALUE"""),800.0)</f>
        <v>800</v>
      </c>
      <c r="F293" s="1" t="str">
        <f>IFERROR(__xludf.DUMMYFUNCTION("""COMPUTED_VALUE"""),"DEF: +20000, Water DEF: +20000 ++Waves of Entitlement - x5 additional Water damage")</f>
        <v>DEF: +20000, Water DEF: +20000 ++Waves of Entitlement - x5 additional Water damage</v>
      </c>
      <c r="G293" s="1">
        <f>IFERROR(__xludf.DUMMYFUNCTION("""COMPUTED_VALUE"""),3.16E7)</f>
        <v>31600000</v>
      </c>
      <c r="H293" s="1" t="b">
        <f>IFERROR(__xludf.DUMMYFUNCTION("""COMPUTED_VALUE"""),FALSE)</f>
        <v>0</v>
      </c>
      <c r="I293" s="1" t="str">
        <f>IFERROR(__xludf.DUMMYFUNCTION("""COMPUTED_VALUE"""),"Land of Spira")</f>
        <v>Land of Spira</v>
      </c>
    </row>
    <row r="294">
      <c r="A294" s="1" t="str">
        <f>IFERROR(__xludf.DUMMYFUNCTION("""COMPUTED_VALUE"""),"Vambraces of Tritonoch")</f>
        <v>Vambraces of Tritonoch</v>
      </c>
      <c r="B294" s="1"/>
      <c r="C294" s="1"/>
      <c r="D294" s="1" t="str">
        <f>IFERROR(__xludf.DUMMYFUNCTION("""COMPUTED_VALUE"""),"Arms")</f>
        <v>Arms</v>
      </c>
      <c r="E294" s="1">
        <f>IFERROR(__xludf.DUMMYFUNCTION("""COMPUTED_VALUE"""),800.0)</f>
        <v>800</v>
      </c>
      <c r="F294" s="1" t="str">
        <f>IFERROR(__xludf.DUMMYFUNCTION("""COMPUTED_VALUE"""),"DEF: +20000, Water DEF: +20000 ++Waves of Entitlement - x5 additional Water damage")</f>
        <v>DEF: +20000, Water DEF: +20000 ++Waves of Entitlement - x5 additional Water damage</v>
      </c>
      <c r="G294" s="1">
        <f>IFERROR(__xludf.DUMMYFUNCTION("""COMPUTED_VALUE"""),3.16E7)</f>
        <v>31600000</v>
      </c>
      <c r="H294" s="1" t="b">
        <f>IFERROR(__xludf.DUMMYFUNCTION("""COMPUTED_VALUE"""),FALSE)</f>
        <v>0</v>
      </c>
      <c r="I294" s="1" t="str">
        <f>IFERROR(__xludf.DUMMYFUNCTION("""COMPUTED_VALUE"""),"Land of Spira")</f>
        <v>Land of Spira</v>
      </c>
    </row>
    <row r="295">
      <c r="A295" s="1" t="str">
        <f>IFERROR(__xludf.DUMMYFUNCTION("""COMPUTED_VALUE"""),"Trident of Tritonoch")</f>
        <v>Trident of Tritonoch</v>
      </c>
      <c r="B295" s="1"/>
      <c r="C295" s="1" t="str">
        <f>IFERROR(__xludf.DUMMYFUNCTION("""COMPUTED_VALUE"""),"Spear")</f>
        <v>Spear</v>
      </c>
      <c r="D295" s="1" t="str">
        <f>IFERROR(__xludf.DUMMYFUNCTION("""COMPUTED_VALUE"""),"Hand")</f>
        <v>Hand</v>
      </c>
      <c r="E295" s="1">
        <f>IFERROR(__xludf.DUMMYFUNCTION("""COMPUTED_VALUE"""),200.0)</f>
        <v>200</v>
      </c>
      <c r="F295" s="1" t="str">
        <f>IFERROR(__xludf.DUMMYFUNCTION("""COMPUTED_VALUE"""),"DMG: +20000, Water DMG: +20000, Celestial DMG: +20000 ++Waves of Entitlement II - x10 additional Water damage. 20% chance of Slowness 3 to the target. +-Cannot be duplicated")</f>
        <v>DMG: +20000, Water DMG: +20000, Celestial DMG: +20000 ++Waves of Entitlement II - x10 additional Water damage. 20% chance of Slowness 3 to the target. +-Cannot be duplicated</v>
      </c>
      <c r="G295" s="1">
        <f>IFERROR(__xludf.DUMMYFUNCTION("""COMPUTED_VALUE"""),7.14E7)</f>
        <v>71400000</v>
      </c>
      <c r="H295" s="1" t="b">
        <f>IFERROR(__xludf.DUMMYFUNCTION("""COMPUTED_VALUE"""),FALSE)</f>
        <v>0</v>
      </c>
      <c r="I295" s="1" t="str">
        <f>IFERROR(__xludf.DUMMYFUNCTION("""COMPUTED_VALUE"""),"Land of Spira")</f>
        <v>Land of Spira</v>
      </c>
    </row>
    <row r="296">
      <c r="A296" s="1" t="str">
        <f>IFERROR(__xludf.DUMMYFUNCTION("""COMPUTED_VALUE"""),"Boots of Tritonoch")</f>
        <v>Boots of Tritonoch</v>
      </c>
      <c r="B296" s="1"/>
      <c r="C296" s="1"/>
      <c r="D296" s="1" t="str">
        <f>IFERROR(__xludf.DUMMYFUNCTION("""COMPUTED_VALUE"""),"Feet")</f>
        <v>Feet</v>
      </c>
      <c r="E296" s="1">
        <f>IFERROR(__xludf.DUMMYFUNCTION("""COMPUTED_VALUE"""),800.0)</f>
        <v>800</v>
      </c>
      <c r="F296" s="1" t="str">
        <f>IFERROR(__xludf.DUMMYFUNCTION("""COMPUTED_VALUE"""),"DEF: +20000, Water DEF: +20000 ++Waves of Entitlement - x5 additional Water damage")</f>
        <v>DEF: +20000, Water DEF: +20000 ++Waves of Entitlement - x5 additional Water damage</v>
      </c>
      <c r="G296" s="1">
        <f>IFERROR(__xludf.DUMMYFUNCTION("""COMPUTED_VALUE"""),3.16E7)</f>
        <v>31600000</v>
      </c>
      <c r="H296" s="1" t="b">
        <f>IFERROR(__xludf.DUMMYFUNCTION("""COMPUTED_VALUE"""),FALSE)</f>
        <v>0</v>
      </c>
      <c r="I296" s="1" t="str">
        <f>IFERROR(__xludf.DUMMYFUNCTION("""COMPUTED_VALUE"""),"Land of Spira")</f>
        <v>Land of Spira</v>
      </c>
    </row>
    <row r="297">
      <c r="A297" s="1" t="str">
        <f>IFERROR(__xludf.DUMMYFUNCTION("""COMPUTED_VALUE"""),"Steel Bandit Dagger")</f>
        <v>Steel Bandit Dagger</v>
      </c>
      <c r="B297" s="1"/>
      <c r="C297" s="1" t="str">
        <f>IFERROR(__xludf.DUMMYFUNCTION("""COMPUTED_VALUE"""),"Knife")</f>
        <v>Knife</v>
      </c>
      <c r="D297" s="1" t="str">
        <f>IFERROR(__xludf.DUMMYFUNCTION("""COMPUTED_VALUE"""),"Hand")</f>
        <v>Hand</v>
      </c>
      <c r="E297" s="1">
        <f>IFERROR(__xludf.DUMMYFUNCTION("""COMPUTED_VALUE"""),1000.0)</f>
        <v>1000</v>
      </c>
      <c r="F297" s="1" t="str">
        <f>IFERROR(__xludf.DUMMYFUNCTION("""COMPUTED_VALUE"""),"DMG: +50000 ++10% chance to steal gilders upon hitting an enemy guilders stolen are equivalent to 1,000*d20")</f>
        <v>DMG: +50000 ++10% chance to steal gilders upon hitting an enemy guilders stolen are equivalent to 1,000*d20</v>
      </c>
      <c r="G297" s="1">
        <f>IFERROR(__xludf.DUMMYFUNCTION("""COMPUTED_VALUE"""),4.95E7)</f>
        <v>49500000</v>
      </c>
      <c r="H297" s="1" t="b">
        <f>IFERROR(__xludf.DUMMYFUNCTION("""COMPUTED_VALUE"""),FALSE)</f>
        <v>0</v>
      </c>
      <c r="I297" s="1" t="str">
        <f>IFERROR(__xludf.DUMMYFUNCTION("""COMPUTED_VALUE"""),"Land of Spira")</f>
        <v>Land of Spira</v>
      </c>
    </row>
    <row r="298">
      <c r="A298" s="1" t="str">
        <f>IFERROR(__xludf.DUMMYFUNCTION("""COMPUTED_VALUE"""),"Bandit Hide Helm")</f>
        <v>Bandit Hide Helm</v>
      </c>
      <c r="B298" s="1"/>
      <c r="C298" s="1"/>
      <c r="D298" s="1" t="str">
        <f>IFERROR(__xludf.DUMMYFUNCTION("""COMPUTED_VALUE"""),"Head")</f>
        <v>Head</v>
      </c>
      <c r="E298" s="1">
        <f>IFERROR(__xludf.DUMMYFUNCTION("""COMPUTED_VALUE"""),1000.0)</f>
        <v>1000</v>
      </c>
      <c r="F298" s="1" t="str">
        <f>IFERROR(__xludf.DUMMYFUNCTION("""COMPUTED_VALUE"""),"DEF: +50000")</f>
        <v>DEF: +50000</v>
      </c>
      <c r="G298" s="1">
        <f>IFERROR(__xludf.DUMMYFUNCTION("""COMPUTED_VALUE"""),4.95E7)</f>
        <v>49500000</v>
      </c>
      <c r="H298" s="1" t="b">
        <f>IFERROR(__xludf.DUMMYFUNCTION("""COMPUTED_VALUE"""),FALSE)</f>
        <v>0</v>
      </c>
      <c r="I298" s="1" t="str">
        <f>IFERROR(__xludf.DUMMYFUNCTION("""COMPUTED_VALUE"""),"Land of Spira")</f>
        <v>Land of Spira</v>
      </c>
    </row>
    <row r="299">
      <c r="A299" s="1" t="str">
        <f>IFERROR(__xludf.DUMMYFUNCTION("""COMPUTED_VALUE"""),"Bandit Hide Padding")</f>
        <v>Bandit Hide Padding</v>
      </c>
      <c r="B299" s="1"/>
      <c r="C299" s="1"/>
      <c r="D299" s="1" t="str">
        <f>IFERROR(__xludf.DUMMYFUNCTION("""COMPUTED_VALUE"""),"Shoulders")</f>
        <v>Shoulders</v>
      </c>
      <c r="E299" s="1">
        <f>IFERROR(__xludf.DUMMYFUNCTION("""COMPUTED_VALUE"""),1000.0)</f>
        <v>1000</v>
      </c>
      <c r="F299" s="1" t="str">
        <f>IFERROR(__xludf.DUMMYFUNCTION("""COMPUTED_VALUE"""),"DEF: +50000")</f>
        <v>DEF: +50000</v>
      </c>
      <c r="G299" s="1">
        <f>IFERROR(__xludf.DUMMYFUNCTION("""COMPUTED_VALUE"""),4.95E7)</f>
        <v>49500000</v>
      </c>
      <c r="H299" s="1" t="b">
        <f>IFERROR(__xludf.DUMMYFUNCTION("""COMPUTED_VALUE"""),FALSE)</f>
        <v>0</v>
      </c>
      <c r="I299" s="1" t="str">
        <f>IFERROR(__xludf.DUMMYFUNCTION("""COMPUTED_VALUE"""),"Land of Spira")</f>
        <v>Land of Spira</v>
      </c>
    </row>
    <row r="300">
      <c r="A300" s="1" t="str">
        <f>IFERROR(__xludf.DUMMYFUNCTION("""COMPUTED_VALUE"""),"Bandit Hide Chestplate")</f>
        <v>Bandit Hide Chestplate</v>
      </c>
      <c r="B300" s="1"/>
      <c r="C300" s="1"/>
      <c r="D300" s="1" t="str">
        <f>IFERROR(__xludf.DUMMYFUNCTION("""COMPUTED_VALUE"""),"Torso")</f>
        <v>Torso</v>
      </c>
      <c r="E300" s="1">
        <f>IFERROR(__xludf.DUMMYFUNCTION("""COMPUTED_VALUE"""),1000.0)</f>
        <v>1000</v>
      </c>
      <c r="F300" s="1" t="str">
        <f>IFERROR(__xludf.DUMMYFUNCTION("""COMPUTED_VALUE"""),"DEF: +50000 ++X2 damage with Knives")</f>
        <v>DEF: +50000 ++X2 damage with Knives</v>
      </c>
      <c r="G300" s="1">
        <f>IFERROR(__xludf.DUMMYFUNCTION("""COMPUTED_VALUE"""),4.95E7)</f>
        <v>49500000</v>
      </c>
      <c r="H300" s="1" t="b">
        <f>IFERROR(__xludf.DUMMYFUNCTION("""COMPUTED_VALUE"""),FALSE)</f>
        <v>0</v>
      </c>
      <c r="I300" s="1" t="str">
        <f>IFERROR(__xludf.DUMMYFUNCTION("""COMPUTED_VALUE"""),"Land of Spira")</f>
        <v>Land of Spira</v>
      </c>
    </row>
    <row r="301">
      <c r="A301" s="1" t="str">
        <f>IFERROR(__xludf.DUMMYFUNCTION("""COMPUTED_VALUE"""),"Bandit Hide Vambraces")</f>
        <v>Bandit Hide Vambraces</v>
      </c>
      <c r="B301" s="1"/>
      <c r="C301" s="1"/>
      <c r="D301" s="1" t="str">
        <f>IFERROR(__xludf.DUMMYFUNCTION("""COMPUTED_VALUE"""),"Arms")</f>
        <v>Arms</v>
      </c>
      <c r="E301" s="1">
        <f>IFERROR(__xludf.DUMMYFUNCTION("""COMPUTED_VALUE"""),1000.0)</f>
        <v>1000</v>
      </c>
      <c r="F301" s="1" t="str">
        <f>IFERROR(__xludf.DUMMYFUNCTION("""COMPUTED_VALUE"""),"DEF: +50000")</f>
        <v>DEF: +50000</v>
      </c>
      <c r="G301" s="1">
        <f>IFERROR(__xludf.DUMMYFUNCTION("""COMPUTED_VALUE"""),4.95E7)</f>
        <v>49500000</v>
      </c>
      <c r="H301" s="1" t="b">
        <f>IFERROR(__xludf.DUMMYFUNCTION("""COMPUTED_VALUE"""),FALSE)</f>
        <v>0</v>
      </c>
      <c r="I301" s="1" t="str">
        <f>IFERROR(__xludf.DUMMYFUNCTION("""COMPUTED_VALUE"""),"Land of Spira")</f>
        <v>Land of Spira</v>
      </c>
    </row>
    <row r="302">
      <c r="A302" s="1" t="str">
        <f>IFERROR(__xludf.DUMMYFUNCTION("""COMPUTED_VALUE"""),"Bandit Hide Greaves")</f>
        <v>Bandit Hide Greaves</v>
      </c>
      <c r="B302" s="1"/>
      <c r="C302" s="1"/>
      <c r="D302" s="1" t="str">
        <f>IFERROR(__xludf.DUMMYFUNCTION("""COMPUTED_VALUE"""),"Legs")</f>
        <v>Legs</v>
      </c>
      <c r="E302" s="1">
        <f>IFERROR(__xludf.DUMMYFUNCTION("""COMPUTED_VALUE"""),1000.0)</f>
        <v>1000</v>
      </c>
      <c r="F302" s="1" t="str">
        <f>IFERROR(__xludf.DUMMYFUNCTION("""COMPUTED_VALUE"""),"DEF: +50000")</f>
        <v>DEF: +50000</v>
      </c>
      <c r="G302" s="1">
        <f>IFERROR(__xludf.DUMMYFUNCTION("""COMPUTED_VALUE"""),4.95E7)</f>
        <v>49500000</v>
      </c>
      <c r="H302" s="1" t="b">
        <f>IFERROR(__xludf.DUMMYFUNCTION("""COMPUTED_VALUE"""),FALSE)</f>
        <v>0</v>
      </c>
      <c r="I302" s="1" t="str">
        <f>IFERROR(__xludf.DUMMYFUNCTION("""COMPUTED_VALUE"""),"Land of Spira")</f>
        <v>Land of Spira</v>
      </c>
    </row>
    <row r="303">
      <c r="A303" s="1" t="str">
        <f>IFERROR(__xludf.DUMMYFUNCTION("""COMPUTED_VALUE"""),"Bandit Hide Boots")</f>
        <v>Bandit Hide Boots</v>
      </c>
      <c r="B303" s="1"/>
      <c r="C303" s="1"/>
      <c r="D303" s="1" t="str">
        <f>IFERROR(__xludf.DUMMYFUNCTION("""COMPUTED_VALUE"""),"Feet")</f>
        <v>Feet</v>
      </c>
      <c r="E303" s="1">
        <f>IFERROR(__xludf.DUMMYFUNCTION("""COMPUTED_VALUE"""),1000.0)</f>
        <v>1000</v>
      </c>
      <c r="F303" s="1" t="str">
        <f>IFERROR(__xludf.DUMMYFUNCTION("""COMPUTED_VALUE"""),"DEF: +50000  ++5 to all confiscate, pickpocket, or take rolls")</f>
        <v>DEF: +50000  ++5 to all confiscate, pickpocket, or take rolls</v>
      </c>
      <c r="G303" s="1">
        <f>IFERROR(__xludf.DUMMYFUNCTION("""COMPUTED_VALUE"""),4.95E7)</f>
        <v>49500000</v>
      </c>
      <c r="H303" s="1" t="b">
        <f>IFERROR(__xludf.DUMMYFUNCTION("""COMPUTED_VALUE"""),FALSE)</f>
        <v>0</v>
      </c>
      <c r="I303" s="1" t="str">
        <f>IFERROR(__xludf.DUMMYFUNCTION("""COMPUTED_VALUE"""),"Land of Spira")</f>
        <v>Land of Spira</v>
      </c>
    </row>
    <row r="304">
      <c r="A304" s="1" t="str">
        <f>IFERROR(__xludf.DUMMYFUNCTION("""COMPUTED_VALUE"""),"Harbingers' Helm of the Unrestrained (Spira)")</f>
        <v>Harbingers' Helm of the Unrestrained (Spira)</v>
      </c>
      <c r="B304" s="1" t="str">
        <f>IFERROR(__xludf.DUMMYFUNCTION("""COMPUTED_VALUE"""),"The helmet is made of a dark steel which invades the weares mind, originally takes the appearance of a hood but becomes covers more of the wearers face and becomes more bestial looking as the wearer gives in to their insanity more and more.")</f>
        <v>The helmet is made of a dark steel which invades the weares mind, originally takes the appearance of a hood but becomes covers more of the wearers face and becomes more bestial looking as the wearer gives in to their insanity more and more.</v>
      </c>
      <c r="C304" s="1"/>
      <c r="D304" s="1" t="str">
        <f>IFERROR(__xludf.DUMMYFUNCTION("""COMPUTED_VALUE"""),"Head")</f>
        <v>Head</v>
      </c>
      <c r="E304" s="1">
        <f>IFERROR(__xludf.DUMMYFUNCTION("""COMPUTED_VALUE"""),200.0)</f>
        <v>200</v>
      </c>
      <c r="F304"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++Unbroken will - You become immune to all effects that would prevent you from taking your turn.")</f>
        <v>DEF: +50000, Fire DEF: +10000, Water DEF: +10000, Storm DEF: +10000, Earth DEF: +10000, Light DEF: +10000, Dark DEF: +10000, Spirit DEF: +10000, Order DEF: +10000, Chaos DEF: +10000, Nature DEF: +10000, Voodoo DEF: +10000, Blood DEF: +10000, Zen DEF: +10000, Astral DEF: +10000, Celestial DEF: +10000 ++Unbroken will - You become immune to all effects that would prevent you from taking your turn.</v>
      </c>
      <c r="G304" s="1">
        <f>IFERROR(__xludf.DUMMYFUNCTION("""COMPUTED_VALUE"""),7.98E8)</f>
        <v>798000000</v>
      </c>
      <c r="H304" s="1" t="b">
        <f>IFERROR(__xludf.DUMMYFUNCTION("""COMPUTED_VALUE"""),FALSE)</f>
        <v>0</v>
      </c>
      <c r="I304" s="1" t="str">
        <f>IFERROR(__xludf.DUMMYFUNCTION("""COMPUTED_VALUE"""),"Land of Spira")</f>
        <v>Land of Spira</v>
      </c>
    </row>
    <row r="305">
      <c r="A305" s="1" t="str">
        <f>IFERROR(__xludf.DUMMYFUNCTION("""COMPUTED_VALUE"""),"Harbingers' Shifting Pauldrons (Spira)")</f>
        <v>Harbingers' Shifting Pauldrons (Spira)</v>
      </c>
      <c r="B305" s="1" t="str">
        <f>IFERROR(__xludf.DUMMYFUNCTION("""COMPUTED_VALUE"""),"(Quest Item) This knife holds all the grief of Inugima, the man who turned his back on his clan and lived in grief for his descision until the day he died. The blade is stained red with the blood of Inugima's family and now is stained with his as well. It"&amp;" still seems to hold some special power and you guess it's story probably isn't over yet.")</f>
        <v>(Quest Item) This knife holds all the grief of Inugima, the man who turned his back on his clan and lived in grief for his descision until the day he died. The blade is stained red with the blood of Inugima's family and now is stained with his as well. It still seems to hold some special power and you guess it's story probably isn't over yet.</v>
      </c>
      <c r="C305" s="1"/>
      <c r="D305" s="1" t="str">
        <f>IFERROR(__xludf.DUMMYFUNCTION("""COMPUTED_VALUE"""),"Shoulders")</f>
        <v>Shoulders</v>
      </c>
      <c r="E305" s="1">
        <f>IFERROR(__xludf.DUMMYFUNCTION("""COMPUTED_VALUE"""),200.0)</f>
        <v>200</v>
      </c>
      <c r="F305"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++Adrenaline - Upon being hit with any attack gain 1 stack of Insanity.")</f>
        <v>DEF: +50000, Fire DEF: +10000, Water DEF: +10000, Storm DEF: +10000, Earth DEF: +10000, Light DEF: +10000, Dark DEF: +10000, Spirit DEF: +10000, Order DEF: +10000, Chaos DEF: +10000, Nature DEF: +10000, Voodoo DEF: +10000, Blood DEF: +10000, Zen DEF: +10000, Astral DEF: +10000, Celestial DEF: +10000 ++Adrenaline - Upon being hit with any attack gain 1 stack of Insanity.</v>
      </c>
      <c r="G305" s="1">
        <f>IFERROR(__xludf.DUMMYFUNCTION("""COMPUTED_VALUE"""),7.98E8)</f>
        <v>798000000</v>
      </c>
      <c r="H305" s="1" t="b">
        <f>IFERROR(__xludf.DUMMYFUNCTION("""COMPUTED_VALUE"""),FALSE)</f>
        <v>0</v>
      </c>
      <c r="I305" s="1" t="str">
        <f>IFERROR(__xludf.DUMMYFUNCTION("""COMPUTED_VALUE"""),"Land of Spira")</f>
        <v>Land of Spira</v>
      </c>
    </row>
    <row r="306">
      <c r="A306" s="1" t="str">
        <f>IFERROR(__xludf.DUMMYFUNCTION("""COMPUTED_VALUE"""),"Harbingers' Emblazoned Chest of The Encroaching Void (Spira)")</f>
        <v>Harbingers' Emblazoned Chest of The Encroaching Void (Spira)</v>
      </c>
      <c r="B306" s="1" t="str">
        <f>IFERROR(__xludf.DUMMYFUNCTION("""COMPUTED_VALUE"""),"The Harbinger's armor is made of a dark steel which drives its wearer progressively further whilst in combat. The armor takes the rage of its wearer and multiplies it tenfold whilst breaking off the subconscious limiters on a wearers strength.")</f>
        <v>The Harbinger's armor is made of a dark steel which drives its wearer progressively further whilst in combat. The armor takes the rage of its wearer and multiplies it tenfold whilst breaking off the subconscious limiters on a wearers strength.</v>
      </c>
      <c r="C306" s="1"/>
      <c r="D306" s="1" t="str">
        <f>IFERROR(__xludf.DUMMYFUNCTION("""COMPUTED_VALUE"""),"Torso")</f>
        <v>Torso</v>
      </c>
      <c r="E306" s="1">
        <f>IFERROR(__xludf.DUMMYFUNCTION("""COMPUTED_VALUE"""),200.0)</f>
        <v>200</v>
      </c>
      <c r="F306"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++Bloodlust - Upon targeting any enemy with an attack gain 2 stacks of insanity")</f>
        <v>DEF: +50000, Fire DEF: +10000, Water DEF: +10000, Storm DEF: +10000, Earth DEF: +10000, Light DEF: +10000, Dark DEF: +10000, Spirit DEF: +10000, Order DEF: +10000, Chaos DEF: +10000, Nature DEF: +10000, Voodoo DEF: +10000, Blood DEF: +10000, Zen DEF: +10000, Astral DEF: +10000, Celestial DEF: +10000 ++Bloodlust - Upon targeting any enemy with an attack gain 2 stacks of insanity</v>
      </c>
      <c r="G306" s="1">
        <f>IFERROR(__xludf.DUMMYFUNCTION("""COMPUTED_VALUE"""),7.98E8)</f>
        <v>798000000</v>
      </c>
      <c r="H306" s="1" t="b">
        <f>IFERROR(__xludf.DUMMYFUNCTION("""COMPUTED_VALUE"""),FALSE)</f>
        <v>0</v>
      </c>
      <c r="I306" s="1" t="str">
        <f>IFERROR(__xludf.DUMMYFUNCTION("""COMPUTED_VALUE"""),"Land of Spira")</f>
        <v>Land of Spira</v>
      </c>
    </row>
    <row r="307">
      <c r="A307" s="1" t="str">
        <f>IFERROR(__xludf.DUMMYFUNCTION("""COMPUTED_VALUE"""),"Harbingers' Broken Fettering (Spira)")</f>
        <v>Harbingers' Broken Fettering (Spira)</v>
      </c>
      <c r="B307" s="1" t="str">
        <f>IFERROR(__xludf.DUMMYFUNCTION("""COMPUTED_VALUE"""),"Some have witnessed how the wearers of this mythical armor seem completely unreactive to the pain and it is speculated that the armor itself temporarily cuts off all feelings of pain to keep the wearer fighting.")</f>
        <v>Some have witnessed how the wearers of this mythical armor seem completely unreactive to the pain and it is speculated that the armor itself temporarily cuts off all feelings of pain to keep the wearer fighting.</v>
      </c>
      <c r="C307" s="1"/>
      <c r="D307" s="1" t="str">
        <f>IFERROR(__xludf.DUMMYFUNCTION("""COMPUTED_VALUE"""),"Arms")</f>
        <v>Arms</v>
      </c>
      <c r="E307" s="1">
        <f>IFERROR(__xludf.DUMMYFUNCTION("""COMPUTED_VALUE"""),200.0)</f>
        <v>200</v>
      </c>
      <c r="F307"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++To Break From Your Shackles - You lash out cleaving your way through reality creating a small distortion dealing 500,000 delta damage to all enemies and allies and inflict Shuttering 5, requiring everyone to"&amp;" roll a fail or succeed roll to bind themselves to this plane or have a party member who succeeded use an action to help them, or if they fail 5 times they will be lost to the void forever, consumes 10 stacks of insanity to cast (Permadeath)(considered an"&amp;" instant death effect for purposes of immunity)")</f>
        <v>DEF: +50000, Fire DEF: +10000, Water DEF: +10000, Storm DEF: +10000, Earth DEF: +10000, Light DEF: +10000, Dark DEF: +10000, Spirit DEF: +10000, Order DEF: +10000, Chaos DEF: +10000, Nature DEF: +10000, Voodoo DEF: +10000, Blood DEF: +10000, Zen DEF: +10000, Astral DEF: +10000, Celestial DEF: +10000 ++To Break From Your Shackles - You lash out cleaving your way through reality creating a small distortion dealing 500,000 delta damage to all enemies and allies and inflict Shuttering 5, requiring everyone to roll a fail or succeed roll to bind themselves to this plane or have a party member who succeeded use an action to help them, or if they fail 5 times they will be lost to the void forever, consumes 10 stacks of insanity to cast (Permadeath)(considered an instant death effect for purposes of immunity)</v>
      </c>
      <c r="G307" s="1">
        <f>IFERROR(__xludf.DUMMYFUNCTION("""COMPUTED_VALUE"""),7.98E8)</f>
        <v>798000000</v>
      </c>
      <c r="H307" s="1" t="b">
        <f>IFERROR(__xludf.DUMMYFUNCTION("""COMPUTED_VALUE"""),FALSE)</f>
        <v>0</v>
      </c>
      <c r="I307" s="1" t="str">
        <f>IFERROR(__xludf.DUMMYFUNCTION("""COMPUTED_VALUE"""),"Land of Spira")</f>
        <v>Land of Spira</v>
      </c>
    </row>
    <row r="308">
      <c r="A308" s="1" t="str">
        <f>IFERROR(__xludf.DUMMYFUNCTION("""COMPUTED_VALUE"""),"Harbingers' Ethereal Chausses (Spira)")</f>
        <v>Harbingers' Ethereal Chausses (Spira)</v>
      </c>
      <c r="B308" s="1" t="str">
        <f>IFERROR(__xludf.DUMMYFUNCTION("""COMPUTED_VALUE"""),"Even with broken bones the armor will not allow the wearer to stop fighting, spikes will form from the armor piercing into the damaged limbs and letting the wearer continue controller these destroyed limbs via the armor itself.")</f>
        <v>Even with broken bones the armor will not allow the wearer to stop fighting, spikes will form from the armor piercing into the damaged limbs and letting the wearer continue controller these destroyed limbs via the armor itself.</v>
      </c>
      <c r="C308" s="1"/>
      <c r="D308" s="1" t="str">
        <f>IFERROR(__xludf.DUMMYFUNCTION("""COMPUTED_VALUE"""),"Legs")</f>
        <v>Legs</v>
      </c>
      <c r="E308" s="1">
        <f>IFERROR(__xludf.DUMMYFUNCTION("""COMPUTED_VALUE"""),200.0)</f>
        <v>200</v>
      </c>
      <c r="F308"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++Voidal Instinct - 50% chance to avoid all delta attacks and instant death effects
++To the Last Drop of Blood - Grants immunity to slowness.")</f>
        <v>DEF: +50000, Fire DEF: +10000, Water DEF: +10000, Storm DEF: +10000, Earth DEF: +10000, Light DEF: +10000, Dark DEF: +10000, Spirit DEF: +10000, Order DEF: +10000, Chaos DEF: +10000, Nature DEF: +10000, Voodoo DEF: +10000, Blood DEF: +10000, Zen DEF: +10000, Astral DEF: +10000, Celestial DEF: +10000 ++Voidal Instinct - 50% chance to avoid all delta attacks and instant death effects
++To the Last Drop of Blood - Grants immunity to slowness.</v>
      </c>
      <c r="G308" s="1">
        <f>IFERROR(__xludf.DUMMYFUNCTION("""COMPUTED_VALUE"""),7.98E8)</f>
        <v>798000000</v>
      </c>
      <c r="H308" s="1" t="b">
        <f>IFERROR(__xludf.DUMMYFUNCTION("""COMPUTED_VALUE"""),FALSE)</f>
        <v>0</v>
      </c>
      <c r="I308" s="1" t="str">
        <f>IFERROR(__xludf.DUMMYFUNCTION("""COMPUTED_VALUE"""),"Land of Spira")</f>
        <v>Land of Spira</v>
      </c>
    </row>
    <row r="309">
      <c r="A309" s="1" t="str">
        <f>IFERROR(__xludf.DUMMYFUNCTION("""COMPUTED_VALUE"""),"Harbingers' Spiked Sabatons (Spira)")</f>
        <v>Harbingers' Spiked Sabatons (Spira)</v>
      </c>
      <c r="B309" s="1"/>
      <c r="C309" s="1"/>
      <c r="D309" s="1" t="str">
        <f>IFERROR(__xludf.DUMMYFUNCTION("""COMPUTED_VALUE"""),"Feet")</f>
        <v>Feet</v>
      </c>
      <c r="E309" s="1">
        <f>IFERROR(__xludf.DUMMYFUNCTION("""COMPUTED_VALUE"""),200.0)</f>
        <v>200</v>
      </c>
      <c r="F309" s="1"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++Leg Sweep - Strike at an opponent's legs making a hit or miss attack (adding mobility) on hit you knock the opponent to the ground inflicting them with slowness 3")</f>
        <v>DEF: +50000, Fire DEF: +10000, Water DEF: +10000, Storm DEF: +10000, Earth DEF: +10000, Light DEF: +10000, Dark DEF: +10000, Spirit DEF: +10000, Order DEF: +10000, Chaos DEF: +10000, Nature DEF: +10000, Voodoo DEF: +10000, Blood DEF: +10000, Zen DEF: +10000, Astral DEF: +10000, Celestial DEF: +10000 ++Leg Sweep - Strike at an opponent's legs making a hit or miss attack (adding mobility) on hit you knock the opponent to the ground inflicting them with slowness 3</v>
      </c>
      <c r="G309" s="1">
        <f>IFERROR(__xludf.DUMMYFUNCTION("""COMPUTED_VALUE"""),7.98E8)</f>
        <v>798000000</v>
      </c>
      <c r="H309" s="1" t="b">
        <f>IFERROR(__xludf.DUMMYFUNCTION("""COMPUTED_VALUE"""),FALSE)</f>
        <v>0</v>
      </c>
      <c r="I309" s="1" t="str">
        <f>IFERROR(__xludf.DUMMYFUNCTION("""COMPUTED_VALUE"""),"Land of Spira")</f>
        <v>Land of Spira</v>
      </c>
    </row>
    <row r="310">
      <c r="A310" s="1" t="str">
        <f>IFERROR(__xludf.DUMMYFUNCTION("""COMPUTED_VALUE"""),"Harbingers' Vow (Spira)")</f>
        <v>Harbingers' Vow (Spira)</v>
      </c>
      <c r="B310" s="1"/>
      <c r="C310" s="1"/>
      <c r="D310" s="1" t="str">
        <f>IFERROR(__xludf.DUMMYFUNCTION("""COMPUTED_VALUE"""),"Finger")</f>
        <v>Finger</v>
      </c>
      <c r="E310" s="1">
        <f>IFERROR(__xludf.DUMMYFUNCTION("""COMPUTED_VALUE"""),1.0)</f>
        <v>1</v>
      </c>
      <c r="F310" s="1" t="str">
        <f>IFERROR(__xludf.DUMMYFUNCTION("""COMPUTED_VALUE""")," ++Pervading Madness - at the start of each of your turns flip a coin with heads being 1 and tails being 2 or roll a d2, gain that many stacks of insanity")</f>
        <v> ++Pervading Madness - at the start of each of your turns flip a coin with heads being 1 and tails being 2 or roll a d2, gain that many stacks of insanity</v>
      </c>
      <c r="G310" s="1">
        <f>IFERROR(__xludf.DUMMYFUNCTION("""COMPUTED_VALUE"""),0.0)</f>
        <v>0</v>
      </c>
      <c r="H310" s="1" t="b">
        <f>IFERROR(__xludf.DUMMYFUNCTION("""COMPUTED_VALUE"""),FALSE)</f>
        <v>0</v>
      </c>
      <c r="I310" s="1" t="str">
        <f>IFERROR(__xludf.DUMMYFUNCTION("""COMPUTED_VALUE"""),"Land of Spira")</f>
        <v>Land of Spira</v>
      </c>
    </row>
    <row r="311">
      <c r="A311" s="1" t="str">
        <f>IFERROR(__xludf.DUMMYFUNCTION("""COMPUTED_VALUE"""),"Harbingers' Resolve (Spira)")</f>
        <v>Harbingers' Resolve (Spira)</v>
      </c>
      <c r="B311" s="1"/>
      <c r="C311" s="1"/>
      <c r="D311" s="1" t="str">
        <f>IFERROR(__xludf.DUMMYFUNCTION("""COMPUTED_VALUE"""),"Neck")</f>
        <v>Neck</v>
      </c>
      <c r="E311" s="1">
        <f>IFERROR(__xludf.DUMMYFUNCTION("""COMPUTED_VALUE"""),1.0)</f>
        <v>1</v>
      </c>
      <c r="F311" s="1" t="str">
        <f>IFERROR(__xludf.DUMMYFUNCTION("""COMPUTED_VALUE""")," ++To the Death! - Upon taking lethal damage resist it with 1 hp and gain 10 stacks of insanity (once per battle)")</f>
        <v> ++To the Death! - Upon taking lethal damage resist it with 1 hp and gain 10 stacks of insanity (once per battle)</v>
      </c>
      <c r="G311" s="1">
        <f>IFERROR(__xludf.DUMMYFUNCTION("""COMPUTED_VALUE"""),0.0)</f>
        <v>0</v>
      </c>
      <c r="H311" s="1" t="b">
        <f>IFERROR(__xludf.DUMMYFUNCTION("""COMPUTED_VALUE"""),FALSE)</f>
        <v>0</v>
      </c>
      <c r="I311" s="1" t="str">
        <f>IFERROR(__xludf.DUMMYFUNCTION("""COMPUTED_VALUE"""),"Land of Spira")</f>
        <v>Land of Spira</v>
      </c>
    </row>
    <row r="312">
      <c r="A312" s="1" t="str">
        <f>IFERROR(__xludf.DUMMYFUNCTION("""COMPUTED_VALUE"""),"Harbingers' Fist of Iron (Spira)")</f>
        <v>Harbingers' Fist of Iron (Spira)</v>
      </c>
      <c r="B312" s="1"/>
      <c r="C312" s="1" t="str">
        <f>IFERROR(__xludf.DUMMYFUNCTION("""COMPUTED_VALUE"""),"Gauntlet")</f>
        <v>Gauntlet</v>
      </c>
      <c r="D312" s="1" t="str">
        <f>IFERROR(__xludf.DUMMYFUNCTION("""COMPUTED_VALUE"""),"Hand")</f>
        <v>Hand</v>
      </c>
      <c r="E312" s="1">
        <f>IFERROR(__xludf.DUMMYFUNCTION("""COMPUTED_VALUE"""),200.0)</f>
        <v>200</v>
      </c>
      <c r="F312" s="1" t="str">
        <f>IFERROR(__xludf.DUMMYFUNCTION("""COMPUTED_VALUE"""),"DEF: +50000, Celestial DEF: +50000 ++One fist of Iron -  When attacking with this weapon you can choose to attack with the Harbingers' Claw of Steel in the same action. ++Throat Grab - make a hit or miss attack to prevent an enemy from acting on their tur"&amp;"n as long as they remain grappled. To break free from the grapple the enemy must roll evasion to attempt to break free from your grasp at the end of each of your turns. ++20% chance to remove enemy from battle")</f>
        <v>DEF: +50000, Celestial DEF: +50000 ++One fist of Iron -  When attacking with this weapon you can choose to attack with the Harbingers' Claw of Steel in the same action. ++Throat Grab - make a hit or miss attack to prevent an enemy from acting on their turn as long as they remain grappled. To break free from the grapple the enemy must roll evasion to attempt to break free from your grasp at the end of each of your turns. ++20% chance to remove enemy from battle</v>
      </c>
      <c r="G312" s="1">
        <f>IFERROR(__xludf.DUMMYFUNCTION("""COMPUTED_VALUE"""),1.99E8)</f>
        <v>199000000</v>
      </c>
      <c r="H312" s="1" t="b">
        <f>IFERROR(__xludf.DUMMYFUNCTION("""COMPUTED_VALUE"""),FALSE)</f>
        <v>0</v>
      </c>
      <c r="I312" s="1" t="str">
        <f>IFERROR(__xludf.DUMMYFUNCTION("""COMPUTED_VALUE"""),"Land of Spira")</f>
        <v>Land of Spira</v>
      </c>
    </row>
    <row r="313">
      <c r="A313" s="1" t="str">
        <f>IFERROR(__xludf.DUMMYFUNCTION("""COMPUTED_VALUE"""),"Harbingers' Claw of Steel (Spira)")</f>
        <v>Harbingers' Claw of Steel (Spira)</v>
      </c>
      <c r="B313" s="1"/>
      <c r="C313" s="1" t="str">
        <f>IFERROR(__xludf.DUMMYFUNCTION("""COMPUTED_VALUE"""),"Claw")</f>
        <v>Claw</v>
      </c>
      <c r="D313" s="1" t="str">
        <f>IFERROR(__xludf.DUMMYFUNCTION("""COMPUTED_VALUE"""),"Hand")</f>
        <v>Hand</v>
      </c>
      <c r="E313" s="1">
        <f>IFERROR(__xludf.DUMMYFUNCTION("""COMPUTED_VALUE"""),200.0)</f>
        <v>200</v>
      </c>
      <c r="F313" s="1" t="str">
        <f>IFERROR(__xludf.DUMMYFUNCTION("""COMPUTED_VALUE"""),"DMG: +50000, Delta DMG: +25000, Celestial DMG: +25000 ++And Another of Steel - When attacking with this weapon you can choose to attack with the Harbingers' Fist of Iron in the same action. ++Elemental Rend - inflicts 1000 damage per round of each element"&amp;" (Excluding Acoustic, Zen, Time, Physical, Melee, and Ranged) when attacking an enemy ++Maddening Blows - targeting an enemy with this weapon inflicts you with 1 stack of insanity")</f>
        <v>DMG: +50000, Delta DMG: +25000, Celestial DMG: +25000 ++And Another of Steel - When attacking with this weapon you can choose to attack with the Harbingers' Fist of Iron in the same action. ++Elemental Rend - inflicts 1000 damage per round of each element (Excluding Acoustic, Zen, Time, Physical, Melee, and Ranged) when attacking an enemy ++Maddening Blows - targeting an enemy with this weapon inflicts you with 1 stack of insanity</v>
      </c>
      <c r="G313" s="1">
        <f>IFERROR(__xludf.DUMMYFUNCTION("""COMPUTED_VALUE"""),1.99E8)</f>
        <v>199000000</v>
      </c>
      <c r="H313" s="1" t="b">
        <f>IFERROR(__xludf.DUMMYFUNCTION("""COMPUTED_VALUE"""),FALSE)</f>
        <v>0</v>
      </c>
      <c r="I313" s="1" t="str">
        <f>IFERROR(__xludf.DUMMYFUNCTION("""COMPUTED_VALUE"""),"Land of Spira")</f>
        <v>Land of Spira</v>
      </c>
    </row>
    <row r="314">
      <c r="A314" s="1" t="str">
        <f>IFERROR(__xludf.DUMMYFUNCTION("""COMPUTED_VALUE"""),"Eagles Claw")</f>
        <v>Eagles Claw</v>
      </c>
      <c r="B314" s="1"/>
      <c r="C314" s="1" t="str">
        <f>IFERROR(__xludf.DUMMYFUNCTION("""COMPUTED_VALUE"""),"Claw")</f>
        <v>Claw</v>
      </c>
      <c r="D314" s="1" t="str">
        <f>IFERROR(__xludf.DUMMYFUNCTION("""COMPUTED_VALUE"""),"Hand")</f>
        <v>Hand</v>
      </c>
      <c r="E314" s="1">
        <f>IFERROR(__xludf.DUMMYFUNCTION("""COMPUTED_VALUE"""),200.0)</f>
        <v>200</v>
      </c>
      <c r="F314" s="1" t="str">
        <f>IFERROR(__xludf.DUMMYFUNCTION("""COMPUTED_VALUE"""),"DMG: +10000 ++Eagles Removal - 20% Chance to remove the target from battle. ")</f>
        <v>DMG: +10000 ++Eagles Removal - 20% Chance to remove the target from battle. </v>
      </c>
      <c r="G314" s="1">
        <f>IFERROR(__xludf.DUMMYFUNCTION("""COMPUTED_VALUE"""),1900000.0)</f>
        <v>1900000</v>
      </c>
      <c r="H314" s="1" t="b">
        <f>IFERROR(__xludf.DUMMYFUNCTION("""COMPUTED_VALUE"""),FALSE)</f>
        <v>0</v>
      </c>
      <c r="I314" s="1" t="str">
        <f>IFERROR(__xludf.DUMMYFUNCTION("""COMPUTED_VALUE"""),"Land of Spira")</f>
        <v>Land of Spira</v>
      </c>
    </row>
    <row r="315">
      <c r="A315" s="1" t="str">
        <f>IFERROR(__xludf.DUMMYFUNCTION("""COMPUTED_VALUE"""),"Golden Gauntlet")</f>
        <v>Golden Gauntlet</v>
      </c>
      <c r="B315" s="1"/>
      <c r="C315" s="1" t="str">
        <f>IFERROR(__xludf.DUMMYFUNCTION("""COMPUTED_VALUE"""),"Gauntlet")</f>
        <v>Gauntlet</v>
      </c>
      <c r="D315" s="1" t="str">
        <f>IFERROR(__xludf.DUMMYFUNCTION("""COMPUTED_VALUE"""),"Hand")</f>
        <v>Hand</v>
      </c>
      <c r="E315" s="1">
        <f>IFERROR(__xludf.DUMMYFUNCTION("""COMPUTED_VALUE"""),200.0)</f>
        <v>200</v>
      </c>
      <c r="F315" s="1" t="str">
        <f>IFERROR(__xludf.DUMMYFUNCTION("""COMPUTED_VALUE"""),"DMG: +5000, Light DMG: +2500, Order DMG: +2500")</f>
        <v>DMG: +5000, Light DMG: +2500, Order DMG: +2500</v>
      </c>
      <c r="G315" s="1">
        <f>IFERROR(__xludf.DUMMYFUNCTION("""COMPUTED_VALUE"""),1900000.0)</f>
        <v>1900000</v>
      </c>
      <c r="H315" s="1" t="b">
        <f>IFERROR(__xludf.DUMMYFUNCTION("""COMPUTED_VALUE"""),FALSE)</f>
        <v>0</v>
      </c>
      <c r="I315" s="1" t="str">
        <f>IFERROR(__xludf.DUMMYFUNCTION("""COMPUTED_VALUE"""),"Land of Spira")</f>
        <v>Land of Spira</v>
      </c>
    </row>
    <row r="316">
      <c r="A316" s="1" t="str">
        <f>IFERROR(__xludf.DUMMYFUNCTION("""COMPUTED_VALUE"""),"Hand Crossbow")</f>
        <v>Hand Crossbow</v>
      </c>
      <c r="B316" s="1"/>
      <c r="C316" s="1" t="str">
        <f>IFERROR(__xludf.DUMMYFUNCTION("""COMPUTED_VALUE"""),"Bow")</f>
        <v>Bow</v>
      </c>
      <c r="D316" s="1" t="str">
        <f>IFERROR(__xludf.DUMMYFUNCTION("""COMPUTED_VALUE"""),"Hand")</f>
        <v>Hand</v>
      </c>
      <c r="E316" s="1">
        <f>IFERROR(__xludf.DUMMYFUNCTION("""COMPUTED_VALUE"""),200.0)</f>
        <v>200</v>
      </c>
      <c r="F316" s="1" t="str">
        <f>IFERROR(__xludf.DUMMYFUNCTION("""COMPUTED_VALUE"""),"DMG: +10000")</f>
        <v>DMG: +10000</v>
      </c>
      <c r="G316" s="1">
        <f>IFERROR(__xludf.DUMMYFUNCTION("""COMPUTED_VALUE"""),1900000.0)</f>
        <v>1900000</v>
      </c>
      <c r="H316" s="1" t="b">
        <f>IFERROR(__xludf.DUMMYFUNCTION("""COMPUTED_VALUE"""),FALSE)</f>
        <v>0</v>
      </c>
      <c r="I316" s="1" t="str">
        <f>IFERROR(__xludf.DUMMYFUNCTION("""COMPUTED_VALUE"""),"Land of Spira")</f>
        <v>Land of Spira</v>
      </c>
    </row>
    <row r="317">
      <c r="A317" s="1" t="str">
        <f>IFERROR(__xludf.DUMMYFUNCTION("""COMPUTED_VALUE"""),"Flintlock Pistol")</f>
        <v>Flintlock Pistol</v>
      </c>
      <c r="B317" s="1"/>
      <c r="C317" s="1" t="str">
        <f>IFERROR(__xludf.DUMMYFUNCTION("""COMPUTED_VALUE"""),"Firearm")</f>
        <v>Firearm</v>
      </c>
      <c r="D317" s="1" t="str">
        <f>IFERROR(__xludf.DUMMYFUNCTION("""COMPUTED_VALUE"""),"Hand")</f>
        <v>Hand</v>
      </c>
      <c r="E317" s="1">
        <f>IFERROR(__xludf.DUMMYFUNCTION("""COMPUTED_VALUE"""),200.0)</f>
        <v>200</v>
      </c>
      <c r="F317" s="1" t="str">
        <f>IFERROR(__xludf.DUMMYFUNCTION("""COMPUTED_VALUE"""),"DMG: +10000")</f>
        <v>DMG: +10000</v>
      </c>
      <c r="G317" s="1">
        <f>IFERROR(__xludf.DUMMYFUNCTION("""COMPUTED_VALUE"""),1900000.0)</f>
        <v>1900000</v>
      </c>
      <c r="H317" s="1" t="b">
        <f>IFERROR(__xludf.DUMMYFUNCTION("""COMPUTED_VALUE"""),FALSE)</f>
        <v>0</v>
      </c>
      <c r="I317" s="1" t="str">
        <f>IFERROR(__xludf.DUMMYFUNCTION("""COMPUTED_VALUE"""),"Land of Spira")</f>
        <v>Land of Spira</v>
      </c>
    </row>
    <row r="318">
      <c r="A318" s="1" t="str">
        <f>IFERROR(__xludf.DUMMYFUNCTION("""COMPUTED_VALUE"""),"Phantasmal Scythe")</f>
        <v>Phantasmal Scythe</v>
      </c>
      <c r="B318" s="1"/>
      <c r="C318" s="1" t="str">
        <f>IFERROR(__xludf.DUMMYFUNCTION("""COMPUTED_VALUE"""),"Scythe")</f>
        <v>Scythe</v>
      </c>
      <c r="D318" s="1" t="str">
        <f>IFERROR(__xludf.DUMMYFUNCTION("""COMPUTED_VALUE"""),"Hand")</f>
        <v>Hand</v>
      </c>
      <c r="E318" s="1">
        <f>IFERROR(__xludf.DUMMYFUNCTION("""COMPUTED_VALUE"""),1000.0)</f>
        <v>1000</v>
      </c>
      <c r="F318" s="1" t="str">
        <f>IFERROR(__xludf.DUMMYFUNCTION("""COMPUTED_VALUE"""),", Spirit DMG: +50000")</f>
        <v>, Spirit DMG: +50000</v>
      </c>
      <c r="G318" s="1">
        <f>IFERROR(__xludf.DUMMYFUNCTION("""COMPUTED_VALUE"""),4.95E7)</f>
        <v>49500000</v>
      </c>
      <c r="H318" s="1" t="b">
        <f>IFERROR(__xludf.DUMMYFUNCTION("""COMPUTED_VALUE"""),FALSE)</f>
        <v>0</v>
      </c>
      <c r="I318" s="1" t="str">
        <f>IFERROR(__xludf.DUMMYFUNCTION("""COMPUTED_VALUE"""),"Land of Spira")</f>
        <v>Land of Spira</v>
      </c>
    </row>
    <row r="319">
      <c r="A319" s="1" t="str">
        <f>IFERROR(__xludf.DUMMYFUNCTION("""COMPUTED_VALUE"""),"Piranha Tooth Dagger")</f>
        <v>Piranha Tooth Dagger</v>
      </c>
      <c r="B319" s="1"/>
      <c r="C319" s="1" t="str">
        <f>IFERROR(__xludf.DUMMYFUNCTION("""COMPUTED_VALUE"""),"Knife")</f>
        <v>Knife</v>
      </c>
      <c r="D319" s="1" t="str">
        <f>IFERROR(__xludf.DUMMYFUNCTION("""COMPUTED_VALUE"""),"Hand")</f>
        <v>Hand</v>
      </c>
      <c r="E319" s="1">
        <f>IFERROR(__xludf.DUMMYFUNCTION("""COMPUTED_VALUE"""),10.0)</f>
        <v>10</v>
      </c>
      <c r="F319" s="1" t="str">
        <f>IFERROR(__xludf.DUMMYFUNCTION("""COMPUTED_VALUE"""),"DMG: +500 ++Increases damage by X2 for every time you hit an enemy with this weapon during a single battle (Goes back to normal damage after battle)")</f>
        <v>DMG: +500 ++Increases damage by X2 for every time you hit an enemy with this weapon during a single battle (Goes back to normal damage after battle)</v>
      </c>
      <c r="G319" s="1">
        <f>IFERROR(__xludf.DUMMYFUNCTION("""COMPUTED_VALUE"""),1000.0)</f>
        <v>1000</v>
      </c>
      <c r="H319" s="1" t="b">
        <f>IFERROR(__xludf.DUMMYFUNCTION("""COMPUTED_VALUE"""),FALSE)</f>
        <v>0</v>
      </c>
      <c r="I319" s="1" t="str">
        <f>IFERROR(__xludf.DUMMYFUNCTION("""COMPUTED_VALUE"""),"Land of Spira")</f>
        <v>Land of Spira</v>
      </c>
    </row>
    <row r="320">
      <c r="A320" s="1" t="str">
        <f>IFERROR(__xludf.DUMMYFUNCTION("""COMPUTED_VALUE"""),"Rhino Horn Spear")</f>
        <v>Rhino Horn Spear</v>
      </c>
      <c r="B320" s="1"/>
      <c r="C320" s="1" t="str">
        <f>IFERROR(__xludf.DUMMYFUNCTION("""COMPUTED_VALUE"""),"Spear")</f>
        <v>Spear</v>
      </c>
      <c r="D320" s="1" t="str">
        <f>IFERROR(__xludf.DUMMYFUNCTION("""COMPUTED_VALUE"""),"Hand")</f>
        <v>Hand</v>
      </c>
      <c r="E320" s="1">
        <f>IFERROR(__xludf.DUMMYFUNCTION("""COMPUTED_VALUE"""),200.0)</f>
        <v>200</v>
      </c>
      <c r="F320" s="1" t="str">
        <f>IFERROR(__xludf.DUMMYFUNCTION("""COMPUTED_VALUE"""),"DMG: +10000 ++Charge - The first attack made with this weapon deals X2 damage")</f>
        <v>DMG: +10000 ++Charge - The first attack made with this weapon deals X2 damage</v>
      </c>
      <c r="G320" s="1">
        <f>IFERROR(__xludf.DUMMYFUNCTION("""COMPUTED_VALUE"""),1900000.0)</f>
        <v>1900000</v>
      </c>
      <c r="H320" s="1" t="b">
        <f>IFERROR(__xludf.DUMMYFUNCTION("""COMPUTED_VALUE"""),FALSE)</f>
        <v>0</v>
      </c>
      <c r="I320" s="1" t="str">
        <f>IFERROR(__xludf.DUMMYFUNCTION("""COMPUTED_VALUE"""),"Land of Spira")</f>
        <v>Land of Spira</v>
      </c>
    </row>
    <row r="321">
      <c r="A321" s="1" t="str">
        <f>IFERROR(__xludf.DUMMYFUNCTION("""COMPUTED_VALUE"""),"Rock Axe")</f>
        <v>Rock Axe</v>
      </c>
      <c r="B321" s="1"/>
      <c r="C321" s="1" t="str">
        <f>IFERROR(__xludf.DUMMYFUNCTION("""COMPUTED_VALUE"""),"Axe")</f>
        <v>Axe</v>
      </c>
      <c r="D321" s="1" t="str">
        <f>IFERROR(__xludf.DUMMYFUNCTION("""COMPUTED_VALUE"""),"Hand")</f>
        <v>Hand</v>
      </c>
      <c r="E321" s="1">
        <f>IFERROR(__xludf.DUMMYFUNCTION("""COMPUTED_VALUE"""),40.0)</f>
        <v>40</v>
      </c>
      <c r="F321" s="1" t="str">
        <f>IFERROR(__xludf.DUMMYFUNCTION("""COMPUTED_VALUE"""),"DMG: +1000, Earth DMG: +1000")</f>
        <v>DMG: +1000, Earth DMG: +1000</v>
      </c>
      <c r="G321" s="1">
        <f>IFERROR(__xludf.DUMMYFUNCTION("""COMPUTED_VALUE"""),60000.0)</f>
        <v>60000</v>
      </c>
      <c r="H321" s="1" t="b">
        <f>IFERROR(__xludf.DUMMYFUNCTION("""COMPUTED_VALUE"""),FALSE)</f>
        <v>0</v>
      </c>
      <c r="I321" s="1" t="str">
        <f>IFERROR(__xludf.DUMMYFUNCTION("""COMPUTED_VALUE"""),"Land of Spira")</f>
        <v>Land of Spira</v>
      </c>
    </row>
    <row r="322">
      <c r="A322" s="1" t="str">
        <f>IFERROR(__xludf.DUMMYFUNCTION("""COMPUTED_VALUE"""),"Saber Tooth")</f>
        <v>Saber Tooth</v>
      </c>
      <c r="B322" s="1"/>
      <c r="C322" s="1" t="str">
        <f>IFERROR(__xludf.DUMMYFUNCTION("""COMPUTED_VALUE"""),"Knife")</f>
        <v>Knife</v>
      </c>
      <c r="D322" s="1" t="str">
        <f>IFERROR(__xludf.DUMMYFUNCTION("""COMPUTED_VALUE"""),"Hand")</f>
        <v>Hand</v>
      </c>
      <c r="E322" s="1">
        <f>IFERROR(__xludf.DUMMYFUNCTION("""COMPUTED_VALUE"""),200.0)</f>
        <v>200</v>
      </c>
      <c r="F322" s="1" t="str">
        <f>IFERROR(__xludf.DUMMYFUNCTION("""COMPUTED_VALUE"""),"DMG: +10000")</f>
        <v>DMG: +10000</v>
      </c>
      <c r="G322" s="1">
        <f>IFERROR(__xludf.DUMMYFUNCTION("""COMPUTED_VALUE"""),1900000.0)</f>
        <v>1900000</v>
      </c>
      <c r="H322" s="1" t="b">
        <f>IFERROR(__xludf.DUMMYFUNCTION("""COMPUTED_VALUE"""),FALSE)</f>
        <v>0</v>
      </c>
      <c r="I322" s="1" t="str">
        <f>IFERROR(__xludf.DUMMYFUNCTION("""COMPUTED_VALUE"""),"Land of Spira")</f>
        <v>Land of Spira</v>
      </c>
    </row>
    <row r="323">
      <c r="A323" s="1" t="str">
        <f>IFERROR(__xludf.DUMMYFUNCTION("""COMPUTED_VALUE"""),"Worm Tooth Chainsaw")</f>
        <v>Worm Tooth Chainsaw</v>
      </c>
      <c r="B323" s="1"/>
      <c r="C323" s="1" t="str">
        <f>IFERROR(__xludf.DUMMYFUNCTION("""COMPUTED_VALUE"""),"Axe")</f>
        <v>Axe</v>
      </c>
      <c r="D323" s="1" t="str">
        <f>IFERROR(__xludf.DUMMYFUNCTION("""COMPUTED_VALUE"""),"Hand")</f>
        <v>Hand</v>
      </c>
      <c r="E323" s="1">
        <f>IFERROR(__xludf.DUMMYFUNCTION("""COMPUTED_VALUE"""),1200.0)</f>
        <v>1200</v>
      </c>
      <c r="F323" s="1" t="str">
        <f>IFERROR(__xludf.DUMMYFUNCTION("""COMPUTED_VALUE"""),"DMG: +50000, Blood DMG: +10000 ++Spinning Chain - Make a hit or miss attack (Adding Mobility) on hit set an enemies defense to 0 for 1 round 500 sp")</f>
        <v>DMG: +50000, Blood DMG: +10000 ++Spinning Chain - Make a hit or miss attack (Adding Mobility) on hit set an enemies defense to 0 for 1 round 500 sp</v>
      </c>
      <c r="G323" s="1">
        <f>IFERROR(__xludf.DUMMYFUNCTION("""COMPUTED_VALUE"""),7.14E7)</f>
        <v>71400000</v>
      </c>
      <c r="H323" s="1" t="b">
        <f>IFERROR(__xludf.DUMMYFUNCTION("""COMPUTED_VALUE"""),FALSE)</f>
        <v>0</v>
      </c>
      <c r="I323" s="1" t="str">
        <f>IFERROR(__xludf.DUMMYFUNCTION("""COMPUTED_VALUE"""),"Land of Spira")</f>
        <v>Land of Spira</v>
      </c>
    </row>
    <row r="324">
      <c r="A324" s="1" t="str">
        <f>IFERROR(__xludf.DUMMYFUNCTION("""COMPUTED_VALUE"""),"Shark Tooth Greatclub")</f>
        <v>Shark Tooth Greatclub</v>
      </c>
      <c r="B324" s="1"/>
      <c r="C324" s="1" t="str">
        <f>IFERROR(__xludf.DUMMYFUNCTION("""COMPUTED_VALUE"""),"Club")</f>
        <v>Club</v>
      </c>
      <c r="D324" s="1" t="str">
        <f>IFERROR(__xludf.DUMMYFUNCTION("""COMPUTED_VALUE"""),"Hand")</f>
        <v>Hand</v>
      </c>
      <c r="E324" s="1">
        <f>IFERROR(__xludf.DUMMYFUNCTION("""COMPUTED_VALUE"""),500.0)</f>
        <v>500</v>
      </c>
      <c r="F324" s="1" t="str">
        <f>IFERROR(__xludf.DUMMYFUNCTION("""COMPUTED_VALUE"""),"DMG: +25000 ++Abrasive Blow - hitting an enemy with this weapon causes them to be Injured graveky inflicting them with slowness until healed by any means.")</f>
        <v>DMG: +25000 ++Abrasive Blow - hitting an enemy with this weapon causes them to be Injured graveky inflicting them with slowness until healed by any means.</v>
      </c>
      <c r="G324" s="1">
        <f>IFERROR(__xludf.DUMMYFUNCTION("""COMPUTED_VALUE"""),1.225E7)</f>
        <v>12250000</v>
      </c>
      <c r="H324" s="1" t="b">
        <f>IFERROR(__xludf.DUMMYFUNCTION("""COMPUTED_VALUE"""),FALSE)</f>
        <v>0</v>
      </c>
      <c r="I324" s="1" t="str">
        <f>IFERROR(__xludf.DUMMYFUNCTION("""COMPUTED_VALUE"""),"Land of Spira")</f>
        <v>Land of Spira</v>
      </c>
    </row>
    <row r="325">
      <c r="A325" s="1" t="str">
        <f>IFERROR(__xludf.DUMMYFUNCTION("""COMPUTED_VALUE"""),"Sticky Slime Guantlets")</f>
        <v>Sticky Slime Guantlets</v>
      </c>
      <c r="B325" s="1"/>
      <c r="C325" s="1" t="str">
        <f>IFERROR(__xludf.DUMMYFUNCTION("""COMPUTED_VALUE"""),"Gauntlet")</f>
        <v>Gauntlet</v>
      </c>
      <c r="D325" s="1" t="str">
        <f>IFERROR(__xludf.DUMMYFUNCTION("""COMPUTED_VALUE"""),"Hand")</f>
        <v>Hand</v>
      </c>
      <c r="E325" s="1">
        <f>IFERROR(__xludf.DUMMYFUNCTION("""COMPUTED_VALUE"""),400.0)</f>
        <v>400</v>
      </c>
      <c r="F325" s="1" t="str">
        <f>IFERROR(__xludf.DUMMYFUNCTION("""COMPUTED_VALUE"""),"DEF: +20000 ++Slimey Grasp - When these gloves are equipped the natural power ""take"" Is guaranteed to succeed.")</f>
        <v>DEF: +20000 ++Slimey Grasp - When these gloves are equipped the natural power "take" Is guaranteed to succeed.</v>
      </c>
      <c r="G325" s="1">
        <f>IFERROR(__xludf.DUMMYFUNCTION("""COMPUTED_VALUE"""),7800000.0)</f>
        <v>7800000</v>
      </c>
      <c r="H325" s="1" t="b">
        <f>IFERROR(__xludf.DUMMYFUNCTION("""COMPUTED_VALUE"""),FALSE)</f>
        <v>0</v>
      </c>
      <c r="I325" s="1" t="str">
        <f>IFERROR(__xludf.DUMMYFUNCTION("""COMPUTED_VALUE"""),"Land of Spira")</f>
        <v>Land of Spira</v>
      </c>
    </row>
    <row r="326">
      <c r="A326" s="1" t="str">
        <f>IFERROR(__xludf.DUMMYFUNCTION("""COMPUTED_VALUE"""),"Draconic Scythe")</f>
        <v>Draconic Scythe</v>
      </c>
      <c r="B326" s="1"/>
      <c r="C326" s="1" t="str">
        <f>IFERROR(__xludf.DUMMYFUNCTION("""COMPUTED_VALUE"""),"Scythe")</f>
        <v>Scythe</v>
      </c>
      <c r="D326" s="1" t="str">
        <f>IFERROR(__xludf.DUMMYFUNCTION("""COMPUTED_VALUE"""),"Hand")</f>
        <v>Hand</v>
      </c>
      <c r="E326" s="1">
        <f>IFERROR(__xludf.DUMMYFUNCTION("""COMPUTED_VALUE"""),2000.0)</f>
        <v>2000</v>
      </c>
      <c r="F326" s="1" t="str">
        <f>IFERROR(__xludf.DUMMYFUNCTION("""COMPUTED_VALUE"""),", Spirit DMG: +100000 ++Draconic Soul - When Fighting alongside any draconic allies (including Dragon companions or Dragonians) or if the wielder itself is draconic this weapon deals an additional X5 damage")</f>
        <v>, Spirit DMG: +100000 ++Draconic Soul - When Fighting alongside any draconic allies (including Dragon companions or Dragonians) or if the wielder itself is draconic this weapon deals an additional X5 damage</v>
      </c>
      <c r="G326" s="1">
        <f>IFERROR(__xludf.DUMMYFUNCTION("""COMPUTED_VALUE"""),1.99E8)</f>
        <v>199000000</v>
      </c>
      <c r="H326" s="1" t="b">
        <f>IFERROR(__xludf.DUMMYFUNCTION("""COMPUTED_VALUE"""),FALSE)</f>
        <v>0</v>
      </c>
      <c r="I326" s="1" t="str">
        <f>IFERROR(__xludf.DUMMYFUNCTION("""COMPUTED_VALUE"""),"Land of Spira")</f>
        <v>Land of Spira</v>
      </c>
    </row>
    <row r="327">
      <c r="A327" s="1" t="str">
        <f>IFERROR(__xludf.DUMMYFUNCTION("""COMPUTED_VALUE"""),"Elemental Scythe")</f>
        <v>Elemental Scythe</v>
      </c>
      <c r="B327" s="1"/>
      <c r="C327" s="1" t="str">
        <f>IFERROR(__xludf.DUMMYFUNCTION("""COMPUTED_VALUE"""),"Scythe")</f>
        <v>Scythe</v>
      </c>
      <c r="D327" s="1" t="str">
        <f>IFERROR(__xludf.DUMMYFUNCTION("""COMPUTED_VALUE"""),"Hand")</f>
        <v>Hand</v>
      </c>
      <c r="E327" s="1">
        <f>IFERROR(__xludf.DUMMYFUNCTION("""COMPUTED_VALUE"""),2000.0)</f>
        <v>2000</v>
      </c>
      <c r="F327" s="1" t="str">
        <f>IFERROR(__xludf.DUMMYFUNCTION("""COMPUTED_VALUE"""),", Fire DMG: +20000, Physical DMG: +20000, Water DMG: +20000, Storm DMG: +20000, Earth DMG: +20000 ++This scythe is unnaffected by Immunities to fire, earth, nature, water, or storm.")</f>
        <v>, Fire DMG: +20000, Physical DMG: +20000, Water DMG: +20000, Storm DMG: +20000, Earth DMG: +20000 ++This scythe is unnaffected by Immunities to fire, earth, nature, water, or storm.</v>
      </c>
      <c r="G327" s="1">
        <f>IFERROR(__xludf.DUMMYFUNCTION("""COMPUTED_VALUE"""),1.99E8)</f>
        <v>199000000</v>
      </c>
      <c r="H327" s="1" t="b">
        <f>IFERROR(__xludf.DUMMYFUNCTION("""COMPUTED_VALUE"""),FALSE)</f>
        <v>0</v>
      </c>
      <c r="I327" s="1" t="str">
        <f>IFERROR(__xludf.DUMMYFUNCTION("""COMPUTED_VALUE"""),"Land of Spira")</f>
        <v>Land of Spira</v>
      </c>
    </row>
    <row r="328">
      <c r="A328" s="1" t="str">
        <f>IFERROR(__xludf.DUMMYFUNCTION("""COMPUTED_VALUE"""),"Grash's Favorite Length Of Iron")</f>
        <v>Grash's Favorite Length Of Iron</v>
      </c>
      <c r="B328" s="1"/>
      <c r="C328" s="1" t="str">
        <f>IFERROR(__xludf.DUMMYFUNCTION("""COMPUTED_VALUE"""),"Club")</f>
        <v>Club</v>
      </c>
      <c r="D328" s="1" t="str">
        <f>IFERROR(__xludf.DUMMYFUNCTION("""COMPUTED_VALUE"""),"Hand")</f>
        <v>Hand</v>
      </c>
      <c r="E328" s="1">
        <f>IFERROR(__xludf.DUMMYFUNCTION("""COMPUTED_VALUE"""),2000.0)</f>
        <v>2000</v>
      </c>
      <c r="F328" s="1" t="str">
        <f>IFERROR(__xludf.DUMMYFUNCTION("""COMPUTED_VALUE"""),"DMG: +100000 ++When a Samurai Wields this weapon they get access to the ""Grash's Smashing Success"" Natural Power")</f>
        <v>DMG: +100000 ++When a Samurai Wields this weapon they get access to the "Grash's Smashing Success" Natural Power</v>
      </c>
      <c r="G328" s="1">
        <f>IFERROR(__xludf.DUMMYFUNCTION("""COMPUTED_VALUE"""),1.99E8)</f>
        <v>199000000</v>
      </c>
      <c r="H328" s="1" t="b">
        <f>IFERROR(__xludf.DUMMYFUNCTION("""COMPUTED_VALUE"""),FALSE)</f>
        <v>0</v>
      </c>
      <c r="I328" s="1" t="str">
        <f>IFERROR(__xludf.DUMMYFUNCTION("""COMPUTED_VALUE"""),"Land of Spira")</f>
        <v>Land of Spira</v>
      </c>
    </row>
    <row r="329">
      <c r="A329" s="1" t="str">
        <f>IFERROR(__xludf.DUMMYFUNCTION("""COMPUTED_VALUE"""),"Wolf Tooth Neclace")</f>
        <v>Wolf Tooth Neclace</v>
      </c>
      <c r="B329" s="1"/>
      <c r="C329" s="1"/>
      <c r="D329" s="1" t="str">
        <f>IFERROR(__xludf.DUMMYFUNCTION("""COMPUTED_VALUE"""),"Neck")</f>
        <v>Neck</v>
      </c>
      <c r="E329" s="1">
        <f>IFERROR(__xludf.DUMMYFUNCTION("""COMPUTED_VALUE"""),1.0)</f>
        <v>1</v>
      </c>
      <c r="F329" s="1" t="str">
        <f>IFERROR(__xludf.DUMMYFUNCTION("""COMPUTED_VALUE""")," ++When fighting alongside a Beast Companion you get +5 to all weapon attacks (Wearing multiple does not cause this effect to stack)")</f>
        <v> ++When fighting alongside a Beast Companion you get +5 to all weapon attacks (Wearing multiple does not cause this effect to stack)</v>
      </c>
      <c r="G329" s="1">
        <f>IFERROR(__xludf.DUMMYFUNCTION("""COMPUTED_VALUE"""),0.0)</f>
        <v>0</v>
      </c>
      <c r="H329" s="1" t="b">
        <f>IFERROR(__xludf.DUMMYFUNCTION("""COMPUTED_VALUE"""),FALSE)</f>
        <v>0</v>
      </c>
      <c r="I329" s="1" t="str">
        <f>IFERROR(__xludf.DUMMYFUNCTION("""COMPUTED_VALUE"""),"Land of Spira")</f>
        <v>Land of Spira</v>
      </c>
    </row>
    <row r="330">
      <c r="A330" s="1" t="str">
        <f>IFERROR(__xludf.DUMMYFUNCTION("""COMPUTED_VALUE"""),"Heavenly Necklace")</f>
        <v>Heavenly Necklace</v>
      </c>
      <c r="B330" s="1"/>
      <c r="C330" s="1"/>
      <c r="D330" s="1" t="str">
        <f>IFERROR(__xludf.DUMMYFUNCTION("""COMPUTED_VALUE"""),"Neck")</f>
        <v>Neck</v>
      </c>
      <c r="E330" s="1">
        <f>IFERROR(__xludf.DUMMYFUNCTION("""COMPUTED_VALUE"""),1.0)</f>
        <v>1</v>
      </c>
      <c r="F330" s="1" t="str">
        <f>IFERROR(__xludf.DUMMYFUNCTION("""COMPUTED_VALUE""")," ++When fighting alongside a Heavenly Companion you get +5 to all weapon attacks (Wearing multiple does not cause this effect to stack)")</f>
        <v> ++When fighting alongside a Heavenly Companion you get +5 to all weapon attacks (Wearing multiple does not cause this effect to stack)</v>
      </c>
      <c r="G330" s="1">
        <f>IFERROR(__xludf.DUMMYFUNCTION("""COMPUTED_VALUE"""),0.0)</f>
        <v>0</v>
      </c>
      <c r="H330" s="1" t="b">
        <f>IFERROR(__xludf.DUMMYFUNCTION("""COMPUTED_VALUE"""),FALSE)</f>
        <v>0</v>
      </c>
      <c r="I330" s="1" t="str">
        <f>IFERROR(__xludf.DUMMYFUNCTION("""COMPUTED_VALUE"""),"Land of Spira")</f>
        <v>Land of Spira</v>
      </c>
    </row>
    <row r="331">
      <c r="A331" s="1" t="str">
        <f>IFERROR(__xludf.DUMMYFUNCTION("""COMPUTED_VALUE"""),"Demonic Necklace")</f>
        <v>Demonic Necklace</v>
      </c>
      <c r="B331" s="1"/>
      <c r="C331" s="1"/>
      <c r="D331" s="1" t="str">
        <f>IFERROR(__xludf.DUMMYFUNCTION("""COMPUTED_VALUE"""),"Neck")</f>
        <v>Neck</v>
      </c>
      <c r="E331" s="1">
        <f>IFERROR(__xludf.DUMMYFUNCTION("""COMPUTED_VALUE"""),1.0)</f>
        <v>1</v>
      </c>
      <c r="F331" s="1" t="str">
        <f>IFERROR(__xludf.DUMMYFUNCTION("""COMPUTED_VALUE""")," ++When fighting alongside a Demonic Companion you get +5 to all weapon attacks (Wearing multiple does not cause this effect to stack)")</f>
        <v> ++When fighting alongside a Demonic Companion you get +5 to all weapon attacks (Wearing multiple does not cause this effect to stack)</v>
      </c>
      <c r="G331" s="1">
        <f>IFERROR(__xludf.DUMMYFUNCTION("""COMPUTED_VALUE"""),0.0)</f>
        <v>0</v>
      </c>
      <c r="H331" s="1" t="b">
        <f>IFERROR(__xludf.DUMMYFUNCTION("""COMPUTED_VALUE"""),FALSE)</f>
        <v>0</v>
      </c>
      <c r="I331" s="1" t="str">
        <f>IFERROR(__xludf.DUMMYFUNCTION("""COMPUTED_VALUE"""),"Land of Spira")</f>
        <v>Land of Spira</v>
      </c>
    </row>
    <row r="332">
      <c r="A332" s="1" t="str">
        <f>IFERROR(__xludf.DUMMYFUNCTION("""COMPUTED_VALUE"""),"The Cloak of Gévaudan")</f>
        <v>The Cloak of Gévaudan</v>
      </c>
      <c r="B332" s="1"/>
      <c r="C332" s="1"/>
      <c r="D332" s="1" t="str">
        <f>IFERROR(__xludf.DUMMYFUNCTION("""COMPUTED_VALUE"""),"Shoulders")</f>
        <v>Shoulders</v>
      </c>
      <c r="E332" s="1">
        <f>IFERROR(__xludf.DUMMYFUNCTION("""COMPUTED_VALUE"""),800.0)</f>
        <v>800</v>
      </c>
      <c r="F332" s="1" t="str">
        <f>IFERROR(__xludf.DUMMYFUNCTION("""COMPUTED_VALUE"""),"DEF: +25000, Fire DEF: +15000 ++The warm coat grants you immunity to freezing.")</f>
        <v>DEF: +25000, Fire DEF: +15000 ++The warm coat grants you immunity to freezing.</v>
      </c>
      <c r="G332" s="1">
        <f>IFERROR(__xludf.DUMMYFUNCTION("""COMPUTED_VALUE"""),3.16E7)</f>
        <v>31600000</v>
      </c>
      <c r="H332" s="1" t="b">
        <f>IFERROR(__xludf.DUMMYFUNCTION("""COMPUTED_VALUE"""),FALSE)</f>
        <v>0</v>
      </c>
      <c r="I332" s="1" t="str">
        <f>IFERROR(__xludf.DUMMYFUNCTION("""COMPUTED_VALUE"""),"Land of Spira")</f>
        <v>Land of Spira</v>
      </c>
    </row>
    <row r="333">
      <c r="A333" s="1" t="str">
        <f>IFERROR(__xludf.DUMMYFUNCTION("""COMPUTED_VALUE"""),"Spirit Glyph")</f>
        <v>Spirit Glyph</v>
      </c>
      <c r="B333" s="1"/>
      <c r="C333" s="1"/>
      <c r="D333" s="1" t="str">
        <f>IFERROR(__xludf.DUMMYFUNCTION("""COMPUTED_VALUE"""),"Ring")</f>
        <v>Ring</v>
      </c>
      <c r="E333" s="1">
        <f>IFERROR(__xludf.DUMMYFUNCTION("""COMPUTED_VALUE"""),1.0)</f>
        <v>1</v>
      </c>
      <c r="F333" s="1" t="str">
        <f>IFERROR(__xludf.DUMMYFUNCTION("""COMPUTED_VALUE""")," ++When Fighting alongside a spirit companion you get ++5 to all weapon attacks. ++You get access to the ""Spiritual Meld"" Spell (Wearing multiple does not cause this effect to stack)")</f>
        <v> ++When Fighting alongside a spirit companion you get ++5 to all weapon attacks. ++You get access to the "Spiritual Meld" Spell (Wearing multiple does not cause this effect to stack)</v>
      </c>
      <c r="G333" s="1">
        <f>IFERROR(__xludf.DUMMYFUNCTION("""COMPUTED_VALUE"""),0.0)</f>
        <v>0</v>
      </c>
      <c r="H333" s="1" t="b">
        <f>IFERROR(__xludf.DUMMYFUNCTION("""COMPUTED_VALUE"""),FALSE)</f>
        <v>0</v>
      </c>
      <c r="I333" s="1" t="str">
        <f>IFERROR(__xludf.DUMMYFUNCTION("""COMPUTED_VALUE"""),"Land of Spira")</f>
        <v>Land of Spira</v>
      </c>
    </row>
    <row r="334">
      <c r="A334" s="1" t="str">
        <f>IFERROR(__xludf.DUMMYFUNCTION("""COMPUTED_VALUE"""),"Necromantic Sigil")</f>
        <v>Necromantic Sigil</v>
      </c>
      <c r="B334" s="1"/>
      <c r="C334" s="1"/>
      <c r="D334" s="1" t="str">
        <f>IFERROR(__xludf.DUMMYFUNCTION("""COMPUTED_VALUE"""),"Ring")</f>
        <v>Ring</v>
      </c>
      <c r="E334" s="1">
        <f>IFERROR(__xludf.DUMMYFUNCTION("""COMPUTED_VALUE"""),1.0)</f>
        <v>1</v>
      </c>
      <c r="F334" s="1" t="str">
        <f>IFERROR(__xludf.DUMMYFUNCTION("""COMPUTED_VALUE""")," ++When Fighting alongside an undead companion you get +5 to all weapon attacks (Wearing multiple does not cause this effect to stack)")</f>
        <v> ++When Fighting alongside an undead companion you get +5 to all weapon attacks (Wearing multiple does not cause this effect to stack)</v>
      </c>
      <c r="G334" s="1">
        <f>IFERROR(__xludf.DUMMYFUNCTION("""COMPUTED_VALUE"""),0.0)</f>
        <v>0</v>
      </c>
      <c r="H334" s="1" t="b">
        <f>IFERROR(__xludf.DUMMYFUNCTION("""COMPUTED_VALUE"""),FALSE)</f>
        <v>0</v>
      </c>
      <c r="I334" s="1" t="str">
        <f>IFERROR(__xludf.DUMMYFUNCTION("""COMPUTED_VALUE"""),"Land of Spira")</f>
        <v>Land of Spira</v>
      </c>
    </row>
    <row r="335">
      <c r="A335" s="1" t="str">
        <f>IFERROR(__xludf.DUMMYFUNCTION("""COMPUTED_VALUE"""),"Nothing")</f>
        <v>Nothing</v>
      </c>
      <c r="B335" s="1"/>
      <c r="C335" s="1"/>
      <c r="D335" s="1"/>
      <c r="E335" s="1"/>
      <c r="F335" s="1"/>
      <c r="G335" s="1"/>
      <c r="H335" s="1" t="b">
        <f>IFERROR(__xludf.DUMMYFUNCTION("""COMPUTED_VALUE"""),FALSE)</f>
        <v>0</v>
      </c>
      <c r="I335" s="1" t="str">
        <f>IFERROR(__xludf.DUMMYFUNCTION("""COMPUTED_VALUE"""),"Land of Spira")</f>
        <v>Land of Spira</v>
      </c>
    </row>
    <row r="336">
      <c r="A336" s="1" t="str">
        <f>IFERROR(__xludf.DUMMYFUNCTION("""COMPUTED_VALUE"""),"Slime core")</f>
        <v>Slime core</v>
      </c>
      <c r="B336" s="1" t="str">
        <f>IFERROR(__xludf.DUMMYFUNCTION("""COMPUTED_VALUE"""),"restores 5 SP; can be used to make mana potions")</f>
        <v>restores 5 SP; can be used to make mana potions</v>
      </c>
      <c r="C336" s="1" t="str">
        <f>IFERROR(__xludf.DUMMYFUNCTION("""COMPUTED_VALUE"""),"Item")</f>
        <v>Item</v>
      </c>
      <c r="D336" s="1"/>
      <c r="E336" s="1"/>
      <c r="F336" s="1"/>
      <c r="G336" s="1"/>
      <c r="H336" s="1" t="b">
        <f>IFERROR(__xludf.DUMMYFUNCTION("""COMPUTED_VALUE"""),FALSE)</f>
        <v>0</v>
      </c>
      <c r="I336" s="1" t="str">
        <f>IFERROR(__xludf.DUMMYFUNCTION("""COMPUTED_VALUE"""),"Land of Spira")</f>
        <v>Land of Spira</v>
      </c>
    </row>
    <row r="337">
      <c r="A337" s="1" t="str">
        <f>IFERROR(__xludf.DUMMYFUNCTION("""COMPUTED_VALUE"""),"Mysterious egg")</f>
        <v>Mysterious egg</v>
      </c>
      <c r="B337" s="1" t="str">
        <f>IFERROR(__xludf.DUMMYFUNCTION("""COMPUTED_VALUE"""),"This egg will be determined by DM/GM")</f>
        <v>This egg will be determined by DM/GM</v>
      </c>
      <c r="C337" s="1" t="str">
        <f>IFERROR(__xludf.DUMMYFUNCTION("""COMPUTED_VALUE"""),"Item")</f>
        <v>Item</v>
      </c>
      <c r="D337" s="1"/>
      <c r="E337" s="1"/>
      <c r="F337" s="1"/>
      <c r="G337" s="1"/>
      <c r="H337" s="1" t="b">
        <f>IFERROR(__xludf.DUMMYFUNCTION("""COMPUTED_VALUE"""),FALSE)</f>
        <v>0</v>
      </c>
      <c r="I337" s="1" t="str">
        <f>IFERROR(__xludf.DUMMYFUNCTION("""COMPUTED_VALUE"""),"Land of Spira")</f>
        <v>Land of Spira</v>
      </c>
    </row>
    <row r="338">
      <c r="A338" s="1" t="str">
        <f>IFERROR(__xludf.DUMMYFUNCTION("""COMPUTED_VALUE"""),"Emerald of Luck")</f>
        <v>Emerald of Luck</v>
      </c>
      <c r="B338" s="1" t="str">
        <f>IFERROR(__xludf.DUMMYFUNCTION("""COMPUTED_VALUE"""),"It’s said when holding one of these you feel like it's a happy spring day...")</f>
        <v>It’s said when holding one of these you feel like it's a happy spring day...</v>
      </c>
      <c r="C338" s="1" t="str">
        <f>IFERROR(__xludf.DUMMYFUNCTION("""COMPUTED_VALUE"""),"Item")</f>
        <v>Item</v>
      </c>
      <c r="D338" s="1"/>
      <c r="E338" s="1"/>
      <c r="F338" s="1"/>
      <c r="G338" s="1"/>
      <c r="H338" s="1" t="b">
        <f>IFERROR(__xludf.DUMMYFUNCTION("""COMPUTED_VALUE"""),FALSE)</f>
        <v>0</v>
      </c>
      <c r="I338" s="1" t="str">
        <f>IFERROR(__xludf.DUMMYFUNCTION("""COMPUTED_VALUE"""),"Land of Spira")</f>
        <v>Land of Spira</v>
      </c>
    </row>
    <row r="339">
      <c r="A339" s="1" t="str">
        <f>IFERROR(__xludf.DUMMYFUNCTION("""COMPUTED_VALUE"""),"Gold")</f>
        <v>Gold</v>
      </c>
      <c r="B339" s="1" t="str">
        <f>IFERROR(__xludf.DUMMYFUNCTION("""COMPUTED_VALUE"""),"Crafting Material, roll a d20 to see how many you get if this is a loot drop.l. Can be used to repair an item.")</f>
        <v>Crafting Material, roll a d20 to see how many you get if this is a loot drop.l. Can be used to repair an item.</v>
      </c>
      <c r="C339" s="1" t="str">
        <f>IFERROR(__xludf.DUMMYFUNCTION("""COMPUTED_VALUE"""),"Item")</f>
        <v>Item</v>
      </c>
      <c r="D339" s="1"/>
      <c r="E339" s="1"/>
      <c r="F339" s="1"/>
      <c r="G339" s="1"/>
      <c r="H339" s="1" t="b">
        <f>IFERROR(__xludf.DUMMYFUNCTION("""COMPUTED_VALUE"""),FALSE)</f>
        <v>0</v>
      </c>
      <c r="I339" s="1" t="str">
        <f>IFERROR(__xludf.DUMMYFUNCTION("""COMPUTED_VALUE"""),"Land of Spira")</f>
        <v>Land of Spira</v>
      </c>
    </row>
    <row r="340">
      <c r="A340" s="1" t="str">
        <f>IFERROR(__xludf.DUMMYFUNCTION("""COMPUTED_VALUE"""),"Iron")</f>
        <v>Iron</v>
      </c>
      <c r="B340" s="1" t="str">
        <f>IFERROR(__xludf.DUMMYFUNCTION("""COMPUTED_VALUE"""),"Crafting Material, roll a d20 to see how many you get if this is a loot drop.. Can be used to repair an item.")</f>
        <v>Crafting Material, roll a d20 to see how many you get if this is a loot drop.. Can be used to repair an item.</v>
      </c>
      <c r="C340" s="1" t="str">
        <f>IFERROR(__xludf.DUMMYFUNCTION("""COMPUTED_VALUE"""),"Item")</f>
        <v>Item</v>
      </c>
      <c r="D340" s="1"/>
      <c r="E340" s="1"/>
      <c r="F340" s="1"/>
      <c r="G340" s="1"/>
      <c r="H340" s="1" t="b">
        <f>IFERROR(__xludf.DUMMYFUNCTION("""COMPUTED_VALUE"""),FALSE)</f>
        <v>0</v>
      </c>
      <c r="I340" s="1" t="str">
        <f>IFERROR(__xludf.DUMMYFUNCTION("""COMPUTED_VALUE"""),"Land of Spira")</f>
        <v>Land of Spira</v>
      </c>
    </row>
    <row r="341">
      <c r="A341" s="1" t="str">
        <f>IFERROR(__xludf.DUMMYFUNCTION("""COMPUTED_VALUE"""),"Dragon scales")</f>
        <v>Dragon scales</v>
      </c>
      <c r="B341" s="1" t="str">
        <f>IFERROR(__xludf.DUMMYFUNCTION("""COMPUTED_VALUE"""),"Crafting Material, roll a d20 to see how many you get if this is a loot drop.. Can be used to repair an item.")</f>
        <v>Crafting Material, roll a d20 to see how many you get if this is a loot drop.. Can be used to repair an item.</v>
      </c>
      <c r="C341" s="1" t="str">
        <f>IFERROR(__xludf.DUMMYFUNCTION("""COMPUTED_VALUE"""),"Item")</f>
        <v>Item</v>
      </c>
      <c r="D341" s="1"/>
      <c r="E341" s="1"/>
      <c r="F341" s="1"/>
      <c r="G341" s="1"/>
      <c r="H341" s="1" t="b">
        <f>IFERROR(__xludf.DUMMYFUNCTION("""COMPUTED_VALUE"""),FALSE)</f>
        <v>0</v>
      </c>
      <c r="I341" s="1" t="str">
        <f>IFERROR(__xludf.DUMMYFUNCTION("""COMPUTED_VALUE"""),"Land of Spira")</f>
        <v>Land of Spira</v>
      </c>
    </row>
    <row r="342">
      <c r="A342" s="1" t="str">
        <f>IFERROR(__xludf.DUMMYFUNCTION("""COMPUTED_VALUE"""),"Desert Emerald")</f>
        <v>Desert Emerald</v>
      </c>
      <c r="B342" s="1" t="str">
        <f>IFERROR(__xludf.DUMMYFUNCTION("""COMPUTED_VALUE"""),"Crafting Material, roll a d20 to see how many you get if this is a loot drop.. Can be used to repair an item.")</f>
        <v>Crafting Material, roll a d20 to see how many you get if this is a loot drop.. Can be used to repair an item.</v>
      </c>
      <c r="C342" s="1" t="str">
        <f>IFERROR(__xludf.DUMMYFUNCTION("""COMPUTED_VALUE"""),"Item")</f>
        <v>Item</v>
      </c>
      <c r="D342" s="1"/>
      <c r="E342" s="1"/>
      <c r="F342" s="1"/>
      <c r="G342" s="1"/>
      <c r="H342" s="1" t="b">
        <f>IFERROR(__xludf.DUMMYFUNCTION("""COMPUTED_VALUE"""),FALSE)</f>
        <v>0</v>
      </c>
      <c r="I342" s="1" t="str">
        <f>IFERROR(__xludf.DUMMYFUNCTION("""COMPUTED_VALUE"""),"Land of Spira")</f>
        <v>Land of Spira</v>
      </c>
    </row>
    <row r="343">
      <c r="A343" s="1" t="str">
        <f>IFERROR(__xludf.DUMMYFUNCTION("""COMPUTED_VALUE"""),"Desert Ruby")</f>
        <v>Desert Ruby</v>
      </c>
      <c r="B343" s="1" t="str">
        <f>IFERROR(__xludf.DUMMYFUNCTION("""COMPUTED_VALUE"""),"Crafting Material, roll a d20 to see how many you get if this is a loot drop.. Can be used to repair an item.")</f>
        <v>Crafting Material, roll a d20 to see how many you get if this is a loot drop.. Can be used to repair an item.</v>
      </c>
      <c r="C343" s="1" t="str">
        <f>IFERROR(__xludf.DUMMYFUNCTION("""COMPUTED_VALUE"""),"Item")</f>
        <v>Item</v>
      </c>
      <c r="D343" s="1"/>
      <c r="E343" s="1"/>
      <c r="F343" s="1"/>
      <c r="G343" s="1"/>
      <c r="H343" s="1" t="b">
        <f>IFERROR(__xludf.DUMMYFUNCTION("""COMPUTED_VALUE"""),FALSE)</f>
        <v>0</v>
      </c>
      <c r="I343" s="1" t="str">
        <f>IFERROR(__xludf.DUMMYFUNCTION("""COMPUTED_VALUE"""),"Land of Spira")</f>
        <v>Land of Spira</v>
      </c>
    </row>
    <row r="344">
      <c r="A344" s="1" t="str">
        <f>IFERROR(__xludf.DUMMYFUNCTION("""COMPUTED_VALUE"""),"Diamonds")</f>
        <v>Diamonds</v>
      </c>
      <c r="B344" s="1" t="str">
        <f>IFERROR(__xludf.DUMMYFUNCTION("""COMPUTED_VALUE"""),"Crafting Material, roll a d20 to see how many you get if this is a loot drop.. Can be used to repair an item.")</f>
        <v>Crafting Material, roll a d20 to see how many you get if this is a loot drop.. Can be used to repair an item.</v>
      </c>
      <c r="C344" s="1" t="str">
        <f>IFERROR(__xludf.DUMMYFUNCTION("""COMPUTED_VALUE"""),"Item")</f>
        <v>Item</v>
      </c>
      <c r="D344" s="1"/>
      <c r="E344" s="1"/>
      <c r="F344" s="1"/>
      <c r="G344" s="1"/>
      <c r="H344" s="1" t="b">
        <f>IFERROR(__xludf.DUMMYFUNCTION("""COMPUTED_VALUE"""),FALSE)</f>
        <v>0</v>
      </c>
      <c r="I344" s="1" t="str">
        <f>IFERROR(__xludf.DUMMYFUNCTION("""COMPUTED_VALUE"""),"Land of Spira")</f>
        <v>Land of Spira</v>
      </c>
    </row>
    <row r="345">
      <c r="A345" s="1" t="str">
        <f>IFERROR(__xludf.DUMMYFUNCTION("""COMPUTED_VALUE"""),"Bricks")</f>
        <v>Bricks</v>
      </c>
      <c r="B345" s="1" t="str">
        <f>IFERROR(__xludf.DUMMYFUNCTION("""COMPUTED_VALUE"""),"Crafting Material, roll a d20 to see how many you get if this is a loot drop.. Can be used to repair an item.")</f>
        <v>Crafting Material, roll a d20 to see how many you get if this is a loot drop.. Can be used to repair an item.</v>
      </c>
      <c r="C345" s="1" t="str">
        <f>IFERROR(__xludf.DUMMYFUNCTION("""COMPUTED_VALUE"""),"Item")</f>
        <v>Item</v>
      </c>
      <c r="D345" s="1"/>
      <c r="E345" s="1"/>
      <c r="F345" s="1"/>
      <c r="G345" s="1"/>
      <c r="H345" s="1" t="b">
        <f>IFERROR(__xludf.DUMMYFUNCTION("""COMPUTED_VALUE"""),FALSE)</f>
        <v>0</v>
      </c>
      <c r="I345" s="1" t="str">
        <f>IFERROR(__xludf.DUMMYFUNCTION("""COMPUTED_VALUE"""),"Land of Spira")</f>
        <v>Land of Spira</v>
      </c>
    </row>
    <row r="346">
      <c r="A346" s="1" t="str">
        <f>IFERROR(__xludf.DUMMYFUNCTION("""COMPUTED_VALUE"""),"Obsidian")</f>
        <v>Obsidian</v>
      </c>
      <c r="B346" s="1" t="str">
        <f>IFERROR(__xludf.DUMMYFUNCTION("""COMPUTED_VALUE"""),"Crafting Material,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Can be used to repair an item.</v>
      </c>
      <c r="C346" s="1" t="str">
        <f>IFERROR(__xludf.DUMMYFUNCTION("""COMPUTED_VALUE"""),"Item")</f>
        <v>Item</v>
      </c>
      <c r="D346" s="1"/>
      <c r="E346" s="1"/>
      <c r="F346" s="1"/>
      <c r="G346" s="1"/>
      <c r="H346" s="1" t="b">
        <f>IFERROR(__xludf.DUMMYFUNCTION("""COMPUTED_VALUE"""),FALSE)</f>
        <v>0</v>
      </c>
      <c r="I346" s="1" t="str">
        <f>IFERROR(__xludf.DUMMYFUNCTION("""COMPUTED_VALUE"""),"Land of Spira")</f>
        <v>Land of Spira</v>
      </c>
    </row>
    <row r="347">
      <c r="A347" s="1" t="str">
        <f>IFERROR(__xludf.DUMMYFUNCTION("""COMPUTED_VALUE"""),"Sand")</f>
        <v>Sand</v>
      </c>
      <c r="B347" s="1"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347" s="1" t="str">
        <f>IFERROR(__xludf.DUMMYFUNCTION("""COMPUTED_VALUE"""),"Item")</f>
        <v>Item</v>
      </c>
      <c r="D347" s="1"/>
      <c r="E347" s="1"/>
      <c r="F347" s="1"/>
      <c r="G347" s="1"/>
      <c r="H347" s="1" t="b">
        <f>IFERROR(__xludf.DUMMYFUNCTION("""COMPUTED_VALUE"""),FALSE)</f>
        <v>0</v>
      </c>
      <c r="I347" s="1" t="str">
        <f>IFERROR(__xludf.DUMMYFUNCTION("""COMPUTED_VALUE"""),"Land of Spira")</f>
        <v>Land of Spira</v>
      </c>
    </row>
    <row r="348">
      <c r="A348" s="1" t="str">
        <f>IFERROR(__xludf.DUMMYFUNCTION("""COMPUTED_VALUE"""),"Glowing rocks")</f>
        <v>Glowing rocks</v>
      </c>
      <c r="B348" s="1" t="str">
        <f>IFERROR(__xludf.DUMMYFUNCTION("""COMPUTED_VALUE""")," Can be forged into armor or a weapon to give it +200 additional light damage or resistance")</f>
        <v> Can be forged into armor or a weapon to give it +200 additional light damage or resistance</v>
      </c>
      <c r="C348" s="1" t="str">
        <f>IFERROR(__xludf.DUMMYFUNCTION("""COMPUTED_VALUE"""),"Item")</f>
        <v>Item</v>
      </c>
      <c r="D348" s="1"/>
      <c r="E348" s="1"/>
      <c r="F348" s="1"/>
      <c r="G348" s="1"/>
      <c r="H348" s="1" t="b">
        <f>IFERROR(__xludf.DUMMYFUNCTION("""COMPUTED_VALUE"""),FALSE)</f>
        <v>0</v>
      </c>
      <c r="I348" s="1" t="str">
        <f>IFERROR(__xludf.DUMMYFUNCTION("""COMPUTED_VALUE"""),"Land of Spira")</f>
        <v>Land of Spira</v>
      </c>
    </row>
    <row r="349">
      <c r="A349" s="1" t="str">
        <f>IFERROR(__xludf.DUMMYFUNCTION("""COMPUTED_VALUE"""),"Steel")</f>
        <v>Steel</v>
      </c>
      <c r="B349" s="1" t="str">
        <f>IFERROR(__xludf.DUMMYFUNCTION("""COMPUTED_VALUE"""),"Crafting Material, roll a d20 to see how many you get if this is a loot drop. Can be used to repair an item. ")</f>
        <v>Crafting Material, roll a d20 to see how many you get if this is a loot drop. Can be used to repair an item. </v>
      </c>
      <c r="C349" s="1" t="str">
        <f>IFERROR(__xludf.DUMMYFUNCTION("""COMPUTED_VALUE"""),"Item")</f>
        <v>Item</v>
      </c>
      <c r="D349" s="1"/>
      <c r="E349" s="1"/>
      <c r="F349" s="1"/>
      <c r="G349" s="1"/>
      <c r="H349" s="1" t="b">
        <f>IFERROR(__xludf.DUMMYFUNCTION("""COMPUTED_VALUE"""),FALSE)</f>
        <v>0</v>
      </c>
      <c r="I349" s="1" t="str">
        <f>IFERROR(__xludf.DUMMYFUNCTION("""COMPUTED_VALUE"""),"Land of Spira")</f>
        <v>Land of Spira</v>
      </c>
    </row>
    <row r="350">
      <c r="A350" s="1" t="str">
        <f>IFERROR(__xludf.DUMMYFUNCTION("""COMPUTED_VALUE"""),"Silver")</f>
        <v>Silver</v>
      </c>
      <c r="B350" s="1" t="str">
        <f>IFERROR(__xludf.DUMMYFUNCTION("""COMPUTED_VALUE"""),"Crafting Material, roll a d20 to see how many you get if this is a loot drop.,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roll a d20 to see how many you get if this is a loot drop.. Can be used to repair an item.</v>
      </c>
      <c r="C350" s="1" t="str">
        <f>IFERROR(__xludf.DUMMYFUNCTION("""COMPUTED_VALUE"""),"Item")</f>
        <v>Item</v>
      </c>
      <c r="D350" s="1"/>
      <c r="E350" s="1"/>
      <c r="F350" s="1"/>
      <c r="G350" s="1"/>
      <c r="H350" s="1" t="b">
        <f>IFERROR(__xludf.DUMMYFUNCTION("""COMPUTED_VALUE"""),FALSE)</f>
        <v>0</v>
      </c>
      <c r="I350" s="1" t="str">
        <f>IFERROR(__xludf.DUMMYFUNCTION("""COMPUTED_VALUE"""),"Land of Spira")</f>
        <v>Land of Spira</v>
      </c>
    </row>
    <row r="351">
      <c r="A351" s="1" t="str">
        <f>IFERROR(__xludf.DUMMYFUNCTION("""COMPUTED_VALUE"""),"Chains")</f>
        <v>Chains</v>
      </c>
      <c r="B351" s="1"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351" s="1" t="str">
        <f>IFERROR(__xludf.DUMMYFUNCTION("""COMPUTED_VALUE"""),"Item")</f>
        <v>Item</v>
      </c>
      <c r="D351" s="1"/>
      <c r="E351" s="1"/>
      <c r="F351" s="1"/>
      <c r="G351" s="1"/>
      <c r="H351" s="1" t="b">
        <f>IFERROR(__xludf.DUMMYFUNCTION("""COMPUTED_VALUE"""),FALSE)</f>
        <v>0</v>
      </c>
      <c r="I351" s="1" t="str">
        <f>IFERROR(__xludf.DUMMYFUNCTION("""COMPUTED_VALUE"""),"Land of Spira")</f>
        <v>Land of Spira</v>
      </c>
    </row>
    <row r="352">
      <c r="A352" s="1" t="str">
        <f>IFERROR(__xludf.DUMMYFUNCTION("""COMPUTED_VALUE"""),"Steel Pickaxe ")</f>
        <v>Steel Pickaxe </v>
      </c>
      <c r="B352" s="1" t="str">
        <f>IFERROR(__xludf.DUMMYFUNCTION("""COMPUTED_VALUE"""),"40/40 Uses. Used for mining.")</f>
        <v>40/40 Uses. Used for mining.</v>
      </c>
      <c r="C352" s="1" t="str">
        <f>IFERROR(__xludf.DUMMYFUNCTION("""COMPUTED_VALUE"""),"Item")</f>
        <v>Item</v>
      </c>
      <c r="D352" s="1"/>
      <c r="E352" s="1"/>
      <c r="F352" s="1"/>
      <c r="G352" s="1"/>
      <c r="H352" s="1" t="b">
        <f>IFERROR(__xludf.DUMMYFUNCTION("""COMPUTED_VALUE"""),FALSE)</f>
        <v>0</v>
      </c>
      <c r="I352" s="1" t="str">
        <f>IFERROR(__xludf.DUMMYFUNCTION("""COMPUTED_VALUE"""),"Land of Spira")</f>
        <v>Land of Spira</v>
      </c>
    </row>
    <row r="353">
      <c r="A353" s="1" t="str">
        <f>IFERROR(__xludf.DUMMYFUNCTION("""COMPUTED_VALUE"""),"Haggis Bowl")</f>
        <v>Haggis Bowl</v>
      </c>
      <c r="B353" s="1" t="str">
        <f>IFERROR(__xludf.DUMMYFUNCTION("""COMPUTED_VALUE"""),"Restores 75 Hunger +50 energy")</f>
        <v>Restores 75 Hunger +50 energy</v>
      </c>
      <c r="C353" s="1" t="str">
        <f>IFERROR(__xludf.DUMMYFUNCTION("""COMPUTED_VALUE"""),"Crop")</f>
        <v>Crop</v>
      </c>
      <c r="D353" s="1"/>
      <c r="E353" s="1"/>
      <c r="F353" s="1"/>
      <c r="G353" s="1"/>
      <c r="H353" s="1" t="b">
        <f>IFERROR(__xludf.DUMMYFUNCTION("""COMPUTED_VALUE"""),FALSE)</f>
        <v>0</v>
      </c>
      <c r="I353" s="1" t="str">
        <f>IFERROR(__xludf.DUMMYFUNCTION("""COMPUTED_VALUE"""),"Land of Spira")</f>
        <v>Land of Spira</v>
      </c>
    </row>
    <row r="354">
      <c r="A354" s="1" t="str">
        <f>IFERROR(__xludf.DUMMYFUNCTION("""COMPUTED_VALUE"""),"Chunk of Salmon")</f>
        <v>Chunk of Salmon</v>
      </c>
      <c r="B354" s="1" t="str">
        <f>IFERROR(__xludf.DUMMYFUNCTION("""COMPUTED_VALUE"""),"Restores 10 Hunger +5 energy")</f>
        <v>Restores 10 Hunger +5 energy</v>
      </c>
      <c r="C354" s="1" t="str">
        <f>IFERROR(__xludf.DUMMYFUNCTION("""COMPUTED_VALUE"""),"Crop")</f>
        <v>Crop</v>
      </c>
      <c r="D354" s="1"/>
      <c r="E354" s="1"/>
      <c r="F354" s="1"/>
      <c r="G354" s="1"/>
      <c r="H354" s="1" t="b">
        <f>IFERROR(__xludf.DUMMYFUNCTION("""COMPUTED_VALUE"""),FALSE)</f>
        <v>0</v>
      </c>
      <c r="I354" s="1" t="str">
        <f>IFERROR(__xludf.DUMMYFUNCTION("""COMPUTED_VALUE"""),"Land of Spira")</f>
        <v>Land of Spira</v>
      </c>
    </row>
    <row r="355">
      <c r="A355" s="1" t="str">
        <f>IFERROR(__xludf.DUMMYFUNCTION("""COMPUTED_VALUE"""),"Dragon Jerky")</f>
        <v>Dragon Jerky</v>
      </c>
      <c r="B355" s="1" t="str">
        <f>IFERROR(__xludf.DUMMYFUNCTION("""COMPUTED_VALUE"""),"Restores 100 Hunger + 100 energy")</f>
        <v>Restores 100 Hunger + 100 energy</v>
      </c>
      <c r="C355" s="1" t="str">
        <f>IFERROR(__xludf.DUMMYFUNCTION("""COMPUTED_VALUE"""),"Crop")</f>
        <v>Crop</v>
      </c>
      <c r="D355" s="1"/>
      <c r="E355" s="1"/>
      <c r="F355" s="1"/>
      <c r="G355" s="1"/>
      <c r="H355" s="1" t="b">
        <f>IFERROR(__xludf.DUMMYFUNCTION("""COMPUTED_VALUE"""),FALSE)</f>
        <v>0</v>
      </c>
      <c r="I355" s="1" t="str">
        <f>IFERROR(__xludf.DUMMYFUNCTION("""COMPUTED_VALUE"""),"Land of Spira")</f>
        <v>Land of Spira</v>
      </c>
    </row>
    <row r="356">
      <c r="A356" s="1" t="str">
        <f>IFERROR(__xludf.DUMMYFUNCTION("""COMPUTED_VALUE"""),"Bacon Strip")</f>
        <v>Bacon Strip</v>
      </c>
      <c r="B356" s="1" t="str">
        <f>IFERROR(__xludf.DUMMYFUNCTION("""COMPUTED_VALUE"""),"Restores 5 Hunger +4 energy")</f>
        <v>Restores 5 Hunger +4 energy</v>
      </c>
      <c r="C356" s="1" t="str">
        <f>IFERROR(__xludf.DUMMYFUNCTION("""COMPUTED_VALUE"""),"Crop")</f>
        <v>Crop</v>
      </c>
      <c r="D356" s="1"/>
      <c r="E356" s="1"/>
      <c r="F356" s="1"/>
      <c r="G356" s="1"/>
      <c r="H356" s="1" t="b">
        <f>IFERROR(__xludf.DUMMYFUNCTION("""COMPUTED_VALUE"""),FALSE)</f>
        <v>0</v>
      </c>
      <c r="I356" s="1" t="str">
        <f>IFERROR(__xludf.DUMMYFUNCTION("""COMPUTED_VALUE"""),"Land of Spira")</f>
        <v>Land of Spira</v>
      </c>
    </row>
    <row r="357">
      <c r="A357" s="1" t="str">
        <f>IFERROR(__xludf.DUMMYFUNCTION("""COMPUTED_VALUE"""),"Smoked Salmon")</f>
        <v>Smoked Salmon</v>
      </c>
      <c r="B357" s="1" t="str">
        <f>IFERROR(__xludf.DUMMYFUNCTION("""COMPUTED_VALUE"""),"Restores 20 Hunger +10 energy")</f>
        <v>Restores 20 Hunger +10 energy</v>
      </c>
      <c r="C357" s="1" t="str">
        <f>IFERROR(__xludf.DUMMYFUNCTION("""COMPUTED_VALUE"""),"Crop")</f>
        <v>Crop</v>
      </c>
      <c r="D357" s="1"/>
      <c r="E357" s="1"/>
      <c r="F357" s="1"/>
      <c r="G357" s="1"/>
      <c r="H357" s="1" t="b">
        <f>IFERROR(__xludf.DUMMYFUNCTION("""COMPUTED_VALUE"""),FALSE)</f>
        <v>0</v>
      </c>
      <c r="I357" s="1" t="str">
        <f>IFERROR(__xludf.DUMMYFUNCTION("""COMPUTED_VALUE"""),"Land of Spira")</f>
        <v>Land of Spira</v>
      </c>
    </row>
    <row r="358">
      <c r="A358" s="1" t="str">
        <f>IFERROR(__xludf.DUMMYFUNCTION("""COMPUTED_VALUE"""),"Smoked Lamb")</f>
        <v>Smoked Lamb</v>
      </c>
      <c r="B358" s="1" t="str">
        <f>IFERROR(__xludf.DUMMYFUNCTION("""COMPUTED_VALUE"""),"Restores 25 Hunger")</f>
        <v>Restores 25 Hunger</v>
      </c>
      <c r="C358" s="1" t="str">
        <f>IFERROR(__xludf.DUMMYFUNCTION("""COMPUTED_VALUE"""),"Crop")</f>
        <v>Crop</v>
      </c>
      <c r="D358" s="1"/>
      <c r="E358" s="1"/>
      <c r="F358" s="1"/>
      <c r="G358" s="1"/>
      <c r="H358" s="1" t="b">
        <f>IFERROR(__xludf.DUMMYFUNCTION("""COMPUTED_VALUE"""),FALSE)</f>
        <v>0</v>
      </c>
      <c r="I358" s="1" t="str">
        <f>IFERROR(__xludf.DUMMYFUNCTION("""COMPUTED_VALUE"""),"Land of Spira")</f>
        <v>Land of Spira</v>
      </c>
    </row>
    <row r="359">
      <c r="A359" s="1" t="str">
        <f>IFERROR(__xludf.DUMMYFUNCTION("""COMPUTED_VALUE"""),"Volcanic Venison")</f>
        <v>Volcanic Venison</v>
      </c>
      <c r="B359" s="1" t="str">
        <f>IFERROR(__xludf.DUMMYFUNCTION("""COMPUTED_VALUE"""),"Restores 50 Hunger")</f>
        <v>Restores 50 Hunger</v>
      </c>
      <c r="C359" s="1" t="str">
        <f>IFERROR(__xludf.DUMMYFUNCTION("""COMPUTED_VALUE"""),"Crop")</f>
        <v>Crop</v>
      </c>
      <c r="D359" s="1"/>
      <c r="E359" s="1"/>
      <c r="F359" s="1"/>
      <c r="G359" s="1"/>
      <c r="H359" s="1" t="b">
        <f>IFERROR(__xludf.DUMMYFUNCTION("""COMPUTED_VALUE"""),FALSE)</f>
        <v>0</v>
      </c>
      <c r="I359" s="1" t="str">
        <f>IFERROR(__xludf.DUMMYFUNCTION("""COMPUTED_VALUE"""),"Land of Spira")</f>
        <v>Land of Spira</v>
      </c>
    </row>
    <row r="360">
      <c r="A360" s="1" t="str">
        <f>IFERROR(__xludf.DUMMYFUNCTION("""COMPUTED_VALUE"""),"Pulled Pork")</f>
        <v>Pulled Pork</v>
      </c>
      <c r="B360" s="1" t="str">
        <f>IFERROR(__xludf.DUMMYFUNCTION("""COMPUTED_VALUE"""),"Restores 40 Hunger")</f>
        <v>Restores 40 Hunger</v>
      </c>
      <c r="C360" s="1" t="str">
        <f>IFERROR(__xludf.DUMMYFUNCTION("""COMPUTED_VALUE"""),"Crop")</f>
        <v>Crop</v>
      </c>
      <c r="D360" s="1"/>
      <c r="E360" s="1"/>
      <c r="F360" s="1"/>
      <c r="G360" s="1"/>
      <c r="H360" s="1" t="b">
        <f>IFERROR(__xludf.DUMMYFUNCTION("""COMPUTED_VALUE"""),FALSE)</f>
        <v>0</v>
      </c>
      <c r="I360" s="1" t="str">
        <f>IFERROR(__xludf.DUMMYFUNCTION("""COMPUTED_VALUE"""),"Land of Spira")</f>
        <v>Land of Spira</v>
      </c>
    </row>
    <row r="361">
      <c r="A361" s="1" t="str">
        <f>IFERROR(__xludf.DUMMYFUNCTION("""COMPUTED_VALUE"""),"Honeyed Nordic Mead")</f>
        <v>Honeyed Nordic Mead</v>
      </c>
      <c r="B361" s="1" t="str">
        <f>IFERROR(__xludf.DUMMYFUNCTION("""COMPUTED_VALUE"""),"Restores 100 Thirst +100 energy")</f>
        <v>Restores 100 Thirst +100 energy</v>
      </c>
      <c r="C361" s="1" t="str">
        <f>IFERROR(__xludf.DUMMYFUNCTION("""COMPUTED_VALUE"""),"Item")</f>
        <v>Item</v>
      </c>
      <c r="D361" s="1"/>
      <c r="E361" s="1"/>
      <c r="F361" s="1"/>
      <c r="G361" s="1"/>
      <c r="H361" s="1" t="b">
        <f>IFERROR(__xludf.DUMMYFUNCTION("""COMPUTED_VALUE"""),FALSE)</f>
        <v>0</v>
      </c>
      <c r="I361" s="1" t="str">
        <f>IFERROR(__xludf.DUMMYFUNCTION("""COMPUTED_VALUE"""),"Land of Spira")</f>
        <v>Land of Spira</v>
      </c>
    </row>
    <row r="362">
      <c r="A362" s="1" t="str">
        <f>IFERROR(__xludf.DUMMYFUNCTION("""COMPUTED_VALUE"""),"Wine")</f>
        <v>Wine</v>
      </c>
      <c r="B362" s="1" t="str">
        <f>IFERROR(__xludf.DUMMYFUNCTION("""COMPUTED_VALUE"""),"Restores 25 Thirst +15 energy")</f>
        <v>Restores 25 Thirst +15 energy</v>
      </c>
      <c r="C362" s="1" t="str">
        <f>IFERROR(__xludf.DUMMYFUNCTION("""COMPUTED_VALUE"""),"Item")</f>
        <v>Item</v>
      </c>
      <c r="D362" s="1"/>
      <c r="E362" s="1"/>
      <c r="F362" s="1"/>
      <c r="G362" s="1"/>
      <c r="H362" s="1" t="b">
        <f>IFERROR(__xludf.DUMMYFUNCTION("""COMPUTED_VALUE"""),FALSE)</f>
        <v>0</v>
      </c>
      <c r="I362" s="1" t="str">
        <f>IFERROR(__xludf.DUMMYFUNCTION("""COMPUTED_VALUE"""),"Land of Spira")</f>
        <v>Land of Spira</v>
      </c>
    </row>
    <row r="363">
      <c r="A363" s="1" t="str">
        <f>IFERROR(__xludf.DUMMYFUNCTION("""COMPUTED_VALUE"""),"Melomel (Mead w/ fruit added)")</f>
        <v>Melomel (Mead w/ fruit added)</v>
      </c>
      <c r="B363" s="1" t="str">
        <f>IFERROR(__xludf.DUMMYFUNCTION("""COMPUTED_VALUE"""),"Restores 50 Thirst and hunger +25 energy")</f>
        <v>Restores 50 Thirst and hunger +25 energy</v>
      </c>
      <c r="C363" s="1" t="str">
        <f>IFERROR(__xludf.DUMMYFUNCTION("""COMPUTED_VALUE"""),"Crop")</f>
        <v>Crop</v>
      </c>
      <c r="D363" s="1"/>
      <c r="E363" s="1"/>
      <c r="F363" s="1"/>
      <c r="G363" s="1"/>
      <c r="H363" s="1" t="b">
        <f>IFERROR(__xludf.DUMMYFUNCTION("""COMPUTED_VALUE"""),FALSE)</f>
        <v>0</v>
      </c>
      <c r="I363" s="1" t="str">
        <f>IFERROR(__xludf.DUMMYFUNCTION("""COMPUTED_VALUE"""),"Land of Spira")</f>
        <v>Land of Spira</v>
      </c>
    </row>
    <row r="364">
      <c r="A364" s="1" t="str">
        <f>IFERROR(__xludf.DUMMYFUNCTION("""COMPUTED_VALUE"""),"Docile Desert Djinn Gin")</f>
        <v>Docile Desert Djinn Gin</v>
      </c>
      <c r="B364" s="1" t="str">
        <f>IFERROR(__xludf.DUMMYFUNCTION("""COMPUTED_VALUE"""),"Restore 200 thirst +150 energy, has a 50% to decrease your attack and accuracy by half for 3 game days (disorientated status effect) 
If you drink too much you will be known as a bumbling joker, stumbling stooge, jumbling jester, and or plastered plank (N"&amp;"PCs will start to call you this in-game as it will be listed on your character sheet as an ANTI-achievement)")</f>
        <v>Restore 200 thirst +150 energy, has a 50% to decrease your attack and accuracy by half for 3 game days (disorientated status effect) 
If you drink too much you will be known as a bumbling joker, stumbling stooge, jumbling jester, and or plastered plank (NPCs will start to call you this in-game as it will be listed on your character sheet as an ANTI-achievement)</v>
      </c>
      <c r="C364" s="1" t="str">
        <f>IFERROR(__xludf.DUMMYFUNCTION("""COMPUTED_VALUE"""),"Item")</f>
        <v>Item</v>
      </c>
      <c r="D364" s="1"/>
      <c r="E364" s="1"/>
      <c r="F364" s="1"/>
      <c r="G364" s="1"/>
      <c r="H364" s="1" t="b">
        <f>IFERROR(__xludf.DUMMYFUNCTION("""COMPUTED_VALUE"""),FALSE)</f>
        <v>0</v>
      </c>
      <c r="I364" s="1" t="str">
        <f>IFERROR(__xludf.DUMMYFUNCTION("""COMPUTED_VALUE"""),"Land of Spira")</f>
        <v>Land of Spira</v>
      </c>
    </row>
    <row r="365">
      <c r="A365" s="1" t="str">
        <f>IFERROR(__xludf.DUMMYFUNCTION("""COMPUTED_VALUE"""),"Small Battery")</f>
        <v>Small Battery</v>
      </c>
      <c r="B365" s="1" t="str">
        <f>IFERROR(__xludf.DUMMYFUNCTION("""COMPUTED_VALUE"""),"Restores 100 energy.")</f>
        <v>Restores 100 energy.</v>
      </c>
      <c r="C365" s="1" t="str">
        <f>IFERROR(__xludf.DUMMYFUNCTION("""COMPUTED_VALUE"""),"Item")</f>
        <v>Item</v>
      </c>
      <c r="D365" s="1"/>
      <c r="E365" s="1"/>
      <c r="F365" s="1"/>
      <c r="G365" s="1"/>
      <c r="H365" s="1" t="b">
        <f>IFERROR(__xludf.DUMMYFUNCTION("""COMPUTED_VALUE"""),FALSE)</f>
        <v>0</v>
      </c>
      <c r="I365" s="1" t="str">
        <f>IFERROR(__xludf.DUMMYFUNCTION("""COMPUTED_VALUE"""),"Land of Spira")</f>
        <v>Land of Spira</v>
      </c>
    </row>
    <row r="366">
      <c r="A366" s="1" t="str">
        <f>IFERROR(__xludf.DUMMYFUNCTION("""COMPUTED_VALUE"""),"Medium Battery")</f>
        <v>Medium Battery</v>
      </c>
      <c r="B366" s="1" t="str">
        <f>IFERROR(__xludf.DUMMYFUNCTION("""COMPUTED_VALUE"""),"Restores 250 energy.")</f>
        <v>Restores 250 energy.</v>
      </c>
      <c r="C366" s="1" t="str">
        <f>IFERROR(__xludf.DUMMYFUNCTION("""COMPUTED_VALUE"""),"Item")</f>
        <v>Item</v>
      </c>
      <c r="D366" s="1"/>
      <c r="E366" s="1"/>
      <c r="F366" s="1"/>
      <c r="G366" s="1"/>
      <c r="H366" s="1" t="b">
        <f>IFERROR(__xludf.DUMMYFUNCTION("""COMPUTED_VALUE"""),FALSE)</f>
        <v>0</v>
      </c>
      <c r="I366" s="1" t="str">
        <f>IFERROR(__xludf.DUMMYFUNCTION("""COMPUTED_VALUE"""),"Land of Spira")</f>
        <v>Land of Spira</v>
      </c>
    </row>
    <row r="367">
      <c r="A367" s="1" t="str">
        <f>IFERROR(__xludf.DUMMYFUNCTION("""COMPUTED_VALUE"""),"Large Battery")</f>
        <v>Large Battery</v>
      </c>
      <c r="B367" s="1" t="str">
        <f>IFERROR(__xludf.DUMMYFUNCTION("""COMPUTED_VALUE"""),"Restores 500 energy.")</f>
        <v>Restores 500 energy.</v>
      </c>
      <c r="C367" s="1" t="str">
        <f>IFERROR(__xludf.DUMMYFUNCTION("""COMPUTED_VALUE"""),"Item")</f>
        <v>Item</v>
      </c>
      <c r="D367" s="1"/>
      <c r="E367" s="1"/>
      <c r="F367" s="1"/>
      <c r="G367" s="1"/>
      <c r="H367" s="1" t="b">
        <f>IFERROR(__xludf.DUMMYFUNCTION("""COMPUTED_VALUE"""),FALSE)</f>
        <v>0</v>
      </c>
      <c r="I367" s="1" t="str">
        <f>IFERROR(__xludf.DUMMYFUNCTION("""COMPUTED_VALUE"""),"Land of Spira")</f>
        <v>Land of Spira</v>
      </c>
    </row>
    <row r="368">
      <c r="A368" s="1" t="str">
        <f>IFERROR(__xludf.DUMMYFUNCTION("""COMPUTED_VALUE"""),"Docile Desert Djinn’s Gin")</f>
        <v>Docile Desert Djinn’s Gin</v>
      </c>
      <c r="B368" s="1"/>
      <c r="C368" s="1" t="str">
        <f>IFERROR(__xludf.DUMMYFUNCTION("""COMPUTED_VALUE"""),"Item")</f>
        <v>Item</v>
      </c>
      <c r="D368" s="1"/>
      <c r="E368" s="1"/>
      <c r="F368" s="1"/>
      <c r="G368" s="1"/>
      <c r="H368" s="1" t="b">
        <f>IFERROR(__xludf.DUMMYFUNCTION("""COMPUTED_VALUE"""),FALSE)</f>
        <v>0</v>
      </c>
      <c r="I368" s="1" t="str">
        <f>IFERROR(__xludf.DUMMYFUNCTION("""COMPUTED_VALUE"""),"Land of Spira")</f>
        <v>Land of Spira</v>
      </c>
    </row>
    <row r="369">
      <c r="A369" s="1" t="str">
        <f>IFERROR(__xludf.DUMMYFUNCTION("""COMPUTED_VALUE"""),"Minor Health Potion")</f>
        <v>Minor Health Potion</v>
      </c>
      <c r="B369" s="1" t="str">
        <f>IFERROR(__xludf.DUMMYFUNCTION("""COMPUTED_VALUE"""),"Restores 20HP")</f>
        <v>Restores 20HP</v>
      </c>
      <c r="C369" s="1" t="str">
        <f>IFERROR(__xludf.DUMMYFUNCTION("""COMPUTED_VALUE"""),"Item")</f>
        <v>Item</v>
      </c>
      <c r="D369" s="1"/>
      <c r="E369" s="1"/>
      <c r="F369" s="1"/>
      <c r="G369" s="1"/>
      <c r="H369" s="1" t="b">
        <f>IFERROR(__xludf.DUMMYFUNCTION("""COMPUTED_VALUE"""),FALSE)</f>
        <v>0</v>
      </c>
      <c r="I369" s="1" t="str">
        <f>IFERROR(__xludf.DUMMYFUNCTION("""COMPUTED_VALUE"""),"Land of Spira")</f>
        <v>Land of Spira</v>
      </c>
    </row>
    <row r="370">
      <c r="A370" s="1" t="str">
        <f>IFERROR(__xludf.DUMMYFUNCTION("""COMPUTED_VALUE"""),"Medium Health Potion")</f>
        <v>Medium Health Potion</v>
      </c>
      <c r="B370" s="1" t="str">
        <f>IFERROR(__xludf.DUMMYFUNCTION("""COMPUTED_VALUE"""),"Restores 50HP")</f>
        <v>Restores 50HP</v>
      </c>
      <c r="C370" s="1" t="str">
        <f>IFERROR(__xludf.DUMMYFUNCTION("""COMPUTED_VALUE"""),"Item")</f>
        <v>Item</v>
      </c>
      <c r="D370" s="1"/>
      <c r="E370" s="1"/>
      <c r="F370" s="1"/>
      <c r="G370" s="1"/>
      <c r="H370" s="1" t="b">
        <f>IFERROR(__xludf.DUMMYFUNCTION("""COMPUTED_VALUE"""),FALSE)</f>
        <v>0</v>
      </c>
      <c r="I370" s="1" t="str">
        <f>IFERROR(__xludf.DUMMYFUNCTION("""COMPUTED_VALUE"""),"Land of Spira")</f>
        <v>Land of Spira</v>
      </c>
    </row>
    <row r="371">
      <c r="A371" s="1" t="str">
        <f>IFERROR(__xludf.DUMMYFUNCTION("""COMPUTED_VALUE"""),"Max Health Potion")</f>
        <v>Max Health Potion</v>
      </c>
      <c r="B371" s="1" t="str">
        <f>IFERROR(__xludf.DUMMYFUNCTION("""COMPUTED_VALUE"""),"Restores 100HP")</f>
        <v>Restores 100HP</v>
      </c>
      <c r="C371" s="1" t="str">
        <f>IFERROR(__xludf.DUMMYFUNCTION("""COMPUTED_VALUE"""),"Item")</f>
        <v>Item</v>
      </c>
      <c r="D371" s="1"/>
      <c r="E371" s="1"/>
      <c r="F371" s="1"/>
      <c r="G371" s="1"/>
      <c r="H371" s="1" t="b">
        <f>IFERROR(__xludf.DUMMYFUNCTION("""COMPUTED_VALUE"""),FALSE)</f>
        <v>0</v>
      </c>
      <c r="I371" s="1" t="str">
        <f>IFERROR(__xludf.DUMMYFUNCTION("""COMPUTED_VALUE"""),"Land of Spira")</f>
        <v>Land of Spira</v>
      </c>
    </row>
    <row r="372">
      <c r="A372" s="1" t="str">
        <f>IFERROR(__xludf.DUMMYFUNCTION("""COMPUTED_VALUE"""),"Minor Mana Potion")</f>
        <v>Minor Mana Potion</v>
      </c>
      <c r="B372" s="1" t="str">
        <f>IFERROR(__xludf.DUMMYFUNCTION("""COMPUTED_VALUE"""),"Restores 20SP")</f>
        <v>Restores 20SP</v>
      </c>
      <c r="C372" s="1" t="str">
        <f>IFERROR(__xludf.DUMMYFUNCTION("""COMPUTED_VALUE"""),"Item")</f>
        <v>Item</v>
      </c>
      <c r="D372" s="1"/>
      <c r="E372" s="1"/>
      <c r="F372" s="1"/>
      <c r="G372" s="1"/>
      <c r="H372" s="1" t="b">
        <f>IFERROR(__xludf.DUMMYFUNCTION("""COMPUTED_VALUE"""),FALSE)</f>
        <v>0</v>
      </c>
      <c r="I372" s="1" t="str">
        <f>IFERROR(__xludf.DUMMYFUNCTION("""COMPUTED_VALUE"""),"Land of Spira")</f>
        <v>Land of Spira</v>
      </c>
    </row>
    <row r="373">
      <c r="A373" s="1" t="str">
        <f>IFERROR(__xludf.DUMMYFUNCTION("""COMPUTED_VALUE"""),"Medium Mana Potion")</f>
        <v>Medium Mana Potion</v>
      </c>
      <c r="B373" s="1" t="str">
        <f>IFERROR(__xludf.DUMMYFUNCTION("""COMPUTED_VALUE"""),"Restores 50SP")</f>
        <v>Restores 50SP</v>
      </c>
      <c r="C373" s="1" t="str">
        <f>IFERROR(__xludf.DUMMYFUNCTION("""COMPUTED_VALUE"""),"Item")</f>
        <v>Item</v>
      </c>
      <c r="D373" s="1"/>
      <c r="E373" s="1"/>
      <c r="F373" s="1"/>
      <c r="G373" s="1"/>
      <c r="H373" s="1" t="b">
        <f>IFERROR(__xludf.DUMMYFUNCTION("""COMPUTED_VALUE"""),FALSE)</f>
        <v>0</v>
      </c>
      <c r="I373" s="1" t="str">
        <f>IFERROR(__xludf.DUMMYFUNCTION("""COMPUTED_VALUE"""),"Land of Spira")</f>
        <v>Land of Spira</v>
      </c>
    </row>
    <row r="374">
      <c r="A374" s="1" t="str">
        <f>IFERROR(__xludf.DUMMYFUNCTION("""COMPUTED_VALUE"""),"Max Mana Potion")</f>
        <v>Max Mana Potion</v>
      </c>
      <c r="B374" s="1" t="str">
        <f>IFERROR(__xludf.DUMMYFUNCTION("""COMPUTED_VALUE"""),"Restores 100SP")</f>
        <v>Restores 100SP</v>
      </c>
      <c r="C374" s="1" t="str">
        <f>IFERROR(__xludf.DUMMYFUNCTION("""COMPUTED_VALUE"""),"Item")</f>
        <v>Item</v>
      </c>
      <c r="D374" s="1"/>
      <c r="E374" s="1"/>
      <c r="F374" s="1"/>
      <c r="G374" s="1"/>
      <c r="H374" s="1" t="b">
        <f>IFERROR(__xludf.DUMMYFUNCTION("""COMPUTED_VALUE"""),FALSE)</f>
        <v>0</v>
      </c>
      <c r="I374" s="1" t="str">
        <f>IFERROR(__xludf.DUMMYFUNCTION("""COMPUTED_VALUE"""),"Land of Spira")</f>
        <v>Land of Spira</v>
      </c>
    </row>
    <row r="375">
      <c r="A375" s="1" t="str">
        <f>IFERROR(__xludf.DUMMYFUNCTION("""COMPUTED_VALUE"""),"Potion of Multishot")</f>
        <v>Potion of Multishot</v>
      </c>
      <c r="B375" s="1" t="str">
        <f>IFERROR(__xludf.DUMMYFUNCTION("""COMPUTED_VALUE"""),"Allows multishot use without consuming mana")</f>
        <v>Allows multishot use without consuming mana</v>
      </c>
      <c r="C375" s="1" t="str">
        <f>IFERROR(__xludf.DUMMYFUNCTION("""COMPUTED_VALUE"""),"Item")</f>
        <v>Item</v>
      </c>
      <c r="D375" s="1"/>
      <c r="E375" s="1"/>
      <c r="F375" s="1"/>
      <c r="G375" s="1"/>
      <c r="H375" s="1" t="b">
        <f>IFERROR(__xludf.DUMMYFUNCTION("""COMPUTED_VALUE"""),FALSE)</f>
        <v>0</v>
      </c>
      <c r="I375" s="1" t="str">
        <f>IFERROR(__xludf.DUMMYFUNCTION("""COMPUTED_VALUE"""),"Land of Spira")</f>
        <v>Land of Spira</v>
      </c>
    </row>
    <row r="376">
      <c r="A376" s="1" t="str">
        <f>IFERROR(__xludf.DUMMYFUNCTION("""COMPUTED_VALUE"""),"Potion of Eel Nado")</f>
        <v>Potion of Eel Nado</v>
      </c>
      <c r="B376" s="1" t="str">
        <f>IFERROR(__xludf.DUMMYFUNCTION("""COMPUTED_VALUE"""),"Allows use of Eel Nado without consuming mana")</f>
        <v>Allows use of Eel Nado without consuming mana</v>
      </c>
      <c r="C376" s="1" t="str">
        <f>IFERROR(__xludf.DUMMYFUNCTION("""COMPUTED_VALUE"""),"Item")</f>
        <v>Item</v>
      </c>
      <c r="D376" s="1"/>
      <c r="E376" s="1"/>
      <c r="F376" s="1"/>
      <c r="G376" s="1"/>
      <c r="H376" s="1" t="b">
        <f>IFERROR(__xludf.DUMMYFUNCTION("""COMPUTED_VALUE"""),FALSE)</f>
        <v>0</v>
      </c>
      <c r="I376" s="1" t="str">
        <f>IFERROR(__xludf.DUMMYFUNCTION("""COMPUTED_VALUE"""),"Land of Spira")</f>
        <v>Land of Spira</v>
      </c>
    </row>
    <row r="377">
      <c r="A377" s="1" t="str">
        <f>IFERROR(__xludf.DUMMYFUNCTION("""COMPUTED_VALUE"""),"Potion of Minor Health")</f>
        <v>Potion of Minor Health</v>
      </c>
      <c r="B377" s="1" t="str">
        <f>IFERROR(__xludf.DUMMYFUNCTION("""COMPUTED_VALUE"""),"Restores 10 Health")</f>
        <v>Restores 10 Health</v>
      </c>
      <c r="C377" s="1" t="str">
        <f>IFERROR(__xludf.DUMMYFUNCTION("""COMPUTED_VALUE"""),"Item")</f>
        <v>Item</v>
      </c>
      <c r="D377" s="1"/>
      <c r="E377" s="1"/>
      <c r="F377" s="1"/>
      <c r="G377" s="1"/>
      <c r="H377" s="1" t="b">
        <f>IFERROR(__xludf.DUMMYFUNCTION("""COMPUTED_VALUE"""),FALSE)</f>
        <v>0</v>
      </c>
      <c r="I377" s="1" t="str">
        <f>IFERROR(__xludf.DUMMYFUNCTION("""COMPUTED_VALUE"""),"Land of Spira")</f>
        <v>Land of Spira</v>
      </c>
    </row>
    <row r="378">
      <c r="A378" s="1" t="str">
        <f>IFERROR(__xludf.DUMMYFUNCTION("""COMPUTED_VALUE"""),"Potion of Health")</f>
        <v>Potion of Health</v>
      </c>
      <c r="B378" s="1" t="str">
        <f>IFERROR(__xludf.DUMMYFUNCTION("""COMPUTED_VALUE"""),"Restores 50 Health")</f>
        <v>Restores 50 Health</v>
      </c>
      <c r="C378" s="1" t="str">
        <f>IFERROR(__xludf.DUMMYFUNCTION("""COMPUTED_VALUE"""),"Item")</f>
        <v>Item</v>
      </c>
      <c r="D378" s="1"/>
      <c r="E378" s="1"/>
      <c r="F378" s="1"/>
      <c r="G378" s="1"/>
      <c r="H378" s="1" t="b">
        <f>IFERROR(__xludf.DUMMYFUNCTION("""COMPUTED_VALUE"""),FALSE)</f>
        <v>0</v>
      </c>
      <c r="I378" s="1" t="str">
        <f>IFERROR(__xludf.DUMMYFUNCTION("""COMPUTED_VALUE"""),"Land of Spira")</f>
        <v>Land of Spira</v>
      </c>
    </row>
    <row r="379">
      <c r="A379" s="1" t="str">
        <f>IFERROR(__xludf.DUMMYFUNCTION("""COMPUTED_VALUE"""),"Potion of Major Health")</f>
        <v>Potion of Major Health</v>
      </c>
      <c r="B379" s="1" t="str">
        <f>IFERROR(__xludf.DUMMYFUNCTION("""COMPUTED_VALUE"""),"Restores 100 Health")</f>
        <v>Restores 100 Health</v>
      </c>
      <c r="C379" s="1" t="str">
        <f>IFERROR(__xludf.DUMMYFUNCTION("""COMPUTED_VALUE"""),"Item")</f>
        <v>Item</v>
      </c>
      <c r="D379" s="1"/>
      <c r="E379" s="1"/>
      <c r="F379" s="1"/>
      <c r="G379" s="1"/>
      <c r="H379" s="1" t="b">
        <f>IFERROR(__xludf.DUMMYFUNCTION("""COMPUTED_VALUE"""),FALSE)</f>
        <v>0</v>
      </c>
      <c r="I379" s="1" t="str">
        <f>IFERROR(__xludf.DUMMYFUNCTION("""COMPUTED_VALUE"""),"Land of Spira")</f>
        <v>Land of Spira</v>
      </c>
    </row>
    <row r="380">
      <c r="A380" s="1" t="str">
        <f>IFERROR(__xludf.DUMMYFUNCTION("""COMPUTED_VALUE"""),"Potion of Regeneration")</f>
        <v>Potion of Regeneration</v>
      </c>
      <c r="B380" s="1" t="str">
        <f>IFERROR(__xludf.DUMMYFUNCTION("""COMPUTED_VALUE"""),": + +500HP p/r for 3 rounds.")</f>
        <v>: + +500HP p/r for 3 rounds.</v>
      </c>
      <c r="C380" s="1" t="str">
        <f>IFERROR(__xludf.DUMMYFUNCTION("""COMPUTED_VALUE"""),"Item")</f>
        <v>Item</v>
      </c>
      <c r="D380" s="1"/>
      <c r="E380" s="1"/>
      <c r="F380" s="1"/>
      <c r="G380" s="1"/>
      <c r="H380" s="1" t="b">
        <f>IFERROR(__xludf.DUMMYFUNCTION("""COMPUTED_VALUE"""),FALSE)</f>
        <v>0</v>
      </c>
      <c r="I380" s="1" t="str">
        <f>IFERROR(__xludf.DUMMYFUNCTION("""COMPUTED_VALUE"""),"Land of Spira")</f>
        <v>Land of Spira</v>
      </c>
    </row>
    <row r="381">
      <c r="A381" s="1" t="str">
        <f>IFERROR(__xludf.DUMMYFUNCTION("""COMPUTED_VALUE"""),"Potion of Minor Mana")</f>
        <v>Potion of Minor Mana</v>
      </c>
      <c r="B381" s="1" t="str">
        <f>IFERROR(__xludf.DUMMYFUNCTION("""COMPUTED_VALUE"""),"Restores 10 SP")</f>
        <v>Restores 10 SP</v>
      </c>
      <c r="C381" s="1" t="str">
        <f>IFERROR(__xludf.DUMMYFUNCTION("""COMPUTED_VALUE"""),"Item")</f>
        <v>Item</v>
      </c>
      <c r="D381" s="1"/>
      <c r="E381" s="1"/>
      <c r="F381" s="1"/>
      <c r="G381" s="1"/>
      <c r="H381" s="1" t="b">
        <f>IFERROR(__xludf.DUMMYFUNCTION("""COMPUTED_VALUE"""),FALSE)</f>
        <v>0</v>
      </c>
      <c r="I381" s="1" t="str">
        <f>IFERROR(__xludf.DUMMYFUNCTION("""COMPUTED_VALUE"""),"Land of Spira")</f>
        <v>Land of Spira</v>
      </c>
    </row>
    <row r="382">
      <c r="A382" s="1" t="str">
        <f>IFERROR(__xludf.DUMMYFUNCTION("""COMPUTED_VALUE"""),"Potion of Mana")</f>
        <v>Potion of Mana</v>
      </c>
      <c r="B382" s="1" t="str">
        <f>IFERROR(__xludf.DUMMYFUNCTION("""COMPUTED_VALUE"""),"Restores 50 SP")</f>
        <v>Restores 50 SP</v>
      </c>
      <c r="C382" s="1" t="str">
        <f>IFERROR(__xludf.DUMMYFUNCTION("""COMPUTED_VALUE"""),"Item")</f>
        <v>Item</v>
      </c>
      <c r="D382" s="1"/>
      <c r="E382" s="1"/>
      <c r="F382" s="1"/>
      <c r="G382" s="1"/>
      <c r="H382" s="1" t="b">
        <f>IFERROR(__xludf.DUMMYFUNCTION("""COMPUTED_VALUE"""),FALSE)</f>
        <v>0</v>
      </c>
      <c r="I382" s="1" t="str">
        <f>IFERROR(__xludf.DUMMYFUNCTION("""COMPUTED_VALUE"""),"Land of Spira")</f>
        <v>Land of Spira</v>
      </c>
    </row>
    <row r="383">
      <c r="A383" s="1" t="str">
        <f>IFERROR(__xludf.DUMMYFUNCTION("""COMPUTED_VALUE"""),"Potion of Extreme Mana")</f>
        <v>Potion of Extreme Mana</v>
      </c>
      <c r="B383" s="1" t="str">
        <f>IFERROR(__xludf.DUMMYFUNCTION("""COMPUTED_VALUE"""),"Restores 100 SP")</f>
        <v>Restores 100 SP</v>
      </c>
      <c r="C383" s="1" t="str">
        <f>IFERROR(__xludf.DUMMYFUNCTION("""COMPUTED_VALUE"""),"Item")</f>
        <v>Item</v>
      </c>
      <c r="D383" s="1"/>
      <c r="E383" s="1"/>
      <c r="F383" s="1"/>
      <c r="G383" s="1"/>
      <c r="H383" s="1" t="b">
        <f>IFERROR(__xludf.DUMMYFUNCTION("""COMPUTED_VALUE"""),FALSE)</f>
        <v>0</v>
      </c>
      <c r="I383" s="1" t="str">
        <f>IFERROR(__xludf.DUMMYFUNCTION("""COMPUTED_VALUE"""),"Land of Spira")</f>
        <v>Land of Spira</v>
      </c>
    </row>
    <row r="384">
      <c r="A384" s="1" t="str">
        <f>IFERROR(__xludf.DUMMYFUNCTION("""COMPUTED_VALUE"""),"Potion of Invigoration")</f>
        <v>Potion of Invigoration</v>
      </c>
      <c r="B384" s="1" t="str">
        <f>IFERROR(__xludf.DUMMYFUNCTION("""COMPUTED_VALUE"""),"Restores 50 SP each turn for 3 rounds")</f>
        <v>Restores 50 SP each turn for 3 rounds</v>
      </c>
      <c r="C384" s="1" t="str">
        <f>IFERROR(__xludf.DUMMYFUNCTION("""COMPUTED_VALUE"""),"Item")</f>
        <v>Item</v>
      </c>
      <c r="D384" s="1"/>
      <c r="E384" s="1"/>
      <c r="F384" s="1"/>
      <c r="G384" s="1"/>
      <c r="H384" s="1" t="b">
        <f>IFERROR(__xludf.DUMMYFUNCTION("""COMPUTED_VALUE"""),FALSE)</f>
        <v>0</v>
      </c>
      <c r="I384" s="1" t="str">
        <f>IFERROR(__xludf.DUMMYFUNCTION("""COMPUTED_VALUE"""),"Land of Spira")</f>
        <v>Land of Spira</v>
      </c>
    </row>
    <row r="385">
      <c r="A385" s="1" t="str">
        <f>IFERROR(__xludf.DUMMYFUNCTION("""COMPUTED_VALUE"""),"Potion of Invulnerability")</f>
        <v>Potion of Invulnerability</v>
      </c>
      <c r="B385" s="1" t="str">
        <f>IFERROR(__xludf.DUMMYFUNCTION("""COMPUTED_VALUE"""),"Immune to damage for 3 rounds")</f>
        <v>Immune to damage for 3 rounds</v>
      </c>
      <c r="C385" s="1" t="str">
        <f>IFERROR(__xludf.DUMMYFUNCTION("""COMPUTED_VALUE"""),"Item")</f>
        <v>Item</v>
      </c>
      <c r="D385" s="1"/>
      <c r="E385" s="1"/>
      <c r="F385" s="1"/>
      <c r="G385" s="1"/>
      <c r="H385" s="1" t="b">
        <f>IFERROR(__xludf.DUMMYFUNCTION("""COMPUTED_VALUE"""),FALSE)</f>
        <v>0</v>
      </c>
      <c r="I385" s="1" t="str">
        <f>IFERROR(__xludf.DUMMYFUNCTION("""COMPUTED_VALUE"""),"Land of Spira")</f>
        <v>Land of Spira</v>
      </c>
    </row>
    <row r="386">
      <c r="A386" s="1" t="str">
        <f>IFERROR(__xludf.DUMMYFUNCTION("""COMPUTED_VALUE"""),"Potion of Stun Resist")</f>
        <v>Potion of Stun Resist</v>
      </c>
      <c r="B386" s="1" t="str">
        <f>IFERROR(__xludf.DUMMYFUNCTION("""COMPUTED_VALUE"""),"Immune to Stun for 3 rounds")</f>
        <v>Immune to Stun for 3 rounds</v>
      </c>
      <c r="C386" s="1" t="str">
        <f>IFERROR(__xludf.DUMMYFUNCTION("""COMPUTED_VALUE"""),"Item")</f>
        <v>Item</v>
      </c>
      <c r="D386" s="1"/>
      <c r="E386" s="1"/>
      <c r="F386" s="1"/>
      <c r="G386" s="1"/>
      <c r="H386" s="1" t="b">
        <f>IFERROR(__xludf.DUMMYFUNCTION("""COMPUTED_VALUE"""),FALSE)</f>
        <v>0</v>
      </c>
      <c r="I386" s="1" t="str">
        <f>IFERROR(__xludf.DUMMYFUNCTION("""COMPUTED_VALUE"""),"Land of Spira")</f>
        <v>Land of Spira</v>
      </c>
    </row>
    <row r="387">
      <c r="A387" s="1" t="str">
        <f>IFERROR(__xludf.DUMMYFUNCTION("""COMPUTED_VALUE"""),"Potion Of Sobriety")</f>
        <v>Potion Of Sobriety</v>
      </c>
      <c r="B387" s="1" t="str">
        <f>IFERROR(__xludf.DUMMYFUNCTION("""COMPUTED_VALUE"""),"Removes Disoriented Status, 50% failure, if you fail, you become even more disoriented (2x). If you fail/become too drunk, your character will black out and contract alcohol poisoning (25% of death, not-permanent)")</f>
        <v>Removes Disoriented Status, 50% failure, if you fail, you become even more disoriented (2x). If you fail/become too drunk, your character will black out and contract alcohol poisoning (25% of death, not-permanent)</v>
      </c>
      <c r="C387" s="1" t="str">
        <f>IFERROR(__xludf.DUMMYFUNCTION("""COMPUTED_VALUE"""),"Item")</f>
        <v>Item</v>
      </c>
      <c r="D387" s="1"/>
      <c r="E387" s="1"/>
      <c r="F387" s="1"/>
      <c r="G387" s="1"/>
      <c r="H387" s="1" t="b">
        <f>IFERROR(__xludf.DUMMYFUNCTION("""COMPUTED_VALUE"""),FALSE)</f>
        <v>0</v>
      </c>
      <c r="I387" s="1" t="str">
        <f>IFERROR(__xludf.DUMMYFUNCTION("""COMPUTED_VALUE"""),"Land of Spira")</f>
        <v>Land of Spira</v>
      </c>
    </row>
    <row r="388">
      <c r="A388" s="1" t="str">
        <f>IFERROR(__xludf.DUMMYFUNCTION("""COMPUTED_VALUE"""),"Legendary Tome")</f>
        <v>Legendary Tome</v>
      </c>
      <c r="B388" s="1" t="str">
        <f>IFERROR(__xludf.DUMMYFUNCTION("""COMPUTED_VALUE"""),"(Quest item)")</f>
        <v>(Quest item)</v>
      </c>
      <c r="C388" s="1" t="str">
        <f>IFERROR(__xludf.DUMMYFUNCTION("""COMPUTED_VALUE"""),"Item")</f>
        <v>Item</v>
      </c>
      <c r="D388" s="1"/>
      <c r="E388" s="1"/>
      <c r="F388" s="1"/>
      <c r="G388" s="1"/>
      <c r="H388" s="1" t="b">
        <f>IFERROR(__xludf.DUMMYFUNCTION("""COMPUTED_VALUE"""),FALSE)</f>
        <v>0</v>
      </c>
      <c r="I388" s="1" t="str">
        <f>IFERROR(__xludf.DUMMYFUNCTION("""COMPUTED_VALUE"""),"Land of Spira")</f>
        <v>Land of Spira</v>
      </c>
    </row>
    <row r="389">
      <c r="A389" s="1" t="str">
        <f>IFERROR(__xludf.DUMMYFUNCTION("""COMPUTED_VALUE"""),"Murky Emerald")</f>
        <v>Murky Emerald</v>
      </c>
      <c r="B389" s="1" t="str">
        <f>IFERROR(__xludf.DUMMYFUNCTION("""COMPUTED_VALUE"""),"Crafting Material, roll a d20 to see how many you get if this is a loot drop.")</f>
        <v>Crafting Material, roll a d20 to see how many you get if this is a loot drop.</v>
      </c>
      <c r="C389" s="1" t="str">
        <f>IFERROR(__xludf.DUMMYFUNCTION("""COMPUTED_VALUE"""),"Item")</f>
        <v>Item</v>
      </c>
      <c r="D389" s="1"/>
      <c r="E389" s="1"/>
      <c r="F389" s="1"/>
      <c r="G389" s="1"/>
      <c r="H389" s="1" t="b">
        <f>IFERROR(__xludf.DUMMYFUNCTION("""COMPUTED_VALUE"""),FALSE)</f>
        <v>0</v>
      </c>
      <c r="I389" s="1" t="str">
        <f>IFERROR(__xludf.DUMMYFUNCTION("""COMPUTED_VALUE"""),"Land of Spira")</f>
        <v>Land of Spira</v>
      </c>
    </row>
    <row r="390">
      <c r="A390" s="1" t="str">
        <f>IFERROR(__xludf.DUMMYFUNCTION("""COMPUTED_VALUE"""),"Foul Night Swamp water vile")</f>
        <v>Foul Night Swamp water vile</v>
      </c>
      <c r="B390" s="1" t="str">
        <f>IFERROR(__xludf.DUMMYFUNCTION("""COMPUTED_VALUE"""),"Immunity to Nature for 3 rounds.")</f>
        <v>Immunity to Nature for 3 rounds.</v>
      </c>
      <c r="C390" s="1" t="str">
        <f>IFERROR(__xludf.DUMMYFUNCTION("""COMPUTED_VALUE"""),"Item")</f>
        <v>Item</v>
      </c>
      <c r="D390" s="1"/>
      <c r="E390" s="1"/>
      <c r="F390" s="1"/>
      <c r="G390" s="1"/>
      <c r="H390" s="1" t="b">
        <f>IFERROR(__xludf.DUMMYFUNCTION("""COMPUTED_VALUE"""),FALSE)</f>
        <v>0</v>
      </c>
      <c r="I390" s="1" t="str">
        <f>IFERROR(__xludf.DUMMYFUNCTION("""COMPUTED_VALUE"""),"Land of Spira")</f>
        <v>Land of Spira</v>
      </c>
    </row>
    <row r="391">
      <c r="A391" s="1" t="str">
        <f>IFERROR(__xludf.DUMMYFUNCTION("""COMPUTED_VALUE"""),"Foul Night foul smelling potion")</f>
        <v>Foul Night foul smelling potion</v>
      </c>
      <c r="B391" s="1" t="str">
        <f>IFERROR(__xludf.DUMMYFUNCTION("""COMPUTED_VALUE"""),"2500 damage and 2500 nature damage and 500 poison damage for 3 rounds")</f>
        <v>2500 damage and 2500 nature damage and 500 poison damage for 3 rounds</v>
      </c>
      <c r="C391" s="1" t="str">
        <f>IFERROR(__xludf.DUMMYFUNCTION("""COMPUTED_VALUE"""),"Item")</f>
        <v>Item</v>
      </c>
      <c r="D391" s="1"/>
      <c r="E391" s="1"/>
      <c r="F391" s="1"/>
      <c r="G391" s="1"/>
      <c r="H391" s="1" t="b">
        <f>IFERROR(__xludf.DUMMYFUNCTION("""COMPUTED_VALUE"""),FALSE)</f>
        <v>0</v>
      </c>
      <c r="I391" s="1" t="str">
        <f>IFERROR(__xludf.DUMMYFUNCTION("""COMPUTED_VALUE"""),"Land of Spira")</f>
        <v>Land of Spira</v>
      </c>
    </row>
    <row r="392">
      <c r="A392" s="1" t="str">
        <f>IFERROR(__xludf.DUMMYFUNCTION("""COMPUTED_VALUE"""),"Swampy Seaweed")</f>
        <v>Swampy Seaweed</v>
      </c>
      <c r="B392" s="1" t="str">
        <f>IFERROR(__xludf.DUMMYFUNCTION("""COMPUTED_VALUE""")," Restores 5000 HP and SP.")</f>
        <v> Restores 5000 HP and SP.</v>
      </c>
      <c r="C392" s="1" t="str">
        <f>IFERROR(__xludf.DUMMYFUNCTION("""COMPUTED_VALUE"""),"Item")</f>
        <v>Item</v>
      </c>
      <c r="D392" s="1"/>
      <c r="E392" s="1"/>
      <c r="F392" s="1"/>
      <c r="G392" s="1"/>
      <c r="H392" s="1" t="b">
        <f>IFERROR(__xludf.DUMMYFUNCTION("""COMPUTED_VALUE"""),FALSE)</f>
        <v>0</v>
      </c>
      <c r="I392" s="1" t="str">
        <f>IFERROR(__xludf.DUMMYFUNCTION("""COMPUTED_VALUE"""),"Land of Spira")</f>
        <v>Land of Spira</v>
      </c>
    </row>
    <row r="393">
      <c r="A393" s="1" t="str">
        <f>IFERROR(__xludf.DUMMYFUNCTION("""COMPUTED_VALUE"""),"Foul night swamp bubble grenade")</f>
        <v>Foul night swamp bubble grenade</v>
      </c>
      <c r="B393" s="1" t="str">
        <f>IFERROR(__xludf.DUMMYFUNCTION("""COMPUTED_VALUE"""),"Poison 10,000 for 3 rounds.")</f>
        <v>Poison 10,000 for 3 rounds.</v>
      </c>
      <c r="C393" s="1" t="str">
        <f>IFERROR(__xludf.DUMMYFUNCTION("""COMPUTED_VALUE"""),"Item")</f>
        <v>Item</v>
      </c>
      <c r="D393" s="1"/>
      <c r="E393" s="1"/>
      <c r="F393" s="1"/>
      <c r="G393" s="1"/>
      <c r="H393" s="1" t="b">
        <f>IFERROR(__xludf.DUMMYFUNCTION("""COMPUTED_VALUE"""),FALSE)</f>
        <v>0</v>
      </c>
      <c r="I393" s="1" t="str">
        <f>IFERROR(__xludf.DUMMYFUNCTION("""COMPUTED_VALUE"""),"Land of Spira")</f>
        <v>Land of Spira</v>
      </c>
    </row>
    <row r="394">
      <c r="A394" s="1" t="str">
        <f>IFERROR(__xludf.DUMMYFUNCTION("""COMPUTED_VALUE"""),"Block of Ice")</f>
        <v>Block of Ice</v>
      </c>
      <c r="B394" s="1" t="str">
        <f>IFERROR(__xludf.DUMMYFUNCTION("""COMPUTED_VALUE"""),"Crafting Material, roll a d20 to see how many you get if this is a loot drop.")</f>
        <v>Crafting Material, roll a d20 to see how many you get if this is a loot drop.</v>
      </c>
      <c r="C394" s="1" t="str">
        <f>IFERROR(__xludf.DUMMYFUNCTION("""COMPUTED_VALUE"""),"Item")</f>
        <v>Item</v>
      </c>
      <c r="D394" s="1"/>
      <c r="E394" s="1"/>
      <c r="F394" s="1"/>
      <c r="G394" s="1"/>
      <c r="H394" s="1" t="b">
        <f>IFERROR(__xludf.DUMMYFUNCTION("""COMPUTED_VALUE"""),FALSE)</f>
        <v>0</v>
      </c>
      <c r="I394" s="1" t="str">
        <f>IFERROR(__xludf.DUMMYFUNCTION("""COMPUTED_VALUE"""),"Land of Spira")</f>
        <v>Land of Spira</v>
      </c>
    </row>
    <row r="395">
      <c r="A395" s="1" t="str">
        <f>IFERROR(__xludf.DUMMYFUNCTION("""COMPUTED_VALUE"""),"Frost Kings Map")</f>
        <v>Frost Kings Map</v>
      </c>
      <c r="B395" s="1" t="str">
        <f>IFERROR(__xludf.DUMMYFUNCTION("""COMPUTED_VALUE"""),"Special quest item. Speak to the frost king for more info.")</f>
        <v>Special quest item. Speak to the frost king for more info.</v>
      </c>
      <c r="C395" s="1" t="str">
        <f>IFERROR(__xludf.DUMMYFUNCTION("""COMPUTED_VALUE"""),"Item")</f>
        <v>Item</v>
      </c>
      <c r="D395" s="1"/>
      <c r="E395" s="1"/>
      <c r="F395" s="1"/>
      <c r="G395" s="1"/>
      <c r="H395" s="1" t="b">
        <f>IFERROR(__xludf.DUMMYFUNCTION("""COMPUTED_VALUE"""),FALSE)</f>
        <v>0</v>
      </c>
      <c r="I395" s="1" t="str">
        <f>IFERROR(__xludf.DUMMYFUNCTION("""COMPUTED_VALUE"""),"Land of Spira")</f>
        <v>Land of Spira</v>
      </c>
    </row>
    <row r="396">
      <c r="A396" s="1" t="str">
        <f>IFERROR(__xludf.DUMMYFUNCTION("""COMPUTED_VALUE"""),"Bacon")</f>
        <v>Bacon</v>
      </c>
      <c r="B396" s="1" t="str">
        <f>IFERROR(__xludf.DUMMYFUNCTION("""COMPUTED_VALUE"""),"Restores 5 health and 5 hunger")</f>
        <v>Restores 5 health and 5 hunger</v>
      </c>
      <c r="C396" s="1" t="str">
        <f>IFERROR(__xludf.DUMMYFUNCTION("""COMPUTED_VALUE"""),"Crop")</f>
        <v>Crop</v>
      </c>
      <c r="D396" s="1"/>
      <c r="E396" s="1"/>
      <c r="F396" s="1"/>
      <c r="G396" s="1"/>
      <c r="H396" s="1" t="b">
        <f>IFERROR(__xludf.DUMMYFUNCTION("""COMPUTED_VALUE"""),FALSE)</f>
        <v>0</v>
      </c>
      <c r="I396" s="1" t="str">
        <f>IFERROR(__xludf.DUMMYFUNCTION("""COMPUTED_VALUE"""),"Land of Spira")</f>
        <v>Land of Spira</v>
      </c>
    </row>
    <row r="397">
      <c r="A397" s="1" t="str">
        <f>IFERROR(__xludf.DUMMYFUNCTION("""COMPUTED_VALUE"""),"Bread")</f>
        <v>Bread</v>
      </c>
      <c r="B397" s="1" t="str">
        <f>IFERROR(__xludf.DUMMYFUNCTION("""COMPUTED_VALUE"""),"10 Hunger")</f>
        <v>10 Hunger</v>
      </c>
      <c r="C397" s="1" t="str">
        <f>IFERROR(__xludf.DUMMYFUNCTION("""COMPUTED_VALUE"""),"Crop")</f>
        <v>Crop</v>
      </c>
      <c r="D397" s="1"/>
      <c r="E397" s="1"/>
      <c r="F397" s="1"/>
      <c r="G397" s="1"/>
      <c r="H397" s="1" t="b">
        <f>IFERROR(__xludf.DUMMYFUNCTION("""COMPUTED_VALUE"""),FALSE)</f>
        <v>0</v>
      </c>
      <c r="I397" s="1" t="str">
        <f>IFERROR(__xludf.DUMMYFUNCTION("""COMPUTED_VALUE"""),"Land of Spira")</f>
        <v>Land of Spira</v>
      </c>
    </row>
    <row r="398">
      <c r="A398" s="1" t="str">
        <f>IFERROR(__xludf.DUMMYFUNCTION("""COMPUTED_VALUE"""),"Unknown dried meat")</f>
        <v>Unknown dried meat</v>
      </c>
      <c r="B398" s="1" t="str">
        <f>IFERROR(__xludf.DUMMYFUNCTION("""COMPUTED_VALUE"""),"15 Hunger, 5% chance to lose 10 HP")</f>
        <v>15 Hunger, 5% chance to lose 10 HP</v>
      </c>
      <c r="C398" s="1" t="str">
        <f>IFERROR(__xludf.DUMMYFUNCTION("""COMPUTED_VALUE"""),"Crop")</f>
        <v>Crop</v>
      </c>
      <c r="D398" s="1"/>
      <c r="E398" s="1"/>
      <c r="F398" s="1"/>
      <c r="G398" s="1"/>
      <c r="H398" s="1" t="b">
        <f>IFERROR(__xludf.DUMMYFUNCTION("""COMPUTED_VALUE"""),FALSE)</f>
        <v>0</v>
      </c>
      <c r="I398" s="1" t="str">
        <f>IFERROR(__xludf.DUMMYFUNCTION("""COMPUTED_VALUE"""),"Land of Spira")</f>
        <v>Land of Spira</v>
      </c>
    </row>
    <row r="399">
      <c r="A399" s="1" t="str">
        <f>IFERROR(__xludf.DUMMYFUNCTION("""COMPUTED_VALUE"""),"Water")</f>
        <v>Water</v>
      </c>
      <c r="B399" s="1" t="str">
        <f>IFERROR(__xludf.DUMMYFUNCTION("""COMPUTED_VALUE"""),"10 Thirst")</f>
        <v>10 Thirst</v>
      </c>
      <c r="C399" s="1" t="str">
        <f>IFERROR(__xludf.DUMMYFUNCTION("""COMPUTED_VALUE"""),"Item")</f>
        <v>Item</v>
      </c>
      <c r="D399" s="1"/>
      <c r="E399" s="1"/>
      <c r="F399" s="1"/>
      <c r="G399" s="1"/>
      <c r="H399" s="1" t="b">
        <f>IFERROR(__xludf.DUMMYFUNCTION("""COMPUTED_VALUE"""),FALSE)</f>
        <v>0</v>
      </c>
      <c r="I399" s="1" t="str">
        <f>IFERROR(__xludf.DUMMYFUNCTION("""COMPUTED_VALUE"""),"Land of Spira")</f>
        <v>Land of Spira</v>
      </c>
    </row>
    <row r="400">
      <c r="A400" s="1" t="str">
        <f>IFERROR(__xludf.DUMMYFUNCTION("""COMPUTED_VALUE"""),"Rum")</f>
        <v>Rum</v>
      </c>
      <c r="B400" s="1" t="str">
        <f>IFERROR(__xludf.DUMMYFUNCTION("""COMPUTED_VALUE"""),"50 Thirst, -1 SP")</f>
        <v>50 Thirst, -1 SP</v>
      </c>
      <c r="C400" s="1" t="str">
        <f>IFERROR(__xludf.DUMMYFUNCTION("""COMPUTED_VALUE"""),"Item")</f>
        <v>Item</v>
      </c>
      <c r="D400" s="1"/>
      <c r="E400" s="1"/>
      <c r="F400" s="1"/>
      <c r="G400" s="1"/>
      <c r="H400" s="1" t="b">
        <f>IFERROR(__xludf.DUMMYFUNCTION("""COMPUTED_VALUE"""),FALSE)</f>
        <v>0</v>
      </c>
      <c r="I400" s="1" t="str">
        <f>IFERROR(__xludf.DUMMYFUNCTION("""COMPUTED_VALUE"""),"Land of Spira")</f>
        <v>Land of Spira</v>
      </c>
    </row>
    <row r="401">
      <c r="A401" s="1" t="str">
        <f>IFERROR(__xludf.DUMMYFUNCTION("""COMPUTED_VALUE"""),"Spirits")</f>
        <v>Spirits</v>
      </c>
      <c r="B401" s="1" t="str">
        <f>IFERROR(__xludf.DUMMYFUNCTION("""COMPUTED_VALUE"""),"20 Thirst, +2 SP")</f>
        <v>20 Thirst, +2 SP</v>
      </c>
      <c r="C401" s="1" t="str">
        <f>IFERROR(__xludf.DUMMYFUNCTION("""COMPUTED_VALUE"""),"Item")</f>
        <v>Item</v>
      </c>
      <c r="D401" s="1"/>
      <c r="E401" s="1"/>
      <c r="F401" s="1"/>
      <c r="G401" s="1"/>
      <c r="H401" s="1" t="b">
        <f>IFERROR(__xludf.DUMMYFUNCTION("""COMPUTED_VALUE"""),FALSE)</f>
        <v>0</v>
      </c>
      <c r="I401" s="1" t="str">
        <f>IFERROR(__xludf.DUMMYFUNCTION("""COMPUTED_VALUE"""),"Land of Spira")</f>
        <v>Land of Spira</v>
      </c>
    </row>
    <row r="402">
      <c r="A402" s="1" t="str">
        <f>IFERROR(__xludf.DUMMYFUNCTION("""COMPUTED_VALUE"""),"Yeast")</f>
        <v>Yeast</v>
      </c>
      <c r="B402" s="1" t="str">
        <f>IFERROR(__xludf.DUMMYFUNCTION("""COMPUTED_VALUE"""),"Crafting Material, roll a d20 to see how many you get if this is a loot drop.")</f>
        <v>Crafting Material, roll a d20 to see how many you get if this is a loot drop.</v>
      </c>
      <c r="C402" s="1" t="str">
        <f>IFERROR(__xludf.DUMMYFUNCTION("""COMPUTED_VALUE"""),"Item")</f>
        <v>Item</v>
      </c>
      <c r="D402" s="1"/>
      <c r="E402" s="1"/>
      <c r="F402" s="1"/>
      <c r="G402" s="1"/>
      <c r="H402" s="1" t="b">
        <f>IFERROR(__xludf.DUMMYFUNCTION("""COMPUTED_VALUE"""),FALSE)</f>
        <v>0</v>
      </c>
      <c r="I402" s="1" t="str">
        <f>IFERROR(__xludf.DUMMYFUNCTION("""COMPUTED_VALUE"""),"Land of Spira")</f>
        <v>Land of Spira</v>
      </c>
    </row>
    <row r="403">
      <c r="A403" s="1" t="str">
        <f>IFERROR(__xludf.DUMMYFUNCTION("""COMPUTED_VALUE"""),"Mead")</f>
        <v>Mead</v>
      </c>
      <c r="B403" s="1" t="str">
        <f>IFERROR(__xludf.DUMMYFUNCTION("""COMPUTED_VALUE"""),"25 Thirst")</f>
        <v>25 Thirst</v>
      </c>
      <c r="C403" s="1" t="str">
        <f>IFERROR(__xludf.DUMMYFUNCTION("""COMPUTED_VALUE"""),"Item")</f>
        <v>Item</v>
      </c>
      <c r="D403" s="1"/>
      <c r="E403" s="1"/>
      <c r="F403" s="1"/>
      <c r="G403" s="1"/>
      <c r="H403" s="1" t="b">
        <f>IFERROR(__xludf.DUMMYFUNCTION("""COMPUTED_VALUE"""),FALSE)</f>
        <v>0</v>
      </c>
      <c r="I403" s="1" t="str">
        <f>IFERROR(__xludf.DUMMYFUNCTION("""COMPUTED_VALUE"""),"Land of Spira")</f>
        <v>Land of Spira</v>
      </c>
    </row>
    <row r="404">
      <c r="A404" s="1" t="str">
        <f>IFERROR(__xludf.DUMMYFUNCTION("""COMPUTED_VALUE"""),"Water Tome Rank 9")</f>
        <v>Water Tome Rank 9</v>
      </c>
      <c r="B404" s="1" t="str">
        <f>IFERROR(__xludf.DUMMYFUNCTION("""COMPUTED_VALUE"""),"Can use up to Rank 9 Water Spells")</f>
        <v>Can use up to Rank 9 Water Spells</v>
      </c>
      <c r="C404" s="1" t="str">
        <f>IFERROR(__xludf.DUMMYFUNCTION("""COMPUTED_VALUE"""),"Item")</f>
        <v>Item</v>
      </c>
      <c r="D404" s="1"/>
      <c r="E404" s="1"/>
      <c r="F404" s="1"/>
      <c r="G404" s="1"/>
      <c r="H404" s="1" t="b">
        <f>IFERROR(__xludf.DUMMYFUNCTION("""COMPUTED_VALUE"""),FALSE)</f>
        <v>0</v>
      </c>
      <c r="I404" s="1" t="str">
        <f>IFERROR(__xludf.DUMMYFUNCTION("""COMPUTED_VALUE"""),"Land of Spira")</f>
        <v>Land of Spira</v>
      </c>
    </row>
    <row r="405">
      <c r="A405" s="1" t="str">
        <f>IFERROR(__xludf.DUMMYFUNCTION("""COMPUTED_VALUE"""),"Dragon Flute")</f>
        <v>Dragon Flute</v>
      </c>
      <c r="B405" s="1" t="str">
        <f>IFERROR(__xludf.DUMMYFUNCTION("""COMPUTED_VALUE"""),"Summons 1 of the following dragons with a d4 roll: Fire Dragon, Poison Dragon, Storm Dragon, Ancient Water Dragon (Can only be used once) (Level determined by dm/gm)")</f>
        <v>Summons 1 of the following dragons with a d4 roll: Fire Dragon, Poison Dragon, Storm Dragon, Ancient Water Dragon (Can only be used once) (Level determined by dm/gm)</v>
      </c>
      <c r="C405" s="1" t="str">
        <f>IFERROR(__xludf.DUMMYFUNCTION("""COMPUTED_VALUE"""),"Item")</f>
        <v>Item</v>
      </c>
      <c r="D405" s="1"/>
      <c r="E405" s="1"/>
      <c r="F405" s="1"/>
      <c r="G405" s="1"/>
      <c r="H405" s="1" t="b">
        <f>IFERROR(__xludf.DUMMYFUNCTION("""COMPUTED_VALUE"""),FALSE)</f>
        <v>0</v>
      </c>
      <c r="I405" s="1" t="str">
        <f>IFERROR(__xludf.DUMMYFUNCTION("""COMPUTED_VALUE"""),"Land of Spira")</f>
        <v>Land of Spira</v>
      </c>
    </row>
    <row r="406">
      <c r="A406" s="1" t="str">
        <f>IFERROR(__xludf.DUMMYFUNCTION("""COMPUTED_VALUE"""),"Last Resort Potion")</f>
        <v>Last Resort Potion</v>
      </c>
      <c r="B406" s="1" t="str">
        <f>IFERROR(__xludf.DUMMYFUNCTION("""COMPUTED_VALUE"""),"You can only use this when you have no sp left. When consumed, Gain all of your sp and hp back and deal X4 towards your next attack, but you will instantly die after 3 rounds.")</f>
        <v>You can only use this when you have no sp left. When consumed, Gain all of your sp and hp back and deal X4 towards your next attack, but you will instantly die after 3 rounds.</v>
      </c>
      <c r="C406" s="1" t="str">
        <f>IFERROR(__xludf.DUMMYFUNCTION("""COMPUTED_VALUE"""),"Item")</f>
        <v>Item</v>
      </c>
      <c r="D406" s="1"/>
      <c r="E406" s="1"/>
      <c r="F406" s="1"/>
      <c r="G406" s="1"/>
      <c r="H406" s="1" t="b">
        <f>IFERROR(__xludf.DUMMYFUNCTION("""COMPUTED_VALUE"""),FALSE)</f>
        <v>0</v>
      </c>
      <c r="I406" s="1" t="str">
        <f>IFERROR(__xludf.DUMMYFUNCTION("""COMPUTED_VALUE"""),"Land of Spira")</f>
        <v>Land of Spira</v>
      </c>
    </row>
    <row r="407">
      <c r="A407" s="1" t="str">
        <f>IFERROR(__xludf.DUMMYFUNCTION("""COMPUTED_VALUE"""),"Fish in a Bottle")</f>
        <v>Fish in a Bottle</v>
      </c>
      <c r="B407" s="1" t="str">
        <f>IFERROR(__xludf.DUMMYFUNCTION("""COMPUTED_VALUE"""),"Consume to regain 50HP and 50SP")</f>
        <v>Consume to regain 50HP and 50SP</v>
      </c>
      <c r="C407" s="1" t="str">
        <f>IFERROR(__xludf.DUMMYFUNCTION("""COMPUTED_VALUE"""),"Item")</f>
        <v>Item</v>
      </c>
      <c r="D407" s="1"/>
      <c r="E407" s="1"/>
      <c r="F407" s="1"/>
      <c r="G407" s="1"/>
      <c r="H407" s="1" t="b">
        <f>IFERROR(__xludf.DUMMYFUNCTION("""COMPUTED_VALUE"""),FALSE)</f>
        <v>0</v>
      </c>
      <c r="I407" s="1" t="str">
        <f>IFERROR(__xludf.DUMMYFUNCTION("""COMPUTED_VALUE"""),"Land of Spira")</f>
        <v>Land of Spira</v>
      </c>
    </row>
    <row r="408">
      <c r="A408" s="1" t="str">
        <f>IFERROR(__xludf.DUMMYFUNCTION("""COMPUTED_VALUE"""),"Barrel of Poisonous Water")</f>
        <v>Barrel of Poisonous Water</v>
      </c>
      <c r="B408" s="1" t="str">
        <f>IFERROR(__xludf.DUMMYFUNCTION("""COMPUTED_VALUE"""),"POISON THE QUEEN!")</f>
        <v>POISON THE QUEEN!</v>
      </c>
      <c r="C408" s="1" t="str">
        <f>IFERROR(__xludf.DUMMYFUNCTION("""COMPUTED_VALUE"""),"Item")</f>
        <v>Item</v>
      </c>
      <c r="D408" s="1"/>
      <c r="E408" s="1"/>
      <c r="F408" s="1"/>
      <c r="G408" s="1"/>
      <c r="H408" s="1" t="b">
        <f>IFERROR(__xludf.DUMMYFUNCTION("""COMPUTED_VALUE"""),FALSE)</f>
        <v>0</v>
      </c>
      <c r="I408" s="1" t="str">
        <f>IFERROR(__xludf.DUMMYFUNCTION("""COMPUTED_VALUE"""),"Land of Spira")</f>
        <v>Land of Spira</v>
      </c>
    </row>
    <row r="409">
      <c r="A409" s="1" t="str">
        <f>IFERROR(__xludf.DUMMYFUNCTION("""COMPUTED_VALUE"""),"Live Worm")</f>
        <v>Live Worm</v>
      </c>
      <c r="B409" s="1" t="str">
        <f>IFERROR(__xludf.DUMMYFUNCTION("""COMPUTED_VALUE"""),"Can be used as bait. 1 use per worm")</f>
        <v>Can be used as bait. 1 use per worm</v>
      </c>
      <c r="C409" s="1" t="str">
        <f>IFERROR(__xludf.DUMMYFUNCTION("""COMPUTED_VALUE"""),"Item")</f>
        <v>Item</v>
      </c>
      <c r="D409" s="1"/>
      <c r="E409" s="1"/>
      <c r="F409" s="1"/>
      <c r="G409" s="1"/>
      <c r="H409" s="1" t="b">
        <f>IFERROR(__xludf.DUMMYFUNCTION("""COMPUTED_VALUE"""),FALSE)</f>
        <v>0</v>
      </c>
      <c r="I409" s="1" t="str">
        <f>IFERROR(__xludf.DUMMYFUNCTION("""COMPUTED_VALUE"""),"Land of Spira")</f>
        <v>Land of Spira</v>
      </c>
    </row>
    <row r="410">
      <c r="A410" s="1" t="str">
        <f>IFERROR(__xludf.DUMMYFUNCTION("""COMPUTED_VALUE"""),"Iron Fishing Pole")</f>
        <v>Iron Fishing Pole</v>
      </c>
      <c r="B410" s="1" t="str">
        <f>IFERROR(__xludf.DUMMYFUNCTION("""COMPUTED_VALUE"""),"20/20 Uses. Used for fishing.")</f>
        <v>20/20 Uses. Used for fishing.</v>
      </c>
      <c r="C410" s="1" t="str">
        <f>IFERROR(__xludf.DUMMYFUNCTION("""COMPUTED_VALUE"""),"Item")</f>
        <v>Item</v>
      </c>
      <c r="D410" s="1"/>
      <c r="E410" s="1"/>
      <c r="F410" s="1"/>
      <c r="G410" s="1"/>
      <c r="H410" s="1" t="b">
        <f>IFERROR(__xludf.DUMMYFUNCTION("""COMPUTED_VALUE"""),FALSE)</f>
        <v>0</v>
      </c>
      <c r="I410" s="1" t="str">
        <f>IFERROR(__xludf.DUMMYFUNCTION("""COMPUTED_VALUE"""),"Land of Spira")</f>
        <v>Land of Spira</v>
      </c>
    </row>
    <row r="411">
      <c r="A411" s="1" t="str">
        <f>IFERROR(__xludf.DUMMYFUNCTION("""COMPUTED_VALUE"""),"Fishing Lure Beginner")</f>
        <v>Fishing Lure Beginner</v>
      </c>
      <c r="B411" s="1" t="str">
        <f>IFERROR(__xludf.DUMMYFUNCTION("""COMPUTED_VALUE"""),"Used for fishing competition, add a +1 or -1 to your fishing rolls")</f>
        <v>Used for fishing competition, add a +1 or -1 to your fishing rolls</v>
      </c>
      <c r="C411" s="1" t="str">
        <f>IFERROR(__xludf.DUMMYFUNCTION("""COMPUTED_VALUE"""),"Item")</f>
        <v>Item</v>
      </c>
      <c r="D411" s="1"/>
      <c r="E411" s="1"/>
      <c r="F411" s="1"/>
      <c r="G411" s="1"/>
      <c r="H411" s="1" t="b">
        <f>IFERROR(__xludf.DUMMYFUNCTION("""COMPUTED_VALUE"""),FALSE)</f>
        <v>0</v>
      </c>
      <c r="I411" s="1" t="str">
        <f>IFERROR(__xludf.DUMMYFUNCTION("""COMPUTED_VALUE"""),"Land of Spira")</f>
        <v>Land of Spira</v>
      </c>
    </row>
    <row r="412">
      <c r="A412" s="1" t="str">
        <f>IFERROR(__xludf.DUMMYFUNCTION("""COMPUTED_VALUE"""),"Fishing Lure Moderate")</f>
        <v>Fishing Lure Moderate</v>
      </c>
      <c r="B412" s="1" t="str">
        <f>IFERROR(__xludf.DUMMYFUNCTION("""COMPUTED_VALUE"""),"Used for fishing competition, add a +3 or -3 to your fishing rolls")</f>
        <v>Used for fishing competition, add a +3 or -3 to your fishing rolls</v>
      </c>
      <c r="C412" s="1" t="str">
        <f>IFERROR(__xludf.DUMMYFUNCTION("""COMPUTED_VALUE"""),"Item")</f>
        <v>Item</v>
      </c>
      <c r="D412" s="1"/>
      <c r="E412" s="1"/>
      <c r="F412" s="1"/>
      <c r="G412" s="1"/>
      <c r="H412" s="1" t="b">
        <f>IFERROR(__xludf.DUMMYFUNCTION("""COMPUTED_VALUE"""),FALSE)</f>
        <v>0</v>
      </c>
      <c r="I412" s="1" t="str">
        <f>IFERROR(__xludf.DUMMYFUNCTION("""COMPUTED_VALUE"""),"Land of Spira")</f>
        <v>Land of Spira</v>
      </c>
    </row>
    <row r="413">
      <c r="A413" s="1" t="str">
        <f>IFERROR(__xludf.DUMMYFUNCTION("""COMPUTED_VALUE"""),"Fishing Lure Expert")</f>
        <v>Fishing Lure Expert</v>
      </c>
      <c r="B413" s="1" t="str">
        <f>IFERROR(__xludf.DUMMYFUNCTION("""COMPUTED_VALUE"""),"Used for fishing competition, add a +5 or -5 to your fishing rolls")</f>
        <v>Used for fishing competition, add a +5 or -5 to your fishing rolls</v>
      </c>
      <c r="C413" s="1" t="str">
        <f>IFERROR(__xludf.DUMMYFUNCTION("""COMPUTED_VALUE"""),"Item")</f>
        <v>Item</v>
      </c>
      <c r="D413" s="1"/>
      <c r="E413" s="1"/>
      <c r="F413" s="1"/>
      <c r="G413" s="1"/>
      <c r="H413" s="1" t="b">
        <f>IFERROR(__xludf.DUMMYFUNCTION("""COMPUTED_VALUE"""),FALSE)</f>
        <v>0</v>
      </c>
      <c r="I413" s="1" t="str">
        <f>IFERROR(__xludf.DUMMYFUNCTION("""COMPUTED_VALUE"""),"Land of Spira")</f>
        <v>Land of Spira</v>
      </c>
    </row>
    <row r="414">
      <c r="A414" s="1" t="str">
        <f>IFERROR(__xludf.DUMMYFUNCTION("""COMPUTED_VALUE"""),"Fossilized Water Dragon Bones")</f>
        <v>Fossilized Water Dragon Bones</v>
      </c>
      <c r="B414" s="1" t="str">
        <f>IFERROR(__xludf.DUMMYFUNCTION("""COMPUTED_VALUE"""),"Crafting Material, roll a d20 to see how many you get if this is a loot drop.")</f>
        <v>Crafting Material, roll a d20 to see how many you get if this is a loot drop.</v>
      </c>
      <c r="C414" s="1" t="str">
        <f>IFERROR(__xludf.DUMMYFUNCTION("""COMPUTED_VALUE"""),"Item")</f>
        <v>Item</v>
      </c>
      <c r="D414" s="1"/>
      <c r="E414" s="1"/>
      <c r="F414" s="1"/>
      <c r="G414" s="1"/>
      <c r="H414" s="1" t="b">
        <f>IFERROR(__xludf.DUMMYFUNCTION("""COMPUTED_VALUE"""),FALSE)</f>
        <v>0</v>
      </c>
      <c r="I414" s="1" t="str">
        <f>IFERROR(__xludf.DUMMYFUNCTION("""COMPUTED_VALUE"""),"Land of Spira")</f>
        <v>Land of Spira</v>
      </c>
    </row>
    <row r="415">
      <c r="A415" s="1" t="str">
        <f>IFERROR(__xludf.DUMMYFUNCTION("""COMPUTED_VALUE"""),"Return Home Gem")</f>
        <v>Return Home Gem</v>
      </c>
      <c r="B415" s="1" t="str">
        <f>IFERROR(__xludf.DUMMYFUNCTION("""COMPUTED_VALUE"""),"Only one per player in backpack. Instantly teleports you to the last town you were at without fail.")</f>
        <v>Only one per player in backpack. Instantly teleports you to the last town you were at without fail.</v>
      </c>
      <c r="C415" s="1" t="str">
        <f>IFERROR(__xludf.DUMMYFUNCTION("""COMPUTED_VALUE"""),"Item")</f>
        <v>Item</v>
      </c>
      <c r="D415" s="1"/>
      <c r="E415" s="1"/>
      <c r="F415" s="1"/>
      <c r="G415" s="1"/>
      <c r="H415" s="1" t="b">
        <f>IFERROR(__xludf.DUMMYFUNCTION("""COMPUTED_VALUE"""),FALSE)</f>
        <v>0</v>
      </c>
      <c r="I415" s="1" t="str">
        <f>IFERROR(__xludf.DUMMYFUNCTION("""COMPUTED_VALUE"""),"Land of Spira")</f>
        <v>Land of Spira</v>
      </c>
    </row>
    <row r="416">
      <c r="A416" s="1" t="str">
        <f>IFERROR(__xludf.DUMMYFUNCTION("""COMPUTED_VALUE"""),"Immunity to water potion temp")</f>
        <v>Immunity to water potion temp</v>
      </c>
      <c r="B416" s="1" t="str">
        <f>IFERROR(__xludf.DUMMYFUNCTION("""COMPUTED_VALUE"""),"Immune to water based attacks for one battle (does not count as a turn)")</f>
        <v>Immune to water based attacks for one battle (does not count as a turn)</v>
      </c>
      <c r="C416" s="1" t="str">
        <f>IFERROR(__xludf.DUMMYFUNCTION("""COMPUTED_VALUE"""),"Item")</f>
        <v>Item</v>
      </c>
      <c r="D416" s="1"/>
      <c r="E416" s="1"/>
      <c r="F416" s="1"/>
      <c r="G416" s="1"/>
      <c r="H416" s="1" t="b">
        <f>IFERROR(__xludf.DUMMYFUNCTION("""COMPUTED_VALUE"""),FALSE)</f>
        <v>0</v>
      </c>
      <c r="I416" s="1" t="str">
        <f>IFERROR(__xludf.DUMMYFUNCTION("""COMPUTED_VALUE"""),"Land of Spira")</f>
        <v>Land of Spira</v>
      </c>
    </row>
    <row r="417">
      <c r="A417" s="1" t="str">
        <f>IFERROR(__xludf.DUMMYFUNCTION("""COMPUTED_VALUE"""),"Legendary Sea Monster Meat")</f>
        <v>Legendary Sea Monster Meat</v>
      </c>
      <c r="B417" s="1" t="str">
        <f>IFERROR(__xludf.DUMMYFUNCTION("""COMPUTED_VALUE"""),"Increase Health and Defense by 100 for next three battles (Can not be used in battle must be used between battles)")</f>
        <v>Increase Health and Defense by 100 for next three battles (Can not be used in battle must be used between battles)</v>
      </c>
      <c r="C417" s="1" t="str">
        <f>IFERROR(__xludf.DUMMYFUNCTION("""COMPUTED_VALUE"""),"Item")</f>
        <v>Item</v>
      </c>
      <c r="D417" s="1"/>
      <c r="E417" s="1"/>
      <c r="F417" s="1"/>
      <c r="G417" s="1"/>
      <c r="H417" s="1" t="b">
        <f>IFERROR(__xludf.DUMMYFUNCTION("""COMPUTED_VALUE"""),FALSE)</f>
        <v>0</v>
      </c>
      <c r="I417" s="1" t="str">
        <f>IFERROR(__xludf.DUMMYFUNCTION("""COMPUTED_VALUE"""),"Land of Spira")</f>
        <v>Land of Spira</v>
      </c>
    </row>
    <row r="418">
      <c r="A418" s="1" t="str">
        <f>IFERROR(__xludf.DUMMYFUNCTION("""COMPUTED_VALUE"""),"Scroll of The Sea Monster")</f>
        <v>Scroll of The Sea Monster</v>
      </c>
      <c r="B418" s="1" t="str">
        <f>IFERROR(__xludf.DUMMYFUNCTION("""COMPUTED_VALUE"""),"X2 to water damage for the caster until end of battle, water spells also become unblockable for 3 rounds.")</f>
        <v>X2 to water damage for the caster until end of battle, water spells also become unblockable for 3 rounds.</v>
      </c>
      <c r="C418" s="1" t="str">
        <f>IFERROR(__xludf.DUMMYFUNCTION("""COMPUTED_VALUE"""),"Item")</f>
        <v>Item</v>
      </c>
      <c r="D418" s="1"/>
      <c r="E418" s="1"/>
      <c r="F418" s="1"/>
      <c r="G418" s="1"/>
      <c r="H418" s="1" t="b">
        <f>IFERROR(__xludf.DUMMYFUNCTION("""COMPUTED_VALUE"""),FALSE)</f>
        <v>0</v>
      </c>
      <c r="I418" s="1" t="str">
        <f>IFERROR(__xludf.DUMMYFUNCTION("""COMPUTED_VALUE"""),"Land of Spira")</f>
        <v>Land of Spira</v>
      </c>
    </row>
    <row r="419">
      <c r="A419" s="1" t="str">
        <f>IFERROR(__xludf.DUMMYFUNCTION("""COMPUTED_VALUE"""),"Paper scraps")</f>
        <v>Paper scraps</v>
      </c>
      <c r="B419" s="1" t="str">
        <f>IFERROR(__xludf.DUMMYFUNCTION("""COMPUTED_VALUE"""),"Crafting Material, roll a d20 to see how many you get if this is a loot drop.")</f>
        <v>Crafting Material, roll a d20 to see how many you get if this is a loot drop.</v>
      </c>
      <c r="C419" s="1" t="str">
        <f>IFERROR(__xludf.DUMMYFUNCTION("""COMPUTED_VALUE"""),"Item")</f>
        <v>Item</v>
      </c>
      <c r="D419" s="1"/>
      <c r="E419" s="1"/>
      <c r="F419" s="1"/>
      <c r="G419" s="1"/>
      <c r="H419" s="1" t="b">
        <f>IFERROR(__xludf.DUMMYFUNCTION("""COMPUTED_VALUE"""),FALSE)</f>
        <v>0</v>
      </c>
      <c r="I419" s="1" t="str">
        <f>IFERROR(__xludf.DUMMYFUNCTION("""COMPUTED_VALUE"""),"Land of Spira")</f>
        <v>Land of Spira</v>
      </c>
    </row>
    <row r="420">
      <c r="A420" s="1" t="str">
        <f>IFERROR(__xludf.DUMMYFUNCTION("""COMPUTED_VALUE"""),"Blank piece of paper")</f>
        <v>Blank piece of paper</v>
      </c>
      <c r="B420" s="1" t="str">
        <f>IFERROR(__xludf.DUMMYFUNCTION("""COMPUTED_VALUE"""),"Crafting Material, roll a d20 to see how many you get if this is a loot drop.")</f>
        <v>Crafting Material, roll a d20 to see how many you get if this is a loot drop.</v>
      </c>
      <c r="C420" s="1" t="str">
        <f>IFERROR(__xludf.DUMMYFUNCTION("""COMPUTED_VALUE"""),"Item")</f>
        <v>Item</v>
      </c>
      <c r="D420" s="1"/>
      <c r="E420" s="1"/>
      <c r="F420" s="1"/>
      <c r="G420" s="1"/>
      <c r="H420" s="1" t="b">
        <f>IFERROR(__xludf.DUMMYFUNCTION("""COMPUTED_VALUE"""),FALSE)</f>
        <v>0</v>
      </c>
      <c r="I420" s="1" t="str">
        <f>IFERROR(__xludf.DUMMYFUNCTION("""COMPUTED_VALUE"""),"Land of Spira")</f>
        <v>Land of Spira</v>
      </c>
    </row>
    <row r="421">
      <c r="A421" s="1" t="str">
        <f>IFERROR(__xludf.DUMMYFUNCTION("""COMPUTED_VALUE"""),"Broken pistol")</f>
        <v>Broken pistol</v>
      </c>
      <c r="B421" s="1" t="str">
        <f>IFERROR(__xludf.DUMMYFUNCTION("""COMPUTED_VALUE"""),"Crafting Material, roll a d20 to see how many you get if this is a loot drop.")</f>
        <v>Crafting Material, roll a d20 to see how many you get if this is a loot drop.</v>
      </c>
      <c r="C421" s="1" t="str">
        <f>IFERROR(__xludf.DUMMYFUNCTION("""COMPUTED_VALUE"""),"Item")</f>
        <v>Item</v>
      </c>
      <c r="D421" s="1"/>
      <c r="E421" s="1"/>
      <c r="F421" s="1"/>
      <c r="G421" s="1"/>
      <c r="H421" s="1" t="b">
        <f>IFERROR(__xludf.DUMMYFUNCTION("""COMPUTED_VALUE"""),FALSE)</f>
        <v>0</v>
      </c>
      <c r="I421" s="1" t="str">
        <f>IFERROR(__xludf.DUMMYFUNCTION("""COMPUTED_VALUE"""),"Land of Spira")</f>
        <v>Land of Spira</v>
      </c>
    </row>
    <row r="422">
      <c r="A422" s="1" t="str">
        <f>IFERROR(__xludf.DUMMYFUNCTION("""COMPUTED_VALUE"""),"Cannon Ball")</f>
        <v>Cannon Ball</v>
      </c>
      <c r="B422" s="1" t="str">
        <f>IFERROR(__xludf.DUMMYFUNCTION("""COMPUTED_VALUE"""),"Cannon Ammunition, +1000 damage. roll a d20 to see how many you get if this is a loot drop.")</f>
        <v>Cannon Ammunition, +1000 damage. roll a d20 to see how many you get if this is a loot drop.</v>
      </c>
      <c r="C422" s="1" t="str">
        <f>IFERROR(__xludf.DUMMYFUNCTION("""COMPUTED_VALUE"""),"Item")</f>
        <v>Item</v>
      </c>
      <c r="D422" s="1"/>
      <c r="E422" s="1"/>
      <c r="F422" s="1"/>
      <c r="G422" s="1"/>
      <c r="H422" s="1" t="b">
        <f>IFERROR(__xludf.DUMMYFUNCTION("""COMPUTED_VALUE"""),FALSE)</f>
        <v>0</v>
      </c>
      <c r="I422" s="1" t="str">
        <f>IFERROR(__xludf.DUMMYFUNCTION("""COMPUTED_VALUE"""),"Land of Spira")</f>
        <v>Land of Spira</v>
      </c>
    </row>
    <row r="423">
      <c r="A423" s="1" t="str">
        <f>IFERROR(__xludf.DUMMYFUNCTION("""COMPUTED_VALUE"""),"Blank Book")</f>
        <v>Blank Book</v>
      </c>
      <c r="B423" s="1" t="str">
        <f>IFERROR(__xludf.DUMMYFUNCTION("""COMPUTED_VALUE"""),"Crafting Material, roll a d20 to see how many you get.")</f>
        <v>Crafting Material, roll a d20 to see how many you get.</v>
      </c>
      <c r="C423" s="1" t="str">
        <f>IFERROR(__xludf.DUMMYFUNCTION("""COMPUTED_VALUE"""),"Item")</f>
        <v>Item</v>
      </c>
      <c r="D423" s="1"/>
      <c r="E423" s="1"/>
      <c r="F423" s="1"/>
      <c r="G423" s="1"/>
      <c r="H423" s="1" t="b">
        <f>IFERROR(__xludf.DUMMYFUNCTION("""COMPUTED_VALUE"""),FALSE)</f>
        <v>0</v>
      </c>
      <c r="I423" s="1" t="str">
        <f>IFERROR(__xludf.DUMMYFUNCTION("""COMPUTED_VALUE"""),"Land of Spira")</f>
        <v>Land of Spira</v>
      </c>
    </row>
    <row r="424">
      <c r="A424" s="1" t="str">
        <f>IFERROR(__xludf.DUMMYFUNCTION("""COMPUTED_VALUE"""),"Bronze")</f>
        <v>Bronze</v>
      </c>
      <c r="B424" s="1" t="str">
        <f>IFERROR(__xludf.DUMMYFUNCTION("""COMPUTED_VALUE"""),"Crafting Material, roll a d20 to see how many you get.")</f>
        <v>Crafting Material, roll a d20 to see how many you get.</v>
      </c>
      <c r="C424" s="1" t="str">
        <f>IFERROR(__xludf.DUMMYFUNCTION("""COMPUTED_VALUE"""),"Item")</f>
        <v>Item</v>
      </c>
      <c r="D424" s="1"/>
      <c r="E424" s="1"/>
      <c r="F424" s="1"/>
      <c r="G424" s="1"/>
      <c r="H424" s="1" t="b">
        <f>IFERROR(__xludf.DUMMYFUNCTION("""COMPUTED_VALUE"""),FALSE)</f>
        <v>0</v>
      </c>
      <c r="I424" s="1" t="str">
        <f>IFERROR(__xludf.DUMMYFUNCTION("""COMPUTED_VALUE"""),"Land of Spira")</f>
        <v>Land of Spira</v>
      </c>
    </row>
    <row r="425">
      <c r="A425" s="1" t="str">
        <f>IFERROR(__xludf.DUMMYFUNCTION("""COMPUTED_VALUE"""),"Diamond")</f>
        <v>Diamond</v>
      </c>
      <c r="B425" s="1" t="str">
        <f>IFERROR(__xludf.DUMMYFUNCTION("""COMPUTED_VALUE"""),"Crafting Material, roll a d20 to see how many you get.")</f>
        <v>Crafting Material, roll a d20 to see how many you get.</v>
      </c>
      <c r="C425" s="1" t="str">
        <f>IFERROR(__xludf.DUMMYFUNCTION("""COMPUTED_VALUE"""),"Item")</f>
        <v>Item</v>
      </c>
      <c r="D425" s="1"/>
      <c r="E425" s="1"/>
      <c r="F425" s="1"/>
      <c r="G425" s="1"/>
      <c r="H425" s="1" t="b">
        <f>IFERROR(__xludf.DUMMYFUNCTION("""COMPUTED_VALUE"""),FALSE)</f>
        <v>0</v>
      </c>
      <c r="I425" s="1" t="str">
        <f>IFERROR(__xludf.DUMMYFUNCTION("""COMPUTED_VALUE"""),"Land of Spira")</f>
        <v>Land of Spira</v>
      </c>
    </row>
    <row r="426">
      <c r="A426" s="1" t="str">
        <f>IFERROR(__xludf.DUMMYFUNCTION("""COMPUTED_VALUE"""),"Wood")</f>
        <v>Wood</v>
      </c>
      <c r="B426" s="1" t="str">
        <f>IFERROR(__xludf.DUMMYFUNCTION("""COMPUTED_VALUE"""),"Crafting Material, roll a d20 to see how many you get.")</f>
        <v>Crafting Material, roll a d20 to see how many you get.</v>
      </c>
      <c r="C426" s="1" t="str">
        <f>IFERROR(__xludf.DUMMYFUNCTION("""COMPUTED_VALUE"""),"Item")</f>
        <v>Item</v>
      </c>
      <c r="D426" s="1"/>
      <c r="E426" s="1"/>
      <c r="F426" s="1"/>
      <c r="G426" s="1"/>
      <c r="H426" s="1" t="b">
        <f>IFERROR(__xludf.DUMMYFUNCTION("""COMPUTED_VALUE"""),FALSE)</f>
        <v>0</v>
      </c>
      <c r="I426" s="1" t="str">
        <f>IFERROR(__xludf.DUMMYFUNCTION("""COMPUTED_VALUE"""),"Land of Spira")</f>
        <v>Land of Spira</v>
      </c>
    </row>
    <row r="427">
      <c r="A427" s="1" t="str">
        <f>IFERROR(__xludf.DUMMYFUNCTION("""COMPUTED_VALUE"""),"Stone")</f>
        <v>Stone</v>
      </c>
      <c r="B427" s="1" t="str">
        <f>IFERROR(__xludf.DUMMYFUNCTION("""COMPUTED_VALUE"""),"Crafting Material, roll a d20 to see how many you get.")</f>
        <v>Crafting Material, roll a d20 to see how many you get.</v>
      </c>
      <c r="C427" s="1" t="str">
        <f>IFERROR(__xludf.DUMMYFUNCTION("""COMPUTED_VALUE"""),"Item")</f>
        <v>Item</v>
      </c>
      <c r="D427" s="1"/>
      <c r="E427" s="1"/>
      <c r="F427" s="1"/>
      <c r="G427" s="1"/>
      <c r="H427" s="1" t="b">
        <f>IFERROR(__xludf.DUMMYFUNCTION("""COMPUTED_VALUE"""),FALSE)</f>
        <v>0</v>
      </c>
      <c r="I427" s="1" t="str">
        <f>IFERROR(__xludf.DUMMYFUNCTION("""COMPUTED_VALUE"""),"Land of Spira")</f>
        <v>Land of Spira</v>
      </c>
    </row>
    <row r="428">
      <c r="A428" s="1" t="str">
        <f>IFERROR(__xludf.DUMMYFUNCTION("""COMPUTED_VALUE"""),"Raw Meat")</f>
        <v>Raw Meat</v>
      </c>
      <c r="B428" s="1" t="str">
        <f>IFERROR(__xludf.DUMMYFUNCTION("""COMPUTED_VALUE"""),"-100 Hunger")</f>
        <v>-100 Hunger</v>
      </c>
      <c r="C428" s="1" t="str">
        <f>IFERROR(__xludf.DUMMYFUNCTION("""COMPUTED_VALUE"""),"Crop")</f>
        <v>Crop</v>
      </c>
      <c r="D428" s="1"/>
      <c r="E428" s="1"/>
      <c r="F428" s="1"/>
      <c r="G428" s="1"/>
      <c r="H428" s="1" t="b">
        <f>IFERROR(__xludf.DUMMYFUNCTION("""COMPUTED_VALUE"""),FALSE)</f>
        <v>0</v>
      </c>
      <c r="I428" s="1" t="str">
        <f>IFERROR(__xludf.DUMMYFUNCTION("""COMPUTED_VALUE"""),"Land of Spira")</f>
        <v>Land of Spira</v>
      </c>
    </row>
    <row r="429">
      <c r="A429" s="1" t="str">
        <f>IFERROR(__xludf.DUMMYFUNCTION("""COMPUTED_VALUE"""),"Cooked Meat")</f>
        <v>Cooked Meat</v>
      </c>
      <c r="B429" s="1" t="str">
        <f>IFERROR(__xludf.DUMMYFUNCTION("""COMPUTED_VALUE"""),"Restores 35 Hunger")</f>
        <v>Restores 35 Hunger</v>
      </c>
      <c r="C429" s="1" t="str">
        <f>IFERROR(__xludf.DUMMYFUNCTION("""COMPUTED_VALUE"""),"Crop")</f>
        <v>Crop</v>
      </c>
      <c r="D429" s="1"/>
      <c r="E429" s="1"/>
      <c r="F429" s="1"/>
      <c r="G429" s="1"/>
      <c r="H429" s="1" t="b">
        <f>IFERROR(__xludf.DUMMYFUNCTION("""COMPUTED_VALUE"""),FALSE)</f>
        <v>0</v>
      </c>
      <c r="I429" s="1" t="str">
        <f>IFERROR(__xludf.DUMMYFUNCTION("""COMPUTED_VALUE"""),"Land of Spira")</f>
        <v>Land of Spira</v>
      </c>
    </row>
    <row r="430">
      <c r="A430" s="1" t="str">
        <f>IFERROR(__xludf.DUMMYFUNCTION("""COMPUTED_VALUE"""),"Dried Meat")</f>
        <v>Dried Meat</v>
      </c>
      <c r="B430" s="1" t="str">
        <f>IFERROR(__xludf.DUMMYFUNCTION("""COMPUTED_VALUE"""),"25 Hunger")</f>
        <v>25 Hunger</v>
      </c>
      <c r="C430" s="1" t="str">
        <f>IFERROR(__xludf.DUMMYFUNCTION("""COMPUTED_VALUE"""),"Crop")</f>
        <v>Crop</v>
      </c>
      <c r="D430" s="1"/>
      <c r="E430" s="1"/>
      <c r="F430" s="1"/>
      <c r="G430" s="1"/>
      <c r="H430" s="1" t="b">
        <f>IFERROR(__xludf.DUMMYFUNCTION("""COMPUTED_VALUE"""),FALSE)</f>
        <v>0</v>
      </c>
      <c r="I430" s="1" t="str">
        <f>IFERROR(__xludf.DUMMYFUNCTION("""COMPUTED_VALUE"""),"Land of Spira")</f>
        <v>Land of Spira</v>
      </c>
    </row>
    <row r="431">
      <c r="A431" s="1" t="str">
        <f>IFERROR(__xludf.DUMMYFUNCTION("""COMPUTED_VALUE"""),"Medium Rare Steak")</f>
        <v>Medium Rare Steak</v>
      </c>
      <c r="B431" s="1" t="str">
        <f>IFERROR(__xludf.DUMMYFUNCTION("""COMPUTED_VALUE"""),"Restores 30 Hunger and 5 HP")</f>
        <v>Restores 30 Hunger and 5 HP</v>
      </c>
      <c r="C431" s="1" t="str">
        <f>IFERROR(__xludf.DUMMYFUNCTION("""COMPUTED_VALUE"""),"Crop")</f>
        <v>Crop</v>
      </c>
      <c r="D431" s="1"/>
      <c r="E431" s="1"/>
      <c r="F431" s="1"/>
      <c r="G431" s="1"/>
      <c r="H431" s="1" t="b">
        <f>IFERROR(__xludf.DUMMYFUNCTION("""COMPUTED_VALUE"""),FALSE)</f>
        <v>0</v>
      </c>
      <c r="I431" s="1" t="str">
        <f>IFERROR(__xludf.DUMMYFUNCTION("""COMPUTED_VALUE"""),"Land of Spira")</f>
        <v>Land of Spira</v>
      </c>
    </row>
    <row r="432">
      <c r="A432" s="1" t="str">
        <f>IFERROR(__xludf.DUMMYFUNCTION("""COMPUTED_VALUE"""),"Well Done Steak")</f>
        <v>Well Done Steak</v>
      </c>
      <c r="B432" s="1" t="str">
        <f>IFERROR(__xludf.DUMMYFUNCTION("""COMPUTED_VALUE"""),"10 Hunger and 3 HP are restored each turn for the next three turns")</f>
        <v>10 Hunger and 3 HP are restored each turn for the next three turns</v>
      </c>
      <c r="C432" s="1" t="str">
        <f>IFERROR(__xludf.DUMMYFUNCTION("""COMPUTED_VALUE"""),"Crop")</f>
        <v>Crop</v>
      </c>
      <c r="D432" s="1"/>
      <c r="E432" s="1"/>
      <c r="F432" s="1"/>
      <c r="G432" s="1"/>
      <c r="H432" s="1" t="b">
        <f>IFERROR(__xludf.DUMMYFUNCTION("""COMPUTED_VALUE"""),FALSE)</f>
        <v>0</v>
      </c>
      <c r="I432" s="1" t="str">
        <f>IFERROR(__xludf.DUMMYFUNCTION("""COMPUTED_VALUE"""),"Land of Spira")</f>
        <v>Land of Spira</v>
      </c>
    </row>
    <row r="433">
      <c r="A433" s="1" t="str">
        <f>IFERROR(__xludf.DUMMYFUNCTION("""COMPUTED_VALUE"""),"Kebab")</f>
        <v>Kebab</v>
      </c>
      <c r="B433" s="1" t="str">
        <f>IFERROR(__xludf.DUMMYFUNCTION("""COMPUTED_VALUE"""),"Restores 10 Hunger, 5 HP, and 15 SP")</f>
        <v>Restores 10 Hunger, 5 HP, and 15 SP</v>
      </c>
      <c r="C433" s="1" t="str">
        <f>IFERROR(__xludf.DUMMYFUNCTION("""COMPUTED_VALUE"""),"Crop")</f>
        <v>Crop</v>
      </c>
      <c r="D433" s="1"/>
      <c r="E433" s="1"/>
      <c r="F433" s="1"/>
      <c r="G433" s="1"/>
      <c r="H433" s="1" t="b">
        <f>IFERROR(__xludf.DUMMYFUNCTION("""COMPUTED_VALUE"""),FALSE)</f>
        <v>0</v>
      </c>
      <c r="I433" s="1" t="str">
        <f>IFERROR(__xludf.DUMMYFUNCTION("""COMPUTED_VALUE"""),"Land of Spira")</f>
        <v>Land of Spira</v>
      </c>
    </row>
    <row r="434">
      <c r="A434" s="1" t="str">
        <f>IFERROR(__xludf.DUMMYFUNCTION("""COMPUTED_VALUE"""),"Melon Bread")</f>
        <v>Melon Bread</v>
      </c>
      <c r="B434" s="1" t="str">
        <f>IFERROR(__xludf.DUMMYFUNCTION("""COMPUTED_VALUE"""),"15 Hunger")</f>
        <v>15 Hunger</v>
      </c>
      <c r="C434" s="1" t="str">
        <f>IFERROR(__xludf.DUMMYFUNCTION("""COMPUTED_VALUE"""),"Crop")</f>
        <v>Crop</v>
      </c>
      <c r="D434" s="1"/>
      <c r="E434" s="1"/>
      <c r="F434" s="1"/>
      <c r="G434" s="1"/>
      <c r="H434" s="1" t="b">
        <f>IFERROR(__xludf.DUMMYFUNCTION("""COMPUTED_VALUE"""),FALSE)</f>
        <v>0</v>
      </c>
      <c r="I434" s="1" t="str">
        <f>IFERROR(__xludf.DUMMYFUNCTION("""COMPUTED_VALUE"""),"Land of Spira")</f>
        <v>Land of Spira</v>
      </c>
    </row>
    <row r="435">
      <c r="A435" s="1" t="str">
        <f>IFERROR(__xludf.DUMMYFUNCTION("""COMPUTED_VALUE"""),"Cake")</f>
        <v>Cake</v>
      </c>
      <c r="B435" s="1" t="str">
        <f>IFERROR(__xludf.DUMMYFUNCTION("""COMPUTED_VALUE"""),"8 uses, each use restores 20 Hunger")</f>
        <v>8 uses, each use restores 20 Hunger</v>
      </c>
      <c r="C435" s="1" t="str">
        <f>IFERROR(__xludf.DUMMYFUNCTION("""COMPUTED_VALUE"""),"Crop")</f>
        <v>Crop</v>
      </c>
      <c r="D435" s="1"/>
      <c r="E435" s="1"/>
      <c r="F435" s="1"/>
      <c r="G435" s="1"/>
      <c r="H435" s="1" t="b">
        <f>IFERROR(__xludf.DUMMYFUNCTION("""COMPUTED_VALUE"""),FALSE)</f>
        <v>0</v>
      </c>
      <c r="I435" s="1" t="str">
        <f>IFERROR(__xludf.DUMMYFUNCTION("""COMPUTED_VALUE"""),"Land of Spira")</f>
        <v>Land of Spira</v>
      </c>
    </row>
    <row r="436">
      <c r="A436" s="1" t="str">
        <f>IFERROR(__xludf.DUMMYFUNCTION("""COMPUTED_VALUE"""),"Cherry Pie")</f>
        <v>Cherry Pie</v>
      </c>
      <c r="B436" s="1" t="str">
        <f>IFERROR(__xludf.DUMMYFUNCTION("""COMPUTED_VALUE"""),"4 uses, restores 20 Hunger, 10 HP, and 5 SP with each use")</f>
        <v>4 uses, restores 20 Hunger, 10 HP, and 5 SP with each use</v>
      </c>
      <c r="C436" s="1" t="str">
        <f>IFERROR(__xludf.DUMMYFUNCTION("""COMPUTED_VALUE"""),"Crop")</f>
        <v>Crop</v>
      </c>
      <c r="D436" s="1"/>
      <c r="E436" s="1"/>
      <c r="F436" s="1"/>
      <c r="G436" s="1"/>
      <c r="H436" s="1" t="b">
        <f>IFERROR(__xludf.DUMMYFUNCTION("""COMPUTED_VALUE"""),FALSE)</f>
        <v>0</v>
      </c>
      <c r="I436" s="1" t="str">
        <f>IFERROR(__xludf.DUMMYFUNCTION("""COMPUTED_VALUE"""),"Land of Spira")</f>
        <v>Land of Spira</v>
      </c>
    </row>
    <row r="437">
      <c r="A437" s="1" t="str">
        <f>IFERROR(__xludf.DUMMYFUNCTION("""COMPUTED_VALUE"""),"Saltwater")</f>
        <v>Saltwater</v>
      </c>
      <c r="B437" s="1" t="str">
        <f>IFERROR(__xludf.DUMMYFUNCTION("""COMPUTED_VALUE"""),"Crafting Material, roll a d20 to see how many you get if this is a loot drop.")</f>
        <v>Crafting Material, roll a d20 to see how many you get if this is a loot drop.</v>
      </c>
      <c r="C437" s="1" t="str">
        <f>IFERROR(__xludf.DUMMYFUNCTION("""COMPUTED_VALUE"""),"Item")</f>
        <v>Item</v>
      </c>
      <c r="D437" s="1"/>
      <c r="E437" s="1"/>
      <c r="F437" s="1"/>
      <c r="G437" s="1"/>
      <c r="H437" s="1" t="b">
        <f>IFERROR(__xludf.DUMMYFUNCTION("""COMPUTED_VALUE"""),FALSE)</f>
        <v>0</v>
      </c>
      <c r="I437" s="1" t="str">
        <f>IFERROR(__xludf.DUMMYFUNCTION("""COMPUTED_VALUE"""),"Land of Spira")</f>
        <v>Land of Spira</v>
      </c>
    </row>
    <row r="438">
      <c r="A438" s="1" t="str">
        <f>IFERROR(__xludf.DUMMYFUNCTION("""COMPUTED_VALUE"""),"Fisherman’s Lucky Totem")</f>
        <v>Fisherman’s Lucky Totem</v>
      </c>
      <c r="B438" s="1" t="str">
        <f>IFERROR(__xludf.DUMMYFUNCTION("""COMPUTED_VALUE"""),"This will Guarantee you 1 fish from a quest")</f>
        <v>This will Guarantee you 1 fish from a quest</v>
      </c>
      <c r="C438" s="1" t="str">
        <f>IFERROR(__xludf.DUMMYFUNCTION("""COMPUTED_VALUE"""),"Item")</f>
        <v>Item</v>
      </c>
      <c r="D438" s="1"/>
      <c r="E438" s="1"/>
      <c r="F438" s="1"/>
      <c r="G438" s="1"/>
      <c r="H438" s="1" t="b">
        <f>IFERROR(__xludf.DUMMYFUNCTION("""COMPUTED_VALUE"""),FALSE)</f>
        <v>0</v>
      </c>
      <c r="I438" s="1" t="str">
        <f>IFERROR(__xludf.DUMMYFUNCTION("""COMPUTED_VALUE"""),"Land of Spira")</f>
        <v>Land of Spira</v>
      </c>
    </row>
    <row r="439">
      <c r="A439" s="1" t="str">
        <f>IFERROR(__xludf.DUMMYFUNCTION("""COMPUTED_VALUE"""),"The Fish Pendant")</f>
        <v>The Fish Pendant</v>
      </c>
      <c r="B439" s="1" t="str">
        <f>IFERROR(__xludf.DUMMYFUNCTION("""COMPUTED_VALUE"""),"Choose the rarity of the fish when fishing during a quest.")</f>
        <v>Choose the rarity of the fish when fishing during a quest.</v>
      </c>
      <c r="C439" s="1" t="str">
        <f>IFERROR(__xludf.DUMMYFUNCTION("""COMPUTED_VALUE"""),"Item")</f>
        <v>Item</v>
      </c>
      <c r="D439" s="1"/>
      <c r="E439" s="1"/>
      <c r="F439" s="1"/>
      <c r="G439" s="1"/>
      <c r="H439" s="1" t="b">
        <f>IFERROR(__xludf.DUMMYFUNCTION("""COMPUTED_VALUE"""),FALSE)</f>
        <v>0</v>
      </c>
      <c r="I439" s="1" t="str">
        <f>IFERROR(__xludf.DUMMYFUNCTION("""COMPUTED_VALUE"""),"Land of Spira")</f>
        <v>Land of Spira</v>
      </c>
    </row>
    <row r="440">
      <c r="A440" s="1" t="str">
        <f>IFERROR(__xludf.DUMMYFUNCTION("""COMPUTED_VALUE"""),"Fish Stone")</f>
        <v>Fish Stone</v>
      </c>
      <c r="B440" s="1" t="str">
        <f>IFERROR(__xludf.DUMMYFUNCTION("""COMPUTED_VALUE"""),"if you catch this when fishing you get 2 of the fish you caught with this item.")</f>
        <v>if you catch this when fishing you get 2 of the fish you caught with this item.</v>
      </c>
      <c r="C440" s="1" t="str">
        <f>IFERROR(__xludf.DUMMYFUNCTION("""COMPUTED_VALUE"""),"Item")</f>
        <v>Item</v>
      </c>
      <c r="D440" s="1"/>
      <c r="E440" s="1"/>
      <c r="F440" s="1"/>
      <c r="G440" s="1"/>
      <c r="H440" s="1" t="b">
        <f>IFERROR(__xludf.DUMMYFUNCTION("""COMPUTED_VALUE"""),FALSE)</f>
        <v>0</v>
      </c>
      <c r="I440" s="1" t="str">
        <f>IFERROR(__xludf.DUMMYFUNCTION("""COMPUTED_VALUE"""),"Land of Spira")</f>
        <v>Land of Spira</v>
      </c>
    </row>
    <row r="441">
      <c r="A441" s="1" t="str">
        <f>IFERROR(__xludf.DUMMYFUNCTION("""COMPUTED_VALUE"""),"Pumpkin")</f>
        <v>Pumpkin</v>
      </c>
      <c r="B441" s="1" t="str">
        <f>IFERROR(__xludf.DUMMYFUNCTION("""COMPUTED_VALUE"""),"100 hunger for self and up to 2 party members.")</f>
        <v>100 hunger for self and up to 2 party members.</v>
      </c>
      <c r="C441" s="1" t="str">
        <f>IFERROR(__xludf.DUMMYFUNCTION("""COMPUTED_VALUE"""),"Crop")</f>
        <v>Crop</v>
      </c>
      <c r="D441" s="1"/>
      <c r="E441" s="1"/>
      <c r="F441" s="1"/>
      <c r="G441" s="1"/>
      <c r="H441" s="1" t="b">
        <f>IFERROR(__xludf.DUMMYFUNCTION("""COMPUTED_VALUE"""),FALSE)</f>
        <v>0</v>
      </c>
      <c r="I441" s="1" t="str">
        <f>IFERROR(__xludf.DUMMYFUNCTION("""COMPUTED_VALUE"""),"Land of Spira")</f>
        <v>Land of Spira</v>
      </c>
    </row>
    <row r="442">
      <c r="A442" s="1" t="str">
        <f>IFERROR(__xludf.DUMMYFUNCTION("""COMPUTED_VALUE"""),"Premium Pumpkin")</f>
        <v>Premium Pumpkin</v>
      </c>
      <c r="B442" s="1" t="str">
        <f>IFERROR(__xludf.DUMMYFUNCTION("""COMPUTED_VALUE"""),"200 hunger for self and up to 2 party members.")</f>
        <v>200 hunger for self and up to 2 party members.</v>
      </c>
      <c r="C442" s="1" t="str">
        <f>IFERROR(__xludf.DUMMYFUNCTION("""COMPUTED_VALUE"""),"Crop")</f>
        <v>Crop</v>
      </c>
      <c r="D442" s="1"/>
      <c r="E442" s="1"/>
      <c r="F442" s="1"/>
      <c r="G442" s="1"/>
      <c r="H442" s="1" t="b">
        <f>IFERROR(__xludf.DUMMYFUNCTION("""COMPUTED_VALUE"""),FALSE)</f>
        <v>0</v>
      </c>
      <c r="I442" s="1" t="str">
        <f>IFERROR(__xludf.DUMMYFUNCTION("""COMPUTED_VALUE"""),"Land of Spira")</f>
        <v>Land of Spira</v>
      </c>
    </row>
    <row r="443">
      <c r="A443" s="1" t="str">
        <f>IFERROR(__xludf.DUMMYFUNCTION("""COMPUTED_VALUE"""),"Pumpkin Soup")</f>
        <v>Pumpkin Soup</v>
      </c>
      <c r="B443" s="1" t="str">
        <f>IFERROR(__xludf.DUMMYFUNCTION("""COMPUTED_VALUE"""),"100 hunger for self and up to 4 party members.")</f>
        <v>100 hunger for self and up to 4 party members.</v>
      </c>
      <c r="C443" s="1" t="str">
        <f>IFERROR(__xludf.DUMMYFUNCTION("""COMPUTED_VALUE"""),"Crop")</f>
        <v>Crop</v>
      </c>
      <c r="D443" s="1"/>
      <c r="E443" s="1"/>
      <c r="F443" s="1"/>
      <c r="G443" s="1"/>
      <c r="H443" s="1" t="b">
        <f>IFERROR(__xludf.DUMMYFUNCTION("""COMPUTED_VALUE"""),FALSE)</f>
        <v>0</v>
      </c>
      <c r="I443" s="1" t="str">
        <f>IFERROR(__xludf.DUMMYFUNCTION("""COMPUTED_VALUE"""),"Land of Spira")</f>
        <v>Land of Spira</v>
      </c>
    </row>
    <row r="444">
      <c r="A444" s="1" t="str">
        <f>IFERROR(__xludf.DUMMYFUNCTION("""COMPUTED_VALUE"""),"Premium Pumpkin Soup")</f>
        <v>Premium Pumpkin Soup</v>
      </c>
      <c r="B444" s="1" t="str">
        <f>IFERROR(__xludf.DUMMYFUNCTION("""COMPUTED_VALUE"""),"200 hunger for self and up to 4 party members.")</f>
        <v>200 hunger for self and up to 4 party members.</v>
      </c>
      <c r="C444" s="1" t="str">
        <f>IFERROR(__xludf.DUMMYFUNCTION("""COMPUTED_VALUE"""),"Crop")</f>
        <v>Crop</v>
      </c>
      <c r="D444" s="1"/>
      <c r="E444" s="1"/>
      <c r="F444" s="1"/>
      <c r="G444" s="1"/>
      <c r="H444" s="1" t="b">
        <f>IFERROR(__xludf.DUMMYFUNCTION("""COMPUTED_VALUE"""),FALSE)</f>
        <v>0</v>
      </c>
      <c r="I444" s="1" t="str">
        <f>IFERROR(__xludf.DUMMYFUNCTION("""COMPUTED_VALUE"""),"Land of Spira")</f>
        <v>Land of Spira</v>
      </c>
    </row>
    <row r="445">
      <c r="A445" s="1" t="str">
        <f>IFERROR(__xludf.DUMMYFUNCTION("""COMPUTED_VALUE"""),"Forbidden Book")</f>
        <v>Forbidden Book</v>
      </c>
      <c r="B445" s="1" t="str">
        <f>IFERROR(__xludf.DUMMYFUNCTION("""COMPUTED_VALUE"""),"A forbidden book. if the guards see it in your inventory they will autmatically confiscate it and arrest you.")</f>
        <v>A forbidden book. if the guards see it in your inventory they will autmatically confiscate it and arrest you.</v>
      </c>
      <c r="C445" s="1" t="str">
        <f>IFERROR(__xludf.DUMMYFUNCTION("""COMPUTED_VALUE"""),"Item")</f>
        <v>Item</v>
      </c>
      <c r="D445" s="1"/>
      <c r="E445" s="1"/>
      <c r="F445" s="1"/>
      <c r="G445" s="1"/>
      <c r="H445" s="1" t="b">
        <f>IFERROR(__xludf.DUMMYFUNCTION("""COMPUTED_VALUE"""),FALSE)</f>
        <v>0</v>
      </c>
      <c r="I445" s="1" t="str">
        <f>IFERROR(__xludf.DUMMYFUNCTION("""COMPUTED_VALUE"""),"Land of Spira")</f>
        <v>Land of Spira</v>
      </c>
    </row>
    <row r="446">
      <c r="A446" s="1" t="str">
        <f>IFERROR(__xludf.DUMMYFUNCTION("""COMPUTED_VALUE"""),"a random stick")</f>
        <v>a random stick</v>
      </c>
      <c r="B446" s="1" t="str">
        <f>IFERROR(__xludf.DUMMYFUNCTION("""COMPUTED_VALUE"""),"A random stick the shopkeeper found out back")</f>
        <v>A random stick the shopkeeper found out back</v>
      </c>
      <c r="C446" s="1" t="str">
        <f>IFERROR(__xludf.DUMMYFUNCTION("""COMPUTED_VALUE"""),"Item")</f>
        <v>Item</v>
      </c>
      <c r="D446" s="1"/>
      <c r="E446" s="1"/>
      <c r="F446" s="1"/>
      <c r="G446" s="1"/>
      <c r="H446" s="1" t="b">
        <f>IFERROR(__xludf.DUMMYFUNCTION("""COMPUTED_VALUE"""),FALSE)</f>
        <v>0</v>
      </c>
      <c r="I446" s="1" t="str">
        <f>IFERROR(__xludf.DUMMYFUNCTION("""COMPUTED_VALUE"""),"Land of Spira")</f>
        <v>Land of Spira</v>
      </c>
    </row>
    <row r="447">
      <c r="A447" s="1" t="str">
        <f>IFERROR(__xludf.DUMMYFUNCTION("""COMPUTED_VALUE"""),"Rank 9 Storm Tome")</f>
        <v>Rank 9 Storm Tome</v>
      </c>
      <c r="B447" s="1" t="str">
        <f>IFERROR(__xludf.DUMMYFUNCTION("""COMPUTED_VALUE"""),"Can use up to Rank 9 Storm Spells")</f>
        <v>Can use up to Rank 9 Storm Spells</v>
      </c>
      <c r="C447" s="1" t="str">
        <f>IFERROR(__xludf.DUMMYFUNCTION("""COMPUTED_VALUE"""),"Item")</f>
        <v>Item</v>
      </c>
      <c r="D447" s="1"/>
      <c r="E447" s="1"/>
      <c r="F447" s="1"/>
      <c r="G447" s="1"/>
      <c r="H447" s="1" t="b">
        <f>IFERROR(__xludf.DUMMYFUNCTION("""COMPUTED_VALUE"""),FALSE)</f>
        <v>0</v>
      </c>
      <c r="I447" s="1" t="str">
        <f>IFERROR(__xludf.DUMMYFUNCTION("""COMPUTED_VALUE"""),"Land of Spira")</f>
        <v>Land of Spira</v>
      </c>
    </row>
    <row r="448">
      <c r="A448" s="1" t="str">
        <f>IFERROR(__xludf.DUMMYFUNCTION("""COMPUTED_VALUE"""),"Fire Arrow")</f>
        <v>Fire Arrow</v>
      </c>
      <c r="B448" s="1" t="str">
        <f>IFERROR(__xludf.DUMMYFUNCTION("""COMPUTED_VALUE"""),"Bow Ammunition. +500 fire damage. roll a d20 to see how many you get if this is a loot drop.")</f>
        <v>Bow Ammunition. +500 fire damage. roll a d20 to see how many you get if this is a loot drop.</v>
      </c>
      <c r="C448" s="1" t="str">
        <f>IFERROR(__xludf.DUMMYFUNCTION("""COMPUTED_VALUE"""),"Item")</f>
        <v>Item</v>
      </c>
      <c r="D448" s="1"/>
      <c r="E448" s="1"/>
      <c r="F448" s="1"/>
      <c r="G448" s="1"/>
      <c r="H448" s="1" t="b">
        <f>IFERROR(__xludf.DUMMYFUNCTION("""COMPUTED_VALUE"""),FALSE)</f>
        <v>0</v>
      </c>
      <c r="I448" s="1" t="str">
        <f>IFERROR(__xludf.DUMMYFUNCTION("""COMPUTED_VALUE"""),"Land of Spira")</f>
        <v>Land of Spira</v>
      </c>
    </row>
    <row r="449">
      <c r="A449" s="1" t="str">
        <f>IFERROR(__xludf.DUMMYFUNCTION("""COMPUTED_VALUE"""),"Common Tree Branch")</f>
        <v>Common Tree Branch</v>
      </c>
      <c r="B449" s="1" t="str">
        <f>IFERROR(__xludf.DUMMYFUNCTION("""COMPUTED_VALUE"""),"When thrown, each enemy has a 25% chance to be distracted, skipping their next turn")</f>
        <v>When thrown, each enemy has a 25% chance to be distracted, skipping their next turn</v>
      </c>
      <c r="C449" s="1" t="str">
        <f>IFERROR(__xludf.DUMMYFUNCTION("""COMPUTED_VALUE"""),"Item")</f>
        <v>Item</v>
      </c>
      <c r="D449" s="1"/>
      <c r="E449" s="1"/>
      <c r="F449" s="1"/>
      <c r="G449" s="1"/>
      <c r="H449" s="1" t="b">
        <f>IFERROR(__xludf.DUMMYFUNCTION("""COMPUTED_VALUE"""),FALSE)</f>
        <v>0</v>
      </c>
      <c r="I449" s="1" t="str">
        <f>IFERROR(__xludf.DUMMYFUNCTION("""COMPUTED_VALUE"""),"Land of Spira")</f>
        <v>Land of Spira</v>
      </c>
    </row>
    <row r="450">
      <c r="A450" s="1" t="str">
        <f>IFERROR(__xludf.DUMMYFUNCTION("""COMPUTED_VALUE"""),"Uncommon Tree branch")</f>
        <v>Uncommon Tree branch</v>
      </c>
      <c r="B450" s="1" t="str">
        <f>IFERROR(__xludf.DUMMYFUNCTION("""COMPUTED_VALUE"""),"When thrown, Roll a d20 and apply the result. If 1-19, deal 20,000 damage to one target Hit/Miss. If 20, deal 40,000 damage to one target Hit/Miss, each enemy has a 50% chance to be distracted, skipping their next turn.
")</f>
        <v>When thrown, Roll a d20 and apply the result. If 1-19, deal 20,000 damage to one target Hit/Miss. If 20, deal 40,000 damage to one target Hit/Miss, each enemy has a 50% chance to be distracted, skipping their next turn.
</v>
      </c>
      <c r="C450" s="1" t="str">
        <f>IFERROR(__xludf.DUMMYFUNCTION("""COMPUTED_VALUE"""),"Item")</f>
        <v>Item</v>
      </c>
      <c r="D450" s="1"/>
      <c r="E450" s="1"/>
      <c r="F450" s="1"/>
      <c r="G450" s="1"/>
      <c r="H450" s="1" t="b">
        <f>IFERROR(__xludf.DUMMYFUNCTION("""COMPUTED_VALUE"""),FALSE)</f>
        <v>0</v>
      </c>
      <c r="I450" s="1" t="str">
        <f>IFERROR(__xludf.DUMMYFUNCTION("""COMPUTED_VALUE"""),"Land of Spira")</f>
        <v>Land of Spira</v>
      </c>
    </row>
    <row r="451">
      <c r="A451" s="1" t="str">
        <f>IFERROR(__xludf.DUMMYFUNCTION("""COMPUTED_VALUE"""),"Stale bread")</f>
        <v>Stale bread</v>
      </c>
      <c r="B451" s="1" t="str">
        <f>IFERROR(__xludf.DUMMYFUNCTION("""COMPUTED_VALUE"""),"Recovers 9 hunger")</f>
        <v>Recovers 9 hunger</v>
      </c>
      <c r="C451" s="1" t="str">
        <f>IFERROR(__xludf.DUMMYFUNCTION("""COMPUTED_VALUE"""),"Crop")</f>
        <v>Crop</v>
      </c>
      <c r="D451" s="1"/>
      <c r="E451" s="1"/>
      <c r="F451" s="1"/>
      <c r="G451" s="1"/>
      <c r="H451" s="1" t="b">
        <f>IFERROR(__xludf.DUMMYFUNCTION("""COMPUTED_VALUE"""),FALSE)</f>
        <v>0</v>
      </c>
      <c r="I451" s="1" t="str">
        <f>IFERROR(__xludf.DUMMYFUNCTION("""COMPUTED_VALUE"""),"Land of Spira")</f>
        <v>Land of Spira</v>
      </c>
    </row>
    <row r="452">
      <c r="A452" s="1" t="str">
        <f>IFERROR(__xludf.DUMMYFUNCTION("""COMPUTED_VALUE"""),"Coal")</f>
        <v>Coal</v>
      </c>
      <c r="B452" s="1" t="str">
        <f>IFERROR(__xludf.DUMMYFUNCTION("""COMPUTED_VALUE"""),"Crafting Material, roll a d20 to see how many you get if this is a loot drop.")</f>
        <v>Crafting Material, roll a d20 to see how many you get if this is a loot drop.</v>
      </c>
      <c r="C452" s="1" t="str">
        <f>IFERROR(__xludf.DUMMYFUNCTION("""COMPUTED_VALUE"""),"Item")</f>
        <v>Item</v>
      </c>
      <c r="D452" s="1"/>
      <c r="E452" s="1"/>
      <c r="F452" s="1"/>
      <c r="G452" s="1"/>
      <c r="H452" s="1" t="b">
        <f>IFERROR(__xludf.DUMMYFUNCTION("""COMPUTED_VALUE"""),FALSE)</f>
        <v>0</v>
      </c>
      <c r="I452" s="1" t="str">
        <f>IFERROR(__xludf.DUMMYFUNCTION("""COMPUTED_VALUE"""),"Land of Spira")</f>
        <v>Land of Spira</v>
      </c>
    </row>
    <row r="453">
      <c r="A453" s="1" t="str">
        <f>IFERROR(__xludf.DUMMYFUNCTION("""COMPUTED_VALUE"""),"Diamond")</f>
        <v>Diamond</v>
      </c>
      <c r="B453" s="1" t="str">
        <f>IFERROR(__xludf.DUMMYFUNCTION("""COMPUTED_VALUE"""),"Crafting Material, roll a d20 to see how many you get.")</f>
        <v>Crafting Material, roll a d20 to see how many you get.</v>
      </c>
      <c r="C453" s="1" t="str">
        <f>IFERROR(__xludf.DUMMYFUNCTION("""COMPUTED_VALUE"""),"Item")</f>
        <v>Item</v>
      </c>
      <c r="D453" s="1"/>
      <c r="E453" s="1"/>
      <c r="F453" s="1"/>
      <c r="G453" s="1"/>
      <c r="H453" s="1" t="b">
        <f>IFERROR(__xludf.DUMMYFUNCTION("""COMPUTED_VALUE"""),FALSE)</f>
        <v>0</v>
      </c>
      <c r="I453" s="1" t="str">
        <f>IFERROR(__xludf.DUMMYFUNCTION("""COMPUTED_VALUE"""),"Land of Spira")</f>
        <v>Land of Spira</v>
      </c>
    </row>
    <row r="454">
      <c r="A454" s="1" t="str">
        <f>IFERROR(__xludf.DUMMYFUNCTION("""COMPUTED_VALUE"""),"Wood")</f>
        <v>Wood</v>
      </c>
      <c r="B454" s="1" t="str">
        <f>IFERROR(__xludf.DUMMYFUNCTION("""COMPUTED_VALUE"""),"Crafting Material, roll a d20 to see how many you get.")</f>
        <v>Crafting Material, roll a d20 to see how many you get.</v>
      </c>
      <c r="C454" s="1" t="str">
        <f>IFERROR(__xludf.DUMMYFUNCTION("""COMPUTED_VALUE"""),"Item")</f>
        <v>Item</v>
      </c>
      <c r="D454" s="1"/>
      <c r="E454" s="1"/>
      <c r="F454" s="1"/>
      <c r="G454" s="1"/>
      <c r="H454" s="1" t="b">
        <f>IFERROR(__xludf.DUMMYFUNCTION("""COMPUTED_VALUE"""),FALSE)</f>
        <v>0</v>
      </c>
      <c r="I454" s="1" t="str">
        <f>IFERROR(__xludf.DUMMYFUNCTION("""COMPUTED_VALUE"""),"Land of Spira")</f>
        <v>Land of Spira</v>
      </c>
    </row>
    <row r="455">
      <c r="A455" s="1" t="str">
        <f>IFERROR(__xludf.DUMMYFUNCTION("""COMPUTED_VALUE"""),"Stone")</f>
        <v>Stone</v>
      </c>
      <c r="B455" s="1" t="str">
        <f>IFERROR(__xludf.DUMMYFUNCTION("""COMPUTED_VALUE"""),"Crafting Material, roll a d20 to see how many you get.")</f>
        <v>Crafting Material, roll a d20 to see how many you get.</v>
      </c>
      <c r="C455" s="1" t="str">
        <f>IFERROR(__xludf.DUMMYFUNCTION("""COMPUTED_VALUE"""),"Item")</f>
        <v>Item</v>
      </c>
      <c r="D455" s="1"/>
      <c r="E455" s="1"/>
      <c r="F455" s="1"/>
      <c r="G455" s="1"/>
      <c r="H455" s="1" t="b">
        <f>IFERROR(__xludf.DUMMYFUNCTION("""COMPUTED_VALUE"""),FALSE)</f>
        <v>0</v>
      </c>
      <c r="I455" s="1" t="str">
        <f>IFERROR(__xludf.DUMMYFUNCTION("""COMPUTED_VALUE"""),"Land of Spira")</f>
        <v>Land of Spira</v>
      </c>
    </row>
    <row r="456">
      <c r="A456" s="1" t="str">
        <f>IFERROR(__xludf.DUMMYFUNCTION("""COMPUTED_VALUE"""),"Red Coral Gem")</f>
        <v>Red Coral Gem</v>
      </c>
      <c r="B456" s="1" t="str">
        <f>IFERROR(__xludf.DUMMYFUNCTION("""COMPUTED_VALUE"""),"500 Fire dmg or Resistance")</f>
        <v>500 Fire dmg or Resistance</v>
      </c>
      <c r="C456" s="1" t="str">
        <f>IFERROR(__xludf.DUMMYFUNCTION("""COMPUTED_VALUE"""),"Item")</f>
        <v>Item</v>
      </c>
      <c r="D456" s="1"/>
      <c r="E456" s="1"/>
      <c r="F456" s="1"/>
      <c r="G456" s="1"/>
      <c r="H456" s="1" t="b">
        <f>IFERROR(__xludf.DUMMYFUNCTION("""COMPUTED_VALUE"""),FALSE)</f>
        <v>0</v>
      </c>
      <c r="I456" s="1" t="str">
        <f>IFERROR(__xludf.DUMMYFUNCTION("""COMPUTED_VALUE"""),"Land of Spira")</f>
        <v>Land of Spira</v>
      </c>
    </row>
    <row r="457">
      <c r="A457" s="1" t="str">
        <f>IFERROR(__xludf.DUMMYFUNCTION("""COMPUTED_VALUE"""),"Blue Coral Gem")</f>
        <v>Blue Coral Gem</v>
      </c>
      <c r="B457" s="1" t="str">
        <f>IFERROR(__xludf.DUMMYFUNCTION("""COMPUTED_VALUE"""),"500 Water dmg or Resistance")</f>
        <v>500 Water dmg or Resistance</v>
      </c>
      <c r="C457" s="1" t="str">
        <f>IFERROR(__xludf.DUMMYFUNCTION("""COMPUTED_VALUE"""),"Item")</f>
        <v>Item</v>
      </c>
      <c r="D457" s="1"/>
      <c r="E457" s="1"/>
      <c r="F457" s="1"/>
      <c r="G457" s="1"/>
      <c r="H457" s="1" t="b">
        <f>IFERROR(__xludf.DUMMYFUNCTION("""COMPUTED_VALUE"""),FALSE)</f>
        <v>0</v>
      </c>
      <c r="I457" s="1" t="str">
        <f>IFERROR(__xludf.DUMMYFUNCTION("""COMPUTED_VALUE"""),"Land of Spira")</f>
        <v>Land of Spira</v>
      </c>
    </row>
    <row r="458">
      <c r="A458" s="1" t="str">
        <f>IFERROR(__xludf.DUMMYFUNCTION("""COMPUTED_VALUE"""),"Yellow Coral Gem")</f>
        <v>Yellow Coral Gem</v>
      </c>
      <c r="B458" s="1" t="str">
        <f>IFERROR(__xludf.DUMMYFUNCTION("""COMPUTED_VALUE"""),"500 Strom dmg or Resistance")</f>
        <v>500 Strom dmg or Resistance</v>
      </c>
      <c r="C458" s="1" t="str">
        <f>IFERROR(__xludf.DUMMYFUNCTION("""COMPUTED_VALUE"""),"Item")</f>
        <v>Item</v>
      </c>
      <c r="D458" s="1"/>
      <c r="E458" s="1"/>
      <c r="F458" s="1"/>
      <c r="G458" s="1"/>
      <c r="H458" s="1" t="b">
        <f>IFERROR(__xludf.DUMMYFUNCTION("""COMPUTED_VALUE"""),FALSE)</f>
        <v>0</v>
      </c>
      <c r="I458" s="1" t="str">
        <f>IFERROR(__xludf.DUMMYFUNCTION("""COMPUTED_VALUE"""),"Land of Spira")</f>
        <v>Land of Spira</v>
      </c>
    </row>
    <row r="459">
      <c r="A459" s="1" t="str">
        <f>IFERROR(__xludf.DUMMYFUNCTION("""COMPUTED_VALUE"""),"Green Coral Gem")</f>
        <v>Green Coral Gem</v>
      </c>
      <c r="B459" s="1" t="str">
        <f>IFERROR(__xludf.DUMMYFUNCTION("""COMPUTED_VALUE"""),"500 nature dmg or Resistance")</f>
        <v>500 nature dmg or Resistance</v>
      </c>
      <c r="C459" s="1" t="str">
        <f>IFERROR(__xludf.DUMMYFUNCTION("""COMPUTED_VALUE"""),"Item")</f>
        <v>Item</v>
      </c>
      <c r="D459" s="1"/>
      <c r="E459" s="1"/>
      <c r="F459" s="1"/>
      <c r="G459" s="1"/>
      <c r="H459" s="1" t="b">
        <f>IFERROR(__xludf.DUMMYFUNCTION("""COMPUTED_VALUE"""),FALSE)</f>
        <v>0</v>
      </c>
      <c r="I459" s="1" t="str">
        <f>IFERROR(__xludf.DUMMYFUNCTION("""COMPUTED_VALUE"""),"Land of Spira")</f>
        <v>Land of Spira</v>
      </c>
    </row>
    <row r="460">
      <c r="A460" s="1" t="str">
        <f>IFERROR(__xludf.DUMMYFUNCTION("""COMPUTED_VALUE"""),"White Coral Gem")</f>
        <v>White Coral Gem</v>
      </c>
      <c r="B460" s="1" t="str">
        <f>IFERROR(__xludf.DUMMYFUNCTION("""COMPUTED_VALUE"""),"500 Spirit dmg or Resistance")</f>
        <v>500 Spirit dmg or Resistance</v>
      </c>
      <c r="C460" s="1" t="str">
        <f>IFERROR(__xludf.DUMMYFUNCTION("""COMPUTED_VALUE"""),"Item")</f>
        <v>Item</v>
      </c>
      <c r="D460" s="1"/>
      <c r="E460" s="1"/>
      <c r="F460" s="1"/>
      <c r="G460" s="1"/>
      <c r="H460" s="1" t="b">
        <f>IFERROR(__xludf.DUMMYFUNCTION("""COMPUTED_VALUE"""),FALSE)</f>
        <v>0</v>
      </c>
      <c r="I460" s="1" t="str">
        <f>IFERROR(__xludf.DUMMYFUNCTION("""COMPUTED_VALUE"""),"Land of Spira")</f>
        <v>Land of Spira</v>
      </c>
    </row>
    <row r="461">
      <c r="A461" s="1" t="str">
        <f>IFERROR(__xludf.DUMMYFUNCTION("""COMPUTED_VALUE"""),"Black Coral Gem")</f>
        <v>Black Coral Gem</v>
      </c>
      <c r="B461" s="1" t="str">
        <f>IFERROR(__xludf.DUMMYFUNCTION("""COMPUTED_VALUE"""),"500 Dark dmg or Resistance")</f>
        <v>500 Dark dmg or Resistance</v>
      </c>
      <c r="C461" s="1" t="str">
        <f>IFERROR(__xludf.DUMMYFUNCTION("""COMPUTED_VALUE"""),"Item")</f>
        <v>Item</v>
      </c>
      <c r="D461" s="1"/>
      <c r="E461" s="1"/>
      <c r="F461" s="1"/>
      <c r="G461" s="1"/>
      <c r="H461" s="1" t="b">
        <f>IFERROR(__xludf.DUMMYFUNCTION("""COMPUTED_VALUE"""),FALSE)</f>
        <v>0</v>
      </c>
      <c r="I461" s="1" t="str">
        <f>IFERROR(__xludf.DUMMYFUNCTION("""COMPUTED_VALUE"""),"Land of Spira")</f>
        <v>Land of Spira</v>
      </c>
    </row>
    <row r="462">
      <c r="A462" s="1" t="str">
        <f>IFERROR(__xludf.DUMMYFUNCTION("""COMPUTED_VALUE"""),"Pink Coral Gem")</f>
        <v>Pink Coral Gem</v>
      </c>
      <c r="B462" s="1" t="str">
        <f>IFERROR(__xludf.DUMMYFUNCTION("""COMPUTED_VALUE"""),"500 dmg or resistance")</f>
        <v>500 dmg or resistance</v>
      </c>
      <c r="C462" s="1" t="str">
        <f>IFERROR(__xludf.DUMMYFUNCTION("""COMPUTED_VALUE"""),"Item")</f>
        <v>Item</v>
      </c>
      <c r="D462" s="1"/>
      <c r="E462" s="1"/>
      <c r="F462" s="1"/>
      <c r="G462" s="1"/>
      <c r="H462" s="1" t="b">
        <f>IFERROR(__xludf.DUMMYFUNCTION("""COMPUTED_VALUE"""),FALSE)</f>
        <v>0</v>
      </c>
      <c r="I462" s="1" t="str">
        <f>IFERROR(__xludf.DUMMYFUNCTION("""COMPUTED_VALUE"""),"Land of Spira")</f>
        <v>Land of Spira</v>
      </c>
    </row>
    <row r="463">
      <c r="A463" s="1" t="str">
        <f>IFERROR(__xludf.DUMMYFUNCTION("""COMPUTED_VALUE"""),"Coral")</f>
        <v>Coral</v>
      </c>
      <c r="B463" s="1" t="str">
        <f>IFERROR(__xludf.DUMMYFUNCTION("""COMPUTED_VALUE"""),"Crafting Material, roll a d20 to see how many you get if this is a loot drop.")</f>
        <v>Crafting Material, roll a d20 to see how many you get if this is a loot drop.</v>
      </c>
      <c r="C463" s="1" t="str">
        <f>IFERROR(__xludf.DUMMYFUNCTION("""COMPUTED_VALUE"""),"Item")</f>
        <v>Item</v>
      </c>
      <c r="D463" s="1"/>
      <c r="E463" s="1"/>
      <c r="F463" s="1"/>
      <c r="G463" s="1"/>
      <c r="H463" s="1" t="b">
        <f>IFERROR(__xludf.DUMMYFUNCTION("""COMPUTED_VALUE"""),FALSE)</f>
        <v>0</v>
      </c>
      <c r="I463" s="1" t="str">
        <f>IFERROR(__xludf.DUMMYFUNCTION("""COMPUTED_VALUE"""),"Land of Spira")</f>
        <v>Land of Spira</v>
      </c>
    </row>
    <row r="464">
      <c r="A464" s="1" t="str">
        <f>IFERROR(__xludf.DUMMYFUNCTION("""COMPUTED_VALUE"""),"Ivory")</f>
        <v>Ivory</v>
      </c>
      <c r="B464" s="1" t="str">
        <f>IFERROR(__xludf.DUMMYFUNCTION("""COMPUTED_VALUE"""),"Crafting Material, roll a d20 to see how many you get if this is a loot drop.")</f>
        <v>Crafting Material, roll a d20 to see how many you get if this is a loot drop.</v>
      </c>
      <c r="C464" s="1" t="str">
        <f>IFERROR(__xludf.DUMMYFUNCTION("""COMPUTED_VALUE"""),"Item")</f>
        <v>Item</v>
      </c>
      <c r="D464" s="1"/>
      <c r="E464" s="1"/>
      <c r="F464" s="1"/>
      <c r="G464" s="1"/>
      <c r="H464" s="1" t="b">
        <f>IFERROR(__xludf.DUMMYFUNCTION("""COMPUTED_VALUE"""),FALSE)</f>
        <v>0</v>
      </c>
      <c r="I464" s="1" t="str">
        <f>IFERROR(__xludf.DUMMYFUNCTION("""COMPUTED_VALUE"""),"Land of Spira")</f>
        <v>Land of Spira</v>
      </c>
    </row>
    <row r="465">
      <c r="A465" s="1" t="str">
        <f>IFERROR(__xludf.DUMMYFUNCTION("""COMPUTED_VALUE"""),"Onyx")</f>
        <v>Onyx</v>
      </c>
      <c r="B465" s="1" t="str">
        <f>IFERROR(__xludf.DUMMYFUNCTION("""COMPUTED_VALUE"""),"Crafting Material, roll a d20 to see how many you get if this is a loot drop.")</f>
        <v>Crafting Material, roll a d20 to see how many you get if this is a loot drop.</v>
      </c>
      <c r="C465" s="1" t="str">
        <f>IFERROR(__xludf.DUMMYFUNCTION("""COMPUTED_VALUE"""),"Item")</f>
        <v>Item</v>
      </c>
      <c r="D465" s="1"/>
      <c r="E465" s="1"/>
      <c r="F465" s="1"/>
      <c r="G465" s="1"/>
      <c r="H465" s="1" t="b">
        <f>IFERROR(__xludf.DUMMYFUNCTION("""COMPUTED_VALUE"""),FALSE)</f>
        <v>0</v>
      </c>
      <c r="I465" s="1" t="str">
        <f>IFERROR(__xludf.DUMMYFUNCTION("""COMPUTED_VALUE"""),"Land of Spira")</f>
        <v>Land of Spira</v>
      </c>
    </row>
    <row r="466">
      <c r="A466" s="1" t="str">
        <f>IFERROR(__xludf.DUMMYFUNCTION("""COMPUTED_VALUE"""),"Jade")</f>
        <v>Jade</v>
      </c>
      <c r="B466" s="1" t="str">
        <f>IFERROR(__xludf.DUMMYFUNCTION("""COMPUTED_VALUE"""),"Crafting Material, roll a d20 to see how many you get if this is a loot drop.")</f>
        <v>Crafting Material, roll a d20 to see how many you get if this is a loot drop.</v>
      </c>
      <c r="C466" s="1" t="str">
        <f>IFERROR(__xludf.DUMMYFUNCTION("""COMPUTED_VALUE"""),"Item")</f>
        <v>Item</v>
      </c>
      <c r="D466" s="1"/>
      <c r="E466" s="1"/>
      <c r="F466" s="1"/>
      <c r="G466" s="1"/>
      <c r="H466" s="1" t="b">
        <f>IFERROR(__xludf.DUMMYFUNCTION("""COMPUTED_VALUE"""),FALSE)</f>
        <v>0</v>
      </c>
      <c r="I466" s="1" t="str">
        <f>IFERROR(__xludf.DUMMYFUNCTION("""COMPUTED_VALUE"""),"Land of Spira")</f>
        <v>Land of Spira</v>
      </c>
    </row>
    <row r="467">
      <c r="A467" s="1" t="str">
        <f>IFERROR(__xludf.DUMMYFUNCTION("""COMPUTED_VALUE"""),"Emerald")</f>
        <v>Emerald</v>
      </c>
      <c r="B467" s="1" t="str">
        <f>IFERROR(__xludf.DUMMYFUNCTION("""COMPUTED_VALUE"""),"Crafting Material, roll a d20 to see how many you get if this is a loot drop.")</f>
        <v>Crafting Material, roll a d20 to see how many you get if this is a loot drop.</v>
      </c>
      <c r="C467" s="1" t="str">
        <f>IFERROR(__xludf.DUMMYFUNCTION("""COMPUTED_VALUE"""),"Item")</f>
        <v>Item</v>
      </c>
      <c r="D467" s="1"/>
      <c r="E467" s="1"/>
      <c r="F467" s="1"/>
      <c r="G467" s="1"/>
      <c r="H467" s="1" t="b">
        <f>IFERROR(__xludf.DUMMYFUNCTION("""COMPUTED_VALUE"""),FALSE)</f>
        <v>0</v>
      </c>
      <c r="I467" s="1" t="str">
        <f>IFERROR(__xludf.DUMMYFUNCTION("""COMPUTED_VALUE"""),"Land of Spira")</f>
        <v>Land of Spira</v>
      </c>
    </row>
    <row r="468">
      <c r="A468" s="1" t="str">
        <f>IFERROR(__xludf.DUMMYFUNCTION("""COMPUTED_VALUE"""),"Ruby")</f>
        <v>Ruby</v>
      </c>
      <c r="B468" s="1" t="str">
        <f>IFERROR(__xludf.DUMMYFUNCTION("""COMPUTED_VALUE"""),"Crafting Material, roll a d20 to see how many you get if this is a loot drop.")</f>
        <v>Crafting Material, roll a d20 to see how many you get if this is a loot drop.</v>
      </c>
      <c r="C468" s="1" t="str">
        <f>IFERROR(__xludf.DUMMYFUNCTION("""COMPUTED_VALUE"""),"Item")</f>
        <v>Item</v>
      </c>
      <c r="D468" s="1"/>
      <c r="E468" s="1"/>
      <c r="F468" s="1"/>
      <c r="G468" s="1"/>
      <c r="H468" s="1" t="b">
        <f>IFERROR(__xludf.DUMMYFUNCTION("""COMPUTED_VALUE"""),FALSE)</f>
        <v>0</v>
      </c>
      <c r="I468" s="1" t="str">
        <f>IFERROR(__xludf.DUMMYFUNCTION("""COMPUTED_VALUE"""),"Land of Spira")</f>
        <v>Land of Spira</v>
      </c>
    </row>
    <row r="469">
      <c r="A469" s="1" t="str">
        <f>IFERROR(__xludf.DUMMYFUNCTION("""COMPUTED_VALUE"""),"Sapphire")</f>
        <v>Sapphire</v>
      </c>
      <c r="B469" s="1" t="str">
        <f>IFERROR(__xludf.DUMMYFUNCTION("""COMPUTED_VALUE"""),"Crafting Material, roll a d20 to see how many you get if this is a loot drop.")</f>
        <v>Crafting Material, roll a d20 to see how many you get if this is a loot drop.</v>
      </c>
      <c r="C469" s="1" t="str">
        <f>IFERROR(__xludf.DUMMYFUNCTION("""COMPUTED_VALUE"""),"Item")</f>
        <v>Item</v>
      </c>
      <c r="D469" s="1"/>
      <c r="E469" s="1"/>
      <c r="F469" s="1"/>
      <c r="G469" s="1"/>
      <c r="H469" s="1" t="b">
        <f>IFERROR(__xludf.DUMMYFUNCTION("""COMPUTED_VALUE"""),FALSE)</f>
        <v>0</v>
      </c>
      <c r="I469" s="1" t="str">
        <f>IFERROR(__xludf.DUMMYFUNCTION("""COMPUTED_VALUE"""),"Land of Spira")</f>
        <v>Land of Spira</v>
      </c>
    </row>
    <row r="470">
      <c r="A470" s="1" t="str">
        <f>IFERROR(__xludf.DUMMYFUNCTION("""COMPUTED_VALUE"""),"Candy Corn")</f>
        <v>Candy Corn</v>
      </c>
      <c r="B470" s="1" t="str">
        <f>IFERROR(__xludf.DUMMYFUNCTION("""COMPUTED_VALUE"""),"Gun ammunition. 5000 damage, +5000 fire damage.")</f>
        <v>Gun ammunition. 5000 damage, +5000 fire damage.</v>
      </c>
      <c r="C470" s="1" t="str">
        <f>IFERROR(__xludf.DUMMYFUNCTION("""COMPUTED_VALUE"""),"Item")</f>
        <v>Item</v>
      </c>
      <c r="D470" s="1"/>
      <c r="E470" s="1"/>
      <c r="F470" s="1"/>
      <c r="G470" s="1"/>
      <c r="H470" s="1" t="b">
        <f>IFERROR(__xludf.DUMMYFUNCTION("""COMPUTED_VALUE"""),FALSE)</f>
        <v>0</v>
      </c>
      <c r="I470" s="1" t="str">
        <f>IFERROR(__xludf.DUMMYFUNCTION("""COMPUTED_VALUE"""),"Land of Spira")</f>
        <v>Land of Spira</v>
      </c>
    </row>
    <row r="471">
      <c r="A471" s="1" t="str">
        <f>IFERROR(__xludf.DUMMYFUNCTION("""COMPUTED_VALUE"""),"Pumpkin Arrow")</f>
        <v>Pumpkin Arrow</v>
      </c>
      <c r="B471" s="1" t="str">
        <f>IFERROR(__xludf.DUMMYFUNCTION("""COMPUTED_VALUE"""),"Bow Ammunition. +5000 fire damage. roll a d20 to see how many you get if this is a loot drop.")</f>
        <v>Bow Ammunition. +5000 fire damage. roll a d20 to see how many you get if this is a loot drop.</v>
      </c>
      <c r="C471" s="1" t="str">
        <f>IFERROR(__xludf.DUMMYFUNCTION("""COMPUTED_VALUE"""),"Item")</f>
        <v>Item</v>
      </c>
      <c r="D471" s="1"/>
      <c r="E471" s="1"/>
      <c r="F471" s="1"/>
      <c r="G471" s="1"/>
      <c r="H471" s="1" t="b">
        <f>IFERROR(__xludf.DUMMYFUNCTION("""COMPUTED_VALUE"""),FALSE)</f>
        <v>0</v>
      </c>
      <c r="I471" s="1" t="str">
        <f>IFERROR(__xludf.DUMMYFUNCTION("""COMPUTED_VALUE"""),"Land of Spira")</f>
        <v>Land of Spira</v>
      </c>
    </row>
    <row r="472">
      <c r="A472" s="1" t="str">
        <f>IFERROR(__xludf.DUMMYFUNCTION("""COMPUTED_VALUE"""),"Candy Corn Gem")</f>
        <v>Candy Corn Gem</v>
      </c>
      <c r="B472" s="1" t="str">
        <f>IFERROR(__xludf.DUMMYFUNCTION("""COMPUTED_VALUE"""),"(Can be turned in for Halloween Coins Decided by the current DM / GM )")</f>
        <v>(Can be turned in for Halloween Coins Decided by the current DM / GM )</v>
      </c>
      <c r="C472" s="1" t="str">
        <f>IFERROR(__xludf.DUMMYFUNCTION("""COMPUTED_VALUE"""),"Item")</f>
        <v>Item</v>
      </c>
      <c r="D472" s="1"/>
      <c r="E472" s="1"/>
      <c r="F472" s="1"/>
      <c r="G472" s="1"/>
      <c r="H472" s="1" t="b">
        <f>IFERROR(__xludf.DUMMYFUNCTION("""COMPUTED_VALUE"""),FALSE)</f>
        <v>0</v>
      </c>
      <c r="I472" s="1" t="str">
        <f>IFERROR(__xludf.DUMMYFUNCTION("""COMPUTED_VALUE"""),"Land of Spira")</f>
        <v>Land of Spira</v>
      </c>
    </row>
    <row r="473">
      <c r="A473" s="1" t="str">
        <f>IFERROR(__xludf.DUMMYFUNCTION("""COMPUTED_VALUE"""),"Steel Arrow")</f>
        <v>Steel Arrow</v>
      </c>
      <c r="B473" s="1" t="str">
        <f>IFERROR(__xludf.DUMMYFUNCTION("""COMPUTED_VALUE"""),"Bow Ammunition. +100 damage. roll a d20 to see how many you get if this is a loot drop.")</f>
        <v>Bow Ammunition. +100 damage. roll a d20 to see how many you get if this is a loot drop.</v>
      </c>
      <c r="C473" s="1" t="str">
        <f>IFERROR(__xludf.DUMMYFUNCTION("""COMPUTED_VALUE"""),"Item")</f>
        <v>Item</v>
      </c>
      <c r="D473" s="1"/>
      <c r="E473" s="1"/>
      <c r="F473" s="1"/>
      <c r="G473" s="1"/>
      <c r="H473" s="1" t="b">
        <f>IFERROR(__xludf.DUMMYFUNCTION("""COMPUTED_VALUE"""),FALSE)</f>
        <v>0</v>
      </c>
      <c r="I473" s="1" t="str">
        <f>IFERROR(__xludf.DUMMYFUNCTION("""COMPUTED_VALUE"""),"Land of Spira")</f>
        <v>Land of Spira</v>
      </c>
    </row>
    <row r="474">
      <c r="A474" s="1" t="str">
        <f>IFERROR(__xludf.DUMMYFUNCTION("""COMPUTED_VALUE"""),"Bone Key")</f>
        <v>Bone Key</v>
      </c>
      <c r="B474" s="1" t="str">
        <f>IFERROR(__xludf.DUMMYFUNCTION("""COMPUTED_VALUE"""),"Opens bone chest")</f>
        <v>Opens bone chest</v>
      </c>
      <c r="C474" s="1" t="str">
        <f>IFERROR(__xludf.DUMMYFUNCTION("""COMPUTED_VALUE"""),"Item")</f>
        <v>Item</v>
      </c>
      <c r="D474" s="1"/>
      <c r="E474" s="1"/>
      <c r="F474" s="1"/>
      <c r="G474" s="1"/>
      <c r="H474" s="1" t="b">
        <f>IFERROR(__xludf.DUMMYFUNCTION("""COMPUTED_VALUE"""),FALSE)</f>
        <v>0</v>
      </c>
      <c r="I474" s="1" t="str">
        <f>IFERROR(__xludf.DUMMYFUNCTION("""COMPUTED_VALUE"""),"Land of Spira")</f>
        <v>Land of Spira</v>
      </c>
    </row>
    <row r="475">
      <c r="A475" s="1" t="str">
        <f>IFERROR(__xludf.DUMMYFUNCTION("""COMPUTED_VALUE"""),"Bone")</f>
        <v>Bone</v>
      </c>
      <c r="B475" s="1" t="str">
        <f>IFERROR(__xludf.DUMMYFUNCTION("""COMPUTED_VALUE"""),"Crafting Material, roll a d20 to see how many you get if this is a loot drop.")</f>
        <v>Crafting Material, roll a d20 to see how many you get if this is a loot drop.</v>
      </c>
      <c r="C475" s="1" t="str">
        <f>IFERROR(__xludf.DUMMYFUNCTION("""COMPUTED_VALUE"""),"Item")</f>
        <v>Item</v>
      </c>
      <c r="D475" s="1"/>
      <c r="E475" s="1"/>
      <c r="F475" s="1"/>
      <c r="G475" s="1"/>
      <c r="H475" s="1" t="b">
        <f>IFERROR(__xludf.DUMMYFUNCTION("""COMPUTED_VALUE"""),FALSE)</f>
        <v>0</v>
      </c>
      <c r="I475" s="1" t="str">
        <f>IFERROR(__xludf.DUMMYFUNCTION("""COMPUTED_VALUE"""),"Land of Spira")</f>
        <v>Land of Spira</v>
      </c>
    </row>
    <row r="476">
      <c r="A476" s="1" t="str">
        <f>IFERROR(__xludf.DUMMYFUNCTION("""COMPUTED_VALUE"""),"Bone Chest")</f>
        <v>Bone Chest</v>
      </c>
      <c r="B476" s="1" t="str">
        <f>IFERROR(__xludf.DUMMYFUNCTION("""COMPUTED_VALUE"""),"Determine the tier by a d10 roll.")</f>
        <v>Determine the tier by a d10 roll.</v>
      </c>
      <c r="C476" s="1" t="str">
        <f>IFERROR(__xludf.DUMMYFUNCTION("""COMPUTED_VALUE"""),"Item")</f>
        <v>Item</v>
      </c>
      <c r="D476" s="1"/>
      <c r="E476" s="1"/>
      <c r="F476" s="1"/>
      <c r="G476" s="1"/>
      <c r="H476" s="1" t="b">
        <f>IFERROR(__xludf.DUMMYFUNCTION("""COMPUTED_VALUE"""),FALSE)</f>
        <v>0</v>
      </c>
      <c r="I476" s="1" t="str">
        <f>IFERROR(__xludf.DUMMYFUNCTION("""COMPUTED_VALUE"""),"Land of Spira")</f>
        <v>Land of Spira</v>
      </c>
    </row>
    <row r="477">
      <c r="A477" s="1" t="str">
        <f>IFERROR(__xludf.DUMMYFUNCTION("""COMPUTED_VALUE"""),"Viking Key")</f>
        <v>Viking Key</v>
      </c>
      <c r="B477" s="1" t="str">
        <f>IFERROR(__xludf.DUMMYFUNCTION("""COMPUTED_VALUE"""),"Opens the Viking Chest")</f>
        <v>Opens the Viking Chest</v>
      </c>
      <c r="C477" s="1" t="str">
        <f>IFERROR(__xludf.DUMMYFUNCTION("""COMPUTED_VALUE"""),"Item")</f>
        <v>Item</v>
      </c>
      <c r="D477" s="1"/>
      <c r="E477" s="1"/>
      <c r="F477" s="1"/>
      <c r="G477" s="1"/>
      <c r="H477" s="1" t="b">
        <f>IFERROR(__xludf.DUMMYFUNCTION("""COMPUTED_VALUE"""),FALSE)</f>
        <v>0</v>
      </c>
      <c r="I477" s="1" t="str">
        <f>IFERROR(__xludf.DUMMYFUNCTION("""COMPUTED_VALUE"""),"Land of Spira")</f>
        <v>Land of Spira</v>
      </c>
    </row>
    <row r="478">
      <c r="A478" s="1" t="str">
        <f>IFERROR(__xludf.DUMMYFUNCTION("""COMPUTED_VALUE"""),"Viking Chest")</f>
        <v>Viking Chest</v>
      </c>
      <c r="B478" s="1" t="str">
        <f>IFERROR(__xludf.DUMMYFUNCTION("""COMPUTED_VALUE"""),"Determine the tier by a d10 roll.")</f>
        <v>Determine the tier by a d10 roll.</v>
      </c>
      <c r="C478" s="1" t="str">
        <f>IFERROR(__xludf.DUMMYFUNCTION("""COMPUTED_VALUE"""),"Item")</f>
        <v>Item</v>
      </c>
      <c r="D478" s="1"/>
      <c r="E478" s="1"/>
      <c r="F478" s="1"/>
      <c r="G478" s="1"/>
      <c r="H478" s="1" t="b">
        <f>IFERROR(__xludf.DUMMYFUNCTION("""COMPUTED_VALUE"""),FALSE)</f>
        <v>0</v>
      </c>
      <c r="I478" s="1" t="str">
        <f>IFERROR(__xludf.DUMMYFUNCTION("""COMPUTED_VALUE"""),"Land of Spira")</f>
        <v>Land of Spira</v>
      </c>
    </row>
    <row r="479">
      <c r="A479" s="1" t="str">
        <f>IFERROR(__xludf.DUMMYFUNCTION("""COMPUTED_VALUE"""),"Vikings Cove Key")</f>
        <v>Vikings Cove Key</v>
      </c>
      <c r="B479" s="1" t="str">
        <f>IFERROR(__xludf.DUMMYFUNCTION("""COMPUTED_VALUE"""),"Gain access to Vikings Cove")</f>
        <v>Gain access to Vikings Cove</v>
      </c>
      <c r="C479" s="1" t="str">
        <f>IFERROR(__xludf.DUMMYFUNCTION("""COMPUTED_VALUE"""),"Item")</f>
        <v>Item</v>
      </c>
      <c r="D479" s="1"/>
      <c r="E479" s="1"/>
      <c r="F479" s="1"/>
      <c r="G479" s="1"/>
      <c r="H479" s="1" t="b">
        <f>IFERROR(__xludf.DUMMYFUNCTION("""COMPUTED_VALUE"""),FALSE)</f>
        <v>0</v>
      </c>
      <c r="I479" s="1" t="str">
        <f>IFERROR(__xludf.DUMMYFUNCTION("""COMPUTED_VALUE"""),"Land of Spira")</f>
        <v>Land of Spira</v>
      </c>
    </row>
    <row r="480">
      <c r="A480" s="1" t="str">
        <f>IFERROR(__xludf.DUMMYFUNCTION("""COMPUTED_VALUE"""),"Baboon meat")</f>
        <v>Baboon meat</v>
      </c>
      <c r="B480" s="1" t="str">
        <f>IFERROR(__xludf.DUMMYFUNCTION("""COMPUTED_VALUE""")," +2 hunger")</f>
        <v> +2 hunger</v>
      </c>
      <c r="C480" s="1" t="str">
        <f>IFERROR(__xludf.DUMMYFUNCTION("""COMPUTED_VALUE"""),"Crop")</f>
        <v>Crop</v>
      </c>
      <c r="D480" s="1"/>
      <c r="E480" s="1"/>
      <c r="F480" s="1"/>
      <c r="G480" s="1"/>
      <c r="H480" s="1" t="b">
        <f>IFERROR(__xludf.DUMMYFUNCTION("""COMPUTED_VALUE"""),FALSE)</f>
        <v>0</v>
      </c>
      <c r="I480" s="1" t="str">
        <f>IFERROR(__xludf.DUMMYFUNCTION("""COMPUTED_VALUE"""),"Land of Spira")</f>
        <v>Land of Spira</v>
      </c>
    </row>
    <row r="481">
      <c r="A481" s="1" t="str">
        <f>IFERROR(__xludf.DUMMYFUNCTION("""COMPUTED_VALUE"""),"Eagle Feathers")</f>
        <v>Eagle Feathers</v>
      </c>
      <c r="B481" s="1" t="str">
        <f>IFERROR(__xludf.DUMMYFUNCTION("""COMPUTED_VALUE"""),"Crafting Material, roll a d20 to see how many you get if this is a loot drop.")</f>
        <v>Crafting Material, roll a d20 to see how many you get if this is a loot drop.</v>
      </c>
      <c r="C481" s="1" t="str">
        <f>IFERROR(__xludf.DUMMYFUNCTION("""COMPUTED_VALUE"""),"Item")</f>
        <v>Item</v>
      </c>
      <c r="D481" s="1"/>
      <c r="E481" s="1"/>
      <c r="F481" s="1"/>
      <c r="G481" s="1"/>
      <c r="H481" s="1" t="b">
        <f>IFERROR(__xludf.DUMMYFUNCTION("""COMPUTED_VALUE"""),FALSE)</f>
        <v>0</v>
      </c>
      <c r="I481" s="1" t="str">
        <f>IFERROR(__xludf.DUMMYFUNCTION("""COMPUTED_VALUE"""),"Land of Spira")</f>
        <v>Land of Spira</v>
      </c>
    </row>
    <row r="482">
      <c r="A482" s="1" t="str">
        <f>IFERROR(__xludf.DUMMYFUNCTION("""COMPUTED_VALUE"""),"The Cycle")</f>
        <v>The Cycle</v>
      </c>
      <c r="B482" s="1" t="str">
        <f>IFERROR(__xludf.DUMMYFUNCTION("""COMPUTED_VALUE"""),"1 damage initially to all enemies, Does X damage each round until all targets escape the cycle, must roll a 11 or higher adding you mobility as a bonus to your roll while attempting to escape each round")</f>
        <v>1 damage initially to all enemies, Does X damage each round until all targets escape the cycle, must roll a 11 or higher adding you mobility as a bonus to your roll while attempting to escape each round</v>
      </c>
      <c r="C482" s="1" t="str">
        <f>IFERROR(__xludf.DUMMYFUNCTION("""COMPUTED_VALUE"""),"Item")</f>
        <v>Item</v>
      </c>
      <c r="D482" s="1"/>
      <c r="E482" s="1"/>
      <c r="F482" s="1"/>
      <c r="G482" s="1"/>
      <c r="H482" s="1" t="b">
        <f>IFERROR(__xludf.DUMMYFUNCTION("""COMPUTED_VALUE"""),FALSE)</f>
        <v>0</v>
      </c>
      <c r="I482" s="1" t="str">
        <f>IFERROR(__xludf.DUMMYFUNCTION("""COMPUTED_VALUE"""),"Land of Spira")</f>
        <v>Land of Spira</v>
      </c>
    </row>
    <row r="483">
      <c r="A483" s="1" t="str">
        <f>IFERROR(__xludf.DUMMYFUNCTION("""COMPUTED_VALUE"""),"Scale")</f>
        <v>Scale</v>
      </c>
      <c r="B483" s="1" t="str">
        <f>IFERROR(__xludf.DUMMYFUNCTION("""COMPUTED_VALUE"""),"can be added to armor to give it +1 Earth resistance, once added to armor it can’t be removed")</f>
        <v>can be added to armor to give it +1 Earth resistance, once added to armor it can’t be removed</v>
      </c>
      <c r="C483" s="1" t="str">
        <f>IFERROR(__xludf.DUMMYFUNCTION("""COMPUTED_VALUE"""),"Item")</f>
        <v>Item</v>
      </c>
      <c r="D483" s="1"/>
      <c r="E483" s="1"/>
      <c r="F483" s="1"/>
      <c r="G483" s="1"/>
      <c r="H483" s="1" t="b">
        <f>IFERROR(__xludf.DUMMYFUNCTION("""COMPUTED_VALUE"""),FALSE)</f>
        <v>0</v>
      </c>
      <c r="I483" s="1" t="str">
        <f>IFERROR(__xludf.DUMMYFUNCTION("""COMPUTED_VALUE"""),"Land of Spira")</f>
        <v>Land of Spira</v>
      </c>
    </row>
    <row r="484">
      <c r="A484" s="1" t="str">
        <f>IFERROR(__xludf.DUMMYFUNCTION("""COMPUTED_VALUE"""),"Egg")</f>
        <v>Egg</v>
      </c>
      <c r="B484" s="1" t="str">
        <f>IFERROR(__xludf.DUMMYFUNCTION("""COMPUTED_VALUE"""),"Will hatch in X/X days.")</f>
        <v>Will hatch in X/X days.</v>
      </c>
      <c r="C484" s="1" t="str">
        <f>IFERROR(__xludf.DUMMYFUNCTION("""COMPUTED_VALUE"""),"Item")</f>
        <v>Item</v>
      </c>
      <c r="D484" s="1"/>
      <c r="E484" s="1"/>
      <c r="F484" s="1"/>
      <c r="G484" s="1"/>
      <c r="H484" s="1" t="b">
        <f>IFERROR(__xludf.DUMMYFUNCTION("""COMPUTED_VALUE"""),FALSE)</f>
        <v>0</v>
      </c>
      <c r="I484" s="1" t="str">
        <f>IFERROR(__xludf.DUMMYFUNCTION("""COMPUTED_VALUE"""),"Land of Spira")</f>
        <v>Land of Spira</v>
      </c>
    </row>
    <row r="485">
      <c r="A485" s="1" t="str">
        <f>IFERROR(__xludf.DUMMYFUNCTION("""COMPUTED_VALUE"""),"Soul")</f>
        <v>Soul</v>
      </c>
      <c r="B485" s="1" t="str">
        <f>IFERROR(__xludf.DUMMYFUNCTION("""COMPUTED_VALUE"""),"usable can be used to temporarily summon a minion of the creature the soul came from, the minion disappears after battle or when it's killed, If you have 3 or more souls you can gain 1 power from the creature, when you have gained 5 or more souls they can"&amp;" become the creature.")</f>
        <v>usable can be used to temporarily summon a minion of the creature the soul came from, the minion disappears after battle or when it's killed, If you have 3 or more souls you can gain 1 power from the creature, when you have gained 5 or more souls they can become the creature.</v>
      </c>
      <c r="C485" s="1" t="str">
        <f>IFERROR(__xludf.DUMMYFUNCTION("""COMPUTED_VALUE"""),"Item")</f>
        <v>Item</v>
      </c>
      <c r="D485" s="1"/>
      <c r="E485" s="1"/>
      <c r="F485" s="1"/>
      <c r="G485" s="1"/>
      <c r="H485" s="1" t="b">
        <f>IFERROR(__xludf.DUMMYFUNCTION("""COMPUTED_VALUE"""),FALSE)</f>
        <v>0</v>
      </c>
      <c r="I485" s="1" t="str">
        <f>IFERROR(__xludf.DUMMYFUNCTION("""COMPUTED_VALUE"""),"Land of Spira")</f>
        <v>Land of Spira</v>
      </c>
    </row>
    <row r="486">
      <c r="A486" s="1" t="str">
        <f>IFERROR(__xludf.DUMMYFUNCTION("""COMPUTED_VALUE"""),"Crystal")</f>
        <v>Crystal</v>
      </c>
      <c r="B486" s="1" t="str">
        <f>IFERROR(__xludf.DUMMYFUNCTION("""COMPUTED_VALUE"""),"Crafting Material, roll a d20 to see how many you get if this is a loot drop.")</f>
        <v>Crafting Material, roll a d20 to see how many you get if this is a loot drop.</v>
      </c>
      <c r="C486" s="1" t="str">
        <f>IFERROR(__xludf.DUMMYFUNCTION("""COMPUTED_VALUE"""),"Item")</f>
        <v>Item</v>
      </c>
      <c r="D486" s="1"/>
      <c r="E486" s="1"/>
      <c r="F486" s="1"/>
      <c r="G486" s="1"/>
      <c r="H486" s="1" t="b">
        <f>IFERROR(__xludf.DUMMYFUNCTION("""COMPUTED_VALUE"""),FALSE)</f>
        <v>0</v>
      </c>
      <c r="I486" s="1" t="str">
        <f>IFERROR(__xludf.DUMMYFUNCTION("""COMPUTED_VALUE"""),"Land of Spira")</f>
        <v>Land of Spira</v>
      </c>
    </row>
    <row r="487">
      <c r="A487" s="1" t="str">
        <f>IFERROR(__xludf.DUMMYFUNCTION("""COMPUTED_VALUE"""),"Delta Gems")</f>
        <v>Delta Gems</v>
      </c>
      <c r="B487" s="1" t="str">
        <f>IFERROR(__xludf.DUMMYFUNCTION("""COMPUTED_VALUE"""),"Crafting Material, roll a d20 to see how many you get if this is a loot drop.")</f>
        <v>Crafting Material, roll a d20 to see how many you get if this is a loot drop.</v>
      </c>
      <c r="C487" s="1" t="str">
        <f>IFERROR(__xludf.DUMMYFUNCTION("""COMPUTED_VALUE"""),"Item")</f>
        <v>Item</v>
      </c>
      <c r="D487" s="1"/>
      <c r="E487" s="1"/>
      <c r="F487" s="1"/>
      <c r="G487" s="1"/>
      <c r="H487" s="1" t="b">
        <f>IFERROR(__xludf.DUMMYFUNCTION("""COMPUTED_VALUE"""),FALSE)</f>
        <v>0</v>
      </c>
      <c r="I487" s="1" t="str">
        <f>IFERROR(__xludf.DUMMYFUNCTION("""COMPUTED_VALUE"""),"Land of Spira")</f>
        <v>Land of Spira</v>
      </c>
    </row>
    <row r="488">
      <c r="A488" s="1" t="str">
        <f>IFERROR(__xludf.DUMMYFUNCTION("""COMPUTED_VALUE"""),"Fire Diamonds")</f>
        <v>Fire Diamonds</v>
      </c>
      <c r="B488" s="1" t="str">
        <f>IFERROR(__xludf.DUMMYFUNCTION("""COMPUTED_VALUE"""),"Crafting Material, roll a d20 to see how many you get if this is a loot drop.")</f>
        <v>Crafting Material, roll a d20 to see how many you get if this is a loot drop.</v>
      </c>
      <c r="C488" s="1" t="str">
        <f>IFERROR(__xludf.DUMMYFUNCTION("""COMPUTED_VALUE"""),"Item")</f>
        <v>Item</v>
      </c>
      <c r="D488" s="1"/>
      <c r="E488" s="1"/>
      <c r="F488" s="1"/>
      <c r="G488" s="1"/>
      <c r="H488" s="1" t="b">
        <f>IFERROR(__xludf.DUMMYFUNCTION("""COMPUTED_VALUE"""),FALSE)</f>
        <v>0</v>
      </c>
      <c r="I488" s="1" t="str">
        <f>IFERROR(__xludf.DUMMYFUNCTION("""COMPUTED_VALUE"""),"Land of Spira")</f>
        <v>Land of Spira</v>
      </c>
    </row>
    <row r="489">
      <c r="A489" s="1" t="str">
        <f>IFERROR(__xludf.DUMMYFUNCTION("""COMPUTED_VALUE"""),"plant containing the ‘instant death status effect’")</f>
        <v>plant containing the ‘instant death status effect’</v>
      </c>
      <c r="B489" s="1" t="str">
        <f>IFERROR(__xludf.DUMMYFUNCTION("""COMPUTED_VALUE"""),"Quest item")</f>
        <v>Quest item</v>
      </c>
      <c r="C489" s="1" t="str">
        <f>IFERROR(__xludf.DUMMYFUNCTION("""COMPUTED_VALUE"""),"Item")</f>
        <v>Item</v>
      </c>
      <c r="D489" s="1"/>
      <c r="E489" s="1"/>
      <c r="F489" s="1"/>
      <c r="G489" s="1"/>
      <c r="H489" s="1" t="b">
        <f>IFERROR(__xludf.DUMMYFUNCTION("""COMPUTED_VALUE"""),FALSE)</f>
        <v>0</v>
      </c>
      <c r="I489" s="1" t="str">
        <f>IFERROR(__xludf.DUMMYFUNCTION("""COMPUTED_VALUE"""),"Land of Spira")</f>
        <v>Land of Spira</v>
      </c>
    </row>
    <row r="490">
      <c r="A490" s="1" t="str">
        <f>IFERROR(__xludf.DUMMYFUNCTION("""COMPUTED_VALUE"""),"Light Arrow")</f>
        <v>Light Arrow</v>
      </c>
      <c r="B490" s="1" t="str">
        <f>IFERROR(__xludf.DUMMYFUNCTION("""COMPUTED_VALUE"""),"Bow Ammunition. +500 light damage. roll a d20 to see how many you get if this is a loot drop.")</f>
        <v>Bow Ammunition. +500 light damage. roll a d20 to see how many you get if this is a loot drop.</v>
      </c>
      <c r="C490" s="1" t="str">
        <f>IFERROR(__xludf.DUMMYFUNCTION("""COMPUTED_VALUE"""),"Item")</f>
        <v>Item</v>
      </c>
      <c r="D490" s="1"/>
      <c r="E490" s="1"/>
      <c r="F490" s="1"/>
      <c r="G490" s="1"/>
      <c r="H490" s="1" t="b">
        <f>IFERROR(__xludf.DUMMYFUNCTION("""COMPUTED_VALUE"""),FALSE)</f>
        <v>0</v>
      </c>
      <c r="I490" s="1" t="str">
        <f>IFERROR(__xludf.DUMMYFUNCTION("""COMPUTED_VALUE"""),"Land of Spira")</f>
        <v>Land of Spira</v>
      </c>
    </row>
    <row r="491">
      <c r="A491" s="1" t="str">
        <f>IFERROR(__xludf.DUMMYFUNCTION("""COMPUTED_VALUE"""),"Potion of Cure Curse")</f>
        <v>Potion of Cure Curse</v>
      </c>
      <c r="B491" s="1" t="str">
        <f>IFERROR(__xludf.DUMMYFUNCTION("""COMPUTED_VALUE"""),"Curse Antidote")</f>
        <v>Curse Antidote</v>
      </c>
      <c r="C491" s="1" t="str">
        <f>IFERROR(__xludf.DUMMYFUNCTION("""COMPUTED_VALUE"""),"Item")</f>
        <v>Item</v>
      </c>
      <c r="D491" s="1"/>
      <c r="E491" s="1"/>
      <c r="F491" s="1"/>
      <c r="G491" s="1"/>
      <c r="H491" s="1" t="b">
        <f>IFERROR(__xludf.DUMMYFUNCTION("""COMPUTED_VALUE"""),FALSE)</f>
        <v>0</v>
      </c>
      <c r="I491" s="1" t="str">
        <f>IFERROR(__xludf.DUMMYFUNCTION("""COMPUTED_VALUE"""),"Land of Spira")</f>
        <v>Land of Spira</v>
      </c>
    </row>
    <row r="492">
      <c r="A492" s="1" t="str">
        <f>IFERROR(__xludf.DUMMYFUNCTION("""COMPUTED_VALUE"""),"Glowing Blue Jelly")</f>
        <v>Glowing Blue Jelly</v>
      </c>
      <c r="B492" s="1" t="str">
        <f>IFERROR(__xludf.DUMMYFUNCTION("""COMPUTED_VALUE"""),"Crafting Material, roll a d20 to see how many you get if this is a loot drop.")</f>
        <v>Crafting Material, roll a d20 to see how many you get if this is a loot drop.</v>
      </c>
      <c r="C492" s="1" t="str">
        <f>IFERROR(__xludf.DUMMYFUNCTION("""COMPUTED_VALUE"""),"Item")</f>
        <v>Item</v>
      </c>
      <c r="D492" s="1"/>
      <c r="E492" s="1"/>
      <c r="F492" s="1"/>
      <c r="G492" s="1"/>
      <c r="H492" s="1" t="b">
        <f>IFERROR(__xludf.DUMMYFUNCTION("""COMPUTED_VALUE"""),FALSE)</f>
        <v>0</v>
      </c>
      <c r="I492" s="1" t="str">
        <f>IFERROR(__xludf.DUMMYFUNCTION("""COMPUTED_VALUE"""),"Land of Spira")</f>
        <v>Land of Spira</v>
      </c>
    </row>
    <row r="493">
      <c r="A493" s="1" t="str">
        <f>IFERROR(__xludf.DUMMYFUNCTION("""COMPUTED_VALUE"""),"Feather")</f>
        <v>Feather</v>
      </c>
      <c r="B493" s="1" t="str">
        <f>IFERROR(__xludf.DUMMYFUNCTION("""COMPUTED_VALUE"""),"Crafting Material, roll a d20 to see how many you get if this is a loot drop.")</f>
        <v>Crafting Material, roll a d20 to see how many you get if this is a loot drop.</v>
      </c>
      <c r="C493" s="1" t="str">
        <f>IFERROR(__xludf.DUMMYFUNCTION("""COMPUTED_VALUE"""),"Item")</f>
        <v>Item</v>
      </c>
      <c r="D493" s="1"/>
      <c r="E493" s="1"/>
      <c r="F493" s="1"/>
      <c r="G493" s="1"/>
      <c r="H493" s="1" t="b">
        <f>IFERROR(__xludf.DUMMYFUNCTION("""COMPUTED_VALUE"""),FALSE)</f>
        <v>0</v>
      </c>
      <c r="I493" s="1" t="str">
        <f>IFERROR(__xludf.DUMMYFUNCTION("""COMPUTED_VALUE"""),"Land of Spira")</f>
        <v>Land of Spira</v>
      </c>
    </row>
    <row r="494">
      <c r="A494" s="1" t="str">
        <f>IFERROR(__xludf.DUMMYFUNCTION("""COMPUTED_VALUE"""),"Talon")</f>
        <v>Talon</v>
      </c>
      <c r="B494" s="1" t="str">
        <f>IFERROR(__xludf.DUMMYFUNCTION("""COMPUTED_VALUE"""),"Crafting Material, roll a d20 to see how many you get if this is a loot drop.")</f>
        <v>Crafting Material, roll a d20 to see how many you get if this is a loot drop.</v>
      </c>
      <c r="C494" s="1" t="str">
        <f>IFERROR(__xludf.DUMMYFUNCTION("""COMPUTED_VALUE"""),"Item")</f>
        <v>Item</v>
      </c>
      <c r="D494" s="1"/>
      <c r="E494" s="1"/>
      <c r="F494" s="1"/>
      <c r="G494" s="1"/>
      <c r="H494" s="1" t="b">
        <f>IFERROR(__xludf.DUMMYFUNCTION("""COMPUTED_VALUE"""),FALSE)</f>
        <v>0</v>
      </c>
      <c r="I494" s="1" t="str">
        <f>IFERROR(__xludf.DUMMYFUNCTION("""COMPUTED_VALUE"""),"Land of Spira")</f>
        <v>Land of Spira</v>
      </c>
    </row>
    <row r="495">
      <c r="A495" s="1" t="str">
        <f>IFERROR(__xludf.DUMMYFUNCTION("""COMPUTED_VALUE"""),"Eyeball")</f>
        <v>Eyeball</v>
      </c>
      <c r="B495" s="1" t="str">
        <f>IFERROR(__xludf.DUMMYFUNCTION("""COMPUTED_VALUE"""),"Crafting Material, roll a d20 to see how many you get if this is a loot drop.")</f>
        <v>Crafting Material, roll a d20 to see how many you get if this is a loot drop.</v>
      </c>
      <c r="C495" s="1" t="str">
        <f>IFERROR(__xludf.DUMMYFUNCTION("""COMPUTED_VALUE"""),"Item")</f>
        <v>Item</v>
      </c>
      <c r="D495" s="1"/>
      <c r="E495" s="1"/>
      <c r="F495" s="1"/>
      <c r="G495" s="1"/>
      <c r="H495" s="1" t="b">
        <f>IFERROR(__xludf.DUMMYFUNCTION("""COMPUTED_VALUE"""),FALSE)</f>
        <v>0</v>
      </c>
      <c r="I495" s="1" t="str">
        <f>IFERROR(__xludf.DUMMYFUNCTION("""COMPUTED_VALUE"""),"Land of Spira")</f>
        <v>Land of Spira</v>
      </c>
    </row>
    <row r="496">
      <c r="A496" s="1" t="str">
        <f>IFERROR(__xludf.DUMMYFUNCTION("""COMPUTED_VALUE"""),"Spider Egg")</f>
        <v>Spider Egg</v>
      </c>
      <c r="B496" s="1" t="str">
        <f>IFERROR(__xludf.DUMMYFUNCTION("""COMPUTED_VALUE"""),"Crafting Material, roll a d20 to see how many you get if this is a loot drop.")</f>
        <v>Crafting Material, roll a d20 to see how many you get if this is a loot drop.</v>
      </c>
      <c r="C496" s="1" t="str">
        <f>IFERROR(__xludf.DUMMYFUNCTION("""COMPUTED_VALUE"""),"Item")</f>
        <v>Item</v>
      </c>
      <c r="D496" s="1"/>
      <c r="E496" s="1"/>
      <c r="F496" s="1"/>
      <c r="G496" s="1"/>
      <c r="H496" s="1" t="b">
        <f>IFERROR(__xludf.DUMMYFUNCTION("""COMPUTED_VALUE"""),FALSE)</f>
        <v>0</v>
      </c>
      <c r="I496" s="1" t="str">
        <f>IFERROR(__xludf.DUMMYFUNCTION("""COMPUTED_VALUE"""),"Land of Spira")</f>
        <v>Land of Spira</v>
      </c>
    </row>
    <row r="497">
      <c r="A497" s="1" t="str">
        <f>IFERROR(__xludf.DUMMYFUNCTION("""COMPUTED_VALUE"""),"Giant Spider Exoskeleton")</f>
        <v>Giant Spider Exoskeleton</v>
      </c>
      <c r="B497" s="1" t="str">
        <f>IFERROR(__xludf.DUMMYFUNCTION("""COMPUTED_VALUE"""),"Crafting Material, roll a d20 to see how many you get if this is a loot drop.")</f>
        <v>Crafting Material, roll a d20 to see how many you get if this is a loot drop.</v>
      </c>
      <c r="C497" s="1" t="str">
        <f>IFERROR(__xludf.DUMMYFUNCTION("""COMPUTED_VALUE"""),"Item")</f>
        <v>Item</v>
      </c>
      <c r="D497" s="1"/>
      <c r="E497" s="1"/>
      <c r="F497" s="1"/>
      <c r="G497" s="1"/>
      <c r="H497" s="1" t="b">
        <f>IFERROR(__xludf.DUMMYFUNCTION("""COMPUTED_VALUE"""),FALSE)</f>
        <v>0</v>
      </c>
      <c r="I497" s="1" t="str">
        <f>IFERROR(__xludf.DUMMYFUNCTION("""COMPUTED_VALUE"""),"Land of Spira")</f>
        <v>Land of Spira</v>
      </c>
    </row>
    <row r="498">
      <c r="A498" s="1" t="str">
        <f>IFERROR(__xludf.DUMMYFUNCTION("""COMPUTED_VALUE"""),"Giant Spider Poison")</f>
        <v>Giant Spider Poison</v>
      </c>
      <c r="B498" s="1" t="str">
        <f>IFERROR(__xludf.DUMMYFUNCTION("""COMPUTED_VALUE"""),"Crafting Material, roll a d20 to see how many you get if this is a loot drop.")</f>
        <v>Crafting Material, roll a d20 to see how many you get if this is a loot drop.</v>
      </c>
      <c r="C498" s="1" t="str">
        <f>IFERROR(__xludf.DUMMYFUNCTION("""COMPUTED_VALUE"""),"Item")</f>
        <v>Item</v>
      </c>
      <c r="D498" s="1"/>
      <c r="E498" s="1"/>
      <c r="F498" s="1"/>
      <c r="G498" s="1"/>
      <c r="H498" s="1" t="b">
        <f>IFERROR(__xludf.DUMMYFUNCTION("""COMPUTED_VALUE"""),FALSE)</f>
        <v>0</v>
      </c>
      <c r="I498" s="1" t="str">
        <f>IFERROR(__xludf.DUMMYFUNCTION("""COMPUTED_VALUE"""),"Land of Spira")</f>
        <v>Land of Spira</v>
      </c>
    </row>
    <row r="499">
      <c r="A499" s="1" t="str">
        <f>IFERROR(__xludf.DUMMYFUNCTION("""COMPUTED_VALUE"""),"Poison Gem")</f>
        <v>Poison Gem</v>
      </c>
      <c r="B499" s="1" t="str">
        <f>IFERROR(__xludf.DUMMYFUNCTION("""COMPUTED_VALUE"""),"Crafting Material, roll a d20 to see how many you get if this is a loot drop.")</f>
        <v>Crafting Material, roll a d20 to see how many you get if this is a loot drop.</v>
      </c>
      <c r="C499" s="1" t="str">
        <f>IFERROR(__xludf.DUMMYFUNCTION("""COMPUTED_VALUE"""),"Item")</f>
        <v>Item</v>
      </c>
      <c r="D499" s="1"/>
      <c r="E499" s="1"/>
      <c r="F499" s="1"/>
      <c r="G499" s="1"/>
      <c r="H499" s="1" t="b">
        <f>IFERROR(__xludf.DUMMYFUNCTION("""COMPUTED_VALUE"""),FALSE)</f>
        <v>0</v>
      </c>
      <c r="I499" s="1" t="str">
        <f>IFERROR(__xludf.DUMMYFUNCTION("""COMPUTED_VALUE"""),"Land of Spira")</f>
        <v>Land of Spira</v>
      </c>
    </row>
    <row r="500">
      <c r="A500" s="1" t="str">
        <f>IFERROR(__xludf.DUMMYFUNCTION("""COMPUTED_VALUE"""),"Returning Arrow")</f>
        <v>Returning Arrow</v>
      </c>
      <c r="B500" s="1" t="str">
        <f>IFERROR(__xludf.DUMMYFUNCTION("""COMPUTED_VALUE"""),"Bow Ammunition. +500 damage.  returns to the user. roll a d20 to see how many you get if this is a loot drop.")</f>
        <v>Bow Ammunition. +500 damage.  returns to the user. roll a d20 to see how many you get if this is a loot drop.</v>
      </c>
      <c r="C500" s="1" t="str">
        <f>IFERROR(__xludf.DUMMYFUNCTION("""COMPUTED_VALUE"""),"Item")</f>
        <v>Item</v>
      </c>
      <c r="D500" s="1"/>
      <c r="E500" s="1"/>
      <c r="F500" s="1"/>
      <c r="G500" s="1"/>
      <c r="H500" s="1" t="b">
        <f>IFERROR(__xludf.DUMMYFUNCTION("""COMPUTED_VALUE"""),FALSE)</f>
        <v>0</v>
      </c>
      <c r="I500" s="1" t="str">
        <f>IFERROR(__xludf.DUMMYFUNCTION("""COMPUTED_VALUE"""),"Land of Spira")</f>
        <v>Land of Spira</v>
      </c>
    </row>
    <row r="501">
      <c r="A501" s="1" t="str">
        <f>IFERROR(__xludf.DUMMYFUNCTION("""COMPUTED_VALUE"""),"Shadow Fluid")</f>
        <v>Shadow Fluid</v>
      </c>
      <c r="B501" s="1" t="str">
        <f>IFERROR(__xludf.DUMMYFUNCTION("""COMPUTED_VALUE"""),"Crafting Material, roll a d20 to see how many you get if this is a loot drop.")</f>
        <v>Crafting Material, roll a d20 to see how many you get if this is a loot drop.</v>
      </c>
      <c r="C501" s="1" t="str">
        <f>IFERROR(__xludf.DUMMYFUNCTION("""COMPUTED_VALUE"""),"Item")</f>
        <v>Item</v>
      </c>
      <c r="D501" s="1"/>
      <c r="E501" s="1"/>
      <c r="F501" s="1"/>
      <c r="G501" s="1"/>
      <c r="H501" s="1" t="b">
        <f>IFERROR(__xludf.DUMMYFUNCTION("""COMPUTED_VALUE"""),FALSE)</f>
        <v>0</v>
      </c>
      <c r="I501" s="1" t="str">
        <f>IFERROR(__xludf.DUMMYFUNCTION("""COMPUTED_VALUE"""),"Land of Spira")</f>
        <v>Land of Spira</v>
      </c>
    </row>
    <row r="502">
      <c r="A502" s="1" t="str">
        <f>IFERROR(__xludf.DUMMYFUNCTION("""COMPUTED_VALUE"""),"Skull")</f>
        <v>Skull</v>
      </c>
      <c r="B502" s="1" t="str">
        <f>IFERROR(__xludf.DUMMYFUNCTION("""COMPUTED_VALUE"""),"Crafting Material, roll a d20 to see how many you get if this is a loot drop.")</f>
        <v>Crafting Material, roll a d20 to see how many you get if this is a loot drop.</v>
      </c>
      <c r="C502" s="1" t="str">
        <f>IFERROR(__xludf.DUMMYFUNCTION("""COMPUTED_VALUE"""),"Item")</f>
        <v>Item</v>
      </c>
      <c r="D502" s="1"/>
      <c r="E502" s="1"/>
      <c r="F502" s="1"/>
      <c r="G502" s="1"/>
      <c r="H502" s="1" t="b">
        <f>IFERROR(__xludf.DUMMYFUNCTION("""COMPUTED_VALUE"""),FALSE)</f>
        <v>0</v>
      </c>
      <c r="I502" s="1" t="str">
        <f>IFERROR(__xludf.DUMMYFUNCTION("""COMPUTED_VALUE"""),"Land of Spira")</f>
        <v>Land of Spira</v>
      </c>
    </row>
    <row r="503">
      <c r="A503" s="1" t="str">
        <f>IFERROR(__xludf.DUMMYFUNCTION("""COMPUTED_VALUE"""),"Rotton Flesh")</f>
        <v>Rotton Flesh</v>
      </c>
      <c r="B503" s="1" t="str">
        <f>IFERROR(__xludf.DUMMYFUNCTION("""COMPUTED_VALUE"""),"-100 Hunger if you are not undead. +200 hunger and energy if you are undead.")</f>
        <v>-100 Hunger if you are not undead. +200 hunger and energy if you are undead.</v>
      </c>
      <c r="C503" s="1" t="str">
        <f>IFERROR(__xludf.DUMMYFUNCTION("""COMPUTED_VALUE"""),"Crop")</f>
        <v>Crop</v>
      </c>
      <c r="D503" s="1"/>
      <c r="E503" s="1"/>
      <c r="F503" s="1"/>
      <c r="G503" s="1"/>
      <c r="H503" s="1" t="b">
        <f>IFERROR(__xludf.DUMMYFUNCTION("""COMPUTED_VALUE"""),FALSE)</f>
        <v>0</v>
      </c>
      <c r="I503" s="1" t="str">
        <f>IFERROR(__xludf.DUMMYFUNCTION("""COMPUTED_VALUE"""),"Land of Spira")</f>
        <v>Land of Spira</v>
      </c>
    </row>
    <row r="504">
      <c r="A504" s="1" t="str">
        <f>IFERROR(__xludf.DUMMYFUNCTION("""COMPUTED_VALUE"""),"Bag of Sand")</f>
        <v>Bag of Sand</v>
      </c>
      <c r="B504" s="1" t="str">
        <f>IFERROR(__xludf.DUMMYFUNCTION("""COMPUTED_VALUE"""),"Crafting Material, roll a d20 to see how many you get if this is a loot drop.")</f>
        <v>Crafting Material, roll a d20 to see how many you get if this is a loot drop.</v>
      </c>
      <c r="C504" s="1" t="str">
        <f>IFERROR(__xludf.DUMMYFUNCTION("""COMPUTED_VALUE"""),"Item")</f>
        <v>Item</v>
      </c>
      <c r="D504" s="1"/>
      <c r="E504" s="1"/>
      <c r="F504" s="1"/>
      <c r="G504" s="1"/>
      <c r="H504" s="1" t="b">
        <f>IFERROR(__xludf.DUMMYFUNCTION("""COMPUTED_VALUE"""),FALSE)</f>
        <v>0</v>
      </c>
      <c r="I504" s="1" t="str">
        <f>IFERROR(__xludf.DUMMYFUNCTION("""COMPUTED_VALUE"""),"Land of Spira")</f>
        <v>Land of Spira</v>
      </c>
    </row>
    <row r="505">
      <c r="A505" s="1" t="str">
        <f>IFERROR(__xludf.DUMMYFUNCTION("""COMPUTED_VALUE"""),"Glowing Red eye")</f>
        <v>Glowing Red eye</v>
      </c>
      <c r="B505" s="1" t="str">
        <f>IFERROR(__xludf.DUMMYFUNCTION("""COMPUTED_VALUE""")," +10SP")</f>
        <v> +10SP</v>
      </c>
      <c r="C505" s="1" t="str">
        <f>IFERROR(__xludf.DUMMYFUNCTION("""COMPUTED_VALUE"""),"Item")</f>
        <v>Item</v>
      </c>
      <c r="D505" s="1"/>
      <c r="E505" s="1"/>
      <c r="F505" s="1"/>
      <c r="G505" s="1"/>
      <c r="H505" s="1" t="b">
        <f>IFERROR(__xludf.DUMMYFUNCTION("""COMPUTED_VALUE"""),FALSE)</f>
        <v>0</v>
      </c>
      <c r="I505" s="1" t="str">
        <f>IFERROR(__xludf.DUMMYFUNCTION("""COMPUTED_VALUE"""),"Land of Spira")</f>
        <v>Land of Spira</v>
      </c>
    </row>
    <row r="506">
      <c r="A506" s="1" t="str">
        <f>IFERROR(__xludf.DUMMYFUNCTION("""COMPUTED_VALUE"""),"Sand Gem")</f>
        <v>Sand Gem</v>
      </c>
      <c r="B506" s="1" t="str">
        <f>IFERROR(__xludf.DUMMYFUNCTION("""COMPUTED_VALUE"""),"Crafting Material, roll a d20 to see how many you get if this is a loot drop.")</f>
        <v>Crafting Material, roll a d20 to see how many you get if this is a loot drop.</v>
      </c>
      <c r="C506" s="1" t="str">
        <f>IFERROR(__xludf.DUMMYFUNCTION("""COMPUTED_VALUE"""),"Item")</f>
        <v>Item</v>
      </c>
      <c r="D506" s="1"/>
      <c r="E506" s="1"/>
      <c r="F506" s="1"/>
      <c r="G506" s="1"/>
      <c r="H506" s="1" t="b">
        <f>IFERROR(__xludf.DUMMYFUNCTION("""COMPUTED_VALUE"""),FALSE)</f>
        <v>0</v>
      </c>
      <c r="I506" s="1" t="str">
        <f>IFERROR(__xludf.DUMMYFUNCTION("""COMPUTED_VALUE"""),"Land of Spira")</f>
        <v>Land of Spira</v>
      </c>
    </row>
    <row r="507">
      <c r="A507" s="1" t="str">
        <f>IFERROR(__xludf.DUMMYFUNCTION("""COMPUTED_VALUE"""),"Poison water")</f>
        <v>Poison water</v>
      </c>
      <c r="B507" s="1"/>
      <c r="C507" s="1" t="str">
        <f>IFERROR(__xludf.DUMMYFUNCTION("""COMPUTED_VALUE"""),"Item")</f>
        <v>Item</v>
      </c>
      <c r="D507" s="1"/>
      <c r="E507" s="1"/>
      <c r="F507" s="1"/>
      <c r="G507" s="1"/>
      <c r="H507" s="1" t="b">
        <f>IFERROR(__xludf.DUMMYFUNCTION("""COMPUTED_VALUE"""),FALSE)</f>
        <v>0</v>
      </c>
      <c r="I507" s="1" t="str">
        <f>IFERROR(__xludf.DUMMYFUNCTION("""COMPUTED_VALUE"""),"Land of Spira")</f>
        <v>Land of Spira</v>
      </c>
    </row>
    <row r="508">
      <c r="A508" s="1" t="str">
        <f>IFERROR(__xludf.DUMMYFUNCTION("""COMPUTED_VALUE"""),"Poison Mushroom")</f>
        <v>Poison Mushroom</v>
      </c>
      <c r="B508" s="1" t="str">
        <f>IFERROR(__xludf.DUMMYFUNCTION("""COMPUTED_VALUE"""),"-100 Hunger, Causes poison 100 for 10 days of travel.")</f>
        <v>-100 Hunger, Causes poison 100 for 10 days of travel.</v>
      </c>
      <c r="C508" s="1" t="str">
        <f>IFERROR(__xludf.DUMMYFUNCTION("""COMPUTED_VALUE"""),"Crop")</f>
        <v>Crop</v>
      </c>
      <c r="D508" s="1"/>
      <c r="E508" s="1"/>
      <c r="F508" s="1"/>
      <c r="G508" s="1"/>
      <c r="H508" s="1" t="b">
        <f>IFERROR(__xludf.DUMMYFUNCTION("""COMPUTED_VALUE"""),FALSE)</f>
        <v>0</v>
      </c>
      <c r="I508" s="1" t="str">
        <f>IFERROR(__xludf.DUMMYFUNCTION("""COMPUTED_VALUE"""),"Land of Spira")</f>
        <v>Land of Spira</v>
      </c>
    </row>
    <row r="509">
      <c r="A509" s="1" t="str">
        <f>IFERROR(__xludf.DUMMYFUNCTION("""COMPUTED_VALUE"""),"Vile of Poison")</f>
        <v>Vile of Poison</v>
      </c>
      <c r="B509" s="1" t="str">
        <f>IFERROR(__xludf.DUMMYFUNCTION("""COMPUTED_VALUE"""),"Crafting Material, roll a d20 to see how many you get if this is a loot drop.")</f>
        <v>Crafting Material, roll a d20 to see how many you get if this is a loot drop.</v>
      </c>
      <c r="C509" s="1" t="str">
        <f>IFERROR(__xludf.DUMMYFUNCTION("""COMPUTED_VALUE"""),"Item")</f>
        <v>Item</v>
      </c>
      <c r="D509" s="1"/>
      <c r="E509" s="1"/>
      <c r="F509" s="1"/>
      <c r="G509" s="1"/>
      <c r="H509" s="1" t="b">
        <f>IFERROR(__xludf.DUMMYFUNCTION("""COMPUTED_VALUE"""),FALSE)</f>
        <v>0</v>
      </c>
      <c r="I509" s="1" t="str">
        <f>IFERROR(__xludf.DUMMYFUNCTION("""COMPUTED_VALUE"""),"Land of Spira")</f>
        <v>Land of Spira</v>
      </c>
    </row>
    <row r="510">
      <c r="A510" s="1" t="str">
        <f>IFERROR(__xludf.DUMMYFUNCTION("""COMPUTED_VALUE"""),"Explosive Arrow")</f>
        <v>Explosive Arrow</v>
      </c>
      <c r="B510" s="1" t="str">
        <f>IFERROR(__xludf.DUMMYFUNCTION("""COMPUTED_VALUE"""),"Bow Ammunition. +1000 fire damage to the enemy it hits. +500 fire damage to all other enemies. roll a d20 to see how many you get if this is a loot drop.")</f>
        <v>Bow Ammunition. +1000 fire damage to the enemy it hits. +500 fire damage to all other enemies. roll a d20 to see how many you get if this is a loot drop.</v>
      </c>
      <c r="C510" s="1" t="str">
        <f>IFERROR(__xludf.DUMMYFUNCTION("""COMPUTED_VALUE"""),"Item")</f>
        <v>Item</v>
      </c>
      <c r="D510" s="1"/>
      <c r="E510" s="1"/>
      <c r="F510" s="1"/>
      <c r="G510" s="1"/>
      <c r="H510" s="1" t="b">
        <f>IFERROR(__xludf.DUMMYFUNCTION("""COMPUTED_VALUE"""),FALSE)</f>
        <v>0</v>
      </c>
      <c r="I510" s="1" t="str">
        <f>IFERROR(__xludf.DUMMYFUNCTION("""COMPUTED_VALUE"""),"Land of Spira")</f>
        <v>Land of Spira</v>
      </c>
    </row>
    <row r="511">
      <c r="A511" s="1" t="str">
        <f>IFERROR(__xludf.DUMMYFUNCTION("""COMPUTED_VALUE"""),"Frost diamond")</f>
        <v>Frost diamond</v>
      </c>
      <c r="B511" s="1" t="str">
        <f>IFERROR(__xludf.DUMMYFUNCTION("""COMPUTED_VALUE"""),"Crafting Material, roll a d20 to see how many you get if this is a loot drop.")</f>
        <v>Crafting Material, roll a d20 to see how many you get if this is a loot drop.</v>
      </c>
      <c r="C511" s="1" t="str">
        <f>IFERROR(__xludf.DUMMYFUNCTION("""COMPUTED_VALUE"""),"Item")</f>
        <v>Item</v>
      </c>
      <c r="D511" s="1"/>
      <c r="E511" s="1"/>
      <c r="F511" s="1"/>
      <c r="G511" s="1"/>
      <c r="H511" s="1" t="b">
        <f>IFERROR(__xludf.DUMMYFUNCTION("""COMPUTED_VALUE"""),FALSE)</f>
        <v>0</v>
      </c>
      <c r="I511" s="1" t="str">
        <f>IFERROR(__xludf.DUMMYFUNCTION("""COMPUTED_VALUE"""),"Land of Spira")</f>
        <v>Land of Spira</v>
      </c>
    </row>
    <row r="512">
      <c r="A512" s="1" t="str">
        <f>IFERROR(__xludf.DUMMYFUNCTION("""COMPUTED_VALUE"""),"Giant Frost Diamond")</f>
        <v>Giant Frost Diamond</v>
      </c>
      <c r="B512" s="1" t="str">
        <f>IFERROR(__xludf.DUMMYFUNCTION("""COMPUTED_VALUE"""),"Crafting Material, roll a d20 to see how many you get if this is a loot drop.")</f>
        <v>Crafting Material, roll a d20 to see how many you get if this is a loot drop.</v>
      </c>
      <c r="C512" s="1" t="str">
        <f>IFERROR(__xludf.DUMMYFUNCTION("""COMPUTED_VALUE"""),"Item")</f>
        <v>Item</v>
      </c>
      <c r="D512" s="1"/>
      <c r="E512" s="1"/>
      <c r="F512" s="1"/>
      <c r="G512" s="1"/>
      <c r="H512" s="1" t="b">
        <f>IFERROR(__xludf.DUMMYFUNCTION("""COMPUTED_VALUE"""),FALSE)</f>
        <v>0</v>
      </c>
      <c r="I512" s="1" t="str">
        <f>IFERROR(__xludf.DUMMYFUNCTION("""COMPUTED_VALUE"""),"Land of Spira")</f>
        <v>Land of Spira</v>
      </c>
    </row>
    <row r="513">
      <c r="A513" s="1" t="str">
        <f>IFERROR(__xludf.DUMMYFUNCTION("""COMPUTED_VALUE"""),"Gold Brick")</f>
        <v>Gold Brick</v>
      </c>
      <c r="B513" s="1" t="str">
        <f>IFERROR(__xludf.DUMMYFUNCTION("""COMPUTED_VALUE"""),"Crafting Material, roll a d20 to see how many you get if this is a loot drop.")</f>
        <v>Crafting Material, roll a d20 to see how many you get if this is a loot drop.</v>
      </c>
      <c r="C513" s="1" t="str">
        <f>IFERROR(__xludf.DUMMYFUNCTION("""COMPUTED_VALUE"""),"Item")</f>
        <v>Item</v>
      </c>
      <c r="D513" s="1"/>
      <c r="E513" s="1"/>
      <c r="F513" s="1"/>
      <c r="G513" s="1"/>
      <c r="H513" s="1" t="b">
        <f>IFERROR(__xludf.DUMMYFUNCTION("""COMPUTED_VALUE"""),FALSE)</f>
        <v>0</v>
      </c>
      <c r="I513" s="1" t="str">
        <f>IFERROR(__xludf.DUMMYFUNCTION("""COMPUTED_VALUE"""),"Land of Spira")</f>
        <v>Land of Spira</v>
      </c>
    </row>
    <row r="514">
      <c r="A514" s="1" t="str">
        <f>IFERROR(__xludf.DUMMYFUNCTION("""COMPUTED_VALUE"""),"Arrow of Mutiplying ")</f>
        <v>Arrow of Mutiplying </v>
      </c>
      <c r="B514" s="1" t="str">
        <f>IFERROR(__xludf.DUMMYFUNCTION("""COMPUTED_VALUE"""),"Bow Ammunition. +1000 damage. +This arrow will summon X copies of itself which will also strike the target being attacked. X is equal to a d20 roll. roll a d20 to see how many you get if this is a loot drop.")</f>
        <v>Bow Ammunition. +1000 damage. +This arrow will summon X copies of itself which will also strike the target being attacked. X is equal to a d20 roll. roll a d20 to see how many you get if this is a loot drop.</v>
      </c>
      <c r="C514" s="1" t="str">
        <f>IFERROR(__xludf.DUMMYFUNCTION("""COMPUTED_VALUE"""),"Item")</f>
        <v>Item</v>
      </c>
      <c r="D514" s="1"/>
      <c r="E514" s="1"/>
      <c r="F514" s="1"/>
      <c r="G514" s="1"/>
      <c r="H514" s="1" t="b">
        <f>IFERROR(__xludf.DUMMYFUNCTION("""COMPUTED_VALUE"""),FALSE)</f>
        <v>0</v>
      </c>
      <c r="I514" s="1" t="str">
        <f>IFERROR(__xludf.DUMMYFUNCTION("""COMPUTED_VALUE"""),"Land of Spira")</f>
        <v>Land of Spira</v>
      </c>
    </row>
    <row r="515">
      <c r="A515" s="1" t="str">
        <f>IFERROR(__xludf.DUMMYFUNCTION("""COMPUTED_VALUE"""),"Water Gem")</f>
        <v>Water Gem</v>
      </c>
      <c r="B515" s="1" t="str">
        <f>IFERROR(__xludf.DUMMYFUNCTION("""COMPUTED_VALUE"""),"Crafting Material, roll a d20 to see how many you get if this is a loot drop.")</f>
        <v>Crafting Material, roll a d20 to see how many you get if this is a loot drop.</v>
      </c>
      <c r="C515" s="1" t="str">
        <f>IFERROR(__xludf.DUMMYFUNCTION("""COMPUTED_VALUE"""),"Item")</f>
        <v>Item</v>
      </c>
      <c r="D515" s="1"/>
      <c r="E515" s="1"/>
      <c r="F515" s="1"/>
      <c r="G515" s="1"/>
      <c r="H515" s="1" t="b">
        <f>IFERROR(__xludf.DUMMYFUNCTION("""COMPUTED_VALUE"""),FALSE)</f>
        <v>0</v>
      </c>
      <c r="I515" s="1" t="str">
        <f>IFERROR(__xludf.DUMMYFUNCTION("""COMPUTED_VALUE"""),"Land of Spira")</f>
        <v>Land of Spira</v>
      </c>
    </row>
    <row r="516">
      <c r="A516" s="1" t="str">
        <f>IFERROR(__xludf.DUMMYFUNCTION("""COMPUTED_VALUE"""),"Goose Meat")</f>
        <v>Goose Meat</v>
      </c>
      <c r="B516" s="1" t="str">
        <f>IFERROR(__xludf.DUMMYFUNCTION("""COMPUTED_VALUE"""),"-200 hunger to any character that is not owner by Hunter Gooseman. +500 Hunger to any character Hunter Owns.")</f>
        <v>-200 hunger to any character that is not owner by Hunter Gooseman. +500 Hunger to any character Hunter Owns.</v>
      </c>
      <c r="C516" s="1" t="str">
        <f>IFERROR(__xludf.DUMMYFUNCTION("""COMPUTED_VALUE"""),"Crop")</f>
        <v>Crop</v>
      </c>
      <c r="D516" s="1"/>
      <c r="E516" s="1"/>
      <c r="F516" s="1"/>
      <c r="G516" s="1"/>
      <c r="H516" s="1" t="b">
        <f>IFERROR(__xludf.DUMMYFUNCTION("""COMPUTED_VALUE"""),FALSE)</f>
        <v>0</v>
      </c>
      <c r="I516" s="1" t="str">
        <f>IFERROR(__xludf.DUMMYFUNCTION("""COMPUTED_VALUE"""),"Land of Spira")</f>
        <v>Land of Spira</v>
      </c>
    </row>
    <row r="517">
      <c r="A517" s="1" t="str">
        <f>IFERROR(__xludf.DUMMYFUNCTION("""COMPUTED_VALUE"""),"Mysterious Gem")</f>
        <v>Mysterious Gem</v>
      </c>
      <c r="B517" s="1" t="str">
        <f>IFERROR(__xludf.DUMMYFUNCTION("""COMPUTED_VALUE"""),"Crafting Material, roll a d20 to see how many you get if this is a loot drop.")</f>
        <v>Crafting Material, roll a d20 to see how many you get if this is a loot drop.</v>
      </c>
      <c r="C517" s="1" t="str">
        <f>IFERROR(__xludf.DUMMYFUNCTION("""COMPUTED_VALUE"""),"Item")</f>
        <v>Item</v>
      </c>
      <c r="D517" s="1"/>
      <c r="E517" s="1"/>
      <c r="F517" s="1"/>
      <c r="G517" s="1"/>
      <c r="H517" s="1" t="b">
        <f>IFERROR(__xludf.DUMMYFUNCTION("""COMPUTED_VALUE"""),FALSE)</f>
        <v>0</v>
      </c>
      <c r="I517" s="1" t="str">
        <f>IFERROR(__xludf.DUMMYFUNCTION("""COMPUTED_VALUE"""),"Land of Spira")</f>
        <v>Land of Spira</v>
      </c>
    </row>
    <row r="518">
      <c r="A518" s="1" t="str">
        <f>IFERROR(__xludf.DUMMYFUNCTION("""COMPUTED_VALUE"""),"Turtle Shell")</f>
        <v>Turtle Shell</v>
      </c>
      <c r="B518" s="1" t="str">
        <f>IFERROR(__xludf.DUMMYFUNCTION("""COMPUTED_VALUE"""),"Crafting Material, roll a d20 to see how many you get if this is a loot drop.")</f>
        <v>Crafting Material, roll a d20 to see how many you get if this is a loot drop.</v>
      </c>
      <c r="C518" s="1" t="str">
        <f>IFERROR(__xludf.DUMMYFUNCTION("""COMPUTED_VALUE"""),"Item")</f>
        <v>Item</v>
      </c>
      <c r="D518" s="1"/>
      <c r="E518" s="1"/>
      <c r="F518" s="1"/>
      <c r="G518" s="1"/>
      <c r="H518" s="1" t="b">
        <f>IFERROR(__xludf.DUMMYFUNCTION("""COMPUTED_VALUE"""),FALSE)</f>
        <v>0</v>
      </c>
      <c r="I518" s="1" t="str">
        <f>IFERROR(__xludf.DUMMYFUNCTION("""COMPUTED_VALUE"""),"Land of Spira")</f>
        <v>Land of Spira</v>
      </c>
    </row>
    <row r="519">
      <c r="A519" s="1" t="str">
        <f>IFERROR(__xludf.DUMMYFUNCTION("""COMPUTED_VALUE"""),"Pumpkin Diamond")</f>
        <v>Pumpkin Diamond</v>
      </c>
      <c r="B519" s="1" t="str">
        <f>IFERROR(__xludf.DUMMYFUNCTION("""COMPUTED_VALUE"""),"Crafting Material, roll a d20 to see how many you get if this is a loot drop.")</f>
        <v>Crafting Material, roll a d20 to see how many you get if this is a loot drop.</v>
      </c>
      <c r="C519" s="1" t="str">
        <f>IFERROR(__xludf.DUMMYFUNCTION("""COMPUTED_VALUE"""),"Item")</f>
        <v>Item</v>
      </c>
      <c r="D519" s="1"/>
      <c r="E519" s="1"/>
      <c r="F519" s="1"/>
      <c r="G519" s="1"/>
      <c r="H519" s="1" t="b">
        <f>IFERROR(__xludf.DUMMYFUNCTION("""COMPUTED_VALUE"""),FALSE)</f>
        <v>0</v>
      </c>
      <c r="I519" s="1" t="str">
        <f>IFERROR(__xludf.DUMMYFUNCTION("""COMPUTED_VALUE"""),"Land of Spira")</f>
        <v>Land of Spira</v>
      </c>
    </row>
    <row r="520">
      <c r="A520" s="1" t="str">
        <f>IFERROR(__xludf.DUMMYFUNCTION("""COMPUTED_VALUE"""),"Shadow Diamond")</f>
        <v>Shadow Diamond</v>
      </c>
      <c r="B520" s="1" t="str">
        <f>IFERROR(__xludf.DUMMYFUNCTION("""COMPUTED_VALUE"""),"Crafting Material, roll a d20 to see how many you get if this is a loot drop.")</f>
        <v>Crafting Material, roll a d20 to see how many you get if this is a loot drop.</v>
      </c>
      <c r="C520" s="1" t="str">
        <f>IFERROR(__xludf.DUMMYFUNCTION("""COMPUTED_VALUE"""),"Item")</f>
        <v>Item</v>
      </c>
      <c r="D520" s="1"/>
      <c r="E520" s="1"/>
      <c r="F520" s="1"/>
      <c r="G520" s="1"/>
      <c r="H520" s="1" t="b">
        <f>IFERROR(__xludf.DUMMYFUNCTION("""COMPUTED_VALUE"""),FALSE)</f>
        <v>0</v>
      </c>
      <c r="I520" s="1" t="str">
        <f>IFERROR(__xludf.DUMMYFUNCTION("""COMPUTED_VALUE"""),"Land of Spira")</f>
        <v>Land of Spira</v>
      </c>
    </row>
    <row r="521">
      <c r="A521" s="1" t="str">
        <f>IFERROR(__xludf.DUMMYFUNCTION("""COMPUTED_VALUE"""),"Rank 6 Earth tome")</f>
        <v>Rank 6 Earth tome</v>
      </c>
      <c r="B521" s="1" t="str">
        <f>IFERROR(__xludf.DUMMYFUNCTION("""COMPUTED_VALUE"""),"Allows use of up to Rank 6 Earth Powers")</f>
        <v>Allows use of up to Rank 6 Earth Powers</v>
      </c>
      <c r="C521" s="1" t="str">
        <f>IFERROR(__xludf.DUMMYFUNCTION("""COMPUTED_VALUE"""),"Item")</f>
        <v>Item</v>
      </c>
      <c r="D521" s="1"/>
      <c r="E521" s="1"/>
      <c r="F521" s="1"/>
      <c r="G521" s="1"/>
      <c r="H521" s="1" t="b">
        <f>IFERROR(__xludf.DUMMYFUNCTION("""COMPUTED_VALUE"""),FALSE)</f>
        <v>0</v>
      </c>
      <c r="I521" s="1" t="str">
        <f>IFERROR(__xludf.DUMMYFUNCTION("""COMPUTED_VALUE"""),"Land of Spira")</f>
        <v>Land of Spira</v>
      </c>
    </row>
    <row r="522">
      <c r="A522" s="1" t="str">
        <f>IFERROR(__xludf.DUMMYFUNCTION("""COMPUTED_VALUE"""),"Demon Claw")</f>
        <v>Demon Claw</v>
      </c>
      <c r="B522" s="1" t="str">
        <f>IFERROR(__xludf.DUMMYFUNCTION("""COMPUTED_VALUE"""),"Crafting Material, roll a d20 to see how many you get if this is a loot drop.")</f>
        <v>Crafting Material, roll a d20 to see how many you get if this is a loot drop.</v>
      </c>
      <c r="C522" s="1" t="str">
        <f>IFERROR(__xludf.DUMMYFUNCTION("""COMPUTED_VALUE"""),"Item")</f>
        <v>Item</v>
      </c>
      <c r="D522" s="1"/>
      <c r="E522" s="1"/>
      <c r="F522" s="1"/>
      <c r="G522" s="1"/>
      <c r="H522" s="1" t="b">
        <f>IFERROR(__xludf.DUMMYFUNCTION("""COMPUTED_VALUE"""),FALSE)</f>
        <v>0</v>
      </c>
      <c r="I522" s="1" t="str">
        <f>IFERROR(__xludf.DUMMYFUNCTION("""COMPUTED_VALUE"""),"Land of Spira")</f>
        <v>Land of Spira</v>
      </c>
    </row>
    <row r="523">
      <c r="A523" s="1" t="str">
        <f>IFERROR(__xludf.DUMMYFUNCTION("""COMPUTED_VALUE"""),"Golden Bug")</f>
        <v>Golden Bug</v>
      </c>
      <c r="B523" s="1" t="str">
        <f>IFERROR(__xludf.DUMMYFUNCTION("""COMPUTED_VALUE"""),"Crafting Material, roll a d20 to see how many you get if this is a loot drop.")</f>
        <v>Crafting Material, roll a d20 to see how many you get if this is a loot drop.</v>
      </c>
      <c r="C523" s="1" t="str">
        <f>IFERROR(__xludf.DUMMYFUNCTION("""COMPUTED_VALUE"""),"Item")</f>
        <v>Item</v>
      </c>
      <c r="D523" s="1"/>
      <c r="E523" s="1"/>
      <c r="F523" s="1"/>
      <c r="G523" s="1"/>
      <c r="H523" s="1" t="b">
        <f>IFERROR(__xludf.DUMMYFUNCTION("""COMPUTED_VALUE"""),FALSE)</f>
        <v>0</v>
      </c>
      <c r="I523" s="1" t="str">
        <f>IFERROR(__xludf.DUMMYFUNCTION("""COMPUTED_VALUE"""),"Land of Spira")</f>
        <v>Land of Spira</v>
      </c>
    </row>
    <row r="524">
      <c r="A524" s="1" t="str">
        <f>IFERROR(__xludf.DUMMYFUNCTION("""COMPUTED_VALUE"""),"Dragon Orb")</f>
        <v>Dragon Orb</v>
      </c>
      <c r="B524" s="1" t="str">
        <f>IFERROR(__xludf.DUMMYFUNCTION("""COMPUTED_VALUE"""),"Crafting Material, roll a d20 to see how many you get if this is a loot drop.")</f>
        <v>Crafting Material, roll a d20 to see how many you get if this is a loot drop.</v>
      </c>
      <c r="C524" s="1" t="str">
        <f>IFERROR(__xludf.DUMMYFUNCTION("""COMPUTED_VALUE"""),"Item")</f>
        <v>Item</v>
      </c>
      <c r="D524" s="1"/>
      <c r="E524" s="1"/>
      <c r="F524" s="1"/>
      <c r="G524" s="1"/>
      <c r="H524" s="1" t="b">
        <f>IFERROR(__xludf.DUMMYFUNCTION("""COMPUTED_VALUE"""),FALSE)</f>
        <v>0</v>
      </c>
      <c r="I524" s="1" t="str">
        <f>IFERROR(__xludf.DUMMYFUNCTION("""COMPUTED_VALUE"""),"Land of Spira")</f>
        <v>Land of Spira</v>
      </c>
    </row>
    <row r="525">
      <c r="A525" s="1" t="str">
        <f>IFERROR(__xludf.DUMMYFUNCTION("""COMPUTED_VALUE"""),"Water potion")</f>
        <v>Water potion</v>
      </c>
      <c r="B525" s="1" t="str">
        <f>IFERROR(__xludf.DUMMYFUNCTION("""COMPUTED_VALUE"""),"Gives water immunity for 1 round")</f>
        <v>Gives water immunity for 1 round</v>
      </c>
      <c r="C525" s="1" t="str">
        <f>IFERROR(__xludf.DUMMYFUNCTION("""COMPUTED_VALUE"""),"Item")</f>
        <v>Item</v>
      </c>
      <c r="D525" s="1"/>
      <c r="E525" s="1"/>
      <c r="F525" s="1"/>
      <c r="G525" s="1"/>
      <c r="H525" s="1" t="b">
        <f>IFERROR(__xludf.DUMMYFUNCTION("""COMPUTED_VALUE"""),FALSE)</f>
        <v>0</v>
      </c>
      <c r="I525" s="1" t="str">
        <f>IFERROR(__xludf.DUMMYFUNCTION("""COMPUTED_VALUE"""),"Land of Spira")</f>
        <v>Land of Spira</v>
      </c>
    </row>
    <row r="526">
      <c r="A526" s="1" t="str">
        <f>IFERROR(__xludf.DUMMYFUNCTION("""COMPUTED_VALUE"""),"Jellyfish Stinger")</f>
        <v>Jellyfish Stinger</v>
      </c>
      <c r="B526" s="1" t="str">
        <f>IFERROR(__xludf.DUMMYFUNCTION("""COMPUTED_VALUE"""),"Crafting Material, roll a d20 to see how many you get if this is a loot drop.")</f>
        <v>Crafting Material, roll a d20 to see how many you get if this is a loot drop.</v>
      </c>
      <c r="C526" s="1" t="str">
        <f>IFERROR(__xludf.DUMMYFUNCTION("""COMPUTED_VALUE"""),"Item")</f>
        <v>Item</v>
      </c>
      <c r="D526" s="1"/>
      <c r="E526" s="1"/>
      <c r="F526" s="1"/>
      <c r="G526" s="1"/>
      <c r="H526" s="1" t="b">
        <f>IFERROR(__xludf.DUMMYFUNCTION("""COMPUTED_VALUE"""),FALSE)</f>
        <v>0</v>
      </c>
      <c r="I526" s="1" t="str">
        <f>IFERROR(__xludf.DUMMYFUNCTION("""COMPUTED_VALUE"""),"Land of Spira")</f>
        <v>Land of Spira</v>
      </c>
    </row>
    <row r="527">
      <c r="A527" s="1" t="str">
        <f>IFERROR(__xludf.DUMMYFUNCTION("""COMPUTED_VALUE"""),"Bee Stinger ")</f>
        <v>Bee Stinger </v>
      </c>
      <c r="B527" s="1" t="str">
        <f>IFERROR(__xludf.DUMMYFUNCTION("""COMPUTED_VALUE"""),"Crafting Material, roll a d20 to see how many you get if this is a loot drop.")</f>
        <v>Crafting Material, roll a d20 to see how many you get if this is a loot drop.</v>
      </c>
      <c r="C527" s="1" t="str">
        <f>IFERROR(__xludf.DUMMYFUNCTION("""COMPUTED_VALUE"""),"Item")</f>
        <v>Item</v>
      </c>
      <c r="D527" s="1"/>
      <c r="E527" s="1"/>
      <c r="F527" s="1"/>
      <c r="G527" s="1"/>
      <c r="H527" s="1" t="b">
        <f>IFERROR(__xludf.DUMMYFUNCTION("""COMPUTED_VALUE"""),FALSE)</f>
        <v>0</v>
      </c>
      <c r="I527" s="1" t="str">
        <f>IFERROR(__xludf.DUMMYFUNCTION("""COMPUTED_VALUE"""),"Land of Spira")</f>
        <v>Land of Spira</v>
      </c>
    </row>
    <row r="528">
      <c r="A528" s="1" t="str">
        <f>IFERROR(__xludf.DUMMYFUNCTION("""COMPUTED_VALUE"""),"Squid Ink")</f>
        <v>Squid Ink</v>
      </c>
      <c r="B528" s="1" t="str">
        <f>IFERROR(__xludf.DUMMYFUNCTION("""COMPUTED_VALUE"""),"Crafting Material, roll a d20 to see how many you get if this is a loot drop.")</f>
        <v>Crafting Material, roll a d20 to see how many you get if this is a loot drop.</v>
      </c>
      <c r="C528" s="1" t="str">
        <f>IFERROR(__xludf.DUMMYFUNCTION("""COMPUTED_VALUE"""),"Item")</f>
        <v>Item</v>
      </c>
      <c r="D528" s="1"/>
      <c r="E528" s="1"/>
      <c r="F528" s="1"/>
      <c r="G528" s="1"/>
      <c r="H528" s="1" t="b">
        <f>IFERROR(__xludf.DUMMYFUNCTION("""COMPUTED_VALUE"""),FALSE)</f>
        <v>0</v>
      </c>
      <c r="I528" s="1" t="str">
        <f>IFERROR(__xludf.DUMMYFUNCTION("""COMPUTED_VALUE"""),"Land of Spira")</f>
        <v>Land of Spira</v>
      </c>
    </row>
    <row r="529">
      <c r="A529" s="1" t="str">
        <f>IFERROR(__xludf.DUMMYFUNCTION("""COMPUTED_VALUE"""),"Potion of Water Breathing")</f>
        <v>Potion of Water Breathing</v>
      </c>
      <c r="B529" s="1" t="str">
        <f>IFERROR(__xludf.DUMMYFUNCTION("""COMPUTED_VALUE"""),"Immune to water for for 3 rounds in battle or 3 days of travel.")</f>
        <v>Immune to water for for 3 rounds in battle or 3 days of travel.</v>
      </c>
      <c r="C529" s="1" t="str">
        <f>IFERROR(__xludf.DUMMYFUNCTION("""COMPUTED_VALUE"""),"Item")</f>
        <v>Item</v>
      </c>
      <c r="D529" s="1"/>
      <c r="E529" s="1"/>
      <c r="F529" s="1"/>
      <c r="G529" s="1"/>
      <c r="H529" s="1" t="b">
        <f>IFERROR(__xludf.DUMMYFUNCTION("""COMPUTED_VALUE"""),FALSE)</f>
        <v>0</v>
      </c>
      <c r="I529" s="1" t="str">
        <f>IFERROR(__xludf.DUMMYFUNCTION("""COMPUTED_VALUE"""),"Land of Spira")</f>
        <v>Land of Spira</v>
      </c>
    </row>
    <row r="530">
      <c r="A530" s="1" t="str">
        <f>IFERROR(__xludf.DUMMYFUNCTION("""COMPUTED_VALUE"""),"Shark Fin")</f>
        <v>Shark Fin</v>
      </c>
      <c r="B530" s="1" t="str">
        <f>IFERROR(__xludf.DUMMYFUNCTION("""COMPUTED_VALUE"""),"Restores 10 Hunger, +1 ATK until rest")</f>
        <v>Restores 10 Hunger, +1 ATK until rest</v>
      </c>
      <c r="C530" s="1" t="str">
        <f>IFERROR(__xludf.DUMMYFUNCTION("""COMPUTED_VALUE"""),"Crop")</f>
        <v>Crop</v>
      </c>
      <c r="D530" s="1"/>
      <c r="E530" s="1"/>
      <c r="F530" s="1"/>
      <c r="G530" s="1"/>
      <c r="H530" s="1" t="b">
        <f>IFERROR(__xludf.DUMMYFUNCTION("""COMPUTED_VALUE"""),FALSE)</f>
        <v>0</v>
      </c>
      <c r="I530" s="1" t="str">
        <f>IFERROR(__xludf.DUMMYFUNCTION("""COMPUTED_VALUE"""),"Land of Spira")</f>
        <v>Land of Spira</v>
      </c>
    </row>
    <row r="531">
      <c r="A531" s="1" t="str">
        <f>IFERROR(__xludf.DUMMYFUNCTION("""COMPUTED_VALUE"""),"Shark Teeth")</f>
        <v>Shark Teeth</v>
      </c>
      <c r="B531" s="1" t="str">
        <f>IFERROR(__xludf.DUMMYFUNCTION("""COMPUTED_VALUE"""),"100 = permanently increase Atk by 1")</f>
        <v>100 = permanently increase Atk by 1</v>
      </c>
      <c r="C531" s="1" t="str">
        <f>IFERROR(__xludf.DUMMYFUNCTION("""COMPUTED_VALUE"""),"Item")</f>
        <v>Item</v>
      </c>
      <c r="D531" s="1"/>
      <c r="E531" s="1"/>
      <c r="F531" s="1"/>
      <c r="G531" s="1"/>
      <c r="H531" s="1" t="b">
        <f>IFERROR(__xludf.DUMMYFUNCTION("""COMPUTED_VALUE"""),FALSE)</f>
        <v>0</v>
      </c>
      <c r="I531" s="1" t="str">
        <f>IFERROR(__xludf.DUMMYFUNCTION("""COMPUTED_VALUE"""),"Land of Spira")</f>
        <v>Land of Spira</v>
      </c>
    </row>
    <row r="532">
      <c r="A532" s="1" t="str">
        <f>IFERROR(__xludf.DUMMYFUNCTION("""COMPUTED_VALUE"""),"Fish")</f>
        <v>Fish</v>
      </c>
      <c r="B532" s="1" t="str">
        <f>IFERROR(__xludf.DUMMYFUNCTION("""COMPUTED_VALUE"""),"5 Hunger, +100 water Resist until rest")</f>
        <v>5 Hunger, +100 water Resist until rest</v>
      </c>
      <c r="C532" s="1" t="str">
        <f>IFERROR(__xludf.DUMMYFUNCTION("""COMPUTED_VALUE"""),"Crop")</f>
        <v>Crop</v>
      </c>
      <c r="D532" s="1"/>
      <c r="E532" s="1"/>
      <c r="F532" s="1"/>
      <c r="G532" s="1"/>
      <c r="H532" s="1" t="b">
        <f>IFERROR(__xludf.DUMMYFUNCTION("""COMPUTED_VALUE"""),FALSE)</f>
        <v>0</v>
      </c>
      <c r="I532" s="1" t="str">
        <f>IFERROR(__xludf.DUMMYFUNCTION("""COMPUTED_VALUE"""),"Land of Spira")</f>
        <v>Land of Spira</v>
      </c>
    </row>
    <row r="533">
      <c r="A533" s="1" t="str">
        <f>IFERROR(__xludf.DUMMYFUNCTION("""COMPUTED_VALUE"""),"Huge Teeth")</f>
        <v>Huge Teeth</v>
      </c>
      <c r="B533" s="1" t="str">
        <f>IFERROR(__xludf.DUMMYFUNCTION("""COMPUTED_VALUE"""),"Worth 1000G at a shop.")</f>
        <v>Worth 1000G at a shop.</v>
      </c>
      <c r="C533" s="1" t="str">
        <f>IFERROR(__xludf.DUMMYFUNCTION("""COMPUTED_VALUE"""),"Item")</f>
        <v>Item</v>
      </c>
      <c r="D533" s="1"/>
      <c r="E533" s="1"/>
      <c r="F533" s="1"/>
      <c r="G533" s="1"/>
      <c r="H533" s="1" t="b">
        <f>IFERROR(__xludf.DUMMYFUNCTION("""COMPUTED_VALUE"""),FALSE)</f>
        <v>0</v>
      </c>
      <c r="I533" s="1" t="str">
        <f>IFERROR(__xludf.DUMMYFUNCTION("""COMPUTED_VALUE"""),"Land of Spira")</f>
        <v>Land of Spira</v>
      </c>
    </row>
    <row r="534">
      <c r="A534" s="1" t="str">
        <f>IFERROR(__xludf.DUMMYFUNCTION("""COMPUTED_VALUE"""),"Enchanted Teeth")</f>
        <v>Enchanted Teeth</v>
      </c>
      <c r="B534" s="1" t="str">
        <f>IFERROR(__xludf.DUMMYFUNCTION("""COMPUTED_VALUE"""),"Worth 5000G at a shop.")</f>
        <v>Worth 5000G at a shop.</v>
      </c>
      <c r="C534" s="1" t="str">
        <f>IFERROR(__xludf.DUMMYFUNCTION("""COMPUTED_VALUE"""),"Item")</f>
        <v>Item</v>
      </c>
      <c r="D534" s="1"/>
      <c r="E534" s="1"/>
      <c r="F534" s="1"/>
      <c r="G534" s="1"/>
      <c r="H534" s="1" t="b">
        <f>IFERROR(__xludf.DUMMYFUNCTION("""COMPUTED_VALUE"""),FALSE)</f>
        <v>0</v>
      </c>
      <c r="I534" s="1" t="str">
        <f>IFERROR(__xludf.DUMMYFUNCTION("""COMPUTED_VALUE"""),"Land of Spira")</f>
        <v>Land of Spira</v>
      </c>
    </row>
    <row r="535">
      <c r="A535" s="1" t="str">
        <f>IFERROR(__xludf.DUMMYFUNCTION("""COMPUTED_VALUE"""),"Sea Dinosaur Bones")</f>
        <v>Sea Dinosaur Bones</v>
      </c>
      <c r="B535" s="1" t="str">
        <f>IFERROR(__xludf.DUMMYFUNCTION("""COMPUTED_VALUE"""),"Crafting Material, roll a d20 to see how many you get if this is a loot drop.")</f>
        <v>Crafting Material, roll a d20 to see how many you get if this is a loot drop.</v>
      </c>
      <c r="C535" s="1" t="str">
        <f>IFERROR(__xludf.DUMMYFUNCTION("""COMPUTED_VALUE"""),"Item")</f>
        <v>Item</v>
      </c>
      <c r="D535" s="1"/>
      <c r="E535" s="1"/>
      <c r="F535" s="1"/>
      <c r="G535" s="1"/>
      <c r="H535" s="1" t="b">
        <f>IFERROR(__xludf.DUMMYFUNCTION("""COMPUTED_VALUE"""),FALSE)</f>
        <v>0</v>
      </c>
      <c r="I535" s="1" t="str">
        <f>IFERROR(__xludf.DUMMYFUNCTION("""COMPUTED_VALUE"""),"Land of Spira")</f>
        <v>Land of Spira</v>
      </c>
    </row>
    <row r="536">
      <c r="A536" s="1" t="str">
        <f>IFERROR(__xludf.DUMMYFUNCTION("""COMPUTED_VALUE"""),"Ancient Sea Dinosaur Egg")</f>
        <v>Ancient Sea Dinosaur Egg</v>
      </c>
      <c r="B536" s="1"/>
      <c r="C536" s="1" t="str">
        <f>IFERROR(__xludf.DUMMYFUNCTION("""COMPUTED_VALUE"""),"Item")</f>
        <v>Item</v>
      </c>
      <c r="D536" s="1"/>
      <c r="E536" s="1"/>
      <c r="F536" s="1"/>
      <c r="G536" s="1"/>
      <c r="H536" s="1" t="b">
        <f>IFERROR(__xludf.DUMMYFUNCTION("""COMPUTED_VALUE"""),FALSE)</f>
        <v>0</v>
      </c>
      <c r="I536" s="1" t="str">
        <f>IFERROR(__xludf.DUMMYFUNCTION("""COMPUTED_VALUE"""),"Land of Spira")</f>
        <v>Land of Spira</v>
      </c>
    </row>
    <row r="537">
      <c r="A537" s="1" t="str">
        <f>IFERROR(__xludf.DUMMYFUNCTION("""COMPUTED_VALUE"""),"Fire Diamond")</f>
        <v>Fire Diamond</v>
      </c>
      <c r="B537" s="1" t="str">
        <f>IFERROR(__xludf.DUMMYFUNCTION("""COMPUTED_VALUE"""),"Crafting Material, roll a d20 to see how many you get if this is a loot drop.")</f>
        <v>Crafting Material, roll a d20 to see how many you get if this is a loot drop.</v>
      </c>
      <c r="C537" s="1" t="str">
        <f>IFERROR(__xludf.DUMMYFUNCTION("""COMPUTED_VALUE"""),"Item")</f>
        <v>Item</v>
      </c>
      <c r="D537" s="1"/>
      <c r="E537" s="1"/>
      <c r="F537" s="1"/>
      <c r="G537" s="1"/>
      <c r="H537" s="1" t="b">
        <f>IFERROR(__xludf.DUMMYFUNCTION("""COMPUTED_VALUE"""),FALSE)</f>
        <v>0</v>
      </c>
      <c r="I537" s="1" t="str">
        <f>IFERROR(__xludf.DUMMYFUNCTION("""COMPUTED_VALUE"""),"Land of Spira")</f>
        <v>Land of Spira</v>
      </c>
    </row>
    <row r="538">
      <c r="A538" s="1" t="str">
        <f>IFERROR(__xludf.DUMMYFUNCTION("""COMPUTED_VALUE"""),"Giant Fire Diamond")</f>
        <v>Giant Fire Diamond</v>
      </c>
      <c r="B538" s="1" t="str">
        <f>IFERROR(__xludf.DUMMYFUNCTION("""COMPUTED_VALUE"""),"Crafting Material, roll a d20 to see how many you get if this is a loot drop.")</f>
        <v>Crafting Material, roll a d20 to see how many you get if this is a loot drop.</v>
      </c>
      <c r="C538" s="1" t="str">
        <f>IFERROR(__xludf.DUMMYFUNCTION("""COMPUTED_VALUE"""),"Item")</f>
        <v>Item</v>
      </c>
      <c r="D538" s="1"/>
      <c r="E538" s="1"/>
      <c r="F538" s="1"/>
      <c r="G538" s="1"/>
      <c r="H538" s="1" t="b">
        <f>IFERROR(__xludf.DUMMYFUNCTION("""COMPUTED_VALUE"""),FALSE)</f>
        <v>0</v>
      </c>
      <c r="I538" s="1" t="str">
        <f>IFERROR(__xludf.DUMMYFUNCTION("""COMPUTED_VALUE"""),"Land of Spira")</f>
        <v>Land of Spira</v>
      </c>
    </row>
    <row r="539">
      <c r="A539" s="1" t="str">
        <f>IFERROR(__xludf.DUMMYFUNCTION("""COMPUTED_VALUE"""),"Heatmore Flame Golem Soul")</f>
        <v>Heatmore Flame Golem Soul</v>
      </c>
      <c r="B539" s="1"/>
      <c r="C539" s="1" t="str">
        <f>IFERROR(__xludf.DUMMYFUNCTION("""COMPUTED_VALUE"""),"Item")</f>
        <v>Item</v>
      </c>
      <c r="D539" s="1"/>
      <c r="E539" s="1"/>
      <c r="F539" s="1"/>
      <c r="G539" s="1"/>
      <c r="H539" s="1" t="b">
        <f>IFERROR(__xludf.DUMMYFUNCTION("""COMPUTED_VALUE"""),FALSE)</f>
        <v>0</v>
      </c>
      <c r="I539" s="1" t="str">
        <f>IFERROR(__xludf.DUMMYFUNCTION("""COMPUTED_VALUE"""),"Land of Spira")</f>
        <v>Land of Spira</v>
      </c>
    </row>
    <row r="540">
      <c r="A540" s="1" t="str">
        <f>IFERROR(__xludf.DUMMYFUNCTION("""COMPUTED_VALUE"""),"Flaming Feathers")</f>
        <v>Flaming Feathers</v>
      </c>
      <c r="B540" s="1" t="str">
        <f>IFERROR(__xludf.DUMMYFUNCTION("""COMPUTED_VALUE"""),"Crafting Material, roll a d20 to see how many you get if this is a loot drop.")</f>
        <v>Crafting Material, roll a d20 to see how many you get if this is a loot drop.</v>
      </c>
      <c r="C540" s="1" t="str">
        <f>IFERROR(__xludf.DUMMYFUNCTION("""COMPUTED_VALUE"""),"Item")</f>
        <v>Item</v>
      </c>
      <c r="D540" s="1"/>
      <c r="E540" s="1"/>
      <c r="F540" s="1"/>
      <c r="G540" s="1"/>
      <c r="H540" s="1" t="b">
        <f>IFERROR(__xludf.DUMMYFUNCTION("""COMPUTED_VALUE"""),FALSE)</f>
        <v>0</v>
      </c>
      <c r="I540" s="1" t="str">
        <f>IFERROR(__xludf.DUMMYFUNCTION("""COMPUTED_VALUE"""),"Land of Spira")</f>
        <v>Land of Spira</v>
      </c>
    </row>
    <row r="541">
      <c r="A541" s="1" t="str">
        <f>IFERROR(__xludf.DUMMYFUNCTION("""COMPUTED_VALUE"""),"Flaming Horns")</f>
        <v>Flaming Horns</v>
      </c>
      <c r="B541" s="1" t="str">
        <f>IFERROR(__xludf.DUMMYFUNCTION("""COMPUTED_VALUE"""),"Crafting Material, roll a d20 to see how many you get if this is a loot drop.")</f>
        <v>Crafting Material, roll a d20 to see how many you get if this is a loot drop.</v>
      </c>
      <c r="C541" s="1" t="str">
        <f>IFERROR(__xludf.DUMMYFUNCTION("""COMPUTED_VALUE"""),"Item")</f>
        <v>Item</v>
      </c>
      <c r="D541" s="1"/>
      <c r="E541" s="1"/>
      <c r="F541" s="1"/>
      <c r="G541" s="1"/>
      <c r="H541" s="1" t="b">
        <f>IFERROR(__xludf.DUMMYFUNCTION("""COMPUTED_VALUE"""),FALSE)</f>
        <v>0</v>
      </c>
      <c r="I541" s="1" t="str">
        <f>IFERROR(__xludf.DUMMYFUNCTION("""COMPUTED_VALUE"""),"Land of Spira")</f>
        <v>Land of Spira</v>
      </c>
    </row>
    <row r="542">
      <c r="A542" s="1" t="str">
        <f>IFERROR(__xludf.DUMMYFUNCTION("""COMPUTED_VALUE"""),"Cooked Yak Meat")</f>
        <v>Cooked Yak Meat</v>
      </c>
      <c r="B542" s="1" t="str">
        <f>IFERROR(__xludf.DUMMYFUNCTION("""COMPUTED_VALUE"""),"Restores 10 hunger and energy")</f>
        <v>Restores 10 hunger and energy</v>
      </c>
      <c r="C542" s="1" t="str">
        <f>IFERROR(__xludf.DUMMYFUNCTION("""COMPUTED_VALUE"""),"Crop")</f>
        <v>Crop</v>
      </c>
      <c r="D542" s="1"/>
      <c r="E542" s="1"/>
      <c r="F542" s="1"/>
      <c r="G542" s="1"/>
      <c r="H542" s="1" t="b">
        <f>IFERROR(__xludf.DUMMYFUNCTION("""COMPUTED_VALUE"""),FALSE)</f>
        <v>0</v>
      </c>
      <c r="I542" s="1" t="str">
        <f>IFERROR(__xludf.DUMMYFUNCTION("""COMPUTED_VALUE"""),"Land of Spira")</f>
        <v>Land of Spira</v>
      </c>
    </row>
    <row r="543">
      <c r="A543" s="1" t="str">
        <f>IFERROR(__xludf.DUMMYFUNCTION("""COMPUTED_VALUE"""),"Lava Tiger Skin")</f>
        <v>Lava Tiger Skin</v>
      </c>
      <c r="B543" s="1" t="str">
        <f>IFERROR(__xludf.DUMMYFUNCTION("""COMPUTED_VALUE"""),"Crafting Material, roll a d20 to see how many you get if this is a loot drop.")</f>
        <v>Crafting Material, roll a d20 to see how many you get if this is a loot drop.</v>
      </c>
      <c r="C543" s="1" t="str">
        <f>IFERROR(__xludf.DUMMYFUNCTION("""COMPUTED_VALUE"""),"Item")</f>
        <v>Item</v>
      </c>
      <c r="D543" s="1"/>
      <c r="E543" s="1"/>
      <c r="F543" s="1"/>
      <c r="G543" s="1"/>
      <c r="H543" s="1" t="b">
        <f>IFERROR(__xludf.DUMMYFUNCTION("""COMPUTED_VALUE"""),FALSE)</f>
        <v>0</v>
      </c>
      <c r="I543" s="1" t="str">
        <f>IFERROR(__xludf.DUMMYFUNCTION("""COMPUTED_VALUE"""),"Land of Spira")</f>
        <v>Land of Spira</v>
      </c>
    </row>
    <row r="544">
      <c r="A544" s="1" t="str">
        <f>IFERROR(__xludf.DUMMYFUNCTION("""COMPUTED_VALUE"""),"Cooked Tiger Meat")</f>
        <v>Cooked Tiger Meat</v>
      </c>
      <c r="B544" s="1" t="str">
        <f>IFERROR(__xludf.DUMMYFUNCTION("""COMPUTED_VALUE"""),"restores 20 hunger and energy")</f>
        <v>restores 20 hunger and energy</v>
      </c>
      <c r="C544" s="1" t="str">
        <f>IFERROR(__xludf.DUMMYFUNCTION("""COMPUTED_VALUE"""),"Crop")</f>
        <v>Crop</v>
      </c>
      <c r="D544" s="1"/>
      <c r="E544" s="1"/>
      <c r="F544" s="1"/>
      <c r="G544" s="1"/>
      <c r="H544" s="1" t="b">
        <f>IFERROR(__xludf.DUMMYFUNCTION("""COMPUTED_VALUE"""),FALSE)</f>
        <v>0</v>
      </c>
      <c r="I544" s="1" t="str">
        <f>IFERROR(__xludf.DUMMYFUNCTION("""COMPUTED_VALUE"""),"Land of Spira")</f>
        <v>Land of Spira</v>
      </c>
    </row>
    <row r="545">
      <c r="A545" s="1" t="str">
        <f>IFERROR(__xludf.DUMMYFUNCTION("""COMPUTED_VALUE"""),"Liches Eye")</f>
        <v>Liches Eye</v>
      </c>
      <c r="B545" s="1" t="str">
        <f>IFERROR(__xludf.DUMMYFUNCTION("""COMPUTED_VALUE"""),"Consumable, 100= permanent +5 to accuracy")</f>
        <v>Consumable, 100= permanent +5 to accuracy</v>
      </c>
      <c r="C545" s="1" t="str">
        <f>IFERROR(__xludf.DUMMYFUNCTION("""COMPUTED_VALUE"""),"Item")</f>
        <v>Item</v>
      </c>
      <c r="D545" s="1"/>
      <c r="E545" s="1"/>
      <c r="F545" s="1"/>
      <c r="G545" s="1"/>
      <c r="H545" s="1" t="b">
        <f>IFERROR(__xludf.DUMMYFUNCTION("""COMPUTED_VALUE"""),FALSE)</f>
        <v>0</v>
      </c>
      <c r="I545" s="1" t="str">
        <f>IFERROR(__xludf.DUMMYFUNCTION("""COMPUTED_VALUE"""),"Land of Spira")</f>
        <v>Land of Spira</v>
      </c>
    </row>
    <row r="546">
      <c r="A546" s="1" t="str">
        <f>IFERROR(__xludf.DUMMYFUNCTION("""COMPUTED_VALUE"""),"Rank 9 Fire Tome")</f>
        <v>Rank 9 Fire Tome</v>
      </c>
      <c r="B546" s="1" t="str">
        <f>IFERROR(__xludf.DUMMYFUNCTION("""COMPUTED_VALUE"""),"Can only obtain 1 per player")</f>
        <v>Can only obtain 1 per player</v>
      </c>
      <c r="C546" s="1" t="str">
        <f>IFERROR(__xludf.DUMMYFUNCTION("""COMPUTED_VALUE"""),"Item")</f>
        <v>Item</v>
      </c>
      <c r="D546" s="1"/>
      <c r="E546" s="1"/>
      <c r="F546" s="1"/>
      <c r="G546" s="1"/>
      <c r="H546" s="1" t="b">
        <f>IFERROR(__xludf.DUMMYFUNCTION("""COMPUTED_VALUE"""),FALSE)</f>
        <v>0</v>
      </c>
      <c r="I546" s="1" t="str">
        <f>IFERROR(__xludf.DUMMYFUNCTION("""COMPUTED_VALUE"""),"Land of Spira")</f>
        <v>Land of Spira</v>
      </c>
    </row>
    <row r="547">
      <c r="A547" s="1" t="str">
        <f>IFERROR(__xludf.DUMMYFUNCTION("""COMPUTED_VALUE"""),"Ancient Fire Serpent Egg")</f>
        <v>Ancient Fire Serpent Egg</v>
      </c>
      <c r="B547" s="1"/>
      <c r="C547" s="1" t="str">
        <f>IFERROR(__xludf.DUMMYFUNCTION("""COMPUTED_VALUE"""),"Item")</f>
        <v>Item</v>
      </c>
      <c r="D547" s="1"/>
      <c r="E547" s="1"/>
      <c r="F547" s="1"/>
      <c r="G547" s="1"/>
      <c r="H547" s="1" t="b">
        <f>IFERROR(__xludf.DUMMYFUNCTION("""COMPUTED_VALUE"""),FALSE)</f>
        <v>0</v>
      </c>
      <c r="I547" s="1" t="str">
        <f>IFERROR(__xludf.DUMMYFUNCTION("""COMPUTED_VALUE"""),"Land of Spira")</f>
        <v>Land of Spira</v>
      </c>
    </row>
    <row r="548">
      <c r="A548" s="1" t="str">
        <f>IFERROR(__xludf.DUMMYFUNCTION("""COMPUTED_VALUE"""),"Demons Eye")</f>
        <v>Demons Eye</v>
      </c>
      <c r="B548" s="1" t="str">
        <f>IFERROR(__xludf.DUMMYFUNCTION("""COMPUTED_VALUE"""),"Crafting Material, roll a d20 to see how many you get if this is a loot drop.")</f>
        <v>Crafting Material, roll a d20 to see how many you get if this is a loot drop.</v>
      </c>
      <c r="C548" s="1" t="str">
        <f>IFERROR(__xludf.DUMMYFUNCTION("""COMPUTED_VALUE"""),"Item")</f>
        <v>Item</v>
      </c>
      <c r="D548" s="1"/>
      <c r="E548" s="1"/>
      <c r="F548" s="1"/>
      <c r="G548" s="1"/>
      <c r="H548" s="1" t="b">
        <f>IFERROR(__xludf.DUMMYFUNCTION("""COMPUTED_VALUE"""),FALSE)</f>
        <v>0</v>
      </c>
      <c r="I548" s="1" t="str">
        <f>IFERROR(__xludf.DUMMYFUNCTION("""COMPUTED_VALUE"""),"Land of Spira")</f>
        <v>Land of Spira</v>
      </c>
    </row>
    <row r="549">
      <c r="A549" s="1" t="str">
        <f>IFERROR(__xludf.DUMMYFUNCTION("""COMPUTED_VALUE"""),"Demon Core")</f>
        <v>Demon Core</v>
      </c>
      <c r="B549" s="1" t="str">
        <f>IFERROR(__xludf.DUMMYFUNCTION("""COMPUTED_VALUE"""),"Consumable, 1 free chaos power of choice. (Can only obtain 1 per player)")</f>
        <v>Consumable, 1 free chaos power of choice. (Can only obtain 1 per player)</v>
      </c>
      <c r="C549" s="1" t="str">
        <f>IFERROR(__xludf.DUMMYFUNCTION("""COMPUTED_VALUE"""),"Item")</f>
        <v>Item</v>
      </c>
      <c r="D549" s="1"/>
      <c r="E549" s="1"/>
      <c r="F549" s="1"/>
      <c r="G549" s="1"/>
      <c r="H549" s="1" t="b">
        <f>IFERROR(__xludf.DUMMYFUNCTION("""COMPUTED_VALUE"""),FALSE)</f>
        <v>0</v>
      </c>
      <c r="I549" s="1" t="str">
        <f>IFERROR(__xludf.DUMMYFUNCTION("""COMPUTED_VALUE"""),"Land of Spira")</f>
        <v>Land of Spira</v>
      </c>
    </row>
    <row r="550">
      <c r="A550" s="1" t="str">
        <f>IFERROR(__xludf.DUMMYFUNCTION("""COMPUTED_VALUE"""),"Sentinel Core")</f>
        <v>Sentinel Core</v>
      </c>
      <c r="B550" s="1" t="str">
        <f>IFERROR(__xludf.DUMMYFUNCTION("""COMPUTED_VALUE"""),"Summon an Ancient Fire Sentinel to battle, Level determined by DM/GM. Can only be used once.")</f>
        <v>Summon an Ancient Fire Sentinel to battle, Level determined by DM/GM. Can only be used once.</v>
      </c>
      <c r="C550" s="1" t="str">
        <f>IFERROR(__xludf.DUMMYFUNCTION("""COMPUTED_VALUE"""),"Item")</f>
        <v>Item</v>
      </c>
      <c r="D550" s="1"/>
      <c r="E550" s="1"/>
      <c r="F550" s="1"/>
      <c r="G550" s="1"/>
      <c r="H550" s="1" t="b">
        <f>IFERROR(__xludf.DUMMYFUNCTION("""COMPUTED_VALUE"""),FALSE)</f>
        <v>0</v>
      </c>
      <c r="I550" s="1" t="str">
        <f>IFERROR(__xludf.DUMMYFUNCTION("""COMPUTED_VALUE"""),"Land of Spira")</f>
        <v>Land of Spira</v>
      </c>
    </row>
    <row r="551">
      <c r="A551" s="1" t="str">
        <f>IFERROR(__xludf.DUMMYFUNCTION("""COMPUTED_VALUE"""),"Fire Gem")</f>
        <v>Fire Gem</v>
      </c>
      <c r="B551" s="1" t="str">
        <f>IFERROR(__xludf.DUMMYFUNCTION("""COMPUTED_VALUE"""),"Crafting Material, roll a d20 to see how many you get if this is a loot drop.")</f>
        <v>Crafting Material, roll a d20 to see how many you get if this is a loot drop.</v>
      </c>
      <c r="C551" s="1" t="str">
        <f>IFERROR(__xludf.DUMMYFUNCTION("""COMPUTED_VALUE"""),"Item")</f>
        <v>Item</v>
      </c>
      <c r="D551" s="1"/>
      <c r="E551" s="1"/>
      <c r="F551" s="1"/>
      <c r="G551" s="1"/>
      <c r="H551" s="1" t="b">
        <f>IFERROR(__xludf.DUMMYFUNCTION("""COMPUTED_VALUE"""),FALSE)</f>
        <v>0</v>
      </c>
      <c r="I551" s="1" t="str">
        <f>IFERROR(__xludf.DUMMYFUNCTION("""COMPUTED_VALUE"""),"Land of Spira")</f>
        <v>Land of Spira</v>
      </c>
    </row>
    <row r="552">
      <c r="A552" s="1" t="str">
        <f>IFERROR(__xludf.DUMMYFUNCTION("""COMPUTED_VALUE"""),"Aquatic Diamond")</f>
        <v>Aquatic Diamond</v>
      </c>
      <c r="B552" s="1" t="str">
        <f>IFERROR(__xludf.DUMMYFUNCTION("""COMPUTED_VALUE"""),"Crafting Material, roll a d20 to see how many you get if this is a loot drop.")</f>
        <v>Crafting Material, roll a d20 to see how many you get if this is a loot drop.</v>
      </c>
      <c r="C552" s="1" t="str">
        <f>IFERROR(__xludf.DUMMYFUNCTION("""COMPUTED_VALUE"""),"Item")</f>
        <v>Item</v>
      </c>
      <c r="D552" s="1"/>
      <c r="E552" s="1"/>
      <c r="F552" s="1"/>
      <c r="G552" s="1"/>
      <c r="H552" s="1" t="b">
        <f>IFERROR(__xludf.DUMMYFUNCTION("""COMPUTED_VALUE"""),FALSE)</f>
        <v>0</v>
      </c>
      <c r="I552" s="1" t="str">
        <f>IFERROR(__xludf.DUMMYFUNCTION("""COMPUTED_VALUE"""),"Land of Spira")</f>
        <v>Land of Spira</v>
      </c>
    </row>
    <row r="553">
      <c r="A553" s="1" t="str">
        <f>IFERROR(__xludf.DUMMYFUNCTION("""COMPUTED_VALUE"""),"Corrupted Twilight Knight Soul")</f>
        <v>Corrupted Twilight Knight Soul</v>
      </c>
      <c r="B553" s="1"/>
      <c r="C553" s="1" t="str">
        <f>IFERROR(__xludf.DUMMYFUNCTION("""COMPUTED_VALUE"""),"Item")</f>
        <v>Item</v>
      </c>
      <c r="D553" s="1"/>
      <c r="E553" s="1"/>
      <c r="F553" s="1"/>
      <c r="G553" s="1"/>
      <c r="H553" s="1" t="b">
        <f>IFERROR(__xludf.DUMMYFUNCTION("""COMPUTED_VALUE"""),FALSE)</f>
        <v>0</v>
      </c>
      <c r="I553" s="1" t="str">
        <f>IFERROR(__xludf.DUMMYFUNCTION("""COMPUTED_VALUE"""),"Land of Spira")</f>
        <v>Land of Spira</v>
      </c>
    </row>
    <row r="554">
      <c r="A554" s="1" t="str">
        <f>IFERROR(__xludf.DUMMYFUNCTION("""COMPUTED_VALUE"""),"Hay")</f>
        <v>Hay</v>
      </c>
      <c r="B554" s="1" t="str">
        <f>IFERROR(__xludf.DUMMYFUNCTION("""COMPUTED_VALUE"""),"Restores 5 hunger.")</f>
        <v>Restores 5 hunger.</v>
      </c>
      <c r="C554" s="1" t="str">
        <f>IFERROR(__xludf.DUMMYFUNCTION("""COMPUTED_VALUE"""),"Crop")</f>
        <v>Crop</v>
      </c>
      <c r="D554" s="1"/>
      <c r="E554" s="1"/>
      <c r="F554" s="1"/>
      <c r="G554" s="1"/>
      <c r="H554" s="1" t="b">
        <f>IFERROR(__xludf.DUMMYFUNCTION("""COMPUTED_VALUE"""),FALSE)</f>
        <v>0</v>
      </c>
      <c r="I554" s="1" t="str">
        <f>IFERROR(__xludf.DUMMYFUNCTION("""COMPUTED_VALUE"""),"Land of Spira")</f>
        <v>Land of Spira</v>
      </c>
    </row>
    <row r="555">
      <c r="A555" s="1" t="str">
        <f>IFERROR(__xludf.DUMMYFUNCTION("""COMPUTED_VALUE"""),"Shadow Suit of armor Soul")</f>
        <v>Shadow Suit of armor Soul</v>
      </c>
      <c r="B555" s="1"/>
      <c r="C555" s="1" t="str">
        <f>IFERROR(__xludf.DUMMYFUNCTION("""COMPUTED_VALUE"""),"Item")</f>
        <v>Item</v>
      </c>
      <c r="D555" s="1"/>
      <c r="E555" s="1"/>
      <c r="F555" s="1"/>
      <c r="G555" s="1"/>
      <c r="H555" s="1" t="b">
        <f>IFERROR(__xludf.DUMMYFUNCTION("""COMPUTED_VALUE"""),FALSE)</f>
        <v>0</v>
      </c>
      <c r="I555" s="1" t="str">
        <f>IFERROR(__xludf.DUMMYFUNCTION("""COMPUTED_VALUE"""),"Land of Spira")</f>
        <v>Land of Spira</v>
      </c>
    </row>
    <row r="556">
      <c r="A556" s="1" t="str">
        <f>IFERROR(__xludf.DUMMYFUNCTION("""COMPUTED_VALUE"""),"Mana Potion")</f>
        <v>Mana Potion</v>
      </c>
      <c r="B556" s="1" t="str">
        <f>IFERROR(__xludf.DUMMYFUNCTION("""COMPUTED_VALUE"""),"Regain 10 SP")</f>
        <v>Regain 10 SP</v>
      </c>
      <c r="C556" s="1" t="str">
        <f>IFERROR(__xludf.DUMMYFUNCTION("""COMPUTED_VALUE"""),"Item")</f>
        <v>Item</v>
      </c>
      <c r="D556" s="1"/>
      <c r="E556" s="1"/>
      <c r="F556" s="1"/>
      <c r="G556" s="1"/>
      <c r="H556" s="1" t="b">
        <f>IFERROR(__xludf.DUMMYFUNCTION("""COMPUTED_VALUE"""),FALSE)</f>
        <v>0</v>
      </c>
      <c r="I556" s="1" t="str">
        <f>IFERROR(__xludf.DUMMYFUNCTION("""COMPUTED_VALUE"""),"Land of Spira")</f>
        <v>Land of Spira</v>
      </c>
    </row>
    <row r="557">
      <c r="A557" s="1" t="str">
        <f>IFERROR(__xludf.DUMMYFUNCTION("""COMPUTED_VALUE"""),"Werewolf Pelt")</f>
        <v>Werewolf Pelt</v>
      </c>
      <c r="B557" s="1" t="str">
        <f>IFERROR(__xludf.DUMMYFUNCTION("""COMPUTED_VALUE"""),"Crafting Material, roll a d20 to see how many you get if this is a loot drop.")</f>
        <v>Crafting Material, roll a d20 to see how many you get if this is a loot drop.</v>
      </c>
      <c r="C557" s="1" t="str">
        <f>IFERROR(__xludf.DUMMYFUNCTION("""COMPUTED_VALUE"""),"Item")</f>
        <v>Item</v>
      </c>
      <c r="D557" s="1"/>
      <c r="E557" s="1"/>
      <c r="F557" s="1"/>
      <c r="G557" s="1"/>
      <c r="H557" s="1" t="b">
        <f>IFERROR(__xludf.DUMMYFUNCTION("""COMPUTED_VALUE"""),FALSE)</f>
        <v>0</v>
      </c>
      <c r="I557" s="1" t="str">
        <f>IFERROR(__xludf.DUMMYFUNCTION("""COMPUTED_VALUE"""),"Land of Spira")</f>
        <v>Land of Spira</v>
      </c>
    </row>
    <row r="558">
      <c r="A558" s="1" t="str">
        <f>IFERROR(__xludf.DUMMYFUNCTION("""COMPUTED_VALUE"""),"Rank 9 Twilight Tome")</f>
        <v>Rank 9 Twilight Tome</v>
      </c>
      <c r="B558" s="1" t="str">
        <f>IFERROR(__xludf.DUMMYFUNCTION("""COMPUTED_VALUE"""),"Allows use of up to Rank 9 Twilight Powers")</f>
        <v>Allows use of up to Rank 9 Twilight Powers</v>
      </c>
      <c r="C558" s="1" t="str">
        <f>IFERROR(__xludf.DUMMYFUNCTION("""COMPUTED_VALUE"""),"Item")</f>
        <v>Item</v>
      </c>
      <c r="D558" s="1"/>
      <c r="E558" s="1"/>
      <c r="F558" s="1"/>
      <c r="G558" s="1"/>
      <c r="H558" s="1" t="b">
        <f>IFERROR(__xludf.DUMMYFUNCTION("""COMPUTED_VALUE"""),FALSE)</f>
        <v>0</v>
      </c>
      <c r="I558" s="1" t="str">
        <f>IFERROR(__xludf.DUMMYFUNCTION("""COMPUTED_VALUE"""),"Land of Spira")</f>
        <v>Land of Spira</v>
      </c>
    </row>
    <row r="559">
      <c r="A559" s="1" t="str">
        <f>IFERROR(__xludf.DUMMYFUNCTION("""COMPUTED_VALUE"""),"Stasis Tome Rank 9")</f>
        <v>Stasis Tome Rank 9</v>
      </c>
      <c r="B559" s="1" t="str">
        <f>IFERROR(__xludf.DUMMYFUNCTION("""COMPUTED_VALUE"""),"Allows use of up to Rank 9 Stasis Powers")</f>
        <v>Allows use of up to Rank 9 Stasis Powers</v>
      </c>
      <c r="C559" s="1" t="str">
        <f>IFERROR(__xludf.DUMMYFUNCTION("""COMPUTED_VALUE"""),"Item")</f>
        <v>Item</v>
      </c>
      <c r="D559" s="1"/>
      <c r="E559" s="1"/>
      <c r="F559" s="1"/>
      <c r="G559" s="1"/>
      <c r="H559" s="1" t="b">
        <f>IFERROR(__xludf.DUMMYFUNCTION("""COMPUTED_VALUE"""),FALSE)</f>
        <v>0</v>
      </c>
      <c r="I559" s="1" t="str">
        <f>IFERROR(__xludf.DUMMYFUNCTION("""COMPUTED_VALUE"""),"Land of Spira")</f>
        <v>Land of Spira</v>
      </c>
    </row>
    <row r="560">
      <c r="A560" s="1" t="str">
        <f>IFERROR(__xludf.DUMMYFUNCTION("""COMPUTED_VALUE"""),"Celestial Core")</f>
        <v>Celestial Core</v>
      </c>
      <c r="B560" s="1" t="str">
        <f>IFERROR(__xludf.DUMMYFUNCTION("""COMPUTED_VALUE"""),"Crafting Material, roll a d20 to see how many you get if this is a loot drop.")</f>
        <v>Crafting Material, roll a d20 to see how many you get if this is a loot drop.</v>
      </c>
      <c r="C560" s="1" t="str">
        <f>IFERROR(__xludf.DUMMYFUNCTION("""COMPUTED_VALUE"""),"Item")</f>
        <v>Item</v>
      </c>
      <c r="D560" s="1"/>
      <c r="E560" s="1"/>
      <c r="F560" s="1"/>
      <c r="G560" s="1"/>
      <c r="H560" s="1" t="b">
        <f>IFERROR(__xludf.DUMMYFUNCTION("""COMPUTED_VALUE"""),FALSE)</f>
        <v>0</v>
      </c>
      <c r="I560" s="1" t="str">
        <f>IFERROR(__xludf.DUMMYFUNCTION("""COMPUTED_VALUE"""),"Land of Spira")</f>
        <v>Land of Spira</v>
      </c>
    </row>
    <row r="561">
      <c r="A561" s="1" t="str">
        <f>IFERROR(__xludf.DUMMYFUNCTION("""COMPUTED_VALUE"""),"Vampires Tooth")</f>
        <v>Vampires Tooth</v>
      </c>
      <c r="B561" s="1" t="str">
        <f>IFERROR(__xludf.DUMMYFUNCTION("""COMPUTED_VALUE"""),"Crafting Material, roll a d20 to see how many you get if this is a loot drop.")</f>
        <v>Crafting Material, roll a d20 to see how many you get if this is a loot drop.</v>
      </c>
      <c r="C561" s="1" t="str">
        <f>IFERROR(__xludf.DUMMYFUNCTION("""COMPUTED_VALUE"""),"Item")</f>
        <v>Item</v>
      </c>
      <c r="D561" s="1"/>
      <c r="E561" s="1"/>
      <c r="F561" s="1"/>
      <c r="G561" s="1"/>
      <c r="H561" s="1" t="b">
        <f>IFERROR(__xludf.DUMMYFUNCTION("""COMPUTED_VALUE"""),FALSE)</f>
        <v>0</v>
      </c>
      <c r="I561" s="1" t="str">
        <f>IFERROR(__xludf.DUMMYFUNCTION("""COMPUTED_VALUE"""),"Land of Spira")</f>
        <v>Land of Spira</v>
      </c>
    </row>
    <row r="562">
      <c r="A562" s="1" t="str">
        <f>IFERROR(__xludf.DUMMYFUNCTION("""COMPUTED_VALUE"""),"Cursed Statue Of Knowing")</f>
        <v>Cursed Statue Of Knowing</v>
      </c>
      <c r="B562" s="1" t="str">
        <f>IFERROR(__xludf.DUMMYFUNCTION("""COMPUTED_VALUE"""),"Quest item.")</f>
        <v>Quest item.</v>
      </c>
      <c r="C562" s="1" t="str">
        <f>IFERROR(__xludf.DUMMYFUNCTION("""COMPUTED_VALUE"""),"Item")</f>
        <v>Item</v>
      </c>
      <c r="D562" s="1"/>
      <c r="E562" s="1"/>
      <c r="F562" s="1"/>
      <c r="G562" s="1"/>
      <c r="H562" s="1" t="b">
        <f>IFERROR(__xludf.DUMMYFUNCTION("""COMPUTED_VALUE"""),FALSE)</f>
        <v>0</v>
      </c>
      <c r="I562" s="1" t="str">
        <f>IFERROR(__xludf.DUMMYFUNCTION("""COMPUTED_VALUE"""),"Land of Spira")</f>
        <v>Land of Spira</v>
      </c>
    </row>
    <row r="563">
      <c r="A563" s="1" t="str">
        <f>IFERROR(__xludf.DUMMYFUNCTION("""COMPUTED_VALUE"""),"Orb Of Shadows")</f>
        <v>Orb Of Shadows</v>
      </c>
      <c r="B563" s="1" t="str">
        <f>IFERROR(__xludf.DUMMYFUNCTION("""COMPUTED_VALUE"""),"Quest item.")</f>
        <v>Quest item.</v>
      </c>
      <c r="C563" s="1" t="str">
        <f>IFERROR(__xludf.DUMMYFUNCTION("""COMPUTED_VALUE"""),"Item")</f>
        <v>Item</v>
      </c>
      <c r="D563" s="1"/>
      <c r="E563" s="1"/>
      <c r="F563" s="1"/>
      <c r="G563" s="1"/>
      <c r="H563" s="1" t="b">
        <f>IFERROR(__xludf.DUMMYFUNCTION("""COMPUTED_VALUE"""),FALSE)</f>
        <v>0</v>
      </c>
      <c r="I563" s="1" t="str">
        <f>IFERROR(__xludf.DUMMYFUNCTION("""COMPUTED_VALUE"""),"Land of Spira")</f>
        <v>Land of Spira</v>
      </c>
    </row>
    <row r="564">
      <c r="A564" s="1" t="str">
        <f>IFERROR(__xludf.DUMMYFUNCTION("""COMPUTED_VALUE"""),"Blessed Torch")</f>
        <v>Blessed Torch</v>
      </c>
      <c r="B564" s="1" t="str">
        <f>IFERROR(__xludf.DUMMYFUNCTION("""COMPUTED_VALUE"""),"Lights a bonfire. (guaranteed drop)")</f>
        <v>Lights a bonfire. (guaranteed drop)</v>
      </c>
      <c r="C564" s="1" t="str">
        <f>IFERROR(__xludf.DUMMYFUNCTION("""COMPUTED_VALUE"""),"Item")</f>
        <v>Item</v>
      </c>
      <c r="D564" s="1"/>
      <c r="E564" s="1"/>
      <c r="F564" s="1"/>
      <c r="G564" s="1"/>
      <c r="H564" s="1" t="b">
        <f>IFERROR(__xludf.DUMMYFUNCTION("""COMPUTED_VALUE"""),FALSE)</f>
        <v>0</v>
      </c>
      <c r="I564" s="1" t="str">
        <f>IFERROR(__xludf.DUMMYFUNCTION("""COMPUTED_VALUE"""),"Land of Spira")</f>
        <v>Land of Spira</v>
      </c>
    </row>
    <row r="565">
      <c r="A565" s="1" t="str">
        <f>IFERROR(__xludf.DUMMYFUNCTION("""COMPUTED_VALUE"""),"Pebble of Fertility")</f>
        <v>Pebble of Fertility</v>
      </c>
      <c r="B565" s="1" t="str">
        <f>IFERROR(__xludf.DUMMYFUNCTION("""COMPUTED_VALUE"""),"double the loot when consumed before battle.")</f>
        <v>double the loot when consumed before battle.</v>
      </c>
      <c r="C565" s="1" t="str">
        <f>IFERROR(__xludf.DUMMYFUNCTION("""COMPUTED_VALUE"""),"Item")</f>
        <v>Item</v>
      </c>
      <c r="D565" s="1"/>
      <c r="E565" s="1"/>
      <c r="F565" s="1"/>
      <c r="G565" s="1"/>
      <c r="H565" s="1" t="b">
        <f>IFERROR(__xludf.DUMMYFUNCTION("""COMPUTED_VALUE"""),FALSE)</f>
        <v>0</v>
      </c>
      <c r="I565" s="1" t="str">
        <f>IFERROR(__xludf.DUMMYFUNCTION("""COMPUTED_VALUE"""),"Land of Spira")</f>
        <v>Land of Spira</v>
      </c>
    </row>
    <row r="566">
      <c r="A566" s="1" t="str">
        <f>IFERROR(__xludf.DUMMYFUNCTION("""COMPUTED_VALUE"""),"Forest Faery Egg")</f>
        <v>Forest Faery Egg</v>
      </c>
      <c r="B566" s="1" t="str">
        <f>IFERROR(__xludf.DUMMYFUNCTION("""COMPUTED_VALUE"""),"Gives a Faery companion (60) (must be in a forest for the egg to hatch)")</f>
        <v>Gives a Faery companion (60) (must be in a forest for the egg to hatch)</v>
      </c>
      <c r="C566" s="1" t="str">
        <f>IFERROR(__xludf.DUMMYFUNCTION("""COMPUTED_VALUE"""),"Item")</f>
        <v>Item</v>
      </c>
      <c r="D566" s="1"/>
      <c r="E566" s="1"/>
      <c r="F566" s="1"/>
      <c r="G566" s="1"/>
      <c r="H566" s="1" t="b">
        <f>IFERROR(__xludf.DUMMYFUNCTION("""COMPUTED_VALUE"""),FALSE)</f>
        <v>0</v>
      </c>
      <c r="I566" s="1" t="str">
        <f>IFERROR(__xludf.DUMMYFUNCTION("""COMPUTED_VALUE"""),"Land of Spira")</f>
        <v>Land of Spira</v>
      </c>
    </row>
    <row r="567">
      <c r="A567" s="1" t="str">
        <f>IFERROR(__xludf.DUMMYFUNCTION("""COMPUTED_VALUE"""),"Pandan flower")</f>
        <v>Pandan flower</v>
      </c>
      <c r="B567" s="1" t="str">
        <f>IFERROR(__xludf.DUMMYFUNCTION("""COMPUTED_VALUE"""),"Cures 1 curse")</f>
        <v>Cures 1 curse</v>
      </c>
      <c r="C567" s="1" t="str">
        <f>IFERROR(__xludf.DUMMYFUNCTION("""COMPUTED_VALUE"""),"Item")</f>
        <v>Item</v>
      </c>
      <c r="D567" s="1"/>
      <c r="E567" s="1"/>
      <c r="F567" s="1"/>
      <c r="G567" s="1"/>
      <c r="H567" s="1" t="b">
        <f>IFERROR(__xludf.DUMMYFUNCTION("""COMPUTED_VALUE"""),FALSE)</f>
        <v>0</v>
      </c>
      <c r="I567" s="1" t="str">
        <f>IFERROR(__xludf.DUMMYFUNCTION("""COMPUTED_VALUE"""),"Land of Spira")</f>
        <v>Land of Spira</v>
      </c>
    </row>
    <row r="568">
      <c r="A568" s="1" t="str">
        <f>IFERROR(__xludf.DUMMYFUNCTION("""COMPUTED_VALUE"""),"Rank 5 Earth Tome")</f>
        <v>Rank 5 Earth Tome</v>
      </c>
      <c r="B568" s="1" t="str">
        <f>IFERROR(__xludf.DUMMYFUNCTION("""COMPUTED_VALUE"""),"Allows use of up to Rank 5 Earth Powers")</f>
        <v>Allows use of up to Rank 5 Earth Powers</v>
      </c>
      <c r="C568" s="1" t="str">
        <f>IFERROR(__xludf.DUMMYFUNCTION("""COMPUTED_VALUE"""),"Item")</f>
        <v>Item</v>
      </c>
      <c r="D568" s="1"/>
      <c r="E568" s="1"/>
      <c r="F568" s="1"/>
      <c r="G568" s="1"/>
      <c r="H568" s="1" t="b">
        <f>IFERROR(__xludf.DUMMYFUNCTION("""COMPUTED_VALUE"""),FALSE)</f>
        <v>0</v>
      </c>
      <c r="I568" s="1" t="str">
        <f>IFERROR(__xludf.DUMMYFUNCTION("""COMPUTED_VALUE"""),"Land of Spira")</f>
        <v>Land of Spira</v>
      </c>
    </row>
    <row r="569">
      <c r="A569" s="1" t="str">
        <f>IFERROR(__xludf.DUMMYFUNCTION("""COMPUTED_VALUE"""),"Earth Gem")</f>
        <v>Earth Gem</v>
      </c>
      <c r="B569" s="1" t="str">
        <f>IFERROR(__xludf.DUMMYFUNCTION("""COMPUTED_VALUE"""),"Crafting Material, roll a d20 to see how many you get if this is a loot drop.")</f>
        <v>Crafting Material, roll a d20 to see how many you get if this is a loot drop.</v>
      </c>
      <c r="C569" s="1" t="str">
        <f>IFERROR(__xludf.DUMMYFUNCTION("""COMPUTED_VALUE"""),"Item")</f>
        <v>Item</v>
      </c>
      <c r="D569" s="1"/>
      <c r="E569" s="1"/>
      <c r="F569" s="1"/>
      <c r="G569" s="1"/>
      <c r="H569" s="1" t="b">
        <f>IFERROR(__xludf.DUMMYFUNCTION("""COMPUTED_VALUE"""),FALSE)</f>
        <v>0</v>
      </c>
      <c r="I569" s="1" t="str">
        <f>IFERROR(__xludf.DUMMYFUNCTION("""COMPUTED_VALUE"""),"Land of Spira")</f>
        <v>Land of Spira</v>
      </c>
    </row>
    <row r="570">
      <c r="A570" s="1" t="str">
        <f>IFERROR(__xludf.DUMMYFUNCTION("""COMPUTED_VALUE"""),"Enchanted Ice Gem")</f>
        <v>Enchanted Ice Gem</v>
      </c>
      <c r="B570" s="1" t="str">
        <f>IFERROR(__xludf.DUMMYFUNCTION("""COMPUTED_VALUE"""),"Crafting Material, roll a d20 to see how many you get if this is a loot drop., can be forged into an weapon to give it +5%  chance of freezing 1 target. can forge multiple of these gems together to increase the percentage to a max of 100%")</f>
        <v>Crafting Material, roll a d20 to see how many you get if this is a loot drop., can be forged into an weapon to give it +5%  chance of freezing 1 target. can forge multiple of these gems together to increase the percentage to a max of 100%</v>
      </c>
      <c r="C570" s="1" t="str">
        <f>IFERROR(__xludf.DUMMYFUNCTION("""COMPUTED_VALUE"""),"Item")</f>
        <v>Item</v>
      </c>
      <c r="D570" s="1"/>
      <c r="E570" s="1"/>
      <c r="F570" s="1"/>
      <c r="G570" s="1"/>
      <c r="H570" s="1" t="b">
        <f>IFERROR(__xludf.DUMMYFUNCTION("""COMPUTED_VALUE"""),FALSE)</f>
        <v>0</v>
      </c>
      <c r="I570" s="1" t="str">
        <f>IFERROR(__xludf.DUMMYFUNCTION("""COMPUTED_VALUE"""),"Land of Spira")</f>
        <v>Land of Spira</v>
      </c>
    </row>
    <row r="571">
      <c r="A571" s="1" t="str">
        <f>IFERROR(__xludf.DUMMYFUNCTION("""COMPUTED_VALUE"""),"Carnelian Crystal")</f>
        <v>Carnelian Crystal</v>
      </c>
      <c r="B571" s="1" t="str">
        <f>IFERROR(__xludf.DUMMYFUNCTION("""COMPUTED_VALUE"""),"Can be forged into armor, one crystal max inside forged equipment. +2 Mobility  ")</f>
        <v>Can be forged into armor, one crystal max inside forged equipment. +2 Mobility  </v>
      </c>
      <c r="C571" s="1" t="str">
        <f>IFERROR(__xludf.DUMMYFUNCTION("""COMPUTED_VALUE"""),"Item")</f>
        <v>Item</v>
      </c>
      <c r="D571" s="1"/>
      <c r="E571" s="1"/>
      <c r="F571" s="1"/>
      <c r="G571" s="1"/>
      <c r="H571" s="1" t="b">
        <f>IFERROR(__xludf.DUMMYFUNCTION("""COMPUTED_VALUE"""),FALSE)</f>
        <v>0</v>
      </c>
      <c r="I571" s="1" t="str">
        <f>IFERROR(__xludf.DUMMYFUNCTION("""COMPUTED_VALUE"""),"Land of Spira")</f>
        <v>Land of Spira</v>
      </c>
    </row>
    <row r="572">
      <c r="A572" s="1" t="str">
        <f>IFERROR(__xludf.DUMMYFUNCTION("""COMPUTED_VALUE"""),"Citrine Crystal")</f>
        <v>Citrine Crystal</v>
      </c>
      <c r="B572" s="1" t="str">
        <f>IFERROR(__xludf.DUMMYFUNCTION("""COMPUTED_VALUE"""),"Can be forged into armor, one crystal max inside forged equipment. 25% chance to move up one spot in the turn order this effect is unnaffected by other forged items/effects.")</f>
        <v>Can be forged into armor, one crystal max inside forged equipment. 25% chance to move up one spot in the turn order this effect is unnaffected by other forged items/effects.</v>
      </c>
      <c r="C572" s="1" t="str">
        <f>IFERROR(__xludf.DUMMYFUNCTION("""COMPUTED_VALUE"""),"Item")</f>
        <v>Item</v>
      </c>
      <c r="D572" s="1"/>
      <c r="E572" s="1"/>
      <c r="F572" s="1"/>
      <c r="G572" s="1"/>
      <c r="H572" s="1" t="b">
        <f>IFERROR(__xludf.DUMMYFUNCTION("""COMPUTED_VALUE"""),FALSE)</f>
        <v>0</v>
      </c>
      <c r="I572" s="1" t="str">
        <f>IFERROR(__xludf.DUMMYFUNCTION("""COMPUTED_VALUE"""),"Land of Spira")</f>
        <v>Land of Spira</v>
      </c>
    </row>
    <row r="573">
      <c r="A573" s="1" t="str">
        <f>IFERROR(__xludf.DUMMYFUNCTION("""COMPUTED_VALUE"""),"Tiger's Eye Crystal")</f>
        <v>Tiger's Eye Crystal</v>
      </c>
      <c r="B573" s="1" t="str">
        <f>IFERROR(__xludf.DUMMYFUNCTION("""COMPUTED_VALUE"""),"Can be forged into a weapon, one crystal max inside forged equipment. 25% chance to dodge an attack, this effect is unnaffected by other forged items/effects.")</f>
        <v>Can be forged into a weapon, one crystal max inside forged equipment. 25% chance to dodge an attack, this effect is unnaffected by other forged items/effects.</v>
      </c>
      <c r="C573" s="1" t="str">
        <f>IFERROR(__xludf.DUMMYFUNCTION("""COMPUTED_VALUE"""),"Item")</f>
        <v>Item</v>
      </c>
      <c r="D573" s="1"/>
      <c r="E573" s="1"/>
      <c r="F573" s="1"/>
      <c r="G573" s="1"/>
      <c r="H573" s="1" t="b">
        <f>IFERROR(__xludf.DUMMYFUNCTION("""COMPUTED_VALUE"""),FALSE)</f>
        <v>0</v>
      </c>
      <c r="I573" s="1" t="str">
        <f>IFERROR(__xludf.DUMMYFUNCTION("""COMPUTED_VALUE"""),"Land of Spira")</f>
        <v>Land of Spira</v>
      </c>
    </row>
    <row r="574">
      <c r="A574" s="1" t="str">
        <f>IFERROR(__xludf.DUMMYFUNCTION("""COMPUTED_VALUE"""),"Lodestone Crystal")</f>
        <v>Lodestone Crystal</v>
      </c>
      <c r="B574" s="1" t="str">
        <f>IFERROR(__xludf.DUMMYFUNCTION("""COMPUTED_VALUE"""),"Can be forged into a weapon, one crystal max inside forged equipment. absorbs the first attack of each battle.")</f>
        <v>Can be forged into a weapon, one crystal max inside forged equipment. absorbs the first attack of each battle.</v>
      </c>
      <c r="C574" s="1" t="str">
        <f>IFERROR(__xludf.DUMMYFUNCTION("""COMPUTED_VALUE"""),"Item")</f>
        <v>Item</v>
      </c>
      <c r="D574" s="1"/>
      <c r="E574" s="1"/>
      <c r="F574" s="1"/>
      <c r="G574" s="1"/>
      <c r="H574" s="1" t="b">
        <f>IFERROR(__xludf.DUMMYFUNCTION("""COMPUTED_VALUE"""),FALSE)</f>
        <v>0</v>
      </c>
      <c r="I574" s="1" t="str">
        <f>IFERROR(__xludf.DUMMYFUNCTION("""COMPUTED_VALUE"""),"Land of Spira")</f>
        <v>Land of Spira</v>
      </c>
    </row>
    <row r="575">
      <c r="A575" s="1" t="str">
        <f>IFERROR(__xludf.DUMMYFUNCTION("""COMPUTED_VALUE"""),"Peridot Crystal")</f>
        <v>Peridot Crystal</v>
      </c>
      <c r="B575" s="1" t="str">
        <f>IFERROR(__xludf.DUMMYFUNCTION("""COMPUTED_VALUE"""),"Can be forged into a armor, one crystal max inside forged equipment. +300HP per round.")</f>
        <v>Can be forged into a armor, one crystal max inside forged equipment. +300HP per round.</v>
      </c>
      <c r="C575" s="1" t="str">
        <f>IFERROR(__xludf.DUMMYFUNCTION("""COMPUTED_VALUE"""),"Item")</f>
        <v>Item</v>
      </c>
      <c r="D575" s="1"/>
      <c r="E575" s="1"/>
      <c r="F575" s="1"/>
      <c r="G575" s="1"/>
      <c r="H575" s="1" t="b">
        <f>IFERROR(__xludf.DUMMYFUNCTION("""COMPUTED_VALUE"""),FALSE)</f>
        <v>0</v>
      </c>
      <c r="I575" s="1" t="str">
        <f>IFERROR(__xludf.DUMMYFUNCTION("""COMPUTED_VALUE"""),"Land of Spira")</f>
        <v>Land of Spira</v>
      </c>
    </row>
    <row r="576">
      <c r="A576" s="1" t="str">
        <f>IFERROR(__xludf.DUMMYFUNCTION("""COMPUTED_VALUE"""),"Golden Topaz")</f>
        <v>Golden Topaz</v>
      </c>
      <c r="B576" s="1" t="str">
        <f>IFERROR(__xludf.DUMMYFUNCTION("""COMPUTED_VALUE"""),"Can be forged into a armor, one crystal max inside forged equipment. 50% chance to cure a curse for user only while cursed, this effect is unnaffected by other forged items/effects.")</f>
        <v>Can be forged into a armor, one crystal max inside forged equipment. 50% chance to cure a curse for user only while cursed, this effect is unnaffected by other forged items/effects.</v>
      </c>
      <c r="C576" s="1" t="str">
        <f>IFERROR(__xludf.DUMMYFUNCTION("""COMPUTED_VALUE"""),"Item")</f>
        <v>Item</v>
      </c>
      <c r="D576" s="1"/>
      <c r="E576" s="1"/>
      <c r="F576" s="1"/>
      <c r="G576" s="1"/>
      <c r="H576" s="1" t="b">
        <f>IFERROR(__xludf.DUMMYFUNCTION("""COMPUTED_VALUE"""),FALSE)</f>
        <v>0</v>
      </c>
      <c r="I576" s="1" t="str">
        <f>IFERROR(__xludf.DUMMYFUNCTION("""COMPUTED_VALUE"""),"Land of Spira")</f>
        <v>Land of Spira</v>
      </c>
    </row>
    <row r="577">
      <c r="A577" s="1" t="str">
        <f>IFERROR(__xludf.DUMMYFUNCTION("""COMPUTED_VALUE"""),"Slime Jelly")</f>
        <v>Slime Jelly</v>
      </c>
      <c r="B577" s="1" t="str">
        <f>IFERROR(__xludf.DUMMYFUNCTION("""COMPUTED_VALUE"""),"Restores 50 HP, 75 Mana, 50 Hunger, and 50 Thirst, -30 Energy cause it tastes bad")</f>
        <v>Restores 50 HP, 75 Mana, 50 Hunger, and 50 Thirst, -30 Energy cause it tastes bad</v>
      </c>
      <c r="C577" s="1" t="str">
        <f>IFERROR(__xludf.DUMMYFUNCTION("""COMPUTED_VALUE"""),"Crop")</f>
        <v>Crop</v>
      </c>
      <c r="D577" s="1"/>
      <c r="E577" s="1"/>
      <c r="F577" s="1"/>
      <c r="G577" s="1"/>
      <c r="H577" s="1" t="b">
        <f>IFERROR(__xludf.DUMMYFUNCTION("""COMPUTED_VALUE"""),FALSE)</f>
        <v>0</v>
      </c>
      <c r="I577" s="1" t="str">
        <f>IFERROR(__xludf.DUMMYFUNCTION("""COMPUTED_VALUE"""),"Land of Spira")</f>
        <v>Land of Spira</v>
      </c>
    </row>
    <row r="578">
      <c r="A578" s="1" t="str">
        <f>IFERROR(__xludf.DUMMYFUNCTION("""COMPUTED_VALUE"""),"Broken Robot")</f>
        <v>Broken Robot</v>
      </c>
      <c r="B578" s="1" t="str">
        <f>IFERROR(__xludf.DUMMYFUNCTION("""COMPUTED_VALUE"""),"An item that is purchased and given to a mysterious cloaked figure. ")</f>
        <v>An item that is purchased and given to a mysterious cloaked figure. </v>
      </c>
      <c r="C578" s="1" t="str">
        <f>IFERROR(__xludf.DUMMYFUNCTION("""COMPUTED_VALUE"""),"Item")</f>
        <v>Item</v>
      </c>
      <c r="D578" s="1"/>
      <c r="E578" s="1"/>
      <c r="F578" s="1"/>
      <c r="G578" s="1"/>
      <c r="H578" s="1" t="b">
        <f>IFERROR(__xludf.DUMMYFUNCTION("""COMPUTED_VALUE"""),FALSE)</f>
        <v>0</v>
      </c>
      <c r="I578" s="1" t="str">
        <f>IFERROR(__xludf.DUMMYFUNCTION("""COMPUTED_VALUE"""),"Land of Spira")</f>
        <v>Land of Spira</v>
      </c>
    </row>
    <row r="579">
      <c r="A579" s="1" t="str">
        <f>IFERROR(__xludf.DUMMYFUNCTION("""COMPUTED_VALUE"""),"Boar Hide")</f>
        <v>Boar Hide</v>
      </c>
      <c r="B579" s="1" t="str">
        <f>IFERROR(__xludf.DUMMYFUNCTION("""COMPUTED_VALUE"""),"Crafting Material, roll a d20 to see how many you get if this is a loot drop.")</f>
        <v>Crafting Material, roll a d20 to see how many you get if this is a loot drop.</v>
      </c>
      <c r="C579" s="1" t="str">
        <f>IFERROR(__xludf.DUMMYFUNCTION("""COMPUTED_VALUE"""),"Item")</f>
        <v>Item</v>
      </c>
      <c r="D579" s="1"/>
      <c r="E579" s="1"/>
      <c r="F579" s="1"/>
      <c r="G579" s="1"/>
      <c r="H579" s="1" t="b">
        <f>IFERROR(__xludf.DUMMYFUNCTION("""COMPUTED_VALUE"""),FALSE)</f>
        <v>0</v>
      </c>
      <c r="I579" s="1" t="str">
        <f>IFERROR(__xludf.DUMMYFUNCTION("""COMPUTED_VALUE"""),"Land of Spira")</f>
        <v>Land of Spira</v>
      </c>
    </row>
    <row r="580">
      <c r="A580" s="1" t="str">
        <f>IFERROR(__xludf.DUMMYFUNCTION("""COMPUTED_VALUE"""),"Bullet")</f>
        <v>Bullet</v>
      </c>
      <c r="B580" s="1" t="str">
        <f>IFERROR(__xludf.DUMMYFUNCTION("""COMPUTED_VALUE"""),"Firearm Ammunition. +100 damage. roll a d20 to see how many you get if this is a loot drop.")</f>
        <v>Firearm Ammunition. +100 damage. roll a d20 to see how many you get if this is a loot drop.</v>
      </c>
      <c r="C580" s="1" t="str">
        <f>IFERROR(__xludf.DUMMYFUNCTION("""COMPUTED_VALUE"""),"Item")</f>
        <v>Item</v>
      </c>
      <c r="D580" s="1"/>
      <c r="E580" s="1"/>
      <c r="F580" s="1"/>
      <c r="G580" s="1"/>
      <c r="H580" s="1" t="b">
        <f>IFERROR(__xludf.DUMMYFUNCTION("""COMPUTED_VALUE"""),FALSE)</f>
        <v>0</v>
      </c>
      <c r="I580" s="1" t="str">
        <f>IFERROR(__xludf.DUMMYFUNCTION("""COMPUTED_VALUE"""),"Land of Spira")</f>
        <v>Land of Spira</v>
      </c>
    </row>
    <row r="581">
      <c r="A581" s="1" t="str">
        <f>IFERROR(__xludf.DUMMYFUNCTION("""COMPUTED_VALUE"""),"Chaotic Shadow Dragon Scales")</f>
        <v>Chaotic Shadow Dragon Scales</v>
      </c>
      <c r="B581" s="1" t="str">
        <f>IFERROR(__xludf.DUMMYFUNCTION("""COMPUTED_VALUE"""),"Crafting Material, roll a d20 to see how many you get if this is a loot drop.")</f>
        <v>Crafting Material, roll a d20 to see how many you get if this is a loot drop.</v>
      </c>
      <c r="C581" s="1" t="str">
        <f>IFERROR(__xludf.DUMMYFUNCTION("""COMPUTED_VALUE"""),"Item")</f>
        <v>Item</v>
      </c>
      <c r="D581" s="1"/>
      <c r="E581" s="1"/>
      <c r="F581" s="1"/>
      <c r="G581" s="1"/>
      <c r="H581" s="1" t="b">
        <f>IFERROR(__xludf.DUMMYFUNCTION("""COMPUTED_VALUE"""),FALSE)</f>
        <v>0</v>
      </c>
      <c r="I581" s="1" t="str">
        <f>IFERROR(__xludf.DUMMYFUNCTION("""COMPUTED_VALUE"""),"Land of Spira")</f>
        <v>Land of Spira</v>
      </c>
    </row>
    <row r="582">
      <c r="A582" s="1" t="str">
        <f>IFERROR(__xludf.DUMMYFUNCTION("""COMPUTED_VALUE"""),"Chaotic Shadow Dragon Skull")</f>
        <v>Chaotic Shadow Dragon Skull</v>
      </c>
      <c r="B582" s="1" t="str">
        <f>IFERROR(__xludf.DUMMYFUNCTION("""COMPUTED_VALUE"""),"can be consumed to obtain 1 free dark or chaos power. (Only one per character)")</f>
        <v>can be consumed to obtain 1 free dark or chaos power. (Only one per character)</v>
      </c>
      <c r="C582" s="1" t="str">
        <f>IFERROR(__xludf.DUMMYFUNCTION("""COMPUTED_VALUE"""),"Item")</f>
        <v>Item</v>
      </c>
      <c r="D582" s="1"/>
      <c r="E582" s="1"/>
      <c r="F582" s="1"/>
      <c r="G582" s="1"/>
      <c r="H582" s="1" t="b">
        <f>IFERROR(__xludf.DUMMYFUNCTION("""COMPUTED_VALUE"""),FALSE)</f>
        <v>0</v>
      </c>
      <c r="I582" s="1" t="str">
        <f>IFERROR(__xludf.DUMMYFUNCTION("""COMPUTED_VALUE"""),"Land of Spira")</f>
        <v>Land of Spira</v>
      </c>
    </row>
    <row r="583">
      <c r="A583" s="1" t="str">
        <f>IFERROR(__xludf.DUMMYFUNCTION("""COMPUTED_VALUE"""),"Sharp Teeth")</f>
        <v>Sharp Teeth</v>
      </c>
      <c r="B583" s="1" t="str">
        <f>IFERROR(__xludf.DUMMYFUNCTION("""COMPUTED_VALUE"""),"Consumable, 100 sharp teeth = permanantly increase attack by 1.")</f>
        <v>Consumable, 100 sharp teeth = permanantly increase attack by 1.</v>
      </c>
      <c r="C583" s="1" t="str">
        <f>IFERROR(__xludf.DUMMYFUNCTION("""COMPUTED_VALUE"""),"Item")</f>
        <v>Item</v>
      </c>
      <c r="D583" s="1"/>
      <c r="E583" s="1"/>
      <c r="F583" s="1"/>
      <c r="G583" s="1"/>
      <c r="H583" s="1" t="b">
        <f>IFERROR(__xludf.DUMMYFUNCTION("""COMPUTED_VALUE"""),FALSE)</f>
        <v>0</v>
      </c>
      <c r="I583" s="1" t="str">
        <f>IFERROR(__xludf.DUMMYFUNCTION("""COMPUTED_VALUE"""),"Land of Spira")</f>
        <v>Land of Spira</v>
      </c>
    </row>
    <row r="584">
      <c r="A584" s="1" t="str">
        <f>IFERROR(__xludf.DUMMYFUNCTION("""COMPUTED_VALUE"""),"Letter from the Warden")</f>
        <v>Letter from the Warden</v>
      </c>
      <c r="B584" s="1" t="str">
        <f>IFERROR(__xludf.DUMMYFUNCTION("""COMPUTED_VALUE"""),"Get out of jail for free. Can only be used once, Cannot be duplicated.")</f>
        <v>Get out of jail for free. Can only be used once, Cannot be duplicated.</v>
      </c>
      <c r="C584" s="1" t="str">
        <f>IFERROR(__xludf.DUMMYFUNCTION("""COMPUTED_VALUE"""),"Item")</f>
        <v>Item</v>
      </c>
      <c r="D584" s="1"/>
      <c r="E584" s="1"/>
      <c r="F584" s="1"/>
      <c r="G584" s="1"/>
      <c r="H584" s="1" t="b">
        <f>IFERROR(__xludf.DUMMYFUNCTION("""COMPUTED_VALUE"""),FALSE)</f>
        <v>0</v>
      </c>
      <c r="I584" s="1" t="str">
        <f>IFERROR(__xludf.DUMMYFUNCTION("""COMPUTED_VALUE"""),"Land of Spira")</f>
        <v>Land of Spira</v>
      </c>
    </row>
    <row r="585">
      <c r="A585" s="1" t="str">
        <f>IFERROR(__xludf.DUMMYFUNCTION("""COMPUTED_VALUE"""),"Rank 9 Light Tome")</f>
        <v>Rank 9 Light Tome</v>
      </c>
      <c r="B585" s="1" t="str">
        <f>IFERROR(__xludf.DUMMYFUNCTION("""COMPUTED_VALUE"""),"Allows you to use up to Rank 9 Light Powers.")</f>
        <v>Allows you to use up to Rank 9 Light Powers.</v>
      </c>
      <c r="C585" s="1" t="str">
        <f>IFERROR(__xludf.DUMMYFUNCTION("""COMPUTED_VALUE"""),"Item")</f>
        <v>Item</v>
      </c>
      <c r="D585" s="1"/>
      <c r="E585" s="1"/>
      <c r="F585" s="1"/>
      <c r="G585" s="1"/>
      <c r="H585" s="1" t="b">
        <f>IFERROR(__xludf.DUMMYFUNCTION("""COMPUTED_VALUE"""),FALSE)</f>
        <v>0</v>
      </c>
      <c r="I585" s="1" t="str">
        <f>IFERROR(__xludf.DUMMYFUNCTION("""COMPUTED_VALUE"""),"Land of Spira")</f>
        <v>Land of Spira</v>
      </c>
    </row>
    <row r="586">
      <c r="A586" s="1" t="str">
        <f>IFERROR(__xludf.DUMMYFUNCTION("""COMPUTED_VALUE"""),"Lesser Healing Potion")</f>
        <v>Lesser Healing Potion</v>
      </c>
      <c r="B586" s="1" t="str">
        <f>IFERROR(__xludf.DUMMYFUNCTION("""COMPUTED_VALUE"""),": + +25HP")</f>
        <v>: + +25HP</v>
      </c>
      <c r="C586" s="1" t="str">
        <f>IFERROR(__xludf.DUMMYFUNCTION("""COMPUTED_VALUE"""),"Item")</f>
        <v>Item</v>
      </c>
      <c r="D586" s="1"/>
      <c r="E586" s="1"/>
      <c r="F586" s="1"/>
      <c r="G586" s="1"/>
      <c r="H586" s="1" t="b">
        <f>IFERROR(__xludf.DUMMYFUNCTION("""COMPUTED_VALUE"""),FALSE)</f>
        <v>0</v>
      </c>
      <c r="I586" s="1" t="str">
        <f>IFERROR(__xludf.DUMMYFUNCTION("""COMPUTED_VALUE"""),"Land of Spira")</f>
        <v>Land of Spira</v>
      </c>
    </row>
    <row r="587">
      <c r="A587" s="1" t="str">
        <f>IFERROR(__xludf.DUMMYFUNCTION("""COMPUTED_VALUE"""),"Blackhorn Healing Potion")</f>
        <v>Blackhorn Healing Potion</v>
      </c>
      <c r="B587" s="1" t="str">
        <f>IFERROR(__xludf.DUMMYFUNCTION("""COMPUTED_VALUE"""),": + +75HP")</f>
        <v>: + +75HP</v>
      </c>
      <c r="C587" s="1" t="str">
        <f>IFERROR(__xludf.DUMMYFUNCTION("""COMPUTED_VALUE"""),"Item")</f>
        <v>Item</v>
      </c>
      <c r="D587" s="1"/>
      <c r="E587" s="1"/>
      <c r="F587" s="1"/>
      <c r="G587" s="1"/>
      <c r="H587" s="1" t="b">
        <f>IFERROR(__xludf.DUMMYFUNCTION("""COMPUTED_VALUE"""),FALSE)</f>
        <v>0</v>
      </c>
      <c r="I587" s="1" t="str">
        <f>IFERROR(__xludf.DUMMYFUNCTION("""COMPUTED_VALUE"""),"Land of Spira")</f>
        <v>Land of Spira</v>
      </c>
    </row>
    <row r="588">
      <c r="A588" s="1" t="str">
        <f>IFERROR(__xludf.DUMMYFUNCTION("""COMPUTED_VALUE"""),"Greater Healing Potion")</f>
        <v>Greater Healing Potion</v>
      </c>
      <c r="B588" s="1" t="str">
        <f>IFERROR(__xludf.DUMMYFUNCTION("""COMPUTED_VALUE"""),": + +100HP")</f>
        <v>: + +100HP</v>
      </c>
      <c r="C588" s="1" t="str">
        <f>IFERROR(__xludf.DUMMYFUNCTION("""COMPUTED_VALUE"""),"Item")</f>
        <v>Item</v>
      </c>
      <c r="D588" s="1"/>
      <c r="E588" s="1"/>
      <c r="F588" s="1"/>
      <c r="G588" s="1"/>
      <c r="H588" s="1" t="b">
        <f>IFERROR(__xludf.DUMMYFUNCTION("""COMPUTED_VALUE"""),FALSE)</f>
        <v>0</v>
      </c>
      <c r="I588" s="1" t="str">
        <f>IFERROR(__xludf.DUMMYFUNCTION("""COMPUTED_VALUE"""),"Land of Spira")</f>
        <v>Land of Spira</v>
      </c>
    </row>
    <row r="589">
      <c r="A589" s="1" t="str">
        <f>IFERROR(__xludf.DUMMYFUNCTION("""COMPUTED_VALUE"""),"Awkward Potion")</f>
        <v>Awkward Potion</v>
      </c>
      <c r="B589" s="1" t="str">
        <f>IFERROR(__xludf.DUMMYFUNCTION("""COMPUTED_VALUE"""),": + +100HP And 100 SP")</f>
        <v>: + +100HP And 100 SP</v>
      </c>
      <c r="C589" s="1" t="str">
        <f>IFERROR(__xludf.DUMMYFUNCTION("""COMPUTED_VALUE"""),"Item")</f>
        <v>Item</v>
      </c>
      <c r="D589" s="1"/>
      <c r="E589" s="1"/>
      <c r="F589" s="1"/>
      <c r="G589" s="1"/>
      <c r="H589" s="1" t="b">
        <f>IFERROR(__xludf.DUMMYFUNCTION("""COMPUTED_VALUE"""),FALSE)</f>
        <v>0</v>
      </c>
      <c r="I589" s="1" t="str">
        <f>IFERROR(__xludf.DUMMYFUNCTION("""COMPUTED_VALUE"""),"Land of Spira")</f>
        <v>Land of Spira</v>
      </c>
    </row>
    <row r="590">
      <c r="A590" s="1" t="str">
        <f>IFERROR(__xludf.DUMMYFUNCTION("""COMPUTED_VALUE"""),"Defensive Potion")</f>
        <v>Defensive Potion</v>
      </c>
      <c r="B590" s="1" t="str">
        <f>IFERROR(__xludf.DUMMYFUNCTION("""COMPUTED_VALUE"""),": + +1000 def for 3 rounds")</f>
        <v>: + +1000 def for 3 rounds</v>
      </c>
      <c r="C590" s="1" t="str">
        <f>IFERROR(__xludf.DUMMYFUNCTION("""COMPUTED_VALUE"""),"Item")</f>
        <v>Item</v>
      </c>
      <c r="D590" s="1"/>
      <c r="E590" s="1"/>
      <c r="F590" s="1"/>
      <c r="G590" s="1"/>
      <c r="H590" s="1" t="b">
        <f>IFERROR(__xludf.DUMMYFUNCTION("""COMPUTED_VALUE"""),FALSE)</f>
        <v>0</v>
      </c>
      <c r="I590" s="1" t="str">
        <f>IFERROR(__xludf.DUMMYFUNCTION("""COMPUTED_VALUE"""),"Land of Spira")</f>
        <v>Land of Spira</v>
      </c>
    </row>
    <row r="591">
      <c r="A591" s="1" t="str">
        <f>IFERROR(__xludf.DUMMYFUNCTION("""COMPUTED_VALUE"""),"Offensive Potion")</f>
        <v>Offensive Potion</v>
      </c>
      <c r="B591" s="1" t="str">
        <f>IFERROR(__xludf.DUMMYFUNCTION("""COMPUTED_VALUE"""),": + +1000 atk for 3 rounds")</f>
        <v>: + +1000 atk for 3 rounds</v>
      </c>
      <c r="C591" s="1" t="str">
        <f>IFERROR(__xludf.DUMMYFUNCTION("""COMPUTED_VALUE"""),"Item")</f>
        <v>Item</v>
      </c>
      <c r="D591" s="1"/>
      <c r="E591" s="1"/>
      <c r="F591" s="1"/>
      <c r="G591" s="1"/>
      <c r="H591" s="1" t="b">
        <f>IFERROR(__xludf.DUMMYFUNCTION("""COMPUTED_VALUE"""),FALSE)</f>
        <v>0</v>
      </c>
      <c r="I591" s="1" t="str">
        <f>IFERROR(__xludf.DUMMYFUNCTION("""COMPUTED_VALUE"""),"Land of Spira")</f>
        <v>Land of Spira</v>
      </c>
    </row>
    <row r="592">
      <c r="A592" s="1" t="str">
        <f>IFERROR(__xludf.DUMMYFUNCTION("""COMPUTED_VALUE"""),"Potion of Swift")</f>
        <v>Potion of Swift</v>
      </c>
      <c r="B592" s="1" t="str">
        <f>IFERROR(__xludf.DUMMYFUNCTION("""COMPUTED_VALUE"""),": + +add 5 evasion for 3 rounds")</f>
        <v>: + +add 5 evasion for 3 rounds</v>
      </c>
      <c r="C592" s="1" t="str">
        <f>IFERROR(__xludf.DUMMYFUNCTION("""COMPUTED_VALUE"""),"Item")</f>
        <v>Item</v>
      </c>
      <c r="D592" s="1"/>
      <c r="E592" s="1"/>
      <c r="F592" s="1"/>
      <c r="G592" s="1"/>
      <c r="H592" s="1" t="b">
        <f>IFERROR(__xludf.DUMMYFUNCTION("""COMPUTED_VALUE"""),FALSE)</f>
        <v>0</v>
      </c>
      <c r="I592" s="1" t="str">
        <f>IFERROR(__xludf.DUMMYFUNCTION("""COMPUTED_VALUE"""),"Land of Spira")</f>
        <v>Land of Spira</v>
      </c>
    </row>
    <row r="593">
      <c r="A593" s="1" t="str">
        <f>IFERROR(__xludf.DUMMYFUNCTION("""COMPUTED_VALUE"""),"Potion of Mana Regeneration")</f>
        <v>Potion of Mana Regeneration</v>
      </c>
      <c r="B593" s="1" t="str">
        <f>IFERROR(__xludf.DUMMYFUNCTION("""COMPUTED_VALUE"""),": + +500SP p/r for 3 rounds")</f>
        <v>: + +500SP p/r for 3 rounds</v>
      </c>
      <c r="C593" s="1" t="str">
        <f>IFERROR(__xludf.DUMMYFUNCTION("""COMPUTED_VALUE"""),"Item")</f>
        <v>Item</v>
      </c>
      <c r="D593" s="1"/>
      <c r="E593" s="1"/>
      <c r="F593" s="1"/>
      <c r="G593" s="1"/>
      <c r="H593" s="1" t="b">
        <f>IFERROR(__xludf.DUMMYFUNCTION("""COMPUTED_VALUE"""),FALSE)</f>
        <v>0</v>
      </c>
      <c r="I593" s="1" t="str">
        <f>IFERROR(__xludf.DUMMYFUNCTION("""COMPUTED_VALUE"""),"Land of Spira")</f>
        <v>Land of Spira</v>
      </c>
    </row>
    <row r="594">
      <c r="A594" s="1" t="str">
        <f>IFERROR(__xludf.DUMMYFUNCTION("""COMPUTED_VALUE"""),"Potion of Thorns")</f>
        <v>Potion of Thorns</v>
      </c>
      <c r="B594" s="1" t="str">
        <f>IFERROR(__xludf.DUMMYFUNCTION("""COMPUTED_VALUE"""),": + +When a target deals damage to you they take the same amount of damage back.")</f>
        <v>: + +When a target deals damage to you they take the same amount of damage back.</v>
      </c>
      <c r="C594" s="1" t="str">
        <f>IFERROR(__xludf.DUMMYFUNCTION("""COMPUTED_VALUE"""),"Item")</f>
        <v>Item</v>
      </c>
      <c r="D594" s="1"/>
      <c r="E594" s="1"/>
      <c r="F594" s="1"/>
      <c r="G594" s="1"/>
      <c r="H594" s="1" t="b">
        <f>IFERROR(__xludf.DUMMYFUNCTION("""COMPUTED_VALUE"""),FALSE)</f>
        <v>0</v>
      </c>
      <c r="I594" s="1" t="str">
        <f>IFERROR(__xludf.DUMMYFUNCTION("""COMPUTED_VALUE"""),"Land of Spira")</f>
        <v>Land of Spira</v>
      </c>
    </row>
    <row r="595">
      <c r="A595" s="1" t="str">
        <f>IFERROR(__xludf.DUMMYFUNCTION("""COMPUTED_VALUE"""),"Potion of Resistance")</f>
        <v>Potion of Resistance</v>
      </c>
      <c r="B595" s="1" t="str">
        <f>IFERROR(__xludf.DUMMYFUNCTION("""COMPUTED_VALUE"""),": + +1000 resistance to all attacks for 3 rounds.")</f>
        <v>: + +1000 resistance to all attacks for 3 rounds.</v>
      </c>
      <c r="C595" s="1" t="str">
        <f>IFERROR(__xludf.DUMMYFUNCTION("""COMPUTED_VALUE"""),"Item")</f>
        <v>Item</v>
      </c>
      <c r="D595" s="1"/>
      <c r="E595" s="1"/>
      <c r="F595" s="1"/>
      <c r="G595" s="1"/>
      <c r="H595" s="1" t="b">
        <f>IFERROR(__xludf.DUMMYFUNCTION("""COMPUTED_VALUE"""),FALSE)</f>
        <v>0</v>
      </c>
      <c r="I595" s="1" t="str">
        <f>IFERROR(__xludf.DUMMYFUNCTION("""COMPUTED_VALUE"""),"Land of Spira")</f>
        <v>Land of Spira</v>
      </c>
    </row>
    <row r="596">
      <c r="A596" s="1" t="str">
        <f>IFERROR(__xludf.DUMMYFUNCTION("""COMPUTED_VALUE"""),"Potion of Speed")</f>
        <v>Potion of Speed</v>
      </c>
      <c r="B596" s="1" t="str">
        <f>IFERROR(__xludf.DUMMYFUNCTION("""COMPUTED_VALUE"""),": + +Allows 2 additional turns in one on your next turn.")</f>
        <v>: + +Allows 2 additional turns in one on your next turn.</v>
      </c>
      <c r="C596" s="1" t="str">
        <f>IFERROR(__xludf.DUMMYFUNCTION("""COMPUTED_VALUE"""),"Item")</f>
        <v>Item</v>
      </c>
      <c r="D596" s="1"/>
      <c r="E596" s="1"/>
      <c r="F596" s="1"/>
      <c r="G596" s="1"/>
      <c r="H596" s="1" t="b">
        <f>IFERROR(__xludf.DUMMYFUNCTION("""COMPUTED_VALUE"""),FALSE)</f>
        <v>0</v>
      </c>
      <c r="I596" s="1" t="str">
        <f>IFERROR(__xludf.DUMMYFUNCTION("""COMPUTED_VALUE"""),"Land of Spira")</f>
        <v>Land of Spira</v>
      </c>
    </row>
    <row r="597">
      <c r="A597" s="1" t="str">
        <f>IFERROR(__xludf.DUMMYFUNCTION("""COMPUTED_VALUE"""),"Potion of Luck")</f>
        <v>Potion of Luck</v>
      </c>
      <c r="B597" s="1" t="str">
        <f>IFERROR(__xludf.DUMMYFUNCTION("""COMPUTED_VALUE"""),": + +Allows you to get an enemies highest loot role (Must be used during battle)")</f>
        <v>: + +Allows you to get an enemies highest loot role (Must be used during battle)</v>
      </c>
      <c r="C597" s="1" t="str">
        <f>IFERROR(__xludf.DUMMYFUNCTION("""COMPUTED_VALUE"""),"Item")</f>
        <v>Item</v>
      </c>
      <c r="D597" s="1"/>
      <c r="E597" s="1"/>
      <c r="F597" s="1"/>
      <c r="G597" s="1"/>
      <c r="H597" s="1" t="b">
        <f>IFERROR(__xludf.DUMMYFUNCTION("""COMPUTED_VALUE"""),FALSE)</f>
        <v>0</v>
      </c>
      <c r="I597" s="1" t="str">
        <f>IFERROR(__xludf.DUMMYFUNCTION("""COMPUTED_VALUE"""),"Land of Spira")</f>
        <v>Land of Spira</v>
      </c>
    </row>
    <row r="598">
      <c r="A598" s="1" t="str">
        <f>IFERROR(__xludf.DUMMYFUNCTION("""COMPUTED_VALUE"""),"Potion of Regeneration")</f>
        <v>Potion of Regeneration</v>
      </c>
      <c r="B598" s="1" t="str">
        <f>IFERROR(__xludf.DUMMYFUNCTION("""COMPUTED_VALUE"""),": + +500HP p/r for 3 rounds.")</f>
        <v>: + +500HP p/r for 3 rounds.</v>
      </c>
      <c r="C598" s="1" t="str">
        <f>IFERROR(__xludf.DUMMYFUNCTION("""COMPUTED_VALUE"""),"Item")</f>
        <v>Item</v>
      </c>
      <c r="D598" s="1"/>
      <c r="E598" s="1"/>
      <c r="F598" s="1"/>
      <c r="G598" s="1"/>
      <c r="H598" s="1" t="b">
        <f>IFERROR(__xludf.DUMMYFUNCTION("""COMPUTED_VALUE"""),FALSE)</f>
        <v>0</v>
      </c>
      <c r="I598" s="1" t="str">
        <f>IFERROR(__xludf.DUMMYFUNCTION("""COMPUTED_VALUE"""),"Land of Spira")</f>
        <v>Land of Spira</v>
      </c>
    </row>
    <row r="599">
      <c r="A599" s="1" t="str">
        <f>IFERROR(__xludf.DUMMYFUNCTION("""COMPUTED_VALUE"""),"Potion of Immunity")</f>
        <v>Potion of Immunity</v>
      </c>
      <c r="B599" s="1" t="str">
        <f>IFERROR(__xludf.DUMMYFUNCTION("""COMPUTED_VALUE"""),": + +Gain immunity to all attacks for 3 rounds.")</f>
        <v>: + +Gain immunity to all attacks for 3 rounds.</v>
      </c>
      <c r="C599" s="1" t="str">
        <f>IFERROR(__xludf.DUMMYFUNCTION("""COMPUTED_VALUE"""),"Item")</f>
        <v>Item</v>
      </c>
      <c r="D599" s="1"/>
      <c r="E599" s="1"/>
      <c r="F599" s="1"/>
      <c r="G599" s="1"/>
      <c r="H599" s="1" t="b">
        <f>IFERROR(__xludf.DUMMYFUNCTION("""COMPUTED_VALUE"""),FALSE)</f>
        <v>0</v>
      </c>
      <c r="I599" s="1" t="str">
        <f>IFERROR(__xludf.DUMMYFUNCTION("""COMPUTED_VALUE"""),"Land of Spira")</f>
        <v>Land of Spira</v>
      </c>
    </row>
    <row r="600">
      <c r="A600" s="1" t="str">
        <f>IFERROR(__xludf.DUMMYFUNCTION("""COMPUTED_VALUE"""),"Apple")</f>
        <v>Apple</v>
      </c>
      <c r="B600" s="1" t="str">
        <f>IFERROR(__xludf.DUMMYFUNCTION("""COMPUTED_VALUE"""),"5 hunger and thirst.")</f>
        <v>5 hunger and thirst.</v>
      </c>
      <c r="C600" s="1" t="str">
        <f>IFERROR(__xludf.DUMMYFUNCTION("""COMPUTED_VALUE"""),"Crop")</f>
        <v>Crop</v>
      </c>
      <c r="D600" s="1"/>
      <c r="E600" s="1"/>
      <c r="F600" s="1"/>
      <c r="G600" s="1"/>
      <c r="H600" s="1" t="b">
        <f>IFERROR(__xludf.DUMMYFUNCTION("""COMPUTED_VALUE"""),FALSE)</f>
        <v>0</v>
      </c>
      <c r="I600" s="1" t="str">
        <f>IFERROR(__xludf.DUMMYFUNCTION("""COMPUTED_VALUE"""),"Land of Spira")</f>
        <v>Land of Spira</v>
      </c>
    </row>
    <row r="601">
      <c r="A601" s="1" t="str">
        <f>IFERROR(__xludf.DUMMYFUNCTION("""COMPUTED_VALUE"""),"Watermelon")</f>
        <v>Watermelon</v>
      </c>
      <c r="B601" s="1" t="str">
        <f>IFERROR(__xludf.DUMMYFUNCTION("""COMPUTED_VALUE"""),"100 hunger, thirst, and energy. Feeds self and up to 2 party members.")</f>
        <v>100 hunger, thirst, and energy. Feeds self and up to 2 party members.</v>
      </c>
      <c r="C601" s="1" t="str">
        <f>IFERROR(__xludf.DUMMYFUNCTION("""COMPUTED_VALUE"""),"Crop")</f>
        <v>Crop</v>
      </c>
      <c r="D601" s="1"/>
      <c r="E601" s="1"/>
      <c r="F601" s="1"/>
      <c r="G601" s="1"/>
      <c r="H601" s="1" t="b">
        <f>IFERROR(__xludf.DUMMYFUNCTION("""COMPUTED_VALUE"""),FALSE)</f>
        <v>0</v>
      </c>
      <c r="I601" s="1" t="str">
        <f>IFERROR(__xludf.DUMMYFUNCTION("""COMPUTED_VALUE"""),"Land of Spira")</f>
        <v>Land of Spira</v>
      </c>
    </row>
    <row r="602">
      <c r="A602" s="1" t="str">
        <f>IFERROR(__xludf.DUMMYFUNCTION("""COMPUTED_VALUE"""),"Orange")</f>
        <v>Orange</v>
      </c>
      <c r="B602" s="1" t="str">
        <f>IFERROR(__xludf.DUMMYFUNCTION("""COMPUTED_VALUE"""),"5 hunger and thirst.")</f>
        <v>5 hunger and thirst.</v>
      </c>
      <c r="C602" s="1" t="str">
        <f>IFERROR(__xludf.DUMMYFUNCTION("""COMPUTED_VALUE"""),"Crop")</f>
        <v>Crop</v>
      </c>
      <c r="D602" s="1"/>
      <c r="E602" s="1"/>
      <c r="F602" s="1"/>
      <c r="G602" s="1"/>
      <c r="H602" s="1" t="b">
        <f>IFERROR(__xludf.DUMMYFUNCTION("""COMPUTED_VALUE"""),FALSE)</f>
        <v>0</v>
      </c>
      <c r="I602" s="1" t="str">
        <f>IFERROR(__xludf.DUMMYFUNCTION("""COMPUTED_VALUE"""),"Land of Spira")</f>
        <v>Land of Spira</v>
      </c>
    </row>
    <row r="603">
      <c r="A603" s="1" t="str">
        <f>IFERROR(__xludf.DUMMYFUNCTION("""COMPUTED_VALUE"""),"Pear")</f>
        <v>Pear</v>
      </c>
      <c r="B603" s="1" t="str">
        <f>IFERROR(__xludf.DUMMYFUNCTION("""COMPUTED_VALUE"""),"5 hunger and thirst.")</f>
        <v>5 hunger and thirst.</v>
      </c>
      <c r="C603" s="1" t="str">
        <f>IFERROR(__xludf.DUMMYFUNCTION("""COMPUTED_VALUE"""),"Crop")</f>
        <v>Crop</v>
      </c>
      <c r="D603" s="1"/>
      <c r="E603" s="1"/>
      <c r="F603" s="1"/>
      <c r="G603" s="1"/>
      <c r="H603" s="1" t="b">
        <f>IFERROR(__xludf.DUMMYFUNCTION("""COMPUTED_VALUE"""),FALSE)</f>
        <v>0</v>
      </c>
      <c r="I603" s="1" t="str">
        <f>IFERROR(__xludf.DUMMYFUNCTION("""COMPUTED_VALUE"""),"Land of Spira")</f>
        <v>Land of Spira</v>
      </c>
    </row>
    <row r="604">
      <c r="A604" s="1" t="str">
        <f>IFERROR(__xludf.DUMMYFUNCTION("""COMPUTED_VALUE"""),"Cherry")</f>
        <v>Cherry</v>
      </c>
      <c r="B604" s="1" t="str">
        <f>IFERROR(__xludf.DUMMYFUNCTION("""COMPUTED_VALUE"""),"5 hunger and thirst.")</f>
        <v>5 hunger and thirst.</v>
      </c>
      <c r="C604" s="1" t="str">
        <f>IFERROR(__xludf.DUMMYFUNCTION("""COMPUTED_VALUE"""),"Crop")</f>
        <v>Crop</v>
      </c>
      <c r="D604" s="1"/>
      <c r="E604" s="1"/>
      <c r="F604" s="1"/>
      <c r="G604" s="1"/>
      <c r="H604" s="1" t="b">
        <f>IFERROR(__xludf.DUMMYFUNCTION("""COMPUTED_VALUE"""),FALSE)</f>
        <v>0</v>
      </c>
      <c r="I604" s="1" t="str">
        <f>IFERROR(__xludf.DUMMYFUNCTION("""COMPUTED_VALUE"""),"Land of Spira")</f>
        <v>Land of Spira</v>
      </c>
    </row>
    <row r="605">
      <c r="A605" s="1" t="str">
        <f>IFERROR(__xludf.DUMMYFUNCTION("""COMPUTED_VALUE"""),"Strawberries")</f>
        <v>Strawberries</v>
      </c>
      <c r="B605" s="1" t="str">
        <f>IFERROR(__xludf.DUMMYFUNCTION("""COMPUTED_VALUE"""),"5 hunger and thirst.")</f>
        <v>5 hunger and thirst.</v>
      </c>
      <c r="C605" s="1" t="str">
        <f>IFERROR(__xludf.DUMMYFUNCTION("""COMPUTED_VALUE"""),"Crop")</f>
        <v>Crop</v>
      </c>
      <c r="D605" s="1"/>
      <c r="E605" s="1"/>
      <c r="F605" s="1"/>
      <c r="G605" s="1"/>
      <c r="H605" s="1" t="b">
        <f>IFERROR(__xludf.DUMMYFUNCTION("""COMPUTED_VALUE"""),FALSE)</f>
        <v>0</v>
      </c>
      <c r="I605" s="1" t="str">
        <f>IFERROR(__xludf.DUMMYFUNCTION("""COMPUTED_VALUE"""),"Land of Spira")</f>
        <v>Land of Spira</v>
      </c>
    </row>
    <row r="606">
      <c r="A606" s="1" t="str">
        <f>IFERROR(__xludf.DUMMYFUNCTION("""COMPUTED_VALUE"""),"Nectarine")</f>
        <v>Nectarine</v>
      </c>
      <c r="B606" s="1" t="str">
        <f>IFERROR(__xludf.DUMMYFUNCTION("""COMPUTED_VALUE"""),"5 hunger and thirst.")</f>
        <v>5 hunger and thirst.</v>
      </c>
      <c r="C606" s="1" t="str">
        <f>IFERROR(__xludf.DUMMYFUNCTION("""COMPUTED_VALUE"""),"Crop")</f>
        <v>Crop</v>
      </c>
      <c r="D606" s="1"/>
      <c r="E606" s="1"/>
      <c r="F606" s="1"/>
      <c r="G606" s="1"/>
      <c r="H606" s="1" t="b">
        <f>IFERROR(__xludf.DUMMYFUNCTION("""COMPUTED_VALUE"""),FALSE)</f>
        <v>0</v>
      </c>
      <c r="I606" s="1" t="str">
        <f>IFERROR(__xludf.DUMMYFUNCTION("""COMPUTED_VALUE"""),"Land of Spira")</f>
        <v>Land of Spira</v>
      </c>
    </row>
    <row r="607">
      <c r="A607" s="1" t="str">
        <f>IFERROR(__xludf.DUMMYFUNCTION("""COMPUTED_VALUE"""),"Grapes")</f>
        <v>Grapes</v>
      </c>
      <c r="B607" s="1" t="str">
        <f>IFERROR(__xludf.DUMMYFUNCTION("""COMPUTED_VALUE"""),"5 hunger and thirst.")</f>
        <v>5 hunger and thirst.</v>
      </c>
      <c r="C607" s="1" t="str">
        <f>IFERROR(__xludf.DUMMYFUNCTION("""COMPUTED_VALUE"""),"Crop")</f>
        <v>Crop</v>
      </c>
      <c r="D607" s="1"/>
      <c r="E607" s="1"/>
      <c r="F607" s="1"/>
      <c r="G607" s="1"/>
      <c r="H607" s="1" t="b">
        <f>IFERROR(__xludf.DUMMYFUNCTION("""COMPUTED_VALUE"""),FALSE)</f>
        <v>0</v>
      </c>
      <c r="I607" s="1" t="str">
        <f>IFERROR(__xludf.DUMMYFUNCTION("""COMPUTED_VALUE"""),"Land of Spira")</f>
        <v>Land of Spira</v>
      </c>
    </row>
    <row r="608">
      <c r="A608" s="1" t="str">
        <f>IFERROR(__xludf.DUMMYFUNCTION("""COMPUTED_VALUE"""),"Mango")</f>
        <v>Mango</v>
      </c>
      <c r="B608" s="1" t="str">
        <f>IFERROR(__xludf.DUMMYFUNCTION("""COMPUTED_VALUE"""),"5 hunger and thirst.")</f>
        <v>5 hunger and thirst.</v>
      </c>
      <c r="C608" s="1" t="str">
        <f>IFERROR(__xludf.DUMMYFUNCTION("""COMPUTED_VALUE"""),"Crop")</f>
        <v>Crop</v>
      </c>
      <c r="D608" s="1"/>
      <c r="E608" s="1"/>
      <c r="F608" s="1"/>
      <c r="G608" s="1"/>
      <c r="H608" s="1" t="b">
        <f>IFERROR(__xludf.DUMMYFUNCTION("""COMPUTED_VALUE"""),FALSE)</f>
        <v>0</v>
      </c>
      <c r="I608" s="1" t="str">
        <f>IFERROR(__xludf.DUMMYFUNCTION("""COMPUTED_VALUE"""),"Land of Spira")</f>
        <v>Land of Spira</v>
      </c>
    </row>
    <row r="609">
      <c r="A609" s="1" t="str">
        <f>IFERROR(__xludf.DUMMYFUNCTION("""COMPUTED_VALUE"""),"Blueberries")</f>
        <v>Blueberries</v>
      </c>
      <c r="B609" s="1" t="str">
        <f>IFERROR(__xludf.DUMMYFUNCTION("""COMPUTED_VALUE"""),"5 hunger and thirst.")</f>
        <v>5 hunger and thirst.</v>
      </c>
      <c r="C609" s="1" t="str">
        <f>IFERROR(__xludf.DUMMYFUNCTION("""COMPUTED_VALUE"""),"Crop")</f>
        <v>Crop</v>
      </c>
      <c r="D609" s="1"/>
      <c r="E609" s="1"/>
      <c r="F609" s="1"/>
      <c r="G609" s="1"/>
      <c r="H609" s="1" t="b">
        <f>IFERROR(__xludf.DUMMYFUNCTION("""COMPUTED_VALUE"""),FALSE)</f>
        <v>0</v>
      </c>
      <c r="I609" s="1" t="str">
        <f>IFERROR(__xludf.DUMMYFUNCTION("""COMPUTED_VALUE"""),"Land of Spira")</f>
        <v>Land of Spira</v>
      </c>
    </row>
    <row r="610">
      <c r="A610" s="1" t="str">
        <f>IFERROR(__xludf.DUMMYFUNCTION("""COMPUTED_VALUE"""),"Pomegranate")</f>
        <v>Pomegranate</v>
      </c>
      <c r="B610" s="1" t="str">
        <f>IFERROR(__xludf.DUMMYFUNCTION("""COMPUTED_VALUE"""),"10 hunger and thirst.")</f>
        <v>10 hunger and thirst.</v>
      </c>
      <c r="C610" s="1" t="str">
        <f>IFERROR(__xludf.DUMMYFUNCTION("""COMPUTED_VALUE"""),"Crop")</f>
        <v>Crop</v>
      </c>
      <c r="D610" s="1"/>
      <c r="E610" s="1"/>
      <c r="F610" s="1"/>
      <c r="G610" s="1"/>
      <c r="H610" s="1" t="b">
        <f>IFERROR(__xludf.DUMMYFUNCTION("""COMPUTED_VALUE"""),FALSE)</f>
        <v>0</v>
      </c>
      <c r="I610" s="1" t="str">
        <f>IFERROR(__xludf.DUMMYFUNCTION("""COMPUTED_VALUE"""),"Land of Spira")</f>
        <v>Land of Spira</v>
      </c>
    </row>
    <row r="611">
      <c r="A611" s="1" t="str">
        <f>IFERROR(__xludf.DUMMYFUNCTION("""COMPUTED_VALUE"""),"StarFruit")</f>
        <v>StarFruit</v>
      </c>
      <c r="B611" s="1" t="str">
        <f>IFERROR(__xludf.DUMMYFUNCTION("""COMPUTED_VALUE"""),"5 hunger and thirst.")</f>
        <v>5 hunger and thirst.</v>
      </c>
      <c r="C611" s="1" t="str">
        <f>IFERROR(__xludf.DUMMYFUNCTION("""COMPUTED_VALUE"""),"Crop")</f>
        <v>Crop</v>
      </c>
      <c r="D611" s="1"/>
      <c r="E611" s="1"/>
      <c r="F611" s="1"/>
      <c r="G611" s="1"/>
      <c r="H611" s="1" t="b">
        <f>IFERROR(__xludf.DUMMYFUNCTION("""COMPUTED_VALUE"""),FALSE)</f>
        <v>0</v>
      </c>
      <c r="I611" s="1" t="str">
        <f>IFERROR(__xludf.DUMMYFUNCTION("""COMPUTED_VALUE"""),"Land of Spira")</f>
        <v>Land of Spira</v>
      </c>
    </row>
    <row r="612">
      <c r="A612" s="1" t="str">
        <f>IFERROR(__xludf.DUMMYFUNCTION("""COMPUTED_VALUE"""),"Plum")</f>
        <v>Plum</v>
      </c>
      <c r="B612" s="1" t="str">
        <f>IFERROR(__xludf.DUMMYFUNCTION("""COMPUTED_VALUE"""),"5 hunger and thirst.")</f>
        <v>5 hunger and thirst.</v>
      </c>
      <c r="C612" s="1" t="str">
        <f>IFERROR(__xludf.DUMMYFUNCTION("""COMPUTED_VALUE"""),"Crop")</f>
        <v>Crop</v>
      </c>
      <c r="D612" s="1"/>
      <c r="E612" s="1"/>
      <c r="F612" s="1"/>
      <c r="G612" s="1"/>
      <c r="H612" s="1" t="b">
        <f>IFERROR(__xludf.DUMMYFUNCTION("""COMPUTED_VALUE"""),FALSE)</f>
        <v>0</v>
      </c>
      <c r="I612" s="1" t="str">
        <f>IFERROR(__xludf.DUMMYFUNCTION("""COMPUTED_VALUE"""),"Land of Spira")</f>
        <v>Land of Spira</v>
      </c>
    </row>
    <row r="613">
      <c r="A613" s="1" t="str">
        <f>IFERROR(__xludf.DUMMYFUNCTION("""COMPUTED_VALUE"""),"Bananas")</f>
        <v>Bananas</v>
      </c>
      <c r="B613" s="1" t="str">
        <f>IFERROR(__xludf.DUMMYFUNCTION("""COMPUTED_VALUE"""),"10 hunger.")</f>
        <v>10 hunger.</v>
      </c>
      <c r="C613" s="1" t="str">
        <f>IFERROR(__xludf.DUMMYFUNCTION("""COMPUTED_VALUE"""),"Crop")</f>
        <v>Crop</v>
      </c>
      <c r="D613" s="1"/>
      <c r="E613" s="1"/>
      <c r="F613" s="1"/>
      <c r="G613" s="1"/>
      <c r="H613" s="1" t="b">
        <f>IFERROR(__xludf.DUMMYFUNCTION("""COMPUTED_VALUE"""),FALSE)</f>
        <v>0</v>
      </c>
      <c r="I613" s="1" t="str">
        <f>IFERROR(__xludf.DUMMYFUNCTION("""COMPUTED_VALUE"""),"Land of Spira")</f>
        <v>Land of Spira</v>
      </c>
    </row>
    <row r="614">
      <c r="A614" s="1" t="str">
        <f>IFERROR(__xludf.DUMMYFUNCTION("""COMPUTED_VALUE"""),"Raspberry")</f>
        <v>Raspberry</v>
      </c>
      <c r="B614" s="1" t="str">
        <f>IFERROR(__xludf.DUMMYFUNCTION("""COMPUTED_VALUE"""),"5 hunger and thirst.")</f>
        <v>5 hunger and thirst.</v>
      </c>
      <c r="C614" s="1" t="str">
        <f>IFERROR(__xludf.DUMMYFUNCTION("""COMPUTED_VALUE"""),"Crop")</f>
        <v>Crop</v>
      </c>
      <c r="D614" s="1"/>
      <c r="E614" s="1"/>
      <c r="F614" s="1"/>
      <c r="G614" s="1"/>
      <c r="H614" s="1" t="b">
        <f>IFERROR(__xludf.DUMMYFUNCTION("""COMPUTED_VALUE"""),FALSE)</f>
        <v>0</v>
      </c>
      <c r="I614" s="1" t="str">
        <f>IFERROR(__xludf.DUMMYFUNCTION("""COMPUTED_VALUE"""),"Land of Spira")</f>
        <v>Land of Spira</v>
      </c>
    </row>
    <row r="615">
      <c r="A615" s="1" t="str">
        <f>IFERROR(__xludf.DUMMYFUNCTION("""COMPUTED_VALUE"""),"Mandarin")</f>
        <v>Mandarin</v>
      </c>
      <c r="B615" s="1" t="str">
        <f>IFERROR(__xludf.DUMMYFUNCTION("""COMPUTED_VALUE"""),"5 hunger and thirst.")</f>
        <v>5 hunger and thirst.</v>
      </c>
      <c r="C615" s="1" t="str">
        <f>IFERROR(__xludf.DUMMYFUNCTION("""COMPUTED_VALUE"""),"Crop")</f>
        <v>Crop</v>
      </c>
      <c r="D615" s="1"/>
      <c r="E615" s="1"/>
      <c r="F615" s="1"/>
      <c r="G615" s="1"/>
      <c r="H615" s="1" t="b">
        <f>IFERROR(__xludf.DUMMYFUNCTION("""COMPUTED_VALUE"""),FALSE)</f>
        <v>0</v>
      </c>
      <c r="I615" s="1" t="str">
        <f>IFERROR(__xludf.DUMMYFUNCTION("""COMPUTED_VALUE"""),"Land of Spira")</f>
        <v>Land of Spira</v>
      </c>
    </row>
    <row r="616">
      <c r="A616" s="1" t="str">
        <f>IFERROR(__xludf.DUMMYFUNCTION("""COMPUTED_VALUE"""),"Jackfruit")</f>
        <v>Jackfruit</v>
      </c>
      <c r="B616" s="1" t="str">
        <f>IFERROR(__xludf.DUMMYFUNCTION("""COMPUTED_VALUE"""),"5 hunger and thirst.")</f>
        <v>5 hunger and thirst.</v>
      </c>
      <c r="C616" s="1" t="str">
        <f>IFERROR(__xludf.DUMMYFUNCTION("""COMPUTED_VALUE"""),"Crop")</f>
        <v>Crop</v>
      </c>
      <c r="D616" s="1"/>
      <c r="E616" s="1"/>
      <c r="F616" s="1"/>
      <c r="G616" s="1"/>
      <c r="H616" s="1" t="b">
        <f>IFERROR(__xludf.DUMMYFUNCTION("""COMPUTED_VALUE"""),FALSE)</f>
        <v>0</v>
      </c>
      <c r="I616" s="1" t="str">
        <f>IFERROR(__xludf.DUMMYFUNCTION("""COMPUTED_VALUE"""),"Land of Spira")</f>
        <v>Land of Spira</v>
      </c>
    </row>
    <row r="617">
      <c r="A617" s="1" t="str">
        <f>IFERROR(__xludf.DUMMYFUNCTION("""COMPUTED_VALUE"""),"Papaya")</f>
        <v>Papaya</v>
      </c>
      <c r="B617" s="1" t="str">
        <f>IFERROR(__xludf.DUMMYFUNCTION("""COMPUTED_VALUE"""),"10 hunger and thirst.")</f>
        <v>10 hunger and thirst.</v>
      </c>
      <c r="C617" s="1" t="str">
        <f>IFERROR(__xludf.DUMMYFUNCTION("""COMPUTED_VALUE"""),"Crop")</f>
        <v>Crop</v>
      </c>
      <c r="D617" s="1"/>
      <c r="E617" s="1"/>
      <c r="F617" s="1"/>
      <c r="G617" s="1"/>
      <c r="H617" s="1" t="b">
        <f>IFERROR(__xludf.DUMMYFUNCTION("""COMPUTED_VALUE"""),FALSE)</f>
        <v>0</v>
      </c>
      <c r="I617" s="1" t="str">
        <f>IFERROR(__xludf.DUMMYFUNCTION("""COMPUTED_VALUE"""),"Land of Spira")</f>
        <v>Land of Spira</v>
      </c>
    </row>
    <row r="618">
      <c r="A618" s="1" t="str">
        <f>IFERROR(__xludf.DUMMYFUNCTION("""COMPUTED_VALUE"""),"Kiwi")</f>
        <v>Kiwi</v>
      </c>
      <c r="B618" s="1" t="str">
        <f>IFERROR(__xludf.DUMMYFUNCTION("""COMPUTED_VALUE"""),"5 hunger and thirst.")</f>
        <v>5 hunger and thirst.</v>
      </c>
      <c r="C618" s="1" t="str">
        <f>IFERROR(__xludf.DUMMYFUNCTION("""COMPUTED_VALUE"""),"Crop")</f>
        <v>Crop</v>
      </c>
      <c r="D618" s="1"/>
      <c r="E618" s="1"/>
      <c r="F618" s="1"/>
      <c r="G618" s="1"/>
      <c r="H618" s="1" t="b">
        <f>IFERROR(__xludf.DUMMYFUNCTION("""COMPUTED_VALUE"""),FALSE)</f>
        <v>0</v>
      </c>
      <c r="I618" s="1" t="str">
        <f>IFERROR(__xludf.DUMMYFUNCTION("""COMPUTED_VALUE"""),"Land of Spira")</f>
        <v>Land of Spira</v>
      </c>
    </row>
    <row r="619">
      <c r="A619" s="1" t="str">
        <f>IFERROR(__xludf.DUMMYFUNCTION("""COMPUTED_VALUE"""),"Pineapple")</f>
        <v>Pineapple</v>
      </c>
      <c r="B619" s="1" t="str">
        <f>IFERROR(__xludf.DUMMYFUNCTION("""COMPUTED_VALUE"""),"20 hunger and thirst.")</f>
        <v>20 hunger and thirst.</v>
      </c>
      <c r="C619" s="1" t="str">
        <f>IFERROR(__xludf.DUMMYFUNCTION("""COMPUTED_VALUE"""),"Crop")</f>
        <v>Crop</v>
      </c>
      <c r="D619" s="1"/>
      <c r="E619" s="1"/>
      <c r="F619" s="1"/>
      <c r="G619" s="1"/>
      <c r="H619" s="1" t="b">
        <f>IFERROR(__xludf.DUMMYFUNCTION("""COMPUTED_VALUE"""),FALSE)</f>
        <v>0</v>
      </c>
      <c r="I619" s="1" t="str">
        <f>IFERROR(__xludf.DUMMYFUNCTION("""COMPUTED_VALUE"""),"Land of Spira")</f>
        <v>Land of Spira</v>
      </c>
    </row>
    <row r="620">
      <c r="A620" s="1" t="str">
        <f>IFERROR(__xludf.DUMMYFUNCTION("""COMPUTED_VALUE"""),"Lime")</f>
        <v>Lime</v>
      </c>
      <c r="B620" s="1" t="str">
        <f>IFERROR(__xludf.DUMMYFUNCTION("""COMPUTED_VALUE"""),"5 hunger and thirst or 25% chance to lose 10 hunger and thirst.")</f>
        <v>5 hunger and thirst or 25% chance to lose 10 hunger and thirst.</v>
      </c>
      <c r="C620" s="1" t="str">
        <f>IFERROR(__xludf.DUMMYFUNCTION("""COMPUTED_VALUE"""),"Crop")</f>
        <v>Crop</v>
      </c>
      <c r="D620" s="1"/>
      <c r="E620" s="1"/>
      <c r="F620" s="1"/>
      <c r="G620" s="1"/>
      <c r="H620" s="1" t="b">
        <f>IFERROR(__xludf.DUMMYFUNCTION("""COMPUTED_VALUE"""),FALSE)</f>
        <v>0</v>
      </c>
      <c r="I620" s="1" t="str">
        <f>IFERROR(__xludf.DUMMYFUNCTION("""COMPUTED_VALUE"""),"Land of Spira")</f>
        <v>Land of Spira</v>
      </c>
    </row>
    <row r="621">
      <c r="A621" s="1" t="str">
        <f>IFERROR(__xludf.DUMMYFUNCTION("""COMPUTED_VALUE"""),"Lemon")</f>
        <v>Lemon</v>
      </c>
      <c r="B621" s="1" t="str">
        <f>IFERROR(__xludf.DUMMYFUNCTION("""COMPUTED_VALUE"""),"5 hunger and thirst or 50% chance to lose 10 hunger and thirst.")</f>
        <v>5 hunger and thirst or 50% chance to lose 10 hunger and thirst.</v>
      </c>
      <c r="C621" s="1" t="str">
        <f>IFERROR(__xludf.DUMMYFUNCTION("""COMPUTED_VALUE"""),"Crop")</f>
        <v>Crop</v>
      </c>
      <c r="D621" s="1"/>
      <c r="E621" s="1"/>
      <c r="F621" s="1"/>
      <c r="G621" s="1"/>
      <c r="H621" s="1" t="b">
        <f>IFERROR(__xludf.DUMMYFUNCTION("""COMPUTED_VALUE"""),FALSE)</f>
        <v>0</v>
      </c>
      <c r="I621" s="1" t="str">
        <f>IFERROR(__xludf.DUMMYFUNCTION("""COMPUTED_VALUE"""),"Land of Spira")</f>
        <v>Land of Spira</v>
      </c>
    </row>
    <row r="622">
      <c r="A622" s="1" t="str">
        <f>IFERROR(__xludf.DUMMYFUNCTION("""COMPUTED_VALUE"""),"Apricot")</f>
        <v>Apricot</v>
      </c>
      <c r="B622" s="1" t="str">
        <f>IFERROR(__xludf.DUMMYFUNCTION("""COMPUTED_VALUE"""),"5 hunger and thirst.")</f>
        <v>5 hunger and thirst.</v>
      </c>
      <c r="C622" s="1" t="str">
        <f>IFERROR(__xludf.DUMMYFUNCTION("""COMPUTED_VALUE"""),"Crop")</f>
        <v>Crop</v>
      </c>
      <c r="D622" s="1"/>
      <c r="E622" s="1"/>
      <c r="F622" s="1"/>
      <c r="G622" s="1"/>
      <c r="H622" s="1" t="b">
        <f>IFERROR(__xludf.DUMMYFUNCTION("""COMPUTED_VALUE"""),FALSE)</f>
        <v>0</v>
      </c>
      <c r="I622" s="1" t="str">
        <f>IFERROR(__xludf.DUMMYFUNCTION("""COMPUTED_VALUE"""),"Land of Spira")</f>
        <v>Land of Spira</v>
      </c>
    </row>
    <row r="623">
      <c r="A623" s="1" t="str">
        <f>IFERROR(__xludf.DUMMYFUNCTION("""COMPUTED_VALUE"""),"Grapefruit")</f>
        <v>Grapefruit</v>
      </c>
      <c r="B623" s="1" t="str">
        <f>IFERROR(__xludf.DUMMYFUNCTION("""COMPUTED_VALUE"""),"10 hunger and thirst.")</f>
        <v>10 hunger and thirst.</v>
      </c>
      <c r="C623" s="1" t="str">
        <f>IFERROR(__xludf.DUMMYFUNCTION("""COMPUTED_VALUE"""),"Crop")</f>
        <v>Crop</v>
      </c>
      <c r="D623" s="1"/>
      <c r="E623" s="1"/>
      <c r="F623" s="1"/>
      <c r="G623" s="1"/>
      <c r="H623" s="1" t="b">
        <f>IFERROR(__xludf.DUMMYFUNCTION("""COMPUTED_VALUE"""),FALSE)</f>
        <v>0</v>
      </c>
      <c r="I623" s="1" t="str">
        <f>IFERROR(__xludf.DUMMYFUNCTION("""COMPUTED_VALUE"""),"Land of Spira")</f>
        <v>Land of Spira</v>
      </c>
    </row>
    <row r="624">
      <c r="A624" s="1" t="str">
        <f>IFERROR(__xludf.DUMMYFUNCTION("""COMPUTED_VALUE"""),"Coconut")</f>
        <v>Coconut</v>
      </c>
      <c r="B624" s="1" t="str">
        <f>IFERROR(__xludf.DUMMYFUNCTION("""COMPUTED_VALUE"""),"10 hunger and thirst.")</f>
        <v>10 hunger and thirst.</v>
      </c>
      <c r="C624" s="1" t="str">
        <f>IFERROR(__xludf.DUMMYFUNCTION("""COMPUTED_VALUE"""),"Crop")</f>
        <v>Crop</v>
      </c>
      <c r="D624" s="1"/>
      <c r="E624" s="1"/>
      <c r="F624" s="1"/>
      <c r="G624" s="1"/>
      <c r="H624" s="1" t="b">
        <f>IFERROR(__xludf.DUMMYFUNCTION("""COMPUTED_VALUE"""),FALSE)</f>
        <v>0</v>
      </c>
      <c r="I624" s="1" t="str">
        <f>IFERROR(__xludf.DUMMYFUNCTION("""COMPUTED_VALUE"""),"Land of Spira")</f>
        <v>Land of Spira</v>
      </c>
    </row>
    <row r="625">
      <c r="A625" s="1" t="str">
        <f>IFERROR(__xludf.DUMMYFUNCTION("""COMPUTED_VALUE"""),"Avocado")</f>
        <v>Avocado</v>
      </c>
      <c r="B625" s="1" t="str">
        <f>IFERROR(__xludf.DUMMYFUNCTION("""COMPUTED_VALUE"""),"5 hunger.")</f>
        <v>5 hunger.</v>
      </c>
      <c r="C625" s="1" t="str">
        <f>IFERROR(__xludf.DUMMYFUNCTION("""COMPUTED_VALUE"""),"Crop")</f>
        <v>Crop</v>
      </c>
      <c r="D625" s="1"/>
      <c r="E625" s="1"/>
      <c r="F625" s="1"/>
      <c r="G625" s="1"/>
      <c r="H625" s="1" t="b">
        <f>IFERROR(__xludf.DUMMYFUNCTION("""COMPUTED_VALUE"""),FALSE)</f>
        <v>0</v>
      </c>
      <c r="I625" s="1" t="str">
        <f>IFERROR(__xludf.DUMMYFUNCTION("""COMPUTED_VALUE"""),"Land of Spira")</f>
        <v>Land of Spira</v>
      </c>
    </row>
    <row r="626">
      <c r="A626" s="1" t="str">
        <f>IFERROR(__xludf.DUMMYFUNCTION("""COMPUTED_VALUE"""),"Peach")</f>
        <v>Peach</v>
      </c>
      <c r="B626" s="1" t="str">
        <f>IFERROR(__xludf.DUMMYFUNCTION("""COMPUTED_VALUE"""),"5 hunger and thirst.")</f>
        <v>5 hunger and thirst.</v>
      </c>
      <c r="C626" s="1" t="str">
        <f>IFERROR(__xludf.DUMMYFUNCTION("""COMPUTED_VALUE"""),"Crop")</f>
        <v>Crop</v>
      </c>
      <c r="D626" s="1"/>
      <c r="E626" s="1"/>
      <c r="F626" s="1"/>
      <c r="G626" s="1"/>
      <c r="H626" s="1" t="b">
        <f>IFERROR(__xludf.DUMMYFUNCTION("""COMPUTED_VALUE"""),FALSE)</f>
        <v>0</v>
      </c>
      <c r="I626" s="1" t="str">
        <f>IFERROR(__xludf.DUMMYFUNCTION("""COMPUTED_VALUE"""),"Land of Spira")</f>
        <v>Land of Spira</v>
      </c>
    </row>
    <row r="627">
      <c r="A627" s="1" t="str">
        <f>IFERROR(__xludf.DUMMYFUNCTION("""COMPUTED_VALUE"""),"Corn")</f>
        <v>Corn</v>
      </c>
      <c r="B627" s="1" t="str">
        <f>IFERROR(__xludf.DUMMYFUNCTION("""COMPUTED_VALUE"""),"10 hunger.")</f>
        <v>10 hunger.</v>
      </c>
      <c r="C627" s="1" t="str">
        <f>IFERROR(__xludf.DUMMYFUNCTION("""COMPUTED_VALUE"""),"Crop")</f>
        <v>Crop</v>
      </c>
      <c r="D627" s="1"/>
      <c r="E627" s="1"/>
      <c r="F627" s="1"/>
      <c r="G627" s="1"/>
      <c r="H627" s="1" t="b">
        <f>IFERROR(__xludf.DUMMYFUNCTION("""COMPUTED_VALUE"""),FALSE)</f>
        <v>0</v>
      </c>
      <c r="I627" s="1" t="str">
        <f>IFERROR(__xludf.DUMMYFUNCTION("""COMPUTED_VALUE"""),"Land of Spira")</f>
        <v>Land of Spira</v>
      </c>
    </row>
    <row r="628">
      <c r="A628" s="1" t="str">
        <f>IFERROR(__xludf.DUMMYFUNCTION("""COMPUTED_VALUE"""),"Mushroom")</f>
        <v>Mushroom</v>
      </c>
      <c r="B628" s="1" t="str">
        <f>IFERROR(__xludf.DUMMYFUNCTION("""COMPUTED_VALUE"""),"10 hunger, 25% chance of wandering away from the party.")</f>
        <v>10 hunger, 25% chance of wandering away from the party.</v>
      </c>
      <c r="C628" s="1" t="str">
        <f>IFERROR(__xludf.DUMMYFUNCTION("""COMPUTED_VALUE"""),"Crop")</f>
        <v>Crop</v>
      </c>
      <c r="D628" s="1"/>
      <c r="E628" s="1"/>
      <c r="F628" s="1"/>
      <c r="G628" s="1"/>
      <c r="H628" s="1" t="b">
        <f>IFERROR(__xludf.DUMMYFUNCTION("""COMPUTED_VALUE"""),FALSE)</f>
        <v>0</v>
      </c>
      <c r="I628" s="1" t="str">
        <f>IFERROR(__xludf.DUMMYFUNCTION("""COMPUTED_VALUE"""),"Land of Spira")</f>
        <v>Land of Spira</v>
      </c>
    </row>
    <row r="629">
      <c r="A629" s="1" t="str">
        <f>IFERROR(__xludf.DUMMYFUNCTION("""COMPUTED_VALUE"""),"Broccoli")</f>
        <v>Broccoli</v>
      </c>
      <c r="B629" s="1" t="str">
        <f>IFERROR(__xludf.DUMMYFUNCTION("""COMPUTED_VALUE"""),"5 hunger")</f>
        <v>5 hunger</v>
      </c>
      <c r="C629" s="1" t="str">
        <f>IFERROR(__xludf.DUMMYFUNCTION("""COMPUTED_VALUE"""),"Crop")</f>
        <v>Crop</v>
      </c>
      <c r="D629" s="1"/>
      <c r="E629" s="1"/>
      <c r="F629" s="1"/>
      <c r="G629" s="1"/>
      <c r="H629" s="1" t="b">
        <f>IFERROR(__xludf.DUMMYFUNCTION("""COMPUTED_VALUE"""),FALSE)</f>
        <v>0</v>
      </c>
      <c r="I629" s="1" t="str">
        <f>IFERROR(__xludf.DUMMYFUNCTION("""COMPUTED_VALUE"""),"Land of Spira")</f>
        <v>Land of Spira</v>
      </c>
    </row>
    <row r="630">
      <c r="A630" s="1" t="str">
        <f>IFERROR(__xludf.DUMMYFUNCTION("""COMPUTED_VALUE"""),"Cucumber")</f>
        <v>Cucumber</v>
      </c>
      <c r="B630" s="1" t="str">
        <f>IFERROR(__xludf.DUMMYFUNCTION("""COMPUTED_VALUE"""),"5 hunger")</f>
        <v>5 hunger</v>
      </c>
      <c r="C630" s="1" t="str">
        <f>IFERROR(__xludf.DUMMYFUNCTION("""COMPUTED_VALUE"""),"Crop")</f>
        <v>Crop</v>
      </c>
      <c r="D630" s="1"/>
      <c r="E630" s="1"/>
      <c r="F630" s="1"/>
      <c r="G630" s="1"/>
      <c r="H630" s="1" t="b">
        <f>IFERROR(__xludf.DUMMYFUNCTION("""COMPUTED_VALUE"""),FALSE)</f>
        <v>0</v>
      </c>
      <c r="I630" s="1" t="str">
        <f>IFERROR(__xludf.DUMMYFUNCTION("""COMPUTED_VALUE"""),"Land of Spira")</f>
        <v>Land of Spira</v>
      </c>
    </row>
    <row r="631">
      <c r="A631" s="1" t="str">
        <f>IFERROR(__xludf.DUMMYFUNCTION("""COMPUTED_VALUE"""),"Red Pepper/Red Bell Pepper")</f>
        <v>Red Pepper/Red Bell Pepper</v>
      </c>
      <c r="B631" s="1" t="str">
        <f>IFERROR(__xludf.DUMMYFUNCTION("""COMPUTED_VALUE"""),"5 hunger")</f>
        <v>5 hunger</v>
      </c>
      <c r="C631" s="1" t="str">
        <f>IFERROR(__xludf.DUMMYFUNCTION("""COMPUTED_VALUE"""),"Crop")</f>
        <v>Crop</v>
      </c>
      <c r="D631" s="1"/>
      <c r="E631" s="1"/>
      <c r="F631" s="1"/>
      <c r="G631" s="1"/>
      <c r="H631" s="1" t="b">
        <f>IFERROR(__xludf.DUMMYFUNCTION("""COMPUTED_VALUE"""),FALSE)</f>
        <v>0</v>
      </c>
      <c r="I631" s="1" t="str">
        <f>IFERROR(__xludf.DUMMYFUNCTION("""COMPUTED_VALUE"""),"Land of Spira")</f>
        <v>Land of Spira</v>
      </c>
    </row>
    <row r="632">
      <c r="A632" s="1" t="str">
        <f>IFERROR(__xludf.DUMMYFUNCTION("""COMPUTED_VALUE"""),"Tomato")</f>
        <v>Tomato</v>
      </c>
      <c r="B632" s="1" t="str">
        <f>IFERROR(__xludf.DUMMYFUNCTION("""COMPUTED_VALUE"""),"5 hunger and thirst")</f>
        <v>5 hunger and thirst</v>
      </c>
      <c r="C632" s="1" t="str">
        <f>IFERROR(__xludf.DUMMYFUNCTION("""COMPUTED_VALUE"""),"Crop")</f>
        <v>Crop</v>
      </c>
      <c r="D632" s="1"/>
      <c r="E632" s="1"/>
      <c r="F632" s="1"/>
      <c r="G632" s="1"/>
      <c r="H632" s="1" t="b">
        <f>IFERROR(__xludf.DUMMYFUNCTION("""COMPUTED_VALUE"""),FALSE)</f>
        <v>0</v>
      </c>
      <c r="I632" s="1" t="str">
        <f>IFERROR(__xludf.DUMMYFUNCTION("""COMPUTED_VALUE"""),"Land of Spira")</f>
        <v>Land of Spira</v>
      </c>
    </row>
    <row r="633">
      <c r="A633" s="1" t="str">
        <f>IFERROR(__xludf.DUMMYFUNCTION("""COMPUTED_VALUE"""),"Carrot")</f>
        <v>Carrot</v>
      </c>
      <c r="B633" s="1" t="str">
        <f>IFERROR(__xludf.DUMMYFUNCTION("""COMPUTED_VALUE"""),"5 hunger")</f>
        <v>5 hunger</v>
      </c>
      <c r="C633" s="1" t="str">
        <f>IFERROR(__xludf.DUMMYFUNCTION("""COMPUTED_VALUE"""),"Crop")</f>
        <v>Crop</v>
      </c>
      <c r="D633" s="1"/>
      <c r="E633" s="1"/>
      <c r="F633" s="1"/>
      <c r="G633" s="1"/>
      <c r="H633" s="1" t="b">
        <f>IFERROR(__xludf.DUMMYFUNCTION("""COMPUTED_VALUE"""),FALSE)</f>
        <v>0</v>
      </c>
      <c r="I633" s="1" t="str">
        <f>IFERROR(__xludf.DUMMYFUNCTION("""COMPUTED_VALUE"""),"Land of Spira")</f>
        <v>Land of Spira</v>
      </c>
    </row>
    <row r="634">
      <c r="A634" s="1" t="str">
        <f>IFERROR(__xludf.DUMMYFUNCTION("""COMPUTED_VALUE"""),"Brussels Sprout")</f>
        <v>Brussels Sprout</v>
      </c>
      <c r="B634" s="1" t="str">
        <f>IFERROR(__xludf.DUMMYFUNCTION("""COMPUTED_VALUE"""),"5 hunger")</f>
        <v>5 hunger</v>
      </c>
      <c r="C634" s="1" t="str">
        <f>IFERROR(__xludf.DUMMYFUNCTION("""COMPUTED_VALUE"""),"Crop")</f>
        <v>Crop</v>
      </c>
      <c r="D634" s="1"/>
      <c r="E634" s="1"/>
      <c r="F634" s="1"/>
      <c r="G634" s="1"/>
      <c r="H634" s="1" t="b">
        <f>IFERROR(__xludf.DUMMYFUNCTION("""COMPUTED_VALUE"""),FALSE)</f>
        <v>0</v>
      </c>
      <c r="I634" s="1" t="str">
        <f>IFERROR(__xludf.DUMMYFUNCTION("""COMPUTED_VALUE"""),"Land of Spira")</f>
        <v>Land of Spira</v>
      </c>
    </row>
    <row r="635">
      <c r="A635" s="1" t="str">
        <f>IFERROR(__xludf.DUMMYFUNCTION("""COMPUTED_VALUE"""),"Cabbage")</f>
        <v>Cabbage</v>
      </c>
      <c r="B635" s="1" t="str">
        <f>IFERROR(__xludf.DUMMYFUNCTION("""COMPUTED_VALUE"""),"10 hunger")</f>
        <v>10 hunger</v>
      </c>
      <c r="C635" s="1" t="str">
        <f>IFERROR(__xludf.DUMMYFUNCTION("""COMPUTED_VALUE"""),"Crop")</f>
        <v>Crop</v>
      </c>
      <c r="D635" s="1"/>
      <c r="E635" s="1"/>
      <c r="F635" s="1"/>
      <c r="G635" s="1"/>
      <c r="H635" s="1" t="b">
        <f>IFERROR(__xludf.DUMMYFUNCTION("""COMPUTED_VALUE"""),FALSE)</f>
        <v>0</v>
      </c>
      <c r="I635" s="1" t="str">
        <f>IFERROR(__xludf.DUMMYFUNCTION("""COMPUTED_VALUE"""),"Land of Spira")</f>
        <v>Land of Spira</v>
      </c>
    </row>
    <row r="636">
      <c r="A636" s="1" t="str">
        <f>IFERROR(__xludf.DUMMYFUNCTION("""COMPUTED_VALUE"""),"Potato")</f>
        <v>Potato</v>
      </c>
      <c r="B636" s="1" t="str">
        <f>IFERROR(__xludf.DUMMYFUNCTION("""COMPUTED_VALUE"""),"5 hunger")</f>
        <v>5 hunger</v>
      </c>
      <c r="C636" s="1" t="str">
        <f>IFERROR(__xludf.DUMMYFUNCTION("""COMPUTED_VALUE"""),"Crop")</f>
        <v>Crop</v>
      </c>
      <c r="D636" s="1"/>
      <c r="E636" s="1"/>
      <c r="F636" s="1"/>
      <c r="G636" s="1"/>
      <c r="H636" s="1" t="b">
        <f>IFERROR(__xludf.DUMMYFUNCTION("""COMPUTED_VALUE"""),FALSE)</f>
        <v>0</v>
      </c>
      <c r="I636" s="1" t="str">
        <f>IFERROR(__xludf.DUMMYFUNCTION("""COMPUTED_VALUE"""),"Land of Spira")</f>
        <v>Land of Spira</v>
      </c>
    </row>
    <row r="637">
      <c r="A637" s="1" t="str">
        <f>IFERROR(__xludf.DUMMYFUNCTION("""COMPUTED_VALUE"""),"Eggplant")</f>
        <v>Eggplant</v>
      </c>
      <c r="B637" s="1" t="str">
        <f>IFERROR(__xludf.DUMMYFUNCTION("""COMPUTED_VALUE"""),"10 hunger")</f>
        <v>10 hunger</v>
      </c>
      <c r="C637" s="1" t="str">
        <f>IFERROR(__xludf.DUMMYFUNCTION("""COMPUTED_VALUE"""),"Crop")</f>
        <v>Crop</v>
      </c>
      <c r="D637" s="1"/>
      <c r="E637" s="1"/>
      <c r="F637" s="1"/>
      <c r="G637" s="1"/>
      <c r="H637" s="1" t="b">
        <f>IFERROR(__xludf.DUMMYFUNCTION("""COMPUTED_VALUE"""),FALSE)</f>
        <v>0</v>
      </c>
      <c r="I637" s="1" t="str">
        <f>IFERROR(__xludf.DUMMYFUNCTION("""COMPUTED_VALUE"""),"Land of Spira")</f>
        <v>Land of Spira</v>
      </c>
    </row>
    <row r="638">
      <c r="A638" s="1" t="str">
        <f>IFERROR(__xludf.DUMMYFUNCTION("""COMPUTED_VALUE"""),"Sweet Potato")</f>
        <v>Sweet Potato</v>
      </c>
      <c r="B638" s="1" t="str">
        <f>IFERROR(__xludf.DUMMYFUNCTION("""COMPUTED_VALUE"""),"5 hunger")</f>
        <v>5 hunger</v>
      </c>
      <c r="C638" s="1" t="str">
        <f>IFERROR(__xludf.DUMMYFUNCTION("""COMPUTED_VALUE"""),"Crop")</f>
        <v>Crop</v>
      </c>
      <c r="D638" s="1"/>
      <c r="E638" s="1"/>
      <c r="F638" s="1"/>
      <c r="G638" s="1"/>
      <c r="H638" s="1" t="b">
        <f>IFERROR(__xludf.DUMMYFUNCTION("""COMPUTED_VALUE"""),FALSE)</f>
        <v>0</v>
      </c>
      <c r="I638" s="1" t="str">
        <f>IFERROR(__xludf.DUMMYFUNCTION("""COMPUTED_VALUE"""),"Land of Spira")</f>
        <v>Land of Spira</v>
      </c>
    </row>
    <row r="639">
      <c r="A639" s="1" t="str">
        <f>IFERROR(__xludf.DUMMYFUNCTION("""COMPUTED_VALUE"""),"Turnip")</f>
        <v>Turnip</v>
      </c>
      <c r="B639" s="1" t="str">
        <f>IFERROR(__xludf.DUMMYFUNCTION("""COMPUTED_VALUE"""),"5 hunger")</f>
        <v>5 hunger</v>
      </c>
      <c r="C639" s="1" t="str">
        <f>IFERROR(__xludf.DUMMYFUNCTION("""COMPUTED_VALUE"""),"Crop")</f>
        <v>Crop</v>
      </c>
      <c r="D639" s="1"/>
      <c r="E639" s="1"/>
      <c r="F639" s="1"/>
      <c r="G639" s="1"/>
      <c r="H639" s="1" t="b">
        <f>IFERROR(__xludf.DUMMYFUNCTION("""COMPUTED_VALUE"""),FALSE)</f>
        <v>0</v>
      </c>
      <c r="I639" s="1" t="str">
        <f>IFERROR(__xludf.DUMMYFUNCTION("""COMPUTED_VALUE"""),"Land of Spira")</f>
        <v>Land of Spira</v>
      </c>
    </row>
    <row r="640">
      <c r="A640" s="1" t="str">
        <f>IFERROR(__xludf.DUMMYFUNCTION("""COMPUTED_VALUE"""),"Green Chilli")</f>
        <v>Green Chilli</v>
      </c>
      <c r="B640" s="1" t="str">
        <f>IFERROR(__xludf.DUMMYFUNCTION("""COMPUTED_VALUE"""),"5 hunger")</f>
        <v>5 hunger</v>
      </c>
      <c r="C640" s="1" t="str">
        <f>IFERROR(__xludf.DUMMYFUNCTION("""COMPUTED_VALUE"""),"Crop")</f>
        <v>Crop</v>
      </c>
      <c r="D640" s="1"/>
      <c r="E640" s="1"/>
      <c r="F640" s="1"/>
      <c r="G640" s="1"/>
      <c r="H640" s="1" t="b">
        <f>IFERROR(__xludf.DUMMYFUNCTION("""COMPUTED_VALUE"""),FALSE)</f>
        <v>0</v>
      </c>
      <c r="I640" s="1" t="str">
        <f>IFERROR(__xludf.DUMMYFUNCTION("""COMPUTED_VALUE"""),"Land of Spira")</f>
        <v>Land of Spira</v>
      </c>
    </row>
    <row r="641">
      <c r="A641" s="1" t="str">
        <f>IFERROR(__xludf.DUMMYFUNCTION("""COMPUTED_VALUE"""),"Onion")</f>
        <v>Onion</v>
      </c>
      <c r="B641" s="1" t="str">
        <f>IFERROR(__xludf.DUMMYFUNCTION("""COMPUTED_VALUE"""),"5 hunger, 50% Blindness 3 during the next battle.")</f>
        <v>5 hunger, 50% Blindness 3 during the next battle.</v>
      </c>
      <c r="C641" s="1" t="str">
        <f>IFERROR(__xludf.DUMMYFUNCTION("""COMPUTED_VALUE"""),"Crop")</f>
        <v>Crop</v>
      </c>
      <c r="D641" s="1"/>
      <c r="E641" s="1"/>
      <c r="F641" s="1"/>
      <c r="G641" s="1"/>
      <c r="H641" s="1" t="b">
        <f>IFERROR(__xludf.DUMMYFUNCTION("""COMPUTED_VALUE"""),FALSE)</f>
        <v>0</v>
      </c>
      <c r="I641" s="1" t="str">
        <f>IFERROR(__xludf.DUMMYFUNCTION("""COMPUTED_VALUE"""),"Land of Spira")</f>
        <v>Land of Spira</v>
      </c>
    </row>
    <row r="642">
      <c r="A642" s="1" t="str">
        <f>IFERROR(__xludf.DUMMYFUNCTION("""COMPUTED_VALUE"""),"Lettuce")</f>
        <v>Lettuce</v>
      </c>
      <c r="B642" s="1" t="str">
        <f>IFERROR(__xludf.DUMMYFUNCTION("""COMPUTED_VALUE"""),"5 hunger")</f>
        <v>5 hunger</v>
      </c>
      <c r="C642" s="1" t="str">
        <f>IFERROR(__xludf.DUMMYFUNCTION("""COMPUTED_VALUE"""),"Crop")</f>
        <v>Crop</v>
      </c>
      <c r="D642" s="1"/>
      <c r="E642" s="1"/>
      <c r="F642" s="1"/>
      <c r="G642" s="1"/>
      <c r="H642" s="1" t="b">
        <f>IFERROR(__xludf.DUMMYFUNCTION("""COMPUTED_VALUE"""),FALSE)</f>
        <v>0</v>
      </c>
      <c r="I642" s="1" t="str">
        <f>IFERROR(__xludf.DUMMYFUNCTION("""COMPUTED_VALUE"""),"Land of Spira")</f>
        <v>Land of Spira</v>
      </c>
    </row>
    <row r="643">
      <c r="A643" s="1" t="str">
        <f>IFERROR(__xludf.DUMMYFUNCTION("""COMPUTED_VALUE"""),"Radish")</f>
        <v>Radish</v>
      </c>
      <c r="B643" s="1" t="str">
        <f>IFERROR(__xludf.DUMMYFUNCTION("""COMPUTED_VALUE"""),"5 hunger")</f>
        <v>5 hunger</v>
      </c>
      <c r="C643" s="1" t="str">
        <f>IFERROR(__xludf.DUMMYFUNCTION("""COMPUTED_VALUE"""),"Crop")</f>
        <v>Crop</v>
      </c>
      <c r="D643" s="1"/>
      <c r="E643" s="1"/>
      <c r="F643" s="1"/>
      <c r="G643" s="1"/>
      <c r="H643" s="1" t="b">
        <f>IFERROR(__xludf.DUMMYFUNCTION("""COMPUTED_VALUE"""),FALSE)</f>
        <v>0</v>
      </c>
      <c r="I643" s="1" t="str">
        <f>IFERROR(__xludf.DUMMYFUNCTION("""COMPUTED_VALUE"""),"Land of Spira")</f>
        <v>Land of Spira</v>
      </c>
    </row>
    <row r="644">
      <c r="A644" s="1" t="str">
        <f>IFERROR(__xludf.DUMMYFUNCTION("""COMPUTED_VALUE"""),"Peas")</f>
        <v>Peas</v>
      </c>
      <c r="B644" s="1" t="str">
        <f>IFERROR(__xludf.DUMMYFUNCTION("""COMPUTED_VALUE"""),"5 hunger")</f>
        <v>5 hunger</v>
      </c>
      <c r="C644" s="1" t="str">
        <f>IFERROR(__xludf.DUMMYFUNCTION("""COMPUTED_VALUE"""),"Crop")</f>
        <v>Crop</v>
      </c>
      <c r="D644" s="1"/>
      <c r="E644" s="1"/>
      <c r="F644" s="1"/>
      <c r="G644" s="1"/>
      <c r="H644" s="1" t="b">
        <f>IFERROR(__xludf.DUMMYFUNCTION("""COMPUTED_VALUE"""),FALSE)</f>
        <v>0</v>
      </c>
      <c r="I644" s="1" t="str">
        <f>IFERROR(__xludf.DUMMYFUNCTION("""COMPUTED_VALUE"""),"Land of Spira")</f>
        <v>Land of Spira</v>
      </c>
    </row>
    <row r="645">
      <c r="A645" s="1" t="str">
        <f>IFERROR(__xludf.DUMMYFUNCTION("""COMPUTED_VALUE"""),"Asparagus")</f>
        <v>Asparagus</v>
      </c>
      <c r="B645" s="1" t="str">
        <f>IFERROR(__xludf.DUMMYFUNCTION("""COMPUTED_VALUE"""),"5 hunger")</f>
        <v>5 hunger</v>
      </c>
      <c r="C645" s="1" t="str">
        <f>IFERROR(__xludf.DUMMYFUNCTION("""COMPUTED_VALUE"""),"Crop")</f>
        <v>Crop</v>
      </c>
      <c r="D645" s="1"/>
      <c r="E645" s="1"/>
      <c r="F645" s="1"/>
      <c r="G645" s="1"/>
      <c r="H645" s="1" t="b">
        <f>IFERROR(__xludf.DUMMYFUNCTION("""COMPUTED_VALUE"""),FALSE)</f>
        <v>0</v>
      </c>
      <c r="I645" s="1" t="str">
        <f>IFERROR(__xludf.DUMMYFUNCTION("""COMPUTED_VALUE"""),"Land of Spira")</f>
        <v>Land of Spira</v>
      </c>
    </row>
    <row r="646">
      <c r="A646" s="1" t="str">
        <f>IFERROR(__xludf.DUMMYFUNCTION("""COMPUTED_VALUE"""),"Celery")</f>
        <v>Celery</v>
      </c>
      <c r="B646" s="1" t="str">
        <f>IFERROR(__xludf.DUMMYFUNCTION("""COMPUTED_VALUE"""),"5 hunger")</f>
        <v>5 hunger</v>
      </c>
      <c r="C646" s="1" t="str">
        <f>IFERROR(__xludf.DUMMYFUNCTION("""COMPUTED_VALUE"""),"Crop")</f>
        <v>Crop</v>
      </c>
      <c r="D646" s="1"/>
      <c r="E646" s="1"/>
      <c r="F646" s="1"/>
      <c r="G646" s="1"/>
      <c r="H646" s="1" t="b">
        <f>IFERROR(__xludf.DUMMYFUNCTION("""COMPUTED_VALUE"""),FALSE)</f>
        <v>0</v>
      </c>
      <c r="I646" s="1" t="str">
        <f>IFERROR(__xludf.DUMMYFUNCTION("""COMPUTED_VALUE"""),"Land of Spira")</f>
        <v>Land of Spira</v>
      </c>
    </row>
    <row r="647">
      <c r="A647" s="1" t="str">
        <f>IFERROR(__xludf.DUMMYFUNCTION("""COMPUTED_VALUE"""),"Green Pepper")</f>
        <v>Green Pepper</v>
      </c>
      <c r="B647" s="1" t="str">
        <f>IFERROR(__xludf.DUMMYFUNCTION("""COMPUTED_VALUE"""),"5 hunger")</f>
        <v>5 hunger</v>
      </c>
      <c r="C647" s="1" t="str">
        <f>IFERROR(__xludf.DUMMYFUNCTION("""COMPUTED_VALUE"""),"Crop")</f>
        <v>Crop</v>
      </c>
      <c r="D647" s="1"/>
      <c r="E647" s="1"/>
      <c r="F647" s="1"/>
      <c r="G647" s="1"/>
      <c r="H647" s="1" t="b">
        <f>IFERROR(__xludf.DUMMYFUNCTION("""COMPUTED_VALUE"""),FALSE)</f>
        <v>0</v>
      </c>
      <c r="I647" s="1" t="str">
        <f>IFERROR(__xludf.DUMMYFUNCTION("""COMPUTED_VALUE"""),"Land of Spira")</f>
        <v>Land of Spira</v>
      </c>
    </row>
    <row r="648">
      <c r="A648" s="1" t="str">
        <f>IFERROR(__xludf.DUMMYFUNCTION("""COMPUTED_VALUE"""),"French Beans")</f>
        <v>French Beans</v>
      </c>
      <c r="B648" s="1" t="str">
        <f>IFERROR(__xludf.DUMMYFUNCTION("""COMPUTED_VALUE"""),"5 hunger")</f>
        <v>5 hunger</v>
      </c>
      <c r="C648" s="1" t="str">
        <f>IFERROR(__xludf.DUMMYFUNCTION("""COMPUTED_VALUE"""),"Crop")</f>
        <v>Crop</v>
      </c>
      <c r="D648" s="1"/>
      <c r="E648" s="1"/>
      <c r="F648" s="1"/>
      <c r="G648" s="1"/>
      <c r="H648" s="1" t="b">
        <f>IFERROR(__xludf.DUMMYFUNCTION("""COMPUTED_VALUE"""),FALSE)</f>
        <v>0</v>
      </c>
      <c r="I648" s="1" t="str">
        <f>IFERROR(__xludf.DUMMYFUNCTION("""COMPUTED_VALUE"""),"Land of Spira")</f>
        <v>Land of Spira</v>
      </c>
    </row>
    <row r="649">
      <c r="A649" s="1" t="str">
        <f>IFERROR(__xludf.DUMMYFUNCTION("""COMPUTED_VALUE"""),"Spinach")</f>
        <v>Spinach</v>
      </c>
      <c r="B649" s="1" t="str">
        <f>IFERROR(__xludf.DUMMYFUNCTION("""COMPUTED_VALUE"""),"5 hunger")</f>
        <v>5 hunger</v>
      </c>
      <c r="C649" s="1" t="str">
        <f>IFERROR(__xludf.DUMMYFUNCTION("""COMPUTED_VALUE"""),"Crop")</f>
        <v>Crop</v>
      </c>
      <c r="D649" s="1"/>
      <c r="E649" s="1"/>
      <c r="F649" s="1"/>
      <c r="G649" s="1"/>
      <c r="H649" s="1" t="b">
        <f>IFERROR(__xludf.DUMMYFUNCTION("""COMPUTED_VALUE"""),FALSE)</f>
        <v>0</v>
      </c>
      <c r="I649" s="1" t="str">
        <f>IFERROR(__xludf.DUMMYFUNCTION("""COMPUTED_VALUE"""),"Land of Spira")</f>
        <v>Land of Spira</v>
      </c>
    </row>
    <row r="650">
      <c r="A650" s="1" t="str">
        <f>IFERROR(__xludf.DUMMYFUNCTION("""COMPUTED_VALUE"""),"Beetroot")</f>
        <v>Beetroot</v>
      </c>
      <c r="B650" s="1" t="str">
        <f>IFERROR(__xludf.DUMMYFUNCTION("""COMPUTED_VALUE"""),"5 hunger")</f>
        <v>5 hunger</v>
      </c>
      <c r="C650" s="1" t="str">
        <f>IFERROR(__xludf.DUMMYFUNCTION("""COMPUTED_VALUE"""),"Crop")</f>
        <v>Crop</v>
      </c>
      <c r="D650" s="1"/>
      <c r="E650" s="1"/>
      <c r="F650" s="1"/>
      <c r="G650" s="1"/>
      <c r="H650" s="1" t="b">
        <f>IFERROR(__xludf.DUMMYFUNCTION("""COMPUTED_VALUE"""),FALSE)</f>
        <v>0</v>
      </c>
      <c r="I650" s="1" t="str">
        <f>IFERROR(__xludf.DUMMYFUNCTION("""COMPUTED_VALUE"""),"Land of Spira")</f>
        <v>Land of Spira</v>
      </c>
    </row>
    <row r="651">
      <c r="A651" s="1" t="str">
        <f>IFERROR(__xludf.DUMMYFUNCTION("""COMPUTED_VALUE"""),"Red Chili Peppers ")</f>
        <v>Red Chili Peppers </v>
      </c>
      <c r="B651" s="1" t="str">
        <f>IFERROR(__xludf.DUMMYFUNCTION("""COMPUTED_VALUE"""),"5 hunger")</f>
        <v>5 hunger</v>
      </c>
      <c r="C651" s="1" t="str">
        <f>IFERROR(__xludf.DUMMYFUNCTION("""COMPUTED_VALUE"""),"Crop")</f>
        <v>Crop</v>
      </c>
      <c r="D651" s="1"/>
      <c r="E651" s="1"/>
      <c r="F651" s="1"/>
      <c r="G651" s="1"/>
      <c r="H651" s="1" t="b">
        <f>IFERROR(__xludf.DUMMYFUNCTION("""COMPUTED_VALUE"""),FALSE)</f>
        <v>0</v>
      </c>
      <c r="I651" s="1" t="str">
        <f>IFERROR(__xludf.DUMMYFUNCTION("""COMPUTED_VALUE"""),"Land of Spira")</f>
        <v>Land of Spira</v>
      </c>
    </row>
    <row r="652">
      <c r="A652" s="1" t="str">
        <f>IFERROR(__xludf.DUMMYFUNCTION("""COMPUTED_VALUE"""),"Dragon Flute")</f>
        <v>Dragon Flute</v>
      </c>
      <c r="B652" s="1" t="str">
        <f>IFERROR(__xludf.DUMMYFUNCTION("""COMPUTED_VALUE"""),"Summons 1 of the following dragons with a d4 roll: Fire Dragon, Poison Dragon, Storm Dragon, Ancient Water Dragon (Can only be used once) (Level determined by dm/gm)")</f>
        <v>Summons 1 of the following dragons with a d4 roll: Fire Dragon, Poison Dragon, Storm Dragon, Ancient Water Dragon (Can only be used once) (Level determined by dm/gm)</v>
      </c>
      <c r="C652" s="1" t="str">
        <f>IFERROR(__xludf.DUMMYFUNCTION("""COMPUTED_VALUE"""),"Item")</f>
        <v>Item</v>
      </c>
      <c r="D652" s="1"/>
      <c r="E652" s="1"/>
      <c r="F652" s="1"/>
      <c r="G652" s="1"/>
      <c r="H652" s="1" t="b">
        <f>IFERROR(__xludf.DUMMYFUNCTION("""COMPUTED_VALUE"""),FALSE)</f>
        <v>0</v>
      </c>
      <c r="I652" s="1" t="str">
        <f>IFERROR(__xludf.DUMMYFUNCTION("""COMPUTED_VALUE"""),"Land of Spira")</f>
        <v>Land of Spira</v>
      </c>
    </row>
    <row r="653">
      <c r="A653" s="1" t="str">
        <f>IFERROR(__xludf.DUMMYFUNCTION("""COMPUTED_VALUE"""),"Crystal Apple")</f>
        <v>Crystal Apple</v>
      </c>
      <c r="B653" s="1" t="str">
        <f>IFERROR(__xludf.DUMMYFUNCTION("""COMPUTED_VALUE"""),"When consumed X2 additional Damage towards the users weapons. (Can only use 1 per battle)")</f>
        <v>When consumed X2 additional Damage towards the users weapons. (Can only use 1 per battle)</v>
      </c>
      <c r="C653" s="1" t="str">
        <f>IFERROR(__xludf.DUMMYFUNCTION("""COMPUTED_VALUE"""),"Item")</f>
        <v>Item</v>
      </c>
      <c r="D653" s="1"/>
      <c r="E653" s="1"/>
      <c r="F653" s="1"/>
      <c r="G653" s="1"/>
      <c r="H653" s="1" t="b">
        <f>IFERROR(__xludf.DUMMYFUNCTION("""COMPUTED_VALUE"""),FALSE)</f>
        <v>0</v>
      </c>
      <c r="I653" s="1" t="str">
        <f>IFERROR(__xludf.DUMMYFUNCTION("""COMPUTED_VALUE"""),"Land of Spira")</f>
        <v>Land of Spira</v>
      </c>
    </row>
    <row r="654">
      <c r="A654" s="1" t="str">
        <f>IFERROR(__xludf.DUMMYFUNCTION("""COMPUTED_VALUE"""),"Dark Crystal Shard")</f>
        <v>Dark Crystal Shard</v>
      </c>
      <c r="B654" s="1" t="str">
        <f>IFERROR(__xludf.DUMMYFUNCTION("""COMPUTED_VALUE"""),"Quest item, Crafting Material, roll a d20 to see how many you get if this is a loot drop.")</f>
        <v>Quest item, Crafting Material, roll a d20 to see how many you get if this is a loot drop.</v>
      </c>
      <c r="C654" s="1" t="str">
        <f>IFERROR(__xludf.DUMMYFUNCTION("""COMPUTED_VALUE"""),"Item")</f>
        <v>Item</v>
      </c>
      <c r="D654" s="1"/>
      <c r="E654" s="1"/>
      <c r="F654" s="1"/>
      <c r="G654" s="1"/>
      <c r="H654" s="1" t="b">
        <f>IFERROR(__xludf.DUMMYFUNCTION("""COMPUTED_VALUE"""),FALSE)</f>
        <v>0</v>
      </c>
      <c r="I654" s="1" t="str">
        <f>IFERROR(__xludf.DUMMYFUNCTION("""COMPUTED_VALUE"""),"Land of Spira")</f>
        <v>Land of Spira</v>
      </c>
    </row>
    <row r="655">
      <c r="A655" s="1" t="str">
        <f>IFERROR(__xludf.DUMMYFUNCTION("""COMPUTED_VALUE"""),"Small Fuel Canister")</f>
        <v>Small Fuel Canister</v>
      </c>
      <c r="B655" s="1" t="str">
        <f>IFERROR(__xludf.DUMMYFUNCTION("""COMPUTED_VALUE"""),"Restores 100 Fuel")</f>
        <v>Restores 100 Fuel</v>
      </c>
      <c r="C655" s="1" t="str">
        <f>IFERROR(__xludf.DUMMYFUNCTION("""COMPUTED_VALUE"""),"Item")</f>
        <v>Item</v>
      </c>
      <c r="D655" s="1"/>
      <c r="E655" s="1"/>
      <c r="F655" s="1"/>
      <c r="G655" s="1"/>
      <c r="H655" s="1" t="b">
        <f>IFERROR(__xludf.DUMMYFUNCTION("""COMPUTED_VALUE"""),FALSE)</f>
        <v>0</v>
      </c>
      <c r="I655" s="1" t="str">
        <f>IFERROR(__xludf.DUMMYFUNCTION("""COMPUTED_VALUE"""),"Land of Spira")</f>
        <v>Land of Spira</v>
      </c>
    </row>
    <row r="656">
      <c r="A656" s="1" t="str">
        <f>IFERROR(__xludf.DUMMYFUNCTION("""COMPUTED_VALUE"""),"Medium Fuel Canister")</f>
        <v>Medium Fuel Canister</v>
      </c>
      <c r="B656" s="1" t="str">
        <f>IFERROR(__xludf.DUMMYFUNCTION("""COMPUTED_VALUE"""),"Restores 250 Fuel")</f>
        <v>Restores 250 Fuel</v>
      </c>
      <c r="C656" s="1" t="str">
        <f>IFERROR(__xludf.DUMMYFUNCTION("""COMPUTED_VALUE"""),"Item")</f>
        <v>Item</v>
      </c>
      <c r="D656" s="1"/>
      <c r="E656" s="1"/>
      <c r="F656" s="1"/>
      <c r="G656" s="1"/>
      <c r="H656" s="1" t="b">
        <f>IFERROR(__xludf.DUMMYFUNCTION("""COMPUTED_VALUE"""),FALSE)</f>
        <v>0</v>
      </c>
      <c r="I656" s="1" t="str">
        <f>IFERROR(__xludf.DUMMYFUNCTION("""COMPUTED_VALUE"""),"Land of Spira")</f>
        <v>Land of Spira</v>
      </c>
    </row>
    <row r="657">
      <c r="A657" s="1" t="str">
        <f>IFERROR(__xludf.DUMMYFUNCTION("""COMPUTED_VALUE"""),"Large Fuel Canister")</f>
        <v>Large Fuel Canister</v>
      </c>
      <c r="B657" s="1" t="str">
        <f>IFERROR(__xludf.DUMMYFUNCTION("""COMPUTED_VALUE"""),"Restores 500 Fuel")</f>
        <v>Restores 500 Fuel</v>
      </c>
      <c r="C657" s="1" t="str">
        <f>IFERROR(__xludf.DUMMYFUNCTION("""COMPUTED_VALUE"""),"Item")</f>
        <v>Item</v>
      </c>
      <c r="D657" s="1"/>
      <c r="E657" s="1"/>
      <c r="F657" s="1"/>
      <c r="G657" s="1"/>
      <c r="H657" s="1" t="b">
        <f>IFERROR(__xludf.DUMMYFUNCTION("""COMPUTED_VALUE"""),FALSE)</f>
        <v>0</v>
      </c>
      <c r="I657" s="1" t="str">
        <f>IFERROR(__xludf.DUMMYFUNCTION("""COMPUTED_VALUE"""),"Land of Spira")</f>
        <v>Land of Spira</v>
      </c>
    </row>
    <row r="658">
      <c r="A658" s="1" t="str">
        <f>IFERROR(__xludf.DUMMYFUNCTION("""COMPUTED_VALUE"""),"Letter from the Lord of Spira")</f>
        <v>Letter from the Lord of Spira</v>
      </c>
      <c r="B658" s="1" t="str">
        <f>IFERROR(__xludf.DUMMYFUNCTION("""COMPUTED_VALUE"""),"Absolved from all crimes whitin The Land of Spira. Can only be used once, Cannot be duplicated")</f>
        <v>Absolved from all crimes whitin The Land of Spira. Can only be used once, Cannot be duplicated</v>
      </c>
      <c r="C658" s="1" t="str">
        <f>IFERROR(__xludf.DUMMYFUNCTION("""COMPUTED_VALUE"""),"Item")</f>
        <v>Item</v>
      </c>
      <c r="D658" s="1"/>
      <c r="E658" s="1"/>
      <c r="F658" s="1"/>
      <c r="G658" s="1"/>
      <c r="H658" s="1" t="b">
        <f>IFERROR(__xludf.DUMMYFUNCTION("""COMPUTED_VALUE"""),FALSE)</f>
        <v>0</v>
      </c>
      <c r="I658" s="1" t="str">
        <f>IFERROR(__xludf.DUMMYFUNCTION("""COMPUTED_VALUE"""),"Land of Spira")</f>
        <v>Land of Spira</v>
      </c>
    </row>
    <row r="659">
      <c r="A659" s="1" t="str">
        <f>IFERROR(__xludf.DUMMYFUNCTION("""COMPUTED_VALUE"""),"Ancient Stone Medallion")</f>
        <v>Ancient Stone Medallion</v>
      </c>
      <c r="B659" s="1" t="str">
        <f>IFERROR(__xludf.DUMMYFUNCTION("""COMPUTED_VALUE"""),"Allows access to the Ruins of Mana.")</f>
        <v>Allows access to the Ruins of Mana.</v>
      </c>
      <c r="C659" s="1" t="str">
        <f>IFERROR(__xludf.DUMMYFUNCTION("""COMPUTED_VALUE"""),"Item")</f>
        <v>Item</v>
      </c>
      <c r="D659" s="1"/>
      <c r="E659" s="1"/>
      <c r="F659" s="1"/>
      <c r="G659" s="1"/>
      <c r="H659" s="1" t="b">
        <f>IFERROR(__xludf.DUMMYFUNCTION("""COMPUTED_VALUE"""),FALSE)</f>
        <v>0</v>
      </c>
      <c r="I659" s="1" t="str">
        <f>IFERROR(__xludf.DUMMYFUNCTION("""COMPUTED_VALUE"""),"Land of Spira")</f>
        <v>Land of Spira</v>
      </c>
    </row>
    <row r="660">
      <c r="A660" s="1" t="str">
        <f>IFERROR(__xludf.DUMMYFUNCTION("""COMPUTED_VALUE"""),"Vial of Unknown Liquid")</f>
        <v>Vial of Unknown Liquid</v>
      </c>
      <c r="B660" s="1" t="str">
        <f>IFERROR(__xludf.DUMMYFUNCTION("""COMPUTED_VALUE"""),"When consumed, roll a d20. For the next 3 rounds, lose the result d20x100 health and gain the result d20x500SP.")</f>
        <v>When consumed, roll a d20. For the next 3 rounds, lose the result d20x100 health and gain the result d20x500SP.</v>
      </c>
      <c r="C660" s="1" t="str">
        <f>IFERROR(__xludf.DUMMYFUNCTION("""COMPUTED_VALUE"""),"Item")</f>
        <v>Item</v>
      </c>
      <c r="D660" s="1"/>
      <c r="E660" s="1"/>
      <c r="F660" s="1"/>
      <c r="G660" s="1"/>
      <c r="H660" s="1" t="b">
        <f>IFERROR(__xludf.DUMMYFUNCTION("""COMPUTED_VALUE"""),FALSE)</f>
        <v>0</v>
      </c>
      <c r="I660" s="1" t="str">
        <f>IFERROR(__xludf.DUMMYFUNCTION("""COMPUTED_VALUE"""),"Land of Spira")</f>
        <v>Land of Spira</v>
      </c>
    </row>
    <row r="661">
      <c r="A661" s="1" t="str">
        <f>IFERROR(__xludf.DUMMYFUNCTION("""COMPUTED_VALUE"""),"Diamond Fishing Pole ")</f>
        <v>Diamond Fishing Pole </v>
      </c>
      <c r="B661" s="1" t="str">
        <f>IFERROR(__xludf.DUMMYFUNCTION("""COMPUTED_VALUE"""),"100/100 Uses. Used for fishing.")</f>
        <v>100/100 Uses. Used for fishing.</v>
      </c>
      <c r="C661" s="1" t="str">
        <f>IFERROR(__xludf.DUMMYFUNCTION("""COMPUTED_VALUE"""),"Item")</f>
        <v>Item</v>
      </c>
      <c r="D661" s="1"/>
      <c r="E661" s="1"/>
      <c r="F661" s="1"/>
      <c r="G661" s="1"/>
      <c r="H661" s="1" t="b">
        <f>IFERROR(__xludf.DUMMYFUNCTION("""COMPUTED_VALUE"""),FALSE)</f>
        <v>0</v>
      </c>
      <c r="I661" s="1" t="str">
        <f>IFERROR(__xludf.DUMMYFUNCTION("""COMPUTED_VALUE"""),"Land of Spira")</f>
        <v>Land of Spira</v>
      </c>
    </row>
    <row r="662">
      <c r="A662" s="1" t="str">
        <f>IFERROR(__xludf.DUMMYFUNCTION("""COMPUTED_VALUE"""),"Obsidian Fishing Pole ")</f>
        <v>Obsidian Fishing Pole </v>
      </c>
      <c r="B662" s="1" t="str">
        <f>IFERROR(__xludf.DUMMYFUNCTION("""COMPUTED_VALUE"""),"120/120 Uses. Used for fishing.")</f>
        <v>120/120 Uses. Used for fishing.</v>
      </c>
      <c r="C662" s="1" t="str">
        <f>IFERROR(__xludf.DUMMYFUNCTION("""COMPUTED_VALUE"""),"Item")</f>
        <v>Item</v>
      </c>
      <c r="D662" s="1"/>
      <c r="E662" s="1"/>
      <c r="F662" s="1"/>
      <c r="G662" s="1"/>
      <c r="H662" s="1" t="b">
        <f>IFERROR(__xludf.DUMMYFUNCTION("""COMPUTED_VALUE"""),FALSE)</f>
        <v>0</v>
      </c>
      <c r="I662" s="1" t="str">
        <f>IFERROR(__xludf.DUMMYFUNCTION("""COMPUTED_VALUE"""),"Land of Spira")</f>
        <v>Land of Spira</v>
      </c>
    </row>
    <row r="663">
      <c r="A663" s="1" t="str">
        <f>IFERROR(__xludf.DUMMYFUNCTION("""COMPUTED_VALUE"""),"Golden Pickaxe")</f>
        <v>Golden Pickaxe</v>
      </c>
      <c r="B663" s="1" t="str">
        <f>IFERROR(__xludf.DUMMYFUNCTION("""COMPUTED_VALUE"""),"80/80 Uses. Used for mining.")</f>
        <v>80/80 Uses. Used for mining.</v>
      </c>
      <c r="C663" s="1" t="str">
        <f>IFERROR(__xludf.DUMMYFUNCTION("""COMPUTED_VALUE"""),"Item")</f>
        <v>Item</v>
      </c>
      <c r="D663" s="1"/>
      <c r="E663" s="1"/>
      <c r="F663" s="1"/>
      <c r="G663" s="1"/>
      <c r="H663" s="1" t="b">
        <f>IFERROR(__xludf.DUMMYFUNCTION("""COMPUTED_VALUE"""),FALSE)</f>
        <v>0</v>
      </c>
      <c r="I663" s="1" t="str">
        <f>IFERROR(__xludf.DUMMYFUNCTION("""COMPUTED_VALUE"""),"Land of Spira")</f>
        <v>Land of Spira</v>
      </c>
    </row>
    <row r="664">
      <c r="A664" s="1" t="str">
        <f>IFERROR(__xludf.DUMMYFUNCTION("""COMPUTED_VALUE"""),"Wooden Pickaxe")</f>
        <v>Wooden Pickaxe</v>
      </c>
      <c r="B664" s="1" t="str">
        <f>IFERROR(__xludf.DUMMYFUNCTION("""COMPUTED_VALUE"""),"10/10 Uses. Used for mining.")</f>
        <v>10/10 Uses. Used for mining.</v>
      </c>
      <c r="C664" s="1" t="str">
        <f>IFERROR(__xludf.DUMMYFUNCTION("""COMPUTED_VALUE"""),"Item")</f>
        <v>Item</v>
      </c>
      <c r="D664" s="1"/>
      <c r="E664" s="1"/>
      <c r="F664" s="1"/>
      <c r="G664" s="1"/>
      <c r="H664" s="1" t="b">
        <f>IFERROR(__xludf.DUMMYFUNCTION("""COMPUTED_VALUE"""),FALSE)</f>
        <v>0</v>
      </c>
      <c r="I664" s="1" t="str">
        <f>IFERROR(__xludf.DUMMYFUNCTION("""COMPUTED_VALUE"""),"Land of Spira")</f>
        <v>Land of Spira</v>
      </c>
    </row>
    <row r="665">
      <c r="A665" s="1" t="str">
        <f>IFERROR(__xludf.DUMMYFUNCTION("""COMPUTED_VALUE"""),"Iron Pickaxe")</f>
        <v>Iron Pickaxe</v>
      </c>
      <c r="B665" s="1" t="str">
        <f>IFERROR(__xludf.DUMMYFUNCTION("""COMPUTED_VALUE"""),"20/20 Uses. Used for mining.")</f>
        <v>20/20 Uses. Used for mining.</v>
      </c>
      <c r="C665" s="1" t="str">
        <f>IFERROR(__xludf.DUMMYFUNCTION("""COMPUTED_VALUE"""),"Item")</f>
        <v>Item</v>
      </c>
      <c r="D665" s="1"/>
      <c r="E665" s="1"/>
      <c r="F665" s="1"/>
      <c r="G665" s="1"/>
      <c r="H665" s="1" t="b">
        <f>IFERROR(__xludf.DUMMYFUNCTION("""COMPUTED_VALUE"""),FALSE)</f>
        <v>0</v>
      </c>
      <c r="I665" s="1" t="str">
        <f>IFERROR(__xludf.DUMMYFUNCTION("""COMPUTED_VALUE"""),"Land of Spira")</f>
        <v>Land of Spira</v>
      </c>
    </row>
    <row r="666">
      <c r="A666" s="1" t="str">
        <f>IFERROR(__xludf.DUMMYFUNCTION("""COMPUTED_VALUE"""),"Silver Pickaxe")</f>
        <v>Silver Pickaxe</v>
      </c>
      <c r="B666" s="1" t="str">
        <f>IFERROR(__xludf.DUMMYFUNCTION("""COMPUTED_VALUE"""),"60/60 Uses. Used for mining.")</f>
        <v>60/60 Uses. Used for mining.</v>
      </c>
      <c r="C666" s="1" t="str">
        <f>IFERROR(__xludf.DUMMYFUNCTION("""COMPUTED_VALUE"""),"Item")</f>
        <v>Item</v>
      </c>
      <c r="D666" s="1"/>
      <c r="E666" s="1"/>
      <c r="F666" s="1"/>
      <c r="G666" s="1"/>
      <c r="H666" s="1" t="b">
        <f>IFERROR(__xludf.DUMMYFUNCTION("""COMPUTED_VALUE"""),FALSE)</f>
        <v>0</v>
      </c>
      <c r="I666" s="1" t="str">
        <f>IFERROR(__xludf.DUMMYFUNCTION("""COMPUTED_VALUE"""),"Land of Spira")</f>
        <v>Land of Spira</v>
      </c>
    </row>
    <row r="667">
      <c r="A667" s="1" t="str">
        <f>IFERROR(__xludf.DUMMYFUNCTION("""COMPUTED_VALUE"""),"Diamond Pickaxe")</f>
        <v>Diamond Pickaxe</v>
      </c>
      <c r="B667" s="1" t="str">
        <f>IFERROR(__xludf.DUMMYFUNCTION("""COMPUTED_VALUE"""),"100/100 Uses. Used for mining.")</f>
        <v>100/100 Uses. Used for mining.</v>
      </c>
      <c r="C667" s="1" t="str">
        <f>IFERROR(__xludf.DUMMYFUNCTION("""COMPUTED_VALUE"""),"Item")</f>
        <v>Item</v>
      </c>
      <c r="D667" s="1"/>
      <c r="E667" s="1"/>
      <c r="F667" s="1"/>
      <c r="G667" s="1"/>
      <c r="H667" s="1" t="b">
        <f>IFERROR(__xludf.DUMMYFUNCTION("""COMPUTED_VALUE"""),FALSE)</f>
        <v>0</v>
      </c>
      <c r="I667" s="1" t="str">
        <f>IFERROR(__xludf.DUMMYFUNCTION("""COMPUTED_VALUE"""),"Land of Spira")</f>
        <v>Land of Spira</v>
      </c>
    </row>
    <row r="668">
      <c r="A668" s="1" t="str">
        <f>IFERROR(__xludf.DUMMYFUNCTION("""COMPUTED_VALUE"""),"Obsidian Pickaxe")</f>
        <v>Obsidian Pickaxe</v>
      </c>
      <c r="B668" s="1" t="str">
        <f>IFERROR(__xludf.DUMMYFUNCTION("""COMPUTED_VALUE"""),"120/120 Uses. Used for mining.")</f>
        <v>120/120 Uses. Used for mining.</v>
      </c>
      <c r="C668" s="1" t="str">
        <f>IFERROR(__xludf.DUMMYFUNCTION("""COMPUTED_VALUE"""),"Item")</f>
        <v>Item</v>
      </c>
      <c r="D668" s="1"/>
      <c r="E668" s="1"/>
      <c r="F668" s="1"/>
      <c r="G668" s="1"/>
      <c r="H668" s="1" t="b">
        <f>IFERROR(__xludf.DUMMYFUNCTION("""COMPUTED_VALUE"""),FALSE)</f>
        <v>0</v>
      </c>
      <c r="I668" s="1" t="str">
        <f>IFERROR(__xludf.DUMMYFUNCTION("""COMPUTED_VALUE"""),"Land of Spira")</f>
        <v>Land of Spira</v>
      </c>
    </row>
    <row r="669">
      <c r="A669" s="1" t="str">
        <f>IFERROR(__xludf.DUMMYFUNCTION("""COMPUTED_VALUE"""),"Fire Fishing Pole ")</f>
        <v>Fire Fishing Pole </v>
      </c>
      <c r="B669" s="1" t="str">
        <f>IFERROR(__xludf.DUMMYFUNCTION("""COMPUTED_VALUE"""),"Made out of Iron. 20/20 Uses. Will cook fish caught giving them an additional hunger. Used for fishing.")</f>
        <v>Made out of Iron. 20/20 Uses. Will cook fish caught giving them an additional hunger. Used for fishing.</v>
      </c>
      <c r="C669" s="1" t="str">
        <f>IFERROR(__xludf.DUMMYFUNCTION("""COMPUTED_VALUE"""),"Crop")</f>
        <v>Crop</v>
      </c>
      <c r="D669" s="1"/>
      <c r="E669" s="1"/>
      <c r="F669" s="1"/>
      <c r="G669" s="1"/>
      <c r="H669" s="1" t="b">
        <f>IFERROR(__xludf.DUMMYFUNCTION("""COMPUTED_VALUE"""),FALSE)</f>
        <v>0</v>
      </c>
      <c r="I669" s="1" t="str">
        <f>IFERROR(__xludf.DUMMYFUNCTION("""COMPUTED_VALUE"""),"Land of Spira")</f>
        <v>Land of Spira</v>
      </c>
    </row>
    <row r="670">
      <c r="A670" s="1" t="str">
        <f>IFERROR(__xludf.DUMMYFUNCTION("""COMPUTED_VALUE"""),"Golden Fishing Pole ")</f>
        <v>Golden Fishing Pole </v>
      </c>
      <c r="B670" s="1" t="str">
        <f>IFERROR(__xludf.DUMMYFUNCTION("""COMPUTED_VALUE"""),"80/80 uses. Used for fishing.")</f>
        <v>80/80 uses. Used for fishing.</v>
      </c>
      <c r="C670" s="1" t="str">
        <f>IFERROR(__xludf.DUMMYFUNCTION("""COMPUTED_VALUE"""),"Item")</f>
        <v>Item</v>
      </c>
      <c r="D670" s="1"/>
      <c r="E670" s="1"/>
      <c r="F670" s="1"/>
      <c r="G670" s="1"/>
      <c r="H670" s="1" t="b">
        <f>IFERROR(__xludf.DUMMYFUNCTION("""COMPUTED_VALUE"""),FALSE)</f>
        <v>0</v>
      </c>
      <c r="I670" s="1" t="str">
        <f>IFERROR(__xludf.DUMMYFUNCTION("""COMPUTED_VALUE"""),"Land of Spira")</f>
        <v>Land of Spira</v>
      </c>
    </row>
    <row r="671">
      <c r="A671" s="1" t="str">
        <f>IFERROR(__xludf.DUMMYFUNCTION("""COMPUTED_VALUE"""),"Wooden Fishing Pole ")</f>
        <v>Wooden Fishing Pole </v>
      </c>
      <c r="B671" s="1" t="str">
        <f>IFERROR(__xludf.DUMMYFUNCTION("""COMPUTED_VALUE"""),"10/10 uses. Used for fishing.")</f>
        <v>10/10 uses. Used for fishing.</v>
      </c>
      <c r="C671" s="1" t="str">
        <f>IFERROR(__xludf.DUMMYFUNCTION("""COMPUTED_VALUE"""),"Item")</f>
        <v>Item</v>
      </c>
      <c r="D671" s="1"/>
      <c r="E671" s="1"/>
      <c r="F671" s="1"/>
      <c r="G671" s="1"/>
      <c r="H671" s="1" t="b">
        <f>IFERROR(__xludf.DUMMYFUNCTION("""COMPUTED_VALUE"""),FALSE)</f>
        <v>0</v>
      </c>
      <c r="I671" s="1" t="str">
        <f>IFERROR(__xludf.DUMMYFUNCTION("""COMPUTED_VALUE"""),"Land of Spira")</f>
        <v>Land of Spira</v>
      </c>
    </row>
    <row r="672">
      <c r="A672" s="1" t="str">
        <f>IFERROR(__xludf.DUMMYFUNCTION("""COMPUTED_VALUE"""),"Steel Fishing Pole ")</f>
        <v>Steel Fishing Pole </v>
      </c>
      <c r="B672" s="1" t="str">
        <f>IFERROR(__xludf.DUMMYFUNCTION("""COMPUTED_VALUE"""),"40/40 Uses. Used for fishing.")</f>
        <v>40/40 Uses. Used for fishing.</v>
      </c>
      <c r="C672" s="1" t="str">
        <f>IFERROR(__xludf.DUMMYFUNCTION("""COMPUTED_VALUE"""),"Item")</f>
        <v>Item</v>
      </c>
      <c r="D672" s="1"/>
      <c r="E672" s="1"/>
      <c r="F672" s="1"/>
      <c r="G672" s="1"/>
      <c r="H672" s="1" t="b">
        <f>IFERROR(__xludf.DUMMYFUNCTION("""COMPUTED_VALUE"""),FALSE)</f>
        <v>0</v>
      </c>
      <c r="I672" s="1" t="str">
        <f>IFERROR(__xludf.DUMMYFUNCTION("""COMPUTED_VALUE"""),"Land of Spira")</f>
        <v>Land of Spira</v>
      </c>
    </row>
    <row r="673">
      <c r="A673" s="1" t="str">
        <f>IFERROR(__xludf.DUMMYFUNCTION("""COMPUTED_VALUE"""),"Silver Fishing Pole ")</f>
        <v>Silver Fishing Pole </v>
      </c>
      <c r="B673" s="1" t="str">
        <f>IFERROR(__xludf.DUMMYFUNCTION("""COMPUTED_VALUE"""),"60/60 Uses. Used for fishing.")</f>
        <v>60/60 Uses. Used for fishing.</v>
      </c>
      <c r="C673" s="1" t="str">
        <f>IFERROR(__xludf.DUMMYFUNCTION("""COMPUTED_VALUE"""),"Item")</f>
        <v>Item</v>
      </c>
      <c r="D673" s="1"/>
      <c r="E673" s="1"/>
      <c r="F673" s="1"/>
      <c r="G673" s="1"/>
      <c r="H673" s="1" t="b">
        <f>IFERROR(__xludf.DUMMYFUNCTION("""COMPUTED_VALUE"""),FALSE)</f>
        <v>0</v>
      </c>
      <c r="I673" s="1" t="str">
        <f>IFERROR(__xludf.DUMMYFUNCTION("""COMPUTED_VALUE"""),"Land of Spira")</f>
        <v>Land of Spira</v>
      </c>
    </row>
    <row r="674">
      <c r="A674" s="1" t="str">
        <f>IFERROR(__xludf.DUMMYFUNCTION("""COMPUTED_VALUE"""),"Iron Fishing Pole ")</f>
        <v>Iron Fishing Pole </v>
      </c>
      <c r="B674" s="1" t="str">
        <f>IFERROR(__xludf.DUMMYFUNCTION("""COMPUTED_VALUE"""),"20/20 Uses. Used for fishing.")</f>
        <v>20/20 Uses. Used for fishing.</v>
      </c>
      <c r="C674" s="1" t="str">
        <f>IFERROR(__xludf.DUMMYFUNCTION("""COMPUTED_VALUE"""),"Item")</f>
        <v>Item</v>
      </c>
      <c r="D674" s="1"/>
      <c r="E674" s="1"/>
      <c r="F674" s="1"/>
      <c r="G674" s="1"/>
      <c r="H674" s="1" t="b">
        <f>IFERROR(__xludf.DUMMYFUNCTION("""COMPUTED_VALUE"""),FALSE)</f>
        <v>0</v>
      </c>
      <c r="I674" s="1" t="str">
        <f>IFERROR(__xludf.DUMMYFUNCTION("""COMPUTED_VALUE"""),"Land of Spira")</f>
        <v>Land of Spira</v>
      </c>
    </row>
    <row r="675">
      <c r="A675" s="1" t="str">
        <f>IFERROR(__xludf.DUMMYFUNCTION("""COMPUTED_VALUE"""),"Elemental Crystal")</f>
        <v>Elemental Crystal</v>
      </c>
      <c r="B675" s="1" t="str">
        <f>IFERROR(__xludf.DUMMYFUNCTION("""COMPUTED_VALUE"""),"Crafting Material, roll a d20 to see how many you get if this is a loot drop.")</f>
        <v>Crafting Material, roll a d20 to see how many you get if this is a loot drop.</v>
      </c>
      <c r="C675" s="1" t="str">
        <f>IFERROR(__xludf.DUMMYFUNCTION("""COMPUTED_VALUE"""),"Item")</f>
        <v>Item</v>
      </c>
      <c r="D675" s="1"/>
      <c r="E675" s="1"/>
      <c r="F675" s="1"/>
      <c r="G675" s="1"/>
      <c r="H675" s="1" t="b">
        <f>IFERROR(__xludf.DUMMYFUNCTION("""COMPUTED_VALUE"""),FALSE)</f>
        <v>0</v>
      </c>
      <c r="I675" s="1" t="str">
        <f>IFERROR(__xludf.DUMMYFUNCTION("""COMPUTED_VALUE"""),"Land of Spira")</f>
        <v>Land of Spira</v>
      </c>
    </row>
    <row r="676">
      <c r="A676" s="1" t="str">
        <f>IFERROR(__xludf.DUMMYFUNCTION("""COMPUTED_VALUE"""),"Leather")</f>
        <v>Leather</v>
      </c>
      <c r="B676" s="1" t="str">
        <f>IFERROR(__xludf.DUMMYFUNCTION("""COMPUTED_VALUE"""),"Crafting Material, roll a d20 to see how many you get if this is a loot drop.")</f>
        <v>Crafting Material, roll a d20 to see how many you get if this is a loot drop.</v>
      </c>
      <c r="C676" s="1" t="str">
        <f>IFERROR(__xludf.DUMMYFUNCTION("""COMPUTED_VALUE"""),"Item")</f>
        <v>Item</v>
      </c>
      <c r="D676" s="1"/>
      <c r="E676" s="1"/>
      <c r="F676" s="1"/>
      <c r="G676" s="1"/>
      <c r="H676" s="1" t="b">
        <f>IFERROR(__xludf.DUMMYFUNCTION("""COMPUTED_VALUE"""),FALSE)</f>
        <v>0</v>
      </c>
      <c r="I676" s="1" t="str">
        <f>IFERROR(__xludf.DUMMYFUNCTION("""COMPUTED_VALUE"""),"Land of Spira")</f>
        <v>Land of Spira</v>
      </c>
    </row>
    <row r="677">
      <c r="A677" s="1" t="str">
        <f>IFERROR(__xludf.DUMMYFUNCTION("""COMPUTED_VALUE"""),"Mithril")</f>
        <v>Mithril</v>
      </c>
      <c r="B677" s="1" t="str">
        <f>IFERROR(__xludf.DUMMYFUNCTION("""COMPUTED_VALUE"""),"Crafting Material, roll a d20 to see how many you get if this is a loot drop. A celestial stone holding minor heavenly power.")</f>
        <v>Crafting Material, roll a d20 to see how many you get if this is a loot drop. A celestial stone holding minor heavenly power.</v>
      </c>
      <c r="C677" s="1" t="str">
        <f>IFERROR(__xludf.DUMMYFUNCTION("""COMPUTED_VALUE"""),"Item")</f>
        <v>Item</v>
      </c>
      <c r="D677" s="1"/>
      <c r="E677" s="1"/>
      <c r="F677" s="1"/>
      <c r="G677" s="1"/>
      <c r="H677" s="1" t="b">
        <f>IFERROR(__xludf.DUMMYFUNCTION("""COMPUTED_VALUE"""),FALSE)</f>
        <v>0</v>
      </c>
      <c r="I677" s="1" t="str">
        <f>IFERROR(__xludf.DUMMYFUNCTION("""COMPUTED_VALUE"""),"Land of Spira")</f>
        <v>Land of Spira</v>
      </c>
    </row>
    <row r="678">
      <c r="A678" s="1" t="str">
        <f>IFERROR(__xludf.DUMMYFUNCTION("""COMPUTED_VALUE"""),"Oil lamp")</f>
        <v>Oil lamp</v>
      </c>
      <c r="B678" s="1" t="str">
        <f>IFERROR(__xludf.DUMMYFUNCTION("""COMPUTED_VALUE"""),"Illuminates your path or any room your in")</f>
        <v>Illuminates your path or any room your in</v>
      </c>
      <c r="C678" s="1" t="str">
        <f>IFERROR(__xludf.DUMMYFUNCTION("""COMPUTED_VALUE"""),"Item")</f>
        <v>Item</v>
      </c>
      <c r="D678" s="1"/>
      <c r="E678" s="1"/>
      <c r="F678" s="1"/>
      <c r="G678" s="1"/>
      <c r="H678" s="1" t="b">
        <f>IFERROR(__xludf.DUMMYFUNCTION("""COMPUTED_VALUE"""),FALSE)</f>
        <v>0</v>
      </c>
      <c r="I678" s="1" t="str">
        <f>IFERROR(__xludf.DUMMYFUNCTION("""COMPUTED_VALUE"""),"Land of Spira")</f>
        <v>Land of Spira</v>
      </c>
    </row>
    <row r="679">
      <c r="A679" s="1" t="str">
        <f>IFERROR(__xludf.DUMMYFUNCTION("""COMPUTED_VALUE"""),"Seed")</f>
        <v>Seed</v>
      </c>
      <c r="B679" s="1" t="str">
        <f>IFERROR(__xludf.DUMMYFUNCTION("""COMPUTED_VALUE"""),"Can harvest in X/X days.")</f>
        <v>Can harvest in X/X days.</v>
      </c>
      <c r="C679" s="1" t="str">
        <f>IFERROR(__xludf.DUMMYFUNCTION("""COMPUTED_VALUE"""),"Item")</f>
        <v>Item</v>
      </c>
      <c r="D679" s="1"/>
      <c r="E679" s="1"/>
      <c r="F679" s="1"/>
      <c r="G679" s="1"/>
      <c r="H679" s="1" t="b">
        <f>IFERROR(__xludf.DUMMYFUNCTION("""COMPUTED_VALUE"""),FALSE)</f>
        <v>0</v>
      </c>
      <c r="I679" s="1" t="str">
        <f>IFERROR(__xludf.DUMMYFUNCTION("""COMPUTED_VALUE"""),"Land of Spira")</f>
        <v>Land of Spira</v>
      </c>
    </row>
    <row r="680">
      <c r="A680" s="1" t="str">
        <f>IFERROR(__xludf.DUMMYFUNCTION("""COMPUTED_VALUE"""),"Poison Vial")</f>
        <v>Poison Vial</v>
      </c>
      <c r="B680" s="1" t="str">
        <f>IFERROR(__xludf.DUMMYFUNCTION("""COMPUTED_VALUE"""),"Using this will make all your weapon or natural attacks inflict an enemy with Poison 500 for 3 rounds.")</f>
        <v>Using this will make all your weapon or natural attacks inflict an enemy with Poison 500 for 3 rounds.</v>
      </c>
      <c r="C680" s="1" t="str">
        <f>IFERROR(__xludf.DUMMYFUNCTION("""COMPUTED_VALUE"""),"Item")</f>
        <v>Item</v>
      </c>
      <c r="D680" s="1"/>
      <c r="E680" s="1"/>
      <c r="F680" s="1"/>
      <c r="G680" s="1"/>
      <c r="H680" s="1" t="b">
        <f>IFERROR(__xludf.DUMMYFUNCTION("""COMPUTED_VALUE"""),FALSE)</f>
        <v>0</v>
      </c>
      <c r="I680" s="1" t="str">
        <f>IFERROR(__xludf.DUMMYFUNCTION("""COMPUTED_VALUE"""),"Land of Spira")</f>
        <v>Land of Spira</v>
      </c>
    </row>
    <row r="681">
      <c r="A681" s="1" t="str">
        <f>IFERROR(__xludf.DUMMYFUNCTION("""COMPUTED_VALUE"""),"Stag Meat")</f>
        <v>Stag Meat</v>
      </c>
      <c r="B681" s="1" t="str">
        <f>IFERROR(__xludf.DUMMYFUNCTION("""COMPUTED_VALUE"""),"Restores 20 hunger")</f>
        <v>Restores 20 hunger</v>
      </c>
      <c r="C681" s="1" t="str">
        <f>IFERROR(__xludf.DUMMYFUNCTION("""COMPUTED_VALUE"""),"Crop")</f>
        <v>Crop</v>
      </c>
      <c r="D681" s="1"/>
      <c r="E681" s="1"/>
      <c r="F681" s="1"/>
      <c r="G681" s="1"/>
      <c r="H681" s="1" t="b">
        <f>IFERROR(__xludf.DUMMYFUNCTION("""COMPUTED_VALUE"""),FALSE)</f>
        <v>0</v>
      </c>
      <c r="I681" s="1" t="str">
        <f>IFERROR(__xludf.DUMMYFUNCTION("""COMPUTED_VALUE"""),"Land of Spira")</f>
        <v>Land of Spira</v>
      </c>
    </row>
    <row r="682">
      <c r="A682" s="1" t="str">
        <f>IFERROR(__xludf.DUMMYFUNCTION("""COMPUTED_VALUE"""),"Steed Meat")</f>
        <v>Steed Meat</v>
      </c>
      <c r="B682" s="1" t="str">
        <f>IFERROR(__xludf.DUMMYFUNCTION("""COMPUTED_VALUE"""),"Restores 20 hunger")</f>
        <v>Restores 20 hunger</v>
      </c>
      <c r="C682" s="1" t="str">
        <f>IFERROR(__xludf.DUMMYFUNCTION("""COMPUTED_VALUE"""),"Crop")</f>
        <v>Crop</v>
      </c>
      <c r="D682" s="1"/>
      <c r="E682" s="1"/>
      <c r="F682" s="1"/>
      <c r="G682" s="1"/>
      <c r="H682" s="1" t="b">
        <f>IFERROR(__xludf.DUMMYFUNCTION("""COMPUTED_VALUE"""),FALSE)</f>
        <v>0</v>
      </c>
      <c r="I682" s="1" t="str">
        <f>IFERROR(__xludf.DUMMYFUNCTION("""COMPUTED_VALUE"""),"Land of Spira")</f>
        <v>Land of Spira</v>
      </c>
    </row>
    <row r="683">
      <c r="A683" s="1" t="str">
        <f>IFERROR(__xludf.DUMMYFUNCTION("""COMPUTED_VALUE"""),"Moonstone")</f>
        <v>Moonstone</v>
      </c>
      <c r="B683" s="1" t="str">
        <f>IFERROR(__xludf.DUMMYFUNCTION("""COMPUTED_VALUE"""),"Crafting Material, roll a d20 to see how many you get if this is a loot drop.")</f>
        <v>Crafting Material, roll a d20 to see how many you get if this is a loot drop.</v>
      </c>
      <c r="C683" s="1" t="str">
        <f>IFERROR(__xludf.DUMMYFUNCTION("""COMPUTED_VALUE"""),"Item")</f>
        <v>Item</v>
      </c>
      <c r="D683" s="1"/>
      <c r="E683" s="1"/>
      <c r="F683" s="1"/>
      <c r="G683" s="1"/>
      <c r="H683" s="1" t="b">
        <f>IFERROR(__xludf.DUMMYFUNCTION("""COMPUTED_VALUE"""),FALSE)</f>
        <v>0</v>
      </c>
      <c r="I683" s="1" t="str">
        <f>IFERROR(__xludf.DUMMYFUNCTION("""COMPUTED_VALUE"""),"Land of Spira")</f>
        <v>Land of Spira</v>
      </c>
    </row>
    <row r="684">
      <c r="A684" s="1" t="str">
        <f>IFERROR(__xludf.DUMMYFUNCTION("""COMPUTED_VALUE"""),"Standard Missile")</f>
        <v>Standard Missile</v>
      </c>
      <c r="B684" s="1" t="str">
        <f>IFERROR(__xludf.DUMMYFUNCTION("""COMPUTED_VALUE"""),"Missile Turret Ammunition.+50,000 Damage. +50,000 Fire Damage. roll a d5 to see how many you get if this is a loot drop.")</f>
        <v>Missile Turret Ammunition.+50,000 Damage. +50,000 Fire Damage. roll a d5 to see how many you get if this is a loot drop.</v>
      </c>
      <c r="C684" s="1" t="str">
        <f>IFERROR(__xludf.DUMMYFUNCTION("""COMPUTED_VALUE"""),"Item")</f>
        <v>Item</v>
      </c>
      <c r="D684" s="1"/>
      <c r="E684" s="1"/>
      <c r="F684" s="1"/>
      <c r="G684" s="1"/>
      <c r="H684" s="1" t="b">
        <f>IFERROR(__xludf.DUMMYFUNCTION("""COMPUTED_VALUE"""),FALSE)</f>
        <v>0</v>
      </c>
      <c r="I684" s="1" t="str">
        <f>IFERROR(__xludf.DUMMYFUNCTION("""COMPUTED_VALUE"""),"Land of Spira")</f>
        <v>Land of Spira</v>
      </c>
    </row>
    <row r="685">
      <c r="A685" s="1" t="str">
        <f>IFERROR(__xludf.DUMMYFUNCTION("""COMPUTED_VALUE"""),"Nuclear Missile")</f>
        <v>Nuclear Missile</v>
      </c>
      <c r="B685" s="1" t="str">
        <f>IFERROR(__xludf.DUMMYFUNCTION("""COMPUTED_VALUE"""),"Missile Turret Ammunition.+100,000 Damage. +100,000 Fire Damage. +Burn 10,000. +Poison 10,000. roll a d5 to see how many you get if this is a loot drop.")</f>
        <v>Missile Turret Ammunition.+100,000 Damage. +100,000 Fire Damage. +Burn 10,000. +Poison 10,000. roll a d5 to see how many you get if this is a loot drop.</v>
      </c>
      <c r="C685" s="1" t="str">
        <f>IFERROR(__xludf.DUMMYFUNCTION("""COMPUTED_VALUE"""),"Item")</f>
        <v>Item</v>
      </c>
      <c r="D685" s="1"/>
      <c r="E685" s="1"/>
      <c r="F685" s="1"/>
      <c r="G685" s="1"/>
      <c r="H685" s="1" t="b">
        <f>IFERROR(__xludf.DUMMYFUNCTION("""COMPUTED_VALUE"""),FALSE)</f>
        <v>0</v>
      </c>
      <c r="I685" s="1" t="str">
        <f>IFERROR(__xludf.DUMMYFUNCTION("""COMPUTED_VALUE"""),"Land of Spira")</f>
        <v>Land of Spira</v>
      </c>
    </row>
    <row r="686">
      <c r="A686" s="1" t="str">
        <f>IFERROR(__xludf.DUMMYFUNCTION("""COMPUTED_VALUE"""),"EMP Missile")</f>
        <v>EMP Missile</v>
      </c>
      <c r="B686" s="1" t="str">
        <f>IFERROR(__xludf.DUMMYFUNCTION("""COMPUTED_VALUE"""),"Missile Turret Ammunition. +50,000 Damage. +50,000 Storm Damage. +25% chance the target(s) losses it's next turn. roll a d5 to see how many you get if this is a loot drop.")</f>
        <v>Missile Turret Ammunition. +50,000 Damage. +50,000 Storm Damage. +25% chance the target(s) losses it's next turn. roll a d5 to see how many you get if this is a loot drop.</v>
      </c>
      <c r="C686" s="1" t="str">
        <f>IFERROR(__xludf.DUMMYFUNCTION("""COMPUTED_VALUE"""),"Item")</f>
        <v>Item</v>
      </c>
      <c r="D686" s="1"/>
      <c r="E686" s="1"/>
      <c r="F686" s="1"/>
      <c r="G686" s="1"/>
      <c r="H686" s="1" t="b">
        <f>IFERROR(__xludf.DUMMYFUNCTION("""COMPUTED_VALUE"""),FALSE)</f>
        <v>0</v>
      </c>
      <c r="I686" s="1" t="str">
        <f>IFERROR(__xludf.DUMMYFUNCTION("""COMPUTED_VALUE"""),"Land of Spira")</f>
        <v>Land of Spira</v>
      </c>
    </row>
    <row r="687">
      <c r="A687" s="1" t="str">
        <f>IFERROR(__xludf.DUMMYFUNCTION("""COMPUTED_VALUE"""),"Chaos Bullet")</f>
        <v>Chaos Bullet</v>
      </c>
      <c r="B687" s="1" t="str">
        <f>IFERROR(__xludf.DUMMYFUNCTION("""COMPUTED_VALUE"""),"Firearm Ammunition. +100 chaos damage. roll a d20 to see how many you get if this is a loot drop.")</f>
        <v>Firearm Ammunition. +100 chaos damage. roll a d20 to see how many you get if this is a loot drop.</v>
      </c>
      <c r="C687" s="1" t="str">
        <f>IFERROR(__xludf.DUMMYFUNCTION("""COMPUTED_VALUE"""),"Item")</f>
        <v>Item</v>
      </c>
      <c r="D687" s="1"/>
      <c r="E687" s="1"/>
      <c r="F687" s="1"/>
      <c r="G687" s="1"/>
      <c r="H687" s="1" t="b">
        <f>IFERROR(__xludf.DUMMYFUNCTION("""COMPUTED_VALUE"""),FALSE)</f>
        <v>0</v>
      </c>
      <c r="I687" s="1" t="str">
        <f>IFERROR(__xludf.DUMMYFUNCTION("""COMPUTED_VALUE"""),"Land of Spira")</f>
        <v>Land of Spira</v>
      </c>
    </row>
    <row r="688">
      <c r="A688" s="1" t="str">
        <f>IFERROR(__xludf.DUMMYFUNCTION("""COMPUTED_VALUE"""),"Dark Bullet")</f>
        <v>Dark Bullet</v>
      </c>
      <c r="B688" s="1" t="str">
        <f>IFERROR(__xludf.DUMMYFUNCTION("""COMPUTED_VALUE"""),"Firearm Ammunition. +100 dark damage. roll a d20 to see how many you get if this is a loot drop.")</f>
        <v>Firearm Ammunition. +100 dark damage. roll a d20 to see how many you get if this is a loot drop.</v>
      </c>
      <c r="C688" s="1" t="str">
        <f>IFERROR(__xludf.DUMMYFUNCTION("""COMPUTED_VALUE"""),"Item")</f>
        <v>Item</v>
      </c>
      <c r="D688" s="1"/>
      <c r="E688" s="1"/>
      <c r="F688" s="1"/>
      <c r="G688" s="1"/>
      <c r="H688" s="1" t="b">
        <f>IFERROR(__xludf.DUMMYFUNCTION("""COMPUTED_VALUE"""),FALSE)</f>
        <v>0</v>
      </c>
      <c r="I688" s="1" t="str">
        <f>IFERROR(__xludf.DUMMYFUNCTION("""COMPUTED_VALUE"""),"Land of Spira")</f>
        <v>Land of Spira</v>
      </c>
    </row>
    <row r="689">
      <c r="A689" s="1" t="str">
        <f>IFERROR(__xludf.DUMMYFUNCTION("""COMPUTED_VALUE"""),"Earth Bullet")</f>
        <v>Earth Bullet</v>
      </c>
      <c r="B689" s="1" t="str">
        <f>IFERROR(__xludf.DUMMYFUNCTION("""COMPUTED_VALUE"""),"Firearm Ammunition. +100 earth damage. roll a d20 to see how many you get if this is a loot drop.")</f>
        <v>Firearm Ammunition. +100 earth damage. roll a d20 to see how many you get if this is a loot drop.</v>
      </c>
      <c r="C689" s="1" t="str">
        <f>IFERROR(__xludf.DUMMYFUNCTION("""COMPUTED_VALUE"""),"Item")</f>
        <v>Item</v>
      </c>
      <c r="D689" s="1"/>
      <c r="E689" s="1"/>
      <c r="F689" s="1"/>
      <c r="G689" s="1"/>
      <c r="H689" s="1" t="b">
        <f>IFERROR(__xludf.DUMMYFUNCTION("""COMPUTED_VALUE"""),FALSE)</f>
        <v>0</v>
      </c>
      <c r="I689" s="1" t="str">
        <f>IFERROR(__xludf.DUMMYFUNCTION("""COMPUTED_VALUE"""),"Land of Spira")</f>
        <v>Land of Spira</v>
      </c>
    </row>
    <row r="690">
      <c r="A690" s="1" t="str">
        <f>IFERROR(__xludf.DUMMYFUNCTION("""COMPUTED_VALUE"""),"Fire Bullet")</f>
        <v>Fire Bullet</v>
      </c>
      <c r="B690" s="1" t="str">
        <f>IFERROR(__xludf.DUMMYFUNCTION("""COMPUTED_VALUE"""),"Firearm Ammunition. +100 fire damage. roll a d20 to see how many you get if this is a loot drop.")</f>
        <v>Firearm Ammunition. +100 fire damage. roll a d20 to see how many you get if this is a loot drop.</v>
      </c>
      <c r="C690" s="1" t="str">
        <f>IFERROR(__xludf.DUMMYFUNCTION("""COMPUTED_VALUE"""),"Item")</f>
        <v>Item</v>
      </c>
      <c r="D690" s="1"/>
      <c r="E690" s="1"/>
      <c r="F690" s="1"/>
      <c r="G690" s="1"/>
      <c r="H690" s="1" t="b">
        <f>IFERROR(__xludf.DUMMYFUNCTION("""COMPUTED_VALUE"""),FALSE)</f>
        <v>0</v>
      </c>
      <c r="I690" s="1" t="str">
        <f>IFERROR(__xludf.DUMMYFUNCTION("""COMPUTED_VALUE"""),"Land of Spira")</f>
        <v>Land of Spira</v>
      </c>
    </row>
    <row r="691">
      <c r="A691" s="1" t="str">
        <f>IFERROR(__xludf.DUMMYFUNCTION("""COMPUTED_VALUE"""),"Light Bullet")</f>
        <v>Light Bullet</v>
      </c>
      <c r="B691" s="1" t="str">
        <f>IFERROR(__xludf.DUMMYFUNCTION("""COMPUTED_VALUE"""),"Firearm Ammunition. +100 light damage. roll a d20 to see how many you get if this is a loot drop.")</f>
        <v>Firearm Ammunition. +100 light damage. roll a d20 to see how many you get if this is a loot drop.</v>
      </c>
      <c r="C691" s="1" t="str">
        <f>IFERROR(__xludf.DUMMYFUNCTION("""COMPUTED_VALUE"""),"Item")</f>
        <v>Item</v>
      </c>
      <c r="D691" s="1"/>
      <c r="E691" s="1"/>
      <c r="F691" s="1"/>
      <c r="G691" s="1"/>
      <c r="H691" s="1" t="b">
        <f>IFERROR(__xludf.DUMMYFUNCTION("""COMPUTED_VALUE"""),FALSE)</f>
        <v>0</v>
      </c>
      <c r="I691" s="1" t="str">
        <f>IFERROR(__xludf.DUMMYFUNCTION("""COMPUTED_VALUE"""),"Land of Spira")</f>
        <v>Land of Spira</v>
      </c>
    </row>
    <row r="692">
      <c r="A692" s="1" t="str">
        <f>IFERROR(__xludf.DUMMYFUNCTION("""COMPUTED_VALUE"""),"Spectral Bullet")</f>
        <v>Spectral Bullet</v>
      </c>
      <c r="B692" s="1" t="str">
        <f>IFERROR(__xludf.DUMMYFUNCTION("""COMPUTED_VALUE"""),"Firearm Ammunition. +100 spirit damage. roll a d20 to see how many you get if this is a loot drop.")</f>
        <v>Firearm Ammunition. +100 spirit damage. roll a d20 to see how many you get if this is a loot drop.</v>
      </c>
      <c r="C692" s="1" t="str">
        <f>IFERROR(__xludf.DUMMYFUNCTION("""COMPUTED_VALUE"""),"Item")</f>
        <v>Item</v>
      </c>
      <c r="D692" s="1"/>
      <c r="E692" s="1"/>
      <c r="F692" s="1"/>
      <c r="G692" s="1"/>
      <c r="H692" s="1" t="b">
        <f>IFERROR(__xludf.DUMMYFUNCTION("""COMPUTED_VALUE"""),FALSE)</f>
        <v>0</v>
      </c>
      <c r="I692" s="1" t="str">
        <f>IFERROR(__xludf.DUMMYFUNCTION("""COMPUTED_VALUE"""),"Land of Spira")</f>
        <v>Land of Spira</v>
      </c>
    </row>
    <row r="693">
      <c r="A693" s="1" t="str">
        <f>IFERROR(__xludf.DUMMYFUNCTION("""COMPUTED_VALUE"""),"Stunning Bullet")</f>
        <v>Stunning Bullet</v>
      </c>
      <c r="B693" s="1" t="str">
        <f>IFERROR(__xludf.DUMMYFUNCTION("""COMPUTED_VALUE"""),"Firearm Ammunition. +100 storm damage. +25% chance of Stun 3 to the enemy if using no more than 1 bullet. roll a d20 to see how many you get if this is a loot drop.")</f>
        <v>Firearm Ammunition. +100 storm damage. +25% chance of Stun 3 to the enemy if using no more than 1 bullet. roll a d20 to see how many you get if this is a loot drop.</v>
      </c>
      <c r="C693" s="1" t="str">
        <f>IFERROR(__xludf.DUMMYFUNCTION("""COMPUTED_VALUE"""),"Item")</f>
        <v>Item</v>
      </c>
      <c r="D693" s="1"/>
      <c r="E693" s="1"/>
      <c r="F693" s="1"/>
      <c r="G693" s="1"/>
      <c r="H693" s="1" t="b">
        <f>IFERROR(__xludf.DUMMYFUNCTION("""COMPUTED_VALUE"""),FALSE)</f>
        <v>0</v>
      </c>
      <c r="I693" s="1" t="str">
        <f>IFERROR(__xludf.DUMMYFUNCTION("""COMPUTED_VALUE"""),"Land of Spira")</f>
        <v>Land of Spira</v>
      </c>
    </row>
    <row r="694">
      <c r="A694" s="1" t="str">
        <f>IFERROR(__xludf.DUMMYFUNCTION("""COMPUTED_VALUE"""),"Freezing Bullet")</f>
        <v>Freezing Bullet</v>
      </c>
      <c r="B694" s="1" t="str">
        <f>IFERROR(__xludf.DUMMYFUNCTION("""COMPUTED_VALUE"""),"Firearm Ammunition. +100 fire damage. +25% chance of Freeze to the enemy if using no more than 1 bullet. roll a d20 to see how many you get if this is a loot drop.")</f>
        <v>Firearm Ammunition. +100 fire damage. +25% chance of Freeze to the enemy if using no more than 1 bullet. roll a d20 to see how many you get if this is a loot drop.</v>
      </c>
      <c r="C694" s="1" t="str">
        <f>IFERROR(__xludf.DUMMYFUNCTION("""COMPUTED_VALUE"""),"Item")</f>
        <v>Item</v>
      </c>
      <c r="D694" s="1"/>
      <c r="E694" s="1"/>
      <c r="F694" s="1"/>
      <c r="G694" s="1"/>
      <c r="H694" s="1" t="b">
        <f>IFERROR(__xludf.DUMMYFUNCTION("""COMPUTED_VALUE"""),FALSE)</f>
        <v>0</v>
      </c>
      <c r="I694" s="1" t="str">
        <f>IFERROR(__xludf.DUMMYFUNCTION("""COMPUTED_VALUE"""),"Land of Spira")</f>
        <v>Land of Spira</v>
      </c>
    </row>
    <row r="695">
      <c r="A695" s="1" t="str">
        <f>IFERROR(__xludf.DUMMYFUNCTION("""COMPUTED_VALUE"""),"Healing Bullet")</f>
        <v>Healing Bullet</v>
      </c>
      <c r="B695" s="1" t="str">
        <f>IFERROR(__xludf.DUMMYFUNCTION("""COMPUTED_VALUE"""),"Firearm Ammunition. +Restores 1000 HP and SP to the target if using no more than 1 bullet. roll a d20 to see how many you get if this is a loot drop.")</f>
        <v>Firearm Ammunition. +Restores 1000 HP and SP to the target if using no more than 1 bullet. roll a d20 to see how many you get if this is a loot drop.</v>
      </c>
      <c r="C695" s="1" t="str">
        <f>IFERROR(__xludf.DUMMYFUNCTION("""COMPUTED_VALUE"""),"Item")</f>
        <v>Item</v>
      </c>
      <c r="D695" s="1"/>
      <c r="E695" s="1"/>
      <c r="F695" s="1"/>
      <c r="G695" s="1"/>
      <c r="H695" s="1" t="b">
        <f>IFERROR(__xludf.DUMMYFUNCTION("""COMPUTED_VALUE"""),FALSE)</f>
        <v>0</v>
      </c>
      <c r="I695" s="1" t="str">
        <f>IFERROR(__xludf.DUMMYFUNCTION("""COMPUTED_VALUE"""),"Land of Spira")</f>
        <v>Land of Spira</v>
      </c>
    </row>
    <row r="696">
      <c r="A696" s="1" t="str">
        <f>IFERROR(__xludf.DUMMYFUNCTION("""COMPUTED_VALUE"""),"Celestial Arrow")</f>
        <v>Celestial Arrow</v>
      </c>
      <c r="B696" s="1" t="str">
        <f>IFERROR(__xludf.DUMMYFUNCTION("""COMPUTED_VALUE"""),"Bow Ammunition. +500 celestial damage. roll a d20 to see how many you get if this is a loot drop.")</f>
        <v>Bow Ammunition. +500 celestial damage. roll a d20 to see how many you get if this is a loot drop.</v>
      </c>
      <c r="C696" s="1" t="str">
        <f>IFERROR(__xludf.DUMMYFUNCTION("""COMPUTED_VALUE"""),"Item")</f>
        <v>Item</v>
      </c>
      <c r="D696" s="1"/>
      <c r="E696" s="1"/>
      <c r="F696" s="1"/>
      <c r="G696" s="1"/>
      <c r="H696" s="1" t="b">
        <f>IFERROR(__xludf.DUMMYFUNCTION("""COMPUTED_VALUE"""),FALSE)</f>
        <v>0</v>
      </c>
      <c r="I696" s="1" t="str">
        <f>IFERROR(__xludf.DUMMYFUNCTION("""COMPUTED_VALUE"""),"Land of Spira")</f>
        <v>Land of Spira</v>
      </c>
    </row>
    <row r="697">
      <c r="A697" s="1" t="str">
        <f>IFERROR(__xludf.DUMMYFUNCTION("""COMPUTED_VALUE"""),"Chaos Arrow")</f>
        <v>Chaos Arrow</v>
      </c>
      <c r="B697" s="1" t="str">
        <f>IFERROR(__xludf.DUMMYFUNCTION("""COMPUTED_VALUE"""),"Bow Ammunition. +500 chaos damage. roll a d20 to see how many you get if this is a loot drop.")</f>
        <v>Bow Ammunition. +500 chaos damage. roll a d20 to see how many you get if this is a loot drop.</v>
      </c>
      <c r="C697" s="1" t="str">
        <f>IFERROR(__xludf.DUMMYFUNCTION("""COMPUTED_VALUE"""),"Item")</f>
        <v>Item</v>
      </c>
      <c r="D697" s="1"/>
      <c r="E697" s="1"/>
      <c r="F697" s="1"/>
      <c r="G697" s="1"/>
      <c r="H697" s="1" t="b">
        <f>IFERROR(__xludf.DUMMYFUNCTION("""COMPUTED_VALUE"""),FALSE)</f>
        <v>0</v>
      </c>
      <c r="I697" s="1" t="str">
        <f>IFERROR(__xludf.DUMMYFUNCTION("""COMPUTED_VALUE"""),"Land of Spira")</f>
        <v>Land of Spira</v>
      </c>
    </row>
    <row r="698">
      <c r="A698" s="1" t="str">
        <f>IFERROR(__xludf.DUMMYFUNCTION("""COMPUTED_VALUE"""),"Dark Arrow")</f>
        <v>Dark Arrow</v>
      </c>
      <c r="B698" s="1" t="str">
        <f>IFERROR(__xludf.DUMMYFUNCTION("""COMPUTED_VALUE"""),"Bow Ammunition. +500 dark damage. roll a d20 to see how many you get if this is a loot drop.")</f>
        <v>Bow Ammunition. +500 dark damage. roll a d20 to see how many you get if this is a loot drop.</v>
      </c>
      <c r="C698" s="1" t="str">
        <f>IFERROR(__xludf.DUMMYFUNCTION("""COMPUTED_VALUE"""),"Item")</f>
        <v>Item</v>
      </c>
      <c r="D698" s="1"/>
      <c r="E698" s="1"/>
      <c r="F698" s="1"/>
      <c r="G698" s="1"/>
      <c r="H698" s="1" t="b">
        <f>IFERROR(__xludf.DUMMYFUNCTION("""COMPUTED_VALUE"""),FALSE)</f>
        <v>0</v>
      </c>
      <c r="I698" s="1" t="str">
        <f>IFERROR(__xludf.DUMMYFUNCTION("""COMPUTED_VALUE"""),"Land of Spira")</f>
        <v>Land of Spira</v>
      </c>
    </row>
    <row r="699">
      <c r="A699" s="1" t="str">
        <f>IFERROR(__xludf.DUMMYFUNCTION("""COMPUTED_VALUE"""),"Earth Arrow")</f>
        <v>Earth Arrow</v>
      </c>
      <c r="B699" s="1" t="str">
        <f>IFERROR(__xludf.DUMMYFUNCTION("""COMPUTED_VALUE"""),"Bow Ammunition. +500 earth damage. roll a d20 to see how many you get if this is a loot drop.")</f>
        <v>Bow Ammunition. +500 earth damage. roll a d20 to see how many you get if this is a loot drop.</v>
      </c>
      <c r="C699" s="1" t="str">
        <f>IFERROR(__xludf.DUMMYFUNCTION("""COMPUTED_VALUE"""),"Item")</f>
        <v>Item</v>
      </c>
      <c r="D699" s="1"/>
      <c r="E699" s="1"/>
      <c r="F699" s="1"/>
      <c r="G699" s="1"/>
      <c r="H699" s="1" t="b">
        <f>IFERROR(__xludf.DUMMYFUNCTION("""COMPUTED_VALUE"""),FALSE)</f>
        <v>0</v>
      </c>
      <c r="I699" s="1" t="str">
        <f>IFERROR(__xludf.DUMMYFUNCTION("""COMPUTED_VALUE"""),"Land of Spira")</f>
        <v>Land of Spira</v>
      </c>
    </row>
    <row r="700">
      <c r="A700" s="1" t="str">
        <f>IFERROR(__xludf.DUMMYFUNCTION("""COMPUTED_VALUE"""),"Spectral Arrow")</f>
        <v>Spectral Arrow</v>
      </c>
      <c r="B700" s="1" t="str">
        <f>IFERROR(__xludf.DUMMYFUNCTION("""COMPUTED_VALUE"""),"Bow Ammunition. +500 spirit damage. roll a d20 to see how many you get if this is a loot drop.")</f>
        <v>Bow Ammunition. +500 spirit damage. roll a d20 to see how many you get if this is a loot drop.</v>
      </c>
      <c r="C700" s="1" t="str">
        <f>IFERROR(__xludf.DUMMYFUNCTION("""COMPUTED_VALUE"""),"Item")</f>
        <v>Item</v>
      </c>
      <c r="D700" s="1"/>
      <c r="E700" s="1"/>
      <c r="F700" s="1"/>
      <c r="G700" s="1"/>
      <c r="H700" s="1" t="b">
        <f>IFERROR(__xludf.DUMMYFUNCTION("""COMPUTED_VALUE"""),FALSE)</f>
        <v>0</v>
      </c>
      <c r="I700" s="1" t="str">
        <f>IFERROR(__xludf.DUMMYFUNCTION("""COMPUTED_VALUE"""),"Land of Spira")</f>
        <v>Land of Spira</v>
      </c>
    </row>
    <row r="701">
      <c r="A701" s="1" t="str">
        <f>IFERROR(__xludf.DUMMYFUNCTION("""COMPUTED_VALUE"""),"Stunning Arrow")</f>
        <v>Stunning Arrow</v>
      </c>
      <c r="B701" s="1" t="str">
        <f>IFERROR(__xludf.DUMMYFUNCTION("""COMPUTED_VALUE"""),"Bow Ammunition. +500 storm damage. +25% chance of Stun 3. roll a d20 to see how many you get if this is a loot drop.")</f>
        <v>Bow Ammunition. +500 storm damage. +25% chance of Stun 3. roll a d20 to see how many you get if this is a loot drop.</v>
      </c>
      <c r="C701" s="1" t="str">
        <f>IFERROR(__xludf.DUMMYFUNCTION("""COMPUTED_VALUE"""),"Item")</f>
        <v>Item</v>
      </c>
      <c r="D701" s="1"/>
      <c r="E701" s="1"/>
      <c r="F701" s="1"/>
      <c r="G701" s="1"/>
      <c r="H701" s="1" t="b">
        <f>IFERROR(__xludf.DUMMYFUNCTION("""COMPUTED_VALUE"""),FALSE)</f>
        <v>0</v>
      </c>
      <c r="I701" s="1" t="str">
        <f>IFERROR(__xludf.DUMMYFUNCTION("""COMPUTED_VALUE"""),"Land of Spira")</f>
        <v>Land of Spira</v>
      </c>
    </row>
    <row r="702">
      <c r="A702" s="1" t="str">
        <f>IFERROR(__xludf.DUMMYFUNCTION("""COMPUTED_VALUE"""),"Freezing Arrow")</f>
        <v>Freezing Arrow</v>
      </c>
      <c r="B702" s="1" t="str">
        <f>IFERROR(__xludf.DUMMYFUNCTION("""COMPUTED_VALUE"""),"Bow Ammunition. +500 water damage. +25% chance of Freeze to the enemy. roll a d20 to see how many you get if this is a loot drop.")</f>
        <v>Bow Ammunition. +500 water damage. +25% chance of Freeze to the enemy. roll a d20 to see how many you get if this is a loot drop.</v>
      </c>
      <c r="C702" s="1" t="str">
        <f>IFERROR(__xludf.DUMMYFUNCTION("""COMPUTED_VALUE"""),"Item")</f>
        <v>Item</v>
      </c>
      <c r="D702" s="1"/>
      <c r="E702" s="1"/>
      <c r="F702" s="1"/>
      <c r="G702" s="1"/>
      <c r="H702" s="1" t="b">
        <f>IFERROR(__xludf.DUMMYFUNCTION("""COMPUTED_VALUE"""),FALSE)</f>
        <v>0</v>
      </c>
      <c r="I702" s="1" t="str">
        <f>IFERROR(__xludf.DUMMYFUNCTION("""COMPUTED_VALUE"""),"Land of Spira")</f>
        <v>Land of Spira</v>
      </c>
    </row>
    <row r="703">
      <c r="A703" s="1" t="str">
        <f>IFERROR(__xludf.DUMMYFUNCTION("""COMPUTED_VALUE"""),"Healing Arrow")</f>
        <v>Healing Arrow</v>
      </c>
      <c r="B703" s="1" t="str">
        <f>IFERROR(__xludf.DUMMYFUNCTION("""COMPUTED_VALUE"""),"Bow Ammunition. +Restores 1000 HP and SP to the target. roll a d20 to see how many you get if this is a loot drop.")</f>
        <v>Bow Ammunition. +Restores 1000 HP and SP to the target. roll a d20 to see how many you get if this is a loot drop.</v>
      </c>
      <c r="C703" s="1" t="str">
        <f>IFERROR(__xludf.DUMMYFUNCTION("""COMPUTED_VALUE"""),"Item")</f>
        <v>Item</v>
      </c>
      <c r="D703" s="1"/>
      <c r="E703" s="1"/>
      <c r="F703" s="1"/>
      <c r="G703" s="1"/>
      <c r="H703" s="1" t="b">
        <f>IFERROR(__xludf.DUMMYFUNCTION("""COMPUTED_VALUE"""),FALSE)</f>
        <v>0</v>
      </c>
      <c r="I703" s="1" t="str">
        <f>IFERROR(__xludf.DUMMYFUNCTION("""COMPUTED_VALUE"""),"Land of Spira")</f>
        <v>Land of Spira</v>
      </c>
    </row>
    <row r="704">
      <c r="A704" s="1" t="str">
        <f>IFERROR(__xludf.DUMMYFUNCTION("""COMPUTED_VALUE"""),"Celestial Bullet")</f>
        <v>Celestial Bullet</v>
      </c>
      <c r="B704" s="1" t="str">
        <f>IFERROR(__xludf.DUMMYFUNCTION("""COMPUTED_VALUE"""),"Firearm Ammunition. +100 celestial damage. roll a d20 to see how many you get if this is a loot drop.")</f>
        <v>Firearm Ammunition. +100 celestial damage. roll a d20 to see how many you get if this is a loot drop.</v>
      </c>
      <c r="C704" s="1" t="str">
        <f>IFERROR(__xludf.DUMMYFUNCTION("""COMPUTED_VALUE"""),"Item")</f>
        <v>Item</v>
      </c>
      <c r="D704" s="1"/>
      <c r="E704" s="1"/>
      <c r="F704" s="1"/>
      <c r="G704" s="1"/>
      <c r="H704" s="1" t="b">
        <f>IFERROR(__xludf.DUMMYFUNCTION("""COMPUTED_VALUE"""),FALSE)</f>
        <v>0</v>
      </c>
      <c r="I704" s="1" t="str">
        <f>IFERROR(__xludf.DUMMYFUNCTION("""COMPUTED_VALUE"""),"Land of Spira")</f>
        <v>Land of Spira</v>
      </c>
    </row>
    <row r="705">
      <c r="A705" s="1" t="str">
        <f>IFERROR(__xludf.DUMMYFUNCTION("""COMPUTED_VALUE"""),"Fire Cannon Ball")</f>
        <v>Fire Cannon Ball</v>
      </c>
      <c r="B705" s="1" t="str">
        <f>IFERROR(__xludf.DUMMYFUNCTION("""COMPUTED_VALUE"""),"Fireball Cannon Ammunition, +5000 fire damage. roll a d20 to see how many you get if this is a loot drop.")</f>
        <v>Fireball Cannon Ammunition, +5000 fire damage. roll a d20 to see how many you get if this is a loot drop.</v>
      </c>
      <c r="C705" s="1" t="str">
        <f>IFERROR(__xludf.DUMMYFUNCTION("""COMPUTED_VALUE"""),"Item")</f>
        <v>Item</v>
      </c>
      <c r="D705" s="1"/>
      <c r="E705" s="1"/>
      <c r="F705" s="1"/>
      <c r="G705" s="1"/>
      <c r="H705" s="1" t="b">
        <f>IFERROR(__xludf.DUMMYFUNCTION("""COMPUTED_VALUE"""),FALSE)</f>
        <v>0</v>
      </c>
      <c r="I705" s="1" t="str">
        <f>IFERROR(__xludf.DUMMYFUNCTION("""COMPUTED_VALUE"""),"Land of Spira")</f>
        <v>Land of Spira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tr">
        <f>IFERROR(__xludf.DUMMYFUNCTION("IMPORTRANGE(""https://docs.google.com/spreadsheets/d/1HXoAI5UG3zq1UHqU5n7fPdbQk93qOha2VQb1r7iRi1o"",""Worlds!A:C"")"),"Name")</f>
        <v>Name</v>
      </c>
      <c r="B1" s="1"/>
      <c r="C1" s="1"/>
    </row>
    <row r="2">
      <c r="A2" s="1" t="str">
        <f>IFERROR(__xludf.DUMMYFUNCTION("""COMPUTED_VALUE"""),"Land of Spira")</f>
        <v>Land of Spira</v>
      </c>
      <c r="B2" s="1"/>
      <c r="C2" s="1"/>
    </row>
    <row r="3">
      <c r="A3" s="1" t="str">
        <f>IFERROR(__xludf.DUMMYFUNCTION("""COMPUTED_VALUE"""),"Abstara")</f>
        <v>Abstara</v>
      </c>
      <c r="B3" s="1"/>
      <c r="C3" s="1"/>
    </row>
    <row r="4">
      <c r="A4" s="1" t="str">
        <f>IFERROR(__xludf.DUMMYFUNCTION("""COMPUTED_VALUE"""),"Solreach")</f>
        <v>Solreach</v>
      </c>
      <c r="B4" s="1"/>
      <c r="C4" s="1"/>
    </row>
    <row r="5">
      <c r="A5" s="1" t="str">
        <f>IFERROR(__xludf.DUMMYFUNCTION("""COMPUTED_VALUE"""),"Halloween Kingdom")</f>
        <v>Halloween Kingdom</v>
      </c>
      <c r="B5" s="1"/>
      <c r="C5" s="1"/>
    </row>
    <row r="6">
      <c r="A6" s="1" t="str">
        <f>IFERROR(__xludf.DUMMYFUNCTION("""COMPUTED_VALUE"""),"Land of The Forgotten")</f>
        <v>Land of The Forgotten</v>
      </c>
      <c r="B6" s="1"/>
      <c r="C6" s="1"/>
    </row>
    <row r="7">
      <c r="A7" s="1" t="str">
        <f>IFERROR(__xludf.DUMMYFUNCTION("""COMPUTED_VALUE"""),"Dragonscale Island")</f>
        <v>Dragonscale Island</v>
      </c>
      <c r="B7" s="1"/>
      <c r="C7" s="1"/>
    </row>
    <row r="8">
      <c r="A8" s="1" t="str">
        <f>IFERROR(__xludf.DUMMYFUNCTION("""COMPUTED_VALUE"""),"Event Hub")</f>
        <v>Event Hub</v>
      </c>
      <c r="B8" s="1"/>
      <c r="C8" s="1"/>
    </row>
    <row r="9">
      <c r="A9" s="1" t="str">
        <f>IFERROR(__xludf.DUMMYFUNCTION("""COMPUTED_VALUE"""),"Tantalus - The Void")</f>
        <v>Tantalus - The Void</v>
      </c>
      <c r="B9" s="1"/>
      <c r="C9" s="1"/>
    </row>
    <row r="10">
      <c r="A10" s="1" t="str">
        <f>IFERROR(__xludf.DUMMYFUNCTION("""COMPUTED_VALUE"""),"Tantalus - Muspelheim")</f>
        <v>Tantalus - Muspelheim</v>
      </c>
      <c r="B10" s="1"/>
      <c r="C10" s="1"/>
    </row>
    <row r="11">
      <c r="A11" s="1" t="str">
        <f>IFERROR(__xludf.DUMMYFUNCTION("""COMPUTED_VALUE"""),"Hestheimer")</f>
        <v>Hestheimer</v>
      </c>
      <c r="B11" s="1"/>
      <c r="C11" s="1"/>
    </row>
    <row r="12">
      <c r="A12" s="1" t="str">
        <f>IFERROR(__xludf.DUMMYFUNCTION("""COMPUTED_VALUE"""),"Mekaheim")</f>
        <v>Mekaheim</v>
      </c>
      <c r="B12" s="1"/>
      <c r="C12" s="1"/>
    </row>
    <row r="13">
      <c r="A13" s="1" t="str">
        <f>IFERROR(__xludf.DUMMYFUNCTION("""COMPUTED_VALUE"""),"Celeste")</f>
        <v>Celeste</v>
      </c>
      <c r="B13" s="1"/>
      <c r="C13" s="1"/>
    </row>
    <row r="14">
      <c r="A14" s="1" t="str">
        <f>IFERROR(__xludf.DUMMYFUNCTION("""COMPUTED_VALUE"""),"Lostheimer")</f>
        <v>Lostheimer</v>
      </c>
      <c r="B14" s="1"/>
      <c r="C14" s="1"/>
    </row>
    <row r="15">
      <c r="A15" s="1" t="str">
        <f>IFERROR(__xludf.DUMMYFUNCTION("""COMPUTED_VALUE"""),"Jutulheim")</f>
        <v>Jutulheim</v>
      </c>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sheetData>
  <drawing r:id="rId1"/>
</worksheet>
</file>