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Panel de expertos/"/>
    </mc:Choice>
  </mc:AlternateContent>
  <xr:revisionPtr revIDLastSave="1522" documentId="13_ncr:1_{7BF2AEEA-675E-4CE0-9215-137092C8576A}" xr6:coauthVersionLast="47" xr6:coauthVersionMax="47" xr10:uidLastSave="{C5F0A669-94EF-40D5-B229-CCB8E0EE0F60}"/>
  <bookViews>
    <workbookView xWindow="0" yWindow="0" windowWidth="19200" windowHeight="21000" activeTab="5" xr2:uid="{3CAB450C-71BC-4FE8-B13A-D8A4907B4A86}"/>
    <workbookView xWindow="-19320" yWindow="6075" windowWidth="19440" windowHeight="15000" firstSheet="3" activeTab="4" xr2:uid="{AE3DD78F-27AA-4727-B149-F5572B5381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6"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3" i="4" s="1"/>
  <c r="F180" i="4" l="1"/>
  <c r="F181" i="4"/>
  <c r="F179" i="4"/>
  <c r="F182" i="4"/>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4" i="4" s="1"/>
  <c r="G185" i="4" l="1"/>
  <c r="G184" i="4"/>
  <c r="C186" i="4"/>
  <c r="G186" i="4" s="1"/>
  <c r="C342" i="5" s="1"/>
  <c r="C195" i="4"/>
  <c r="G196" i="4" s="1"/>
  <c r="C352" i="5" s="1"/>
  <c r="D236" i="4" a="1"/>
  <c r="D236" i="4" s="1"/>
  <c r="D237" i="4" s="1"/>
  <c r="D239" i="4" s="1"/>
  <c r="M230" i="4"/>
  <c r="C179" i="4" s="1"/>
  <c r="L234" i="4"/>
  <c r="C340" i="5" l="1"/>
  <c r="H184" i="4"/>
  <c r="I184" i="4" s="1" a="1"/>
  <c r="I184" i="4" s="1"/>
  <c r="H185" i="4"/>
  <c r="C341" i="5"/>
  <c r="G187" i="4"/>
  <c r="C343" i="5" s="1"/>
  <c r="G189" i="4"/>
  <c r="C345" i="5" s="1"/>
  <c r="G197" i="4"/>
  <c r="H197" i="4" s="1"/>
  <c r="G194" i="4"/>
  <c r="C350" i="5" s="1"/>
  <c r="G188" i="4"/>
  <c r="C344" i="5" s="1"/>
  <c r="G193" i="4"/>
  <c r="C349" i="5" s="1"/>
  <c r="G192" i="4"/>
  <c r="C348" i="5" s="1"/>
  <c r="G191" i="4"/>
  <c r="C347" i="5" s="1"/>
  <c r="G190" i="4"/>
  <c r="C346" i="5" s="1"/>
  <c r="G198" i="4"/>
  <c r="H198" i="4" s="1"/>
  <c r="G199" i="4"/>
  <c r="C355" i="5" s="1"/>
  <c r="G195" i="4"/>
  <c r="H196" i="4"/>
  <c r="M234" i="4"/>
  <c r="H186" i="4"/>
  <c r="H189" i="4" l="1"/>
  <c r="H192" i="4"/>
  <c r="H293" i="5"/>
  <c r="L180" i="4"/>
  <c r="C353" i="5"/>
  <c r="H194" i="4"/>
  <c r="C354" i="5"/>
  <c r="H199" i="4"/>
  <c r="H191" i="4"/>
  <c r="H193"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<sst xmlns="http://schemas.openxmlformats.org/spreadsheetml/2006/main" count="2139" uniqueCount="719">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</sst>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5</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2.8212496937025242</c:v>
                </c:pt>
                <c:pt idx="1">
                  <c:v>3.5835863178235314</c:v>
                </c:pt>
                <c:pt idx="2">
                  <c:v>3.6355013857038148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2.8212496937025242</c:v>
                      </c:pt>
                      <c:pt idx="1">
                        <c:v>3.5835863178235314</c:v>
                      </c:pt>
                      <c:pt idx="2">
                        <c:v>3.6355013857038148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3.6877635168650795</c:v>
                </c:pt>
                <c:pt idx="1">
                  <c:v>3.6850901346336356</c:v>
                </c:pt>
                <c:pt idx="2">
                  <c:v>3.5449168556311417</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pt idx="4">
                  <c:v>Cambios en los partes</c:v>
                </c:pt>
              </c:strCache>
            </c:strRef>
          </c:cat>
          <c:val>
            <c:numRef>
              <c:extLst>
                <c:ext xmlns:c15="http://schemas.microsoft.com/office/drawing/2012/chart" uri="{02D57815-91ED-43cb-92C2-25804820EDAC}">
                  <c15:fullRef>
                    <c15:sqref>Cálculos!$E$179:$E$183</c15:sqref>
                  </c15:fullRef>
                </c:ext>
              </c:extLst>
              <c:f>Cálculos!$E$179:$E$182</c:f>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6</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6</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4" workbookViewId="0">
      <selection activeCell="D4" sqref="D4:D29"/>
    </sheetView>
    <sheetView workbookViewId="1"/>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F6" sqref="F6"/>
    </sheetView>
    <sheetView workbookViewId="1"/>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718</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718</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Q26" sqref="Q26"/>
    </sheetView>
    <sheetView workbookViewId="1"/>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4" workbookViewId="0">
      <selection activeCell="D24" sqref="D24"/>
    </sheetView>
    <sheetView workbookViewId="1"/>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v>5</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19" workbookViewId="0">
      <selection activeCell="H14" sqref="H14"/>
    </sheetView>
    <sheetView tabSelected="1" topLeftCell="A129" zoomScale="89" zoomScaleNormal="89" workbookViewId="1">
      <selection activeCell="G153" sqref="G153"/>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c r="G6" s="60" t="s">
        <v>273</v>
      </c>
      <c r="H6" s="59"/>
      <c r="I6" s="60"/>
      <c r="J6" s="59"/>
      <c r="K6" s="65" t="s">
        <v>252</v>
      </c>
      <c r="L6" s="66">
        <f>IF(B6&lt;&gt;"",9,IF(C6&lt;&gt;"",7,IF(D6&lt;&gt;"",5,IF(E6&lt;&gt;"",3,IF(F6&lt;&gt;"",1,IF(G6&lt;&gt;"",1/3,IF(H6&lt;&gt;"",1/5,IF(I6&lt;&gt;"",1/7,IF(J6&lt;&gt;"",1/9,"N/A")))))))))</f>
        <v>0.33333333333333331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c r="G21" s="60"/>
      <c r="H21" s="59" t="s">
        <v>273</v>
      </c>
      <c r="I21" s="60"/>
      <c r="J21" s="59"/>
      <c r="K21" s="61" t="s">
        <v>137</v>
      </c>
      <c r="L21" s="66">
        <f t="shared" si="1"/>
        <v>0.2</v>
      </c>
    </row>
    <row r="22" spans="1:12" ht="15.75" thickBot="1" x14ac:dyDescent="0.3">
      <c r="A22" s="58" t="s">
        <v>136</v>
      </c>
      <c r="B22" s="60"/>
      <c r="C22" s="60"/>
      <c r="D22" s="60"/>
      <c r="E22" s="60"/>
      <c r="F22" s="59"/>
      <c r="G22" s="60" t="s">
        <v>273</v>
      </c>
      <c r="H22" s="60"/>
      <c r="I22" s="60"/>
      <c r="J22" s="60"/>
      <c r="K22" s="61" t="s">
        <v>138</v>
      </c>
      <c r="L22" s="66">
        <f t="shared" si="1"/>
        <v>0.33333333333333331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t="s">
        <v>273</v>
      </c>
      <c r="F25" s="59"/>
      <c r="G25" s="60"/>
      <c r="H25" s="59"/>
      <c r="I25" s="60"/>
      <c r="J25" s="59"/>
      <c r="K25" s="61" t="s">
        <v>251</v>
      </c>
      <c r="L25" s="66">
        <f t="shared" si="1"/>
        <v>3</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t="s">
        <v>273</v>
      </c>
      <c r="F30" s="59"/>
      <c r="G30" s="60"/>
      <c r="H30" s="59"/>
      <c r="I30" s="60"/>
      <c r="J30" s="59"/>
      <c r="K30" s="61" t="s">
        <v>265</v>
      </c>
      <c r="L30" s="66">
        <f>IF(B30&lt;&gt;"",9,IF(C30&lt;&gt;"",7,IF(D30&lt;&gt;"",5,IF(E30&lt;&gt;"",3,IF(F30&lt;&gt;"",1,IF(G30&lt;&gt;"",1/3,IF(H30&lt;&gt;"",1/5,IF(I30&lt;&gt;"",1/7,IF(J30&lt;&gt;"",1/9,"N/A")))))))))</f>
        <v>3</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c r="G37" s="60" t="s">
        <v>273</v>
      </c>
      <c r="H37" s="60"/>
      <c r="I37" s="60"/>
      <c r="J37" s="60"/>
      <c r="K37" s="61" t="s">
        <v>110</v>
      </c>
      <c r="L37" s="66">
        <f t="shared" si="2"/>
        <v>0.33333333333333331</v>
      </c>
    </row>
    <row r="38" spans="1:12" ht="15.75" thickBot="1" x14ac:dyDescent="0.3">
      <c r="A38" s="58" t="s">
        <v>105</v>
      </c>
      <c r="B38" s="59"/>
      <c r="C38" s="60"/>
      <c r="D38" s="59"/>
      <c r="E38" s="60"/>
      <c r="F38" s="59"/>
      <c r="G38" s="60" t="s">
        <v>273</v>
      </c>
      <c r="H38" s="59"/>
      <c r="I38" s="60"/>
      <c r="J38" s="59"/>
      <c r="K38" s="61" t="s">
        <v>111</v>
      </c>
      <c r="L38" s="66">
        <f t="shared" si="2"/>
        <v>0.33333333333333331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c r="G44" s="60" t="s">
        <v>273</v>
      </c>
      <c r="H44" s="59"/>
      <c r="I44" s="60"/>
      <c r="J44" s="59"/>
      <c r="K44" s="61" t="s">
        <v>110</v>
      </c>
      <c r="L44" s="66">
        <f t="shared" si="2"/>
        <v>0.33333333333333331</v>
      </c>
    </row>
    <row r="45" spans="1:12" ht="15.75" thickBot="1" x14ac:dyDescent="0.3">
      <c r="A45" s="58" t="s">
        <v>107</v>
      </c>
      <c r="B45" s="60"/>
      <c r="C45" s="60"/>
      <c r="D45" s="60"/>
      <c r="E45" s="60"/>
      <c r="F45" s="59"/>
      <c r="G45" s="60" t="s">
        <v>273</v>
      </c>
      <c r="H45" s="60"/>
      <c r="I45" s="60"/>
      <c r="J45" s="60"/>
      <c r="K45" s="61" t="s">
        <v>111</v>
      </c>
      <c r="L45" s="66">
        <f t="shared" si="2"/>
        <v>0.33333333333333331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c r="G50" s="60" t="s">
        <v>273</v>
      </c>
      <c r="H50" s="59"/>
      <c r="I50" s="60"/>
      <c r="J50" s="59"/>
      <c r="K50" s="61" t="s">
        <v>110</v>
      </c>
      <c r="L50" s="66">
        <f t="shared" si="2"/>
        <v>0.33333333333333331</v>
      </c>
    </row>
    <row r="51" spans="1:12" ht="15.75" thickBot="1" x14ac:dyDescent="0.3">
      <c r="A51" s="58" t="s">
        <v>108</v>
      </c>
      <c r="B51" s="60"/>
      <c r="C51" s="60"/>
      <c r="D51" s="60"/>
      <c r="E51" s="60"/>
      <c r="F51" s="59"/>
      <c r="G51" s="60" t="s">
        <v>273</v>
      </c>
      <c r="H51" s="60"/>
      <c r="I51" s="60"/>
      <c r="J51" s="60"/>
      <c r="K51" s="61" t="s">
        <v>111</v>
      </c>
      <c r="L51" s="66">
        <f t="shared" si="2"/>
        <v>0.33333333333333331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IF(B59&lt;&gt;"",9,IF(C59&lt;&gt;"",7,IF(D59&lt;&gt;"",5,IF(E59&lt;&gt;"",3,IF(F59&lt;&gt;"",1,IF(G59&lt;&gt;"",1/3,IF(H59&lt;&gt;"",1/5,IF(I59&lt;&gt;"",1/7,IF(J59&lt;&gt;"",1/9,"N/A")))))))))</f>
        <v>1</v>
      </c>
    </row>
    <row r="60" spans="1:12" ht="15.75" thickBot="1" x14ac:dyDescent="0.3">
      <c r="A60" s="58" t="s">
        <v>110</v>
      </c>
      <c r="B60" s="59"/>
      <c r="C60" s="60"/>
      <c r="D60" s="59"/>
      <c r="E60" s="60" t="s">
        <v>273</v>
      </c>
      <c r="F60" s="59"/>
      <c r="G60" s="60"/>
      <c r="H60" s="59"/>
      <c r="I60" s="60"/>
      <c r="J60" s="59"/>
      <c r="K60" s="61" t="s">
        <v>111</v>
      </c>
      <c r="L60" s="66">
        <f>IF(B60&lt;&gt;"",9,IF(C60&lt;&gt;"",7,IF(D60&lt;&gt;"",5,IF(E60&lt;&gt;"",3,IF(F60&lt;&gt;"",1,IF(G60&lt;&gt;"",1/3,IF(H60&lt;&gt;"",1/5,IF(I60&lt;&gt;"",1/7,IF(J60&lt;&gt;"",1/9,"N/A")))))))))</f>
        <v>3</v>
      </c>
    </row>
    <row r="61" spans="1:12" ht="15.75" thickBot="1" x14ac:dyDescent="0.3">
      <c r="A61" s="58" t="s">
        <v>110</v>
      </c>
      <c r="B61" s="60"/>
      <c r="C61" s="60"/>
      <c r="D61" s="60"/>
      <c r="E61" s="60" t="s">
        <v>273</v>
      </c>
      <c r="F61" s="59"/>
      <c r="G61" s="60"/>
      <c r="H61" s="60"/>
      <c r="I61" s="60"/>
      <c r="J61" s="60"/>
      <c r="K61" s="61" t="s">
        <v>112</v>
      </c>
      <c r="L61" s="66">
        <f>IF(B61&lt;&gt;"",9,IF(C61&lt;&gt;"",7,IF(D61&lt;&gt;"",5,IF(E61&lt;&gt;"",3,IF(F61&lt;&gt;"",1,IF(G61&lt;&gt;"",1/3,IF(H61&lt;&gt;"",1/5,IF(I61&lt;&gt;"",1/7,IF(J61&lt;&gt;"",1/9,"N/A")))))))))</f>
        <v>3</v>
      </c>
    </row>
    <row r="62" spans="1:12" ht="15.75" thickBot="1" x14ac:dyDescent="0.3">
      <c r="A62" s="58" t="s">
        <v>110</v>
      </c>
      <c r="B62" s="59"/>
      <c r="C62" s="60"/>
      <c r="D62" s="59"/>
      <c r="E62" s="60" t="s">
        <v>273</v>
      </c>
      <c r="F62" s="59"/>
      <c r="G62" s="60"/>
      <c r="H62" s="59"/>
      <c r="I62" s="60"/>
      <c r="J62" s="59"/>
      <c r="K62" s="61" t="s">
        <v>113</v>
      </c>
      <c r="L62" s="66">
        <f>IF(B62&lt;&gt;"",9,IF(C62&lt;&gt;"",7,IF(D62&lt;&gt;"",5,IF(E62&lt;&gt;"",3,IF(F62&lt;&gt;"",1,IF(G62&lt;&gt;"",1/3,IF(H62&lt;&gt;"",1/5,IF(I62&lt;&gt;"",1/7,IF(J62&lt;&gt;"",1/9,"N/A")))))))))</f>
        <v>3</v>
      </c>
    </row>
    <row r="63" spans="1:12" ht="15.75" thickBot="1" x14ac:dyDescent="0.3">
      <c r="A63" s="58" t="s">
        <v>110</v>
      </c>
      <c r="B63" s="60"/>
      <c r="C63" s="60"/>
      <c r="D63" s="60"/>
      <c r="E63" s="60" t="s">
        <v>273</v>
      </c>
      <c r="F63" s="59"/>
      <c r="G63" s="60"/>
      <c r="H63" s="60"/>
      <c r="I63" s="60"/>
      <c r="J63" s="60"/>
      <c r="K63" s="61" t="s">
        <v>114</v>
      </c>
      <c r="L63" s="66">
        <f>IF(B63&lt;&gt;"",9,IF(C63&lt;&gt;"",7,IF(D63&lt;&gt;"",5,IF(E63&lt;&gt;"",3,IF(F63&lt;&gt;"",1,IF(G63&lt;&gt;"",1/3,IF(H63&lt;&gt;"",1/5,IF(I63&lt;&gt;"",1/7,IF(J63&lt;&gt;"",1/9,"N/A")))))))))</f>
        <v>3</v>
      </c>
    </row>
    <row r="64" spans="1:12" ht="15.75" thickBot="1" x14ac:dyDescent="0.3">
      <c r="A64" s="58" t="s">
        <v>111</v>
      </c>
      <c r="B64" s="59"/>
      <c r="C64" s="60"/>
      <c r="D64" s="59"/>
      <c r="E64" s="60" t="s">
        <v>273</v>
      </c>
      <c r="F64" s="59"/>
      <c r="G64" s="60"/>
      <c r="H64" s="59"/>
      <c r="I64" s="60"/>
      <c r="J64" s="59"/>
      <c r="K64" s="61" t="s">
        <v>112</v>
      </c>
      <c r="L64" s="66">
        <f t="shared" si="2"/>
        <v>3</v>
      </c>
    </row>
    <row r="65" spans="1:12" ht="15.75" thickBot="1" x14ac:dyDescent="0.3">
      <c r="A65" s="58" t="s">
        <v>111</v>
      </c>
      <c r="B65" s="60"/>
      <c r="C65" s="60"/>
      <c r="D65" s="60"/>
      <c r="E65" s="60" t="s">
        <v>273</v>
      </c>
      <c r="F65" s="59"/>
      <c r="G65" s="60"/>
      <c r="H65" s="60"/>
      <c r="I65" s="60"/>
      <c r="J65" s="60"/>
      <c r="K65" s="61" t="s">
        <v>113</v>
      </c>
      <c r="L65" s="66">
        <f t="shared" si="2"/>
        <v>3</v>
      </c>
    </row>
    <row r="66" spans="1:12" ht="15.75" thickBot="1" x14ac:dyDescent="0.3">
      <c r="A66" s="58" t="s">
        <v>111</v>
      </c>
      <c r="B66" s="59"/>
      <c r="C66" s="60"/>
      <c r="D66" s="59"/>
      <c r="E66" s="60" t="s">
        <v>273</v>
      </c>
      <c r="F66" s="59"/>
      <c r="G66" s="60"/>
      <c r="H66" s="59"/>
      <c r="I66" s="60"/>
      <c r="J66" s="59"/>
      <c r="K66" s="61" t="s">
        <v>114</v>
      </c>
      <c r="L66" s="66">
        <f t="shared" si="2"/>
        <v>3</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t="s">
        <v>273</v>
      </c>
      <c r="F74" s="59"/>
      <c r="G74" s="60"/>
      <c r="H74" s="59"/>
      <c r="I74" s="60"/>
      <c r="J74" s="59"/>
      <c r="K74" s="61" t="s">
        <v>374</v>
      </c>
      <c r="L74" s="66">
        <f>IF(B74&lt;&gt;"",9,IF(C74&lt;&gt;"",7,IF(D74&lt;&gt;"",5,IF(E74&lt;&gt;"",3,IF(F74&lt;&gt;"",1,IF(G74&lt;&gt;"",1/3,IF(H74&lt;&gt;"",1/5,IF(I74&lt;&gt;"",1/7,IF(J74&lt;&gt;"",1/9,"N/A")))))))))</f>
        <v>3</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t="s">
        <v>273</v>
      </c>
      <c r="F77" s="59"/>
      <c r="G77" s="60"/>
      <c r="H77" s="60"/>
      <c r="I77" s="60"/>
      <c r="J77" s="60"/>
      <c r="K77" s="61" t="s">
        <v>371</v>
      </c>
      <c r="L77" s="66">
        <f t="shared" si="3"/>
        <v>3</v>
      </c>
    </row>
    <row r="78" spans="1:12" ht="15.75" thickBot="1" x14ac:dyDescent="0.3">
      <c r="A78" s="61" t="s">
        <v>374</v>
      </c>
      <c r="B78" s="59"/>
      <c r="C78" s="60"/>
      <c r="D78" s="59"/>
      <c r="E78" s="60" t="s">
        <v>273</v>
      </c>
      <c r="F78" s="59"/>
      <c r="G78" s="60"/>
      <c r="H78" s="59"/>
      <c r="I78" s="60"/>
      <c r="J78" s="59"/>
      <c r="K78" s="61" t="s">
        <v>369</v>
      </c>
      <c r="L78" s="66">
        <f t="shared" si="3"/>
        <v>3</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c r="G81" s="60" t="s">
        <v>273</v>
      </c>
      <c r="H81" s="60"/>
      <c r="I81" s="60"/>
      <c r="J81" s="60"/>
      <c r="K81" s="61" t="s">
        <v>370</v>
      </c>
      <c r="L81" s="66">
        <f t="shared" si="3"/>
        <v>0.33333333333333331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t="s">
        <v>273</v>
      </c>
      <c r="F89" s="59"/>
      <c r="G89" s="60"/>
      <c r="H89" s="59"/>
      <c r="I89" s="60"/>
      <c r="J89" s="59"/>
      <c r="K89" s="65" t="s">
        <v>255</v>
      </c>
      <c r="L89" s="66">
        <f t="shared" ref="L89:L91" si="4">IF(B89&lt;&gt;"",9,IF(C89&lt;&gt;"",7,IF(D89&lt;&gt;"",5,IF(E89&lt;&gt;"",3,IF(F89&lt;&gt;"",1,IF(G89&lt;&gt;"",1/3,IF(H89&lt;&gt;"",1/5,IF(I89&lt;&gt;"",1/7,IF(J89&lt;&gt;"",1/9,"N/A")))))))))</f>
        <v>3</v>
      </c>
    </row>
    <row r="90" spans="1:20" ht="15.75" thickBot="1" x14ac:dyDescent="0.3">
      <c r="A90" s="58" t="s">
        <v>254</v>
      </c>
      <c r="B90" s="60"/>
      <c r="C90" s="60"/>
      <c r="D90" s="60"/>
      <c r="E90" s="60"/>
      <c r="F90" s="59"/>
      <c r="G90" s="60" t="s">
        <v>273</v>
      </c>
      <c r="H90" s="60"/>
      <c r="I90" s="60"/>
      <c r="J90" s="60"/>
      <c r="K90" s="65" t="s">
        <v>256</v>
      </c>
      <c r="L90" s="66">
        <f t="shared" si="4"/>
        <v>0.33333333333333331</v>
      </c>
    </row>
    <row r="91" spans="1:20" ht="15.75" thickBot="1" x14ac:dyDescent="0.3">
      <c r="A91" s="58" t="s">
        <v>255</v>
      </c>
      <c r="B91" s="60"/>
      <c r="C91" s="60"/>
      <c r="D91" s="60" t="s">
        <v>273</v>
      </c>
      <c r="E91" s="60"/>
      <c r="F91" s="59"/>
      <c r="G91" s="60"/>
      <c r="H91" s="60"/>
      <c r="I91" s="60"/>
      <c r="J91" s="60"/>
      <c r="K91" s="65" t="s">
        <v>256</v>
      </c>
      <c r="L91" s="66">
        <f t="shared" si="4"/>
        <v>5</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c r="G104" s="60" t="s">
        <v>273</v>
      </c>
      <c r="H104" s="59"/>
      <c r="I104" s="60"/>
      <c r="J104" s="59"/>
      <c r="K104" s="61" t="s">
        <v>139</v>
      </c>
      <c r="L104" s="66">
        <f t="shared" si="5"/>
        <v>0.33333333333333331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c r="G108" s="60" t="s">
        <v>273</v>
      </c>
      <c r="H108" s="60"/>
      <c r="I108" s="60"/>
      <c r="J108" s="60"/>
      <c r="K108" s="61" t="s">
        <v>139</v>
      </c>
      <c r="L108" s="66">
        <f t="shared" si="5"/>
        <v>0.33333333333333331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t="s">
        <v>273</v>
      </c>
      <c r="F112" s="59"/>
      <c r="G112" s="60"/>
      <c r="H112" s="59"/>
      <c r="I112" s="60"/>
      <c r="J112" s="59"/>
      <c r="K112" s="61" t="s">
        <v>141</v>
      </c>
      <c r="L112" s="66">
        <f t="shared" si="5"/>
        <v>3</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t="s">
        <v>273</v>
      </c>
      <c r="E123" s="60"/>
      <c r="F123" s="59"/>
      <c r="G123" s="60"/>
      <c r="H123" s="59"/>
      <c r="I123" s="60"/>
      <c r="J123" s="59"/>
      <c r="K123" s="61" t="s">
        <v>118</v>
      </c>
      <c r="L123" s="66">
        <f t="shared" si="6"/>
        <v>5</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t="s">
        <v>273</v>
      </c>
      <c r="F135" s="59"/>
      <c r="G135" s="60"/>
      <c r="H135" s="60"/>
      <c r="I135" s="60"/>
      <c r="J135" s="60"/>
      <c r="K135" s="61" t="s">
        <v>516</v>
      </c>
      <c r="L135" s="66">
        <f t="shared" si="7"/>
        <v>3</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t="s">
        <v>273</v>
      </c>
      <c r="F144" s="59"/>
      <c r="G144" s="60"/>
      <c r="H144" s="59"/>
      <c r="I144" s="60"/>
      <c r="J144" s="59"/>
      <c r="K144" s="61" t="s">
        <v>516</v>
      </c>
      <c r="L144" s="66">
        <f t="shared" si="7"/>
        <v>3</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t="s">
        <v>273</v>
      </c>
      <c r="F149" s="59"/>
      <c r="G149" s="60"/>
      <c r="H149" s="60"/>
      <c r="I149" s="60"/>
      <c r="J149" s="60"/>
      <c r="K149" s="61" t="s">
        <v>516</v>
      </c>
      <c r="L149" s="66">
        <f t="shared" si="7"/>
        <v>3</v>
      </c>
    </row>
    <row r="150" spans="1:12" ht="15.75" thickBot="1" x14ac:dyDescent="0.3">
      <c r="A150" s="61" t="s">
        <v>515</v>
      </c>
      <c r="B150" s="59"/>
      <c r="C150" s="60"/>
      <c r="D150" s="59"/>
      <c r="E150" s="60" t="s">
        <v>273</v>
      </c>
      <c r="F150" s="59"/>
      <c r="G150" s="60"/>
      <c r="H150" s="59"/>
      <c r="I150" s="60"/>
      <c r="J150" s="59"/>
      <c r="K150" s="61" t="s">
        <v>516</v>
      </c>
      <c r="L150" s="66">
        <f t="shared" si="7"/>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83" workbookViewId="0">
      <selection activeCell="G201" sqref="G201"/>
    </sheetView>
    <sheetView workbookViewId="1"/>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hidden="1" customWidth="1"/>
    <col min="6" max="6" width="38.85546875" hidden="1"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6"/>
      <c r="C7" s="206" t="s">
        <v>54</v>
      </c>
      <c r="D7" s="17" t="s">
        <v>47</v>
      </c>
      <c r="E7" s="16">
        <f>AVERAGE('Resultados Examen'!C$7:C$106)</f>
        <v>8.8000000000000007</v>
      </c>
      <c r="N7" t="s">
        <v>302</v>
      </c>
    </row>
    <row r="8" spans="1:14" x14ac:dyDescent="0.25">
      <c r="B8" s="226"/>
      <c r="C8" s="206"/>
      <c r="D8" s="17" t="s">
        <v>48</v>
      </c>
      <c r="E8" s="1">
        <f>_xlfn.VAR.S('Resultados Examen'!C$7:C$106)</f>
        <v>0.19999999999999998</v>
      </c>
      <c r="N8" t="s">
        <v>303</v>
      </c>
    </row>
    <row r="9" spans="1:14" x14ac:dyDescent="0.25">
      <c r="B9" s="226"/>
      <c r="C9" s="206"/>
      <c r="D9" s="17" t="s">
        <v>55</v>
      </c>
      <c r="E9" s="1">
        <f>COUNT('Resultados Examen'!C$7:C$106)</f>
        <v>5</v>
      </c>
    </row>
    <row r="11" spans="1:14" ht="15" customHeight="1" x14ac:dyDescent="0.25">
      <c r="B11" s="226" t="s">
        <v>73</v>
      </c>
      <c r="C11" s="206" t="s">
        <v>53</v>
      </c>
      <c r="D11" s="17" t="s">
        <v>47</v>
      </c>
      <c r="E11" s="16">
        <f>IF('Resultados Examen'!$F$6="Sí",AVERAGE('Resultados Examen'!G$7:G$106),"N/A")</f>
        <v>4.6888888888888891</v>
      </c>
    </row>
    <row r="12" spans="1:14" x14ac:dyDescent="0.25">
      <c r="B12" s="226"/>
      <c r="C12" s="206"/>
      <c r="D12" s="17" t="s">
        <v>48</v>
      </c>
      <c r="E12" s="1">
        <f>IF('Resultados Examen'!$F$6="Sí",_xlfn.VAR.S('Resultados Examen'!G$7:G$106),"N/A")</f>
        <v>0.42111111111110944</v>
      </c>
    </row>
    <row r="13" spans="1:14" x14ac:dyDescent="0.25">
      <c r="B13" s="226"/>
      <c r="C13" s="206"/>
      <c r="D13" s="17" t="s">
        <v>55</v>
      </c>
      <c r="E13" s="1">
        <f>IF('Resultados Examen'!$F$6="Sí",COUNT('Resultados Examen'!G$7:G$106),"N/A")</f>
        <v>9</v>
      </c>
    </row>
    <row r="14" spans="1:14" x14ac:dyDescent="0.25">
      <c r="B14" s="226"/>
      <c r="C14" s="206" t="s">
        <v>54</v>
      </c>
      <c r="D14" s="17" t="s">
        <v>47</v>
      </c>
      <c r="E14" s="16">
        <f>IF('Resultados Examen'!$F$6="Sí",AVERAGE('Resultados Examen'!H$7:H$106),"N/A")</f>
        <v>7.1999999999999993</v>
      </c>
    </row>
    <row r="15" spans="1:14" x14ac:dyDescent="0.25">
      <c r="B15" s="226"/>
      <c r="C15" s="206"/>
      <c r="D15" s="17" t="s">
        <v>48</v>
      </c>
      <c r="E15" s="1">
        <f>IF('Resultados Examen'!$F$6="Sí",_xlfn.VAR.S('Resultados Examen'!H$7:H$106),"N/A")</f>
        <v>0.16</v>
      </c>
    </row>
    <row r="16" spans="1:14" x14ac:dyDescent="0.25">
      <c r="B16" s="226"/>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301</v>
      </c>
      <c r="J42">
        <f>_xlfn.T.DIST.2T(I35,J38)</f>
        <v>5.6254521937721194E-4</v>
      </c>
      <c r="O42" s="23"/>
    </row>
    <row r="43" spans="2:15" x14ac:dyDescent="0.25">
      <c r="B43" s="22"/>
      <c r="H43" s="24" t="s">
        <v>78</v>
      </c>
      <c r="O43" s="23"/>
    </row>
    <row r="44" spans="2:15" x14ac:dyDescent="0.25">
      <c r="B44" s="22"/>
      <c r="H44" s="214" t="str">
        <f>"t "&amp;IF(H35&gt;I41,"&gt;","&lt;")&amp;" valor crítico, por lo tanto se acepta la " &amp; IF(I35&gt;J41,LOWER(I29),LOWER(I28))</f>
        <v>t &lt; valor crítico, por lo tanto se acepta la hipótesis alternativa: ambos grupos tienen medias  distintas</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301</v>
      </c>
      <c r="J82">
        <f>_xlfn.T.DIST.2T(I75,J78)</f>
        <v>1.6744761331307568E-5</v>
      </c>
      <c r="O82" s="23"/>
    </row>
    <row r="83" spans="2:15" x14ac:dyDescent="0.25">
      <c r="B83" s="22"/>
      <c r="H83" s="24" t="s">
        <v>78</v>
      </c>
      <c r="O83" s="23"/>
    </row>
    <row r="84" spans="2:15" x14ac:dyDescent="0.25">
      <c r="B84" s="22"/>
      <c r="H84" s="214" t="str">
        <f>"t "&amp;IF(H75&gt;I81,"&gt;","&lt;")&amp;" valor crítico, por lo tanto se acepta la " &amp; IF(I75&gt;J81,LOWER(I69),LOWER(I68))</f>
        <v>t &lt; valor crítico, por lo tanto se acepta la hipótesis alternativa: ambos grupos tienen medias distintas</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5</v>
      </c>
      <c r="E169" s="48">
        <f>IF(D169="N/A","N/A",D169/2)</f>
        <v>2.5</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07" t="s">
        <v>522</v>
      </c>
      <c r="B179" s="217" t="s">
        <v>250</v>
      </c>
      <c r="C179" s="219">
        <f>IF($C$184="N/A",M230/(1-M231),M230)</f>
        <v>0.19166666666666665</v>
      </c>
      <c r="D179" s="1" t="s">
        <v>135</v>
      </c>
      <c r="E179" s="90">
        <f>E164</f>
        <v>4.5</v>
      </c>
      <c r="F179" s="91">
        <f>IF($E$183="N/A",O257/(1-O$261),O257)</f>
        <v>0.18951086649199858</v>
      </c>
      <c r="G179" s="91">
        <f>F179*C$179</f>
        <v>3.6322916077633056E-2</v>
      </c>
      <c r="H179" s="37">
        <f>G179*E179</f>
        <v>0.16345312234934875</v>
      </c>
      <c r="I179" s="222" cm="1">
        <f t="array" ref="I179">IF(E183="N/A",SUM(E179:E182*F179:F182),SUM(E179:E183*F179:F183))</f>
        <v>2.8212496937025242</v>
      </c>
      <c r="K179" s="51" t="str">
        <f>B179</f>
        <v>Resultados de comportamiento</v>
      </c>
      <c r="L179" s="8">
        <f>I179</f>
        <v>2.8212496937025242</v>
      </c>
    </row>
    <row r="180" spans="1:12" x14ac:dyDescent="0.25">
      <c r="A180" s="207"/>
      <c r="B180" s="217"/>
      <c r="C180" s="220"/>
      <c r="D180" s="1" t="s">
        <v>136</v>
      </c>
      <c r="E180" s="90">
        <f>E165</f>
        <v>0</v>
      </c>
      <c r="F180" s="91">
        <f t="shared" ref="F180:F182" si="2">IF($E$183="N/A",O258/(1-O$261),O258)</f>
        <v>0.11345861685484326</v>
      </c>
      <c r="G180" s="91">
        <f>F180*C$179</f>
        <v>2.174623489717829E-2</v>
      </c>
      <c r="H180" s="37">
        <f t="shared" ref="H180:H215" si="3">G180*E180</f>
        <v>0</v>
      </c>
      <c r="I180" s="222"/>
      <c r="K180" s="51" t="str">
        <f>B184</f>
        <v>Resultados académicos</v>
      </c>
      <c r="L180" s="8">
        <f>I184</f>
        <v>3.5723490427098681</v>
      </c>
    </row>
    <row r="181" spans="1:12" x14ac:dyDescent="0.25">
      <c r="A181" s="207"/>
      <c r="B181" s="217"/>
      <c r="C181" s="220"/>
      <c r="D181" s="1" t="s">
        <v>137</v>
      </c>
      <c r="E181" s="90">
        <f>E166</f>
        <v>2.5</v>
      </c>
      <c r="F181" s="91">
        <f t="shared" si="2"/>
        <v>0.31938099636212847</v>
      </c>
      <c r="G181" s="91">
        <f>F181*C$179</f>
        <v>6.1214690969407952E-2</v>
      </c>
      <c r="H181" s="37">
        <f t="shared" si="3"/>
        <v>0.15303672742351987</v>
      </c>
      <c r="I181" s="222"/>
      <c r="K181" s="51" t="str">
        <f>B186</f>
        <v>Resultados motivacionales</v>
      </c>
      <c r="L181" s="8">
        <f>I186</f>
        <v>3.5835863178235314</v>
      </c>
    </row>
    <row r="182" spans="1:12" x14ac:dyDescent="0.25">
      <c r="A182" s="207"/>
      <c r="B182" s="217"/>
      <c r="C182" s="220"/>
      <c r="D182" s="1" t="s">
        <v>138</v>
      </c>
      <c r="E182" s="90">
        <f>E167</f>
        <v>3.5</v>
      </c>
      <c r="F182" s="91">
        <f t="shared" si="2"/>
        <v>0.2258745028556349</v>
      </c>
      <c r="G182" s="91">
        <f>F182*C$179</f>
        <v>4.3292613047330022E-2</v>
      </c>
      <c r="H182" s="37">
        <f t="shared" si="3"/>
        <v>0.15152414566565509</v>
      </c>
      <c r="I182" s="222"/>
      <c r="K182" s="51" t="s">
        <v>368</v>
      </c>
      <c r="L182" s="90">
        <f>I195</f>
        <v>3.6355013857038148</v>
      </c>
    </row>
    <row r="183" spans="1:12" x14ac:dyDescent="0.25">
      <c r="A183" s="207"/>
      <c r="B183" s="217"/>
      <c r="C183" s="220"/>
      <c r="D183" s="1" t="s">
        <v>251</v>
      </c>
      <c r="E183" s="90">
        <f>E169</f>
        <v>2.5</v>
      </c>
      <c r="F183" s="91">
        <f>IF(E183="N/A",0,O261)</f>
        <v>0.15177501743539476</v>
      </c>
      <c r="G183" s="91">
        <f>F183*C$179</f>
        <v>2.9090211675117328E-2</v>
      </c>
      <c r="H183" s="37">
        <f>IF(E183="N/A","N/A",G183*E183)</f>
        <v>7.272552918779332E-2</v>
      </c>
      <c r="I183" s="222"/>
      <c r="K183" s="51" t="str">
        <f>B209</f>
        <v>Diseño del contenido</v>
      </c>
      <c r="L183" s="8">
        <f>I209</f>
        <v>3.6877635168650795</v>
      </c>
    </row>
    <row r="184" spans="1:12" x14ac:dyDescent="0.25">
      <c r="A184" s="207"/>
      <c r="B184" s="217" t="s">
        <v>252</v>
      </c>
      <c r="C184" s="219">
        <f>IF(E184="N/A","N/A",M231)</f>
        <v>0.32500000000000001</v>
      </c>
      <c r="D184" s="1" t="s">
        <v>91</v>
      </c>
      <c r="E184" s="90">
        <f>K5</f>
        <v>3.453608247422681</v>
      </c>
      <c r="F184" s="91">
        <f>IF('Resultados Examen'!F6="Sí",I273,1)</f>
        <v>0.75</v>
      </c>
      <c r="G184" s="91">
        <f>IF(C$184="N/A","N/A",F184*C$184)</f>
        <v>0.24375000000000002</v>
      </c>
      <c r="H184" s="37">
        <f>IF(G184="N/A","N/A",G184*E184)</f>
        <v>0.84181701030927858</v>
      </c>
      <c r="I184" s="222" cm="1">
        <f t="array" ref="I184">IF(H184="N/A","N/A",SUM(E184:E185*F184:F185))</f>
        <v>3.5723490427098681</v>
      </c>
      <c r="K184" s="51" t="str">
        <f>B213</f>
        <v>Diseño metodológico</v>
      </c>
      <c r="L184" s="90">
        <f>I213</f>
        <v>3.6850901346336356</v>
      </c>
    </row>
    <row r="185" spans="1:12" x14ac:dyDescent="0.25">
      <c r="A185" s="207"/>
      <c r="B185" s="217"/>
      <c r="C185" s="220"/>
      <c r="D185" s="1" t="s">
        <v>95</v>
      </c>
      <c r="E185" s="90">
        <f>IF(E184="N/A","N/A",IF('Resultados Examen'!F6="Sí",K6,0))</f>
        <v>3.9285714285714293</v>
      </c>
      <c r="F185" s="91">
        <f>IF('Resultados Examen'!F6="Sí",I274,0)</f>
        <v>0.25</v>
      </c>
      <c r="G185" s="91">
        <f>IF(C$184="N/A","N/A",F185*C$184)</f>
        <v>8.1250000000000003E-2</v>
      </c>
      <c r="H185" s="37">
        <f>IF(G185="N/A","N/A",G185*E185)</f>
        <v>0.31919642857142866</v>
      </c>
      <c r="I185" s="222"/>
      <c r="K185" s="51" t="str">
        <f>B202</f>
        <v>Diseño técnico</v>
      </c>
      <c r="L185" s="8">
        <f>I202</f>
        <v>3.5449168556311417</v>
      </c>
    </row>
    <row r="186" spans="1:12" x14ac:dyDescent="0.25">
      <c r="A186" s="207"/>
      <c r="B186" s="217" t="s">
        <v>253</v>
      </c>
      <c r="C186" s="219">
        <f>IF($C$184="N/A",M232/(1-M231),M232)</f>
        <v>0.24166666666666667</v>
      </c>
      <c r="D186" s="1" t="s">
        <v>105</v>
      </c>
      <c r="E186" s="90">
        <f t="shared" ref="E186:E194" si="4">I122</f>
        <v>3.7053571428571432</v>
      </c>
      <c r="F186" s="91">
        <f>W286</f>
        <v>7.7465744132410794E-2</v>
      </c>
      <c r="G186" s="91">
        <f>F186*C$186</f>
        <v>1.872088816533261E-2</v>
      </c>
      <c r="H186" s="37">
        <f t="shared" si="3"/>
        <v>6.9367576684044946E-2</v>
      </c>
      <c r="I186" s="222" cm="1">
        <f t="array" ref="I186">SUM(E186:E194*F186:F194)</f>
        <v>3.5835863178235314</v>
      </c>
    </row>
    <row r="187" spans="1:12" x14ac:dyDescent="0.25">
      <c r="A187" s="207"/>
      <c r="B187" s="217"/>
      <c r="C187" s="220"/>
      <c r="D187" s="1" t="s">
        <v>107</v>
      </c>
      <c r="E187" s="90">
        <f t="shared" si="4"/>
        <v>4.1517857142857135</v>
      </c>
      <c r="F187" s="91">
        <f t="shared" ref="F187:F194" si="5">W287</f>
        <v>7.7465744132410794E-2</v>
      </c>
      <c r="G187" s="91">
        <f t="shared" ref="G187:G194" si="6">F187*C$186</f>
        <v>1.872088816533261E-2</v>
      </c>
      <c r="H187" s="37">
        <f t="shared" si="3"/>
        <v>7.772511604356841E-2</v>
      </c>
      <c r="I187" s="222"/>
      <c r="K187" s="11"/>
    </row>
    <row r="188" spans="1:12" x14ac:dyDescent="0.25">
      <c r="A188" s="207"/>
      <c r="B188" s="217"/>
      <c r="C188" s="220"/>
      <c r="D188" s="1" t="s">
        <v>108</v>
      </c>
      <c r="E188" s="90">
        <f t="shared" si="4"/>
        <v>3.75</v>
      </c>
      <c r="F188" s="91">
        <f t="shared" si="5"/>
        <v>7.7465744132410794E-2</v>
      </c>
      <c r="G188" s="91">
        <f t="shared" si="6"/>
        <v>1.872088816533261E-2</v>
      </c>
      <c r="H188" s="37">
        <f t="shared" si="3"/>
        <v>7.0203330619997284E-2</v>
      </c>
      <c r="I188" s="222"/>
      <c r="K188" s="11"/>
    </row>
    <row r="189" spans="1:12" x14ac:dyDescent="0.25">
      <c r="A189" s="207"/>
      <c r="B189" s="217"/>
      <c r="C189" s="220"/>
      <c r="D189" s="1" t="s">
        <v>109</v>
      </c>
      <c r="E189" s="90">
        <f t="shared" si="4"/>
        <v>3.8616071428571419</v>
      </c>
      <c r="F189" s="91">
        <f t="shared" si="5"/>
        <v>0.10514177180843848</v>
      </c>
      <c r="G189" s="91">
        <f t="shared" si="6"/>
        <v>2.5409261520372633E-2</v>
      </c>
      <c r="H189" s="37">
        <f t="shared" si="3"/>
        <v>9.8120585781796082E-2</v>
      </c>
      <c r="I189" s="222"/>
      <c r="K189" s="11"/>
    </row>
    <row r="190" spans="1:12" x14ac:dyDescent="0.25">
      <c r="A190" s="207"/>
      <c r="B190" s="217"/>
      <c r="C190" s="220"/>
      <c r="D190" s="1" t="s">
        <v>110</v>
      </c>
      <c r="E190" s="90">
        <f t="shared" si="4"/>
        <v>3.75</v>
      </c>
      <c r="F190" s="91">
        <f t="shared" si="5"/>
        <v>0.23945190611857281</v>
      </c>
      <c r="G190" s="91">
        <f t="shared" si="6"/>
        <v>5.7867543978655095E-2</v>
      </c>
      <c r="H190" s="37">
        <f t="shared" si="3"/>
        <v>0.2170032899199566</v>
      </c>
      <c r="I190" s="222"/>
      <c r="K190" s="11"/>
    </row>
    <row r="191" spans="1:12" x14ac:dyDescent="0.25">
      <c r="A191" s="207"/>
      <c r="B191" s="217"/>
      <c r="C191" s="220"/>
      <c r="D191" s="1" t="s">
        <v>111</v>
      </c>
      <c r="E191" s="90">
        <f t="shared" si="4"/>
        <v>3.3035714285714284</v>
      </c>
      <c r="F191" s="91">
        <f t="shared" si="5"/>
        <v>0.19061185727852395</v>
      </c>
      <c r="G191" s="91">
        <f t="shared" si="6"/>
        <v>4.606453217564329E-2</v>
      </c>
      <c r="H191" s="37">
        <f t="shared" si="3"/>
        <v>0.15217747236596443</v>
      </c>
      <c r="I191" s="222"/>
      <c r="K191" s="11"/>
    </row>
    <row r="192" spans="1:12" x14ac:dyDescent="0.25">
      <c r="A192" s="207"/>
      <c r="B192" s="217"/>
      <c r="C192" s="220"/>
      <c r="D192" s="1" t="s">
        <v>112</v>
      </c>
      <c r="E192" s="90">
        <f t="shared" si="4"/>
        <v>2.65625</v>
      </c>
      <c r="F192" s="91">
        <f t="shared" si="5"/>
        <v>7.7465744132410794E-2</v>
      </c>
      <c r="G192" s="91">
        <f t="shared" si="6"/>
        <v>1.872088816533261E-2</v>
      </c>
      <c r="H192" s="37">
        <f t="shared" si="3"/>
        <v>4.9727359189164745E-2</v>
      </c>
      <c r="I192" s="222"/>
      <c r="K192" s="11"/>
    </row>
    <row r="193" spans="1:11" x14ac:dyDescent="0.25">
      <c r="A193" s="207"/>
      <c r="B193" s="217"/>
      <c r="C193" s="220"/>
      <c r="D193" s="1" t="s">
        <v>113</v>
      </c>
      <c r="E193" s="90">
        <f t="shared" si="4"/>
        <v>3.9550264550264558</v>
      </c>
      <c r="F193" s="91">
        <f t="shared" si="5"/>
        <v>7.7465744132410794E-2</v>
      </c>
      <c r="G193" s="91">
        <f t="shared" si="6"/>
        <v>1.872088816533261E-2</v>
      </c>
      <c r="H193" s="37">
        <f t="shared" si="3"/>
        <v>7.4041607955482161E-2</v>
      </c>
      <c r="I193" s="222"/>
      <c r="K193" s="11"/>
    </row>
    <row r="194" spans="1:11" x14ac:dyDescent="0.25">
      <c r="A194" s="207"/>
      <c r="B194" s="217"/>
      <c r="C194" s="220"/>
      <c r="D194" s="1" t="s">
        <v>114</v>
      </c>
      <c r="E194" s="90">
        <f t="shared" si="4"/>
        <v>3.0803571428571432</v>
      </c>
      <c r="F194" s="91">
        <f t="shared" si="5"/>
        <v>7.7465744132410794E-2</v>
      </c>
      <c r="G194" s="91">
        <f t="shared" si="6"/>
        <v>1.872088816533261E-2</v>
      </c>
      <c r="H194" s="37">
        <f t="shared" si="3"/>
        <v>5.7667021580712068E-2</v>
      </c>
      <c r="I194" s="222"/>
      <c r="K194" s="11"/>
    </row>
    <row r="195" spans="1:11" x14ac:dyDescent="0.25">
      <c r="A195" s="207"/>
      <c r="B195" s="228" t="s">
        <v>368</v>
      </c>
      <c r="C195" s="230">
        <f>IF($C$184="N/A",M233/(1-M231),M233)</f>
        <v>0.24166666666666667</v>
      </c>
      <c r="D195" s="1" t="s">
        <v>373</v>
      </c>
      <c r="E195" s="90">
        <f>E170</f>
        <v>3.5</v>
      </c>
      <c r="F195" s="91">
        <f>N357</f>
        <v>0.30337265074107178</v>
      </c>
      <c r="G195" s="91">
        <f>F195*C$195</f>
        <v>7.3315057262425681E-2</v>
      </c>
      <c r="H195" s="37">
        <f>G195*E195</f>
        <v>0.25660270041848987</v>
      </c>
      <c r="I195" s="232" cm="1">
        <f t="array" ref="I195">SUM(E195:E199*F195:F199)</f>
        <v>3.6355013857038148</v>
      </c>
      <c r="K195" s="11"/>
    </row>
    <row r="196" spans="1:11" x14ac:dyDescent="0.25">
      <c r="A196" s="207"/>
      <c r="B196" s="229"/>
      <c r="C196" s="231"/>
      <c r="D196" s="1" t="s">
        <v>374</v>
      </c>
      <c r="E196" s="90">
        <f>I134</f>
        <v>4.0769230769230766</v>
      </c>
      <c r="F196" s="91">
        <f>N358</f>
        <v>0.19115270694218062</v>
      </c>
      <c r="G196" s="91">
        <f>F196*C$195</f>
        <v>4.6195237511026985E-2</v>
      </c>
      <c r="H196" s="37">
        <f>G196*E196</f>
        <v>0.18833442985264848</v>
      </c>
      <c r="I196" s="233"/>
      <c r="K196" s="11"/>
    </row>
    <row r="197" spans="1:11" x14ac:dyDescent="0.25">
      <c r="A197" s="207"/>
      <c r="B197" s="229"/>
      <c r="C197" s="231"/>
      <c r="D197" s="1" t="s">
        <v>369</v>
      </c>
      <c r="E197" s="90">
        <f>E171</f>
        <v>4</v>
      </c>
      <c r="F197" s="91">
        <f>N359</f>
        <v>0.13125003651319442</v>
      </c>
      <c r="G197" s="91">
        <f>F197*C$195</f>
        <v>3.1718758824021982E-2</v>
      </c>
      <c r="H197" s="37">
        <f t="shared" ref="H197:H199" si="7">G197*E197</f>
        <v>0.12687503529608793</v>
      </c>
      <c r="I197" s="233"/>
      <c r="K197" s="11"/>
    </row>
    <row r="198" spans="1:11" x14ac:dyDescent="0.25">
      <c r="A198" s="207"/>
      <c r="B198" s="229"/>
      <c r="C198" s="231"/>
      <c r="D198" s="1" t="s">
        <v>370</v>
      </c>
      <c r="E198" s="90">
        <f>E172</f>
        <v>3</v>
      </c>
      <c r="F198" s="91">
        <f>N360</f>
        <v>0.22751634330581699</v>
      </c>
      <c r="G198" s="91">
        <f>F198*C$195</f>
        <v>5.4983116298905774E-2</v>
      </c>
      <c r="H198" s="37">
        <f t="shared" si="7"/>
        <v>0.16494934889671731</v>
      </c>
      <c r="I198" s="233"/>
      <c r="K198" s="11"/>
    </row>
    <row r="199" spans="1:11" x14ac:dyDescent="0.25">
      <c r="A199" s="207"/>
      <c r="B199" s="229"/>
      <c r="C199" s="231"/>
      <c r="D199" s="144" t="s">
        <v>371</v>
      </c>
      <c r="E199" s="145">
        <f>E173</f>
        <v>4</v>
      </c>
      <c r="F199" s="146">
        <f>N361</f>
        <v>0.14670826249773619</v>
      </c>
      <c r="G199" s="146">
        <f>F199*C$195</f>
        <v>3.5454496770286247E-2</v>
      </c>
      <c r="H199" s="147">
        <f t="shared" si="7"/>
        <v>0.14181798708114499</v>
      </c>
      <c r="I199" s="233"/>
      <c r="K199" s="11"/>
    </row>
    <row r="200" spans="1:11" ht="18.75" x14ac:dyDescent="0.3">
      <c r="B200" s="103"/>
      <c r="C200" s="103"/>
      <c r="D200" s="103"/>
      <c r="E200" s="103"/>
      <c r="F200" s="162" t="s">
        <v>300</v>
      </c>
      <c r="G200" s="154">
        <f>SUM(G179:G199)</f>
        <v>0.99999999999999978</v>
      </c>
      <c r="H200" s="163">
        <f>SUM(H179:H199)</f>
        <v>3.4463658251927995</v>
      </c>
      <c r="I200" s="103"/>
    </row>
    <row r="201" spans="1:11" ht="35.25" customHeight="1" x14ac:dyDescent="0.25">
      <c r="B201" s="155"/>
      <c r="C201" s="156"/>
      <c r="D201" s="157"/>
      <c r="E201" s="158"/>
      <c r="F201" s="159"/>
      <c r="G201" s="159"/>
      <c r="H201" s="160"/>
      <c r="I201" s="161"/>
      <c r="K201" s="11"/>
    </row>
    <row r="202" spans="1:11" x14ac:dyDescent="0.25">
      <c r="A202" s="207" t="s">
        <v>523</v>
      </c>
      <c r="B202" s="218" t="s">
        <v>254</v>
      </c>
      <c r="C202" s="221">
        <f>K244</f>
        <v>0.33256217466743782</v>
      </c>
      <c r="D202" s="148" t="s">
        <v>102</v>
      </c>
      <c r="E202" s="149">
        <f>I113</f>
        <v>3.660714285714286</v>
      </c>
      <c r="F202" s="150">
        <f t="shared" ref="F202:F208" si="8">S306</f>
        <v>0.13741496598639455</v>
      </c>
      <c r="G202" s="150">
        <f>F202*C$202</f>
        <v>4.5699019920287368E-2</v>
      </c>
      <c r="H202" s="151">
        <f t="shared" si="3"/>
        <v>0.1672910550653377</v>
      </c>
      <c r="I202" s="223" cm="1">
        <f t="array" ref="I202">SUM(E202:E208*F202:F208)</f>
        <v>3.5449168556311417</v>
      </c>
      <c r="K202" s="11"/>
    </row>
    <row r="203" spans="1:11" x14ac:dyDescent="0.25">
      <c r="A203" s="207"/>
      <c r="B203" s="217"/>
      <c r="C203" s="220"/>
      <c r="D203" s="1" t="s">
        <v>103</v>
      </c>
      <c r="E203" s="90">
        <f>I114</f>
        <v>3.7516534391534395</v>
      </c>
      <c r="F203" s="91">
        <f t="shared" si="8"/>
        <v>0.11836734693877551</v>
      </c>
      <c r="G203" s="91">
        <f t="shared" ref="G203:G208" si="9">F203*C$202</f>
        <v>3.9364502307574274E-2</v>
      </c>
      <c r="H203" s="37">
        <f t="shared" si="3"/>
        <v>0.14768197046277454</v>
      </c>
      <c r="I203" s="222"/>
      <c r="K203" s="11"/>
    </row>
    <row r="204" spans="1:11" x14ac:dyDescent="0.25">
      <c r="A204" s="207"/>
      <c r="B204" s="217"/>
      <c r="C204" s="220"/>
      <c r="D204" s="1" t="s">
        <v>104</v>
      </c>
      <c r="E204" s="90">
        <f>I115</f>
        <v>3.8607804232804233</v>
      </c>
      <c r="F204" s="91">
        <f t="shared" si="8"/>
        <v>0.11836734693877551</v>
      </c>
      <c r="G204" s="91">
        <f t="shared" si="9"/>
        <v>3.9364502307574274E-2</v>
      </c>
      <c r="H204" s="37">
        <f t="shared" si="3"/>
        <v>0.15197769988125981</v>
      </c>
      <c r="I204" s="222"/>
      <c r="K204" s="11"/>
    </row>
    <row r="205" spans="1:11" x14ac:dyDescent="0.25">
      <c r="A205" s="207"/>
      <c r="B205" s="217"/>
      <c r="C205" s="220"/>
      <c r="D205" s="1" t="s">
        <v>139</v>
      </c>
      <c r="E205" s="90">
        <f>E159</f>
        <v>3.5</v>
      </c>
      <c r="F205" s="91">
        <f t="shared" si="8"/>
        <v>0.23265306122448978</v>
      </c>
      <c r="G205" s="91">
        <f t="shared" si="9"/>
        <v>7.7371607983852869E-2</v>
      </c>
      <c r="H205" s="37">
        <f t="shared" si="3"/>
        <v>0.27080062794348503</v>
      </c>
      <c r="I205" s="222"/>
      <c r="K205" s="11"/>
    </row>
    <row r="206" spans="1:11" x14ac:dyDescent="0.25">
      <c r="A206" s="207"/>
      <c r="B206" s="217"/>
      <c r="C206" s="220"/>
      <c r="D206" s="1" t="s">
        <v>141</v>
      </c>
      <c r="E206" s="90">
        <f>E168</f>
        <v>2.5</v>
      </c>
      <c r="F206" s="91">
        <f t="shared" si="8"/>
        <v>0.11836734693877551</v>
      </c>
      <c r="G206" s="91">
        <f t="shared" si="9"/>
        <v>3.9364502307574274E-2</v>
      </c>
      <c r="H206" s="37">
        <f t="shared" si="3"/>
        <v>9.8411255768935682E-2</v>
      </c>
      <c r="I206" s="222"/>
      <c r="K206" s="11"/>
    </row>
    <row r="207" spans="1:11" x14ac:dyDescent="0.25">
      <c r="A207" s="207"/>
      <c r="B207" s="217"/>
      <c r="C207" s="220"/>
      <c r="D207" s="1" t="s">
        <v>142</v>
      </c>
      <c r="E207" s="90">
        <f>E161</f>
        <v>3.5</v>
      </c>
      <c r="F207" s="91">
        <f t="shared" si="8"/>
        <v>0.13741496598639455</v>
      </c>
      <c r="G207" s="91">
        <f t="shared" si="9"/>
        <v>4.5699019920287368E-2</v>
      </c>
      <c r="H207" s="37">
        <f t="shared" si="3"/>
        <v>0.15994656972100579</v>
      </c>
      <c r="I207" s="222"/>
      <c r="K207" s="11"/>
    </row>
    <row r="208" spans="1:11" x14ac:dyDescent="0.25">
      <c r="A208" s="207"/>
      <c r="B208" s="217"/>
      <c r="C208" s="220"/>
      <c r="D208" s="1" t="s">
        <v>143</v>
      </c>
      <c r="E208" s="90">
        <f>E162</f>
        <v>4</v>
      </c>
      <c r="F208" s="91">
        <f t="shared" si="8"/>
        <v>0.13741496598639455</v>
      </c>
      <c r="G208" s="91">
        <f t="shared" si="9"/>
        <v>4.5699019920287368E-2</v>
      </c>
      <c r="H208" s="37">
        <f t="shared" si="3"/>
        <v>0.18279607968114947</v>
      </c>
      <c r="I208" s="222"/>
      <c r="K208" s="11"/>
    </row>
    <row r="209" spans="1:11" x14ac:dyDescent="0.25">
      <c r="A209" s="207"/>
      <c r="B209" s="217" t="s">
        <v>255</v>
      </c>
      <c r="C209" s="219">
        <f>K245</f>
        <v>0.36816399974294711</v>
      </c>
      <c r="D209" s="1" t="s">
        <v>115</v>
      </c>
      <c r="E209" s="90">
        <f>I117</f>
        <v>3.6830357142857144</v>
      </c>
      <c r="F209" s="91">
        <f>M324</f>
        <v>0.359375</v>
      </c>
      <c r="G209" s="91">
        <f>F209*C$209</f>
        <v>0.13230893740762162</v>
      </c>
      <c r="H209" s="37">
        <f t="shared" si="3"/>
        <v>0.48729854179146359</v>
      </c>
      <c r="I209" s="222" cm="1">
        <f t="array" ref="I209">SUM(E209:E212*F209:F212)</f>
        <v>3.6877635168650795</v>
      </c>
      <c r="K209" s="11"/>
    </row>
    <row r="210" spans="1:11" x14ac:dyDescent="0.25">
      <c r="A210" s="207"/>
      <c r="B210" s="217"/>
      <c r="C210" s="220"/>
      <c r="D210" s="1" t="s">
        <v>116</v>
      </c>
      <c r="E210" s="90">
        <f>I118</f>
        <v>3.6094576719576721</v>
      </c>
      <c r="F210" s="91">
        <f>M325</f>
        <v>0.234375</v>
      </c>
      <c r="G210" s="91">
        <f>F210*C$209</f>
        <v>8.6288437439753229E-2</v>
      </c>
      <c r="H210" s="37">
        <f t="shared" si="3"/>
        <v>0.31145446251815695</v>
      </c>
      <c r="I210" s="222"/>
      <c r="K210" s="11"/>
    </row>
    <row r="211" spans="1:11" x14ac:dyDescent="0.25">
      <c r="A211" s="207"/>
      <c r="B211" s="217"/>
      <c r="C211" s="220"/>
      <c r="D211" s="1" t="s">
        <v>117</v>
      </c>
      <c r="E211" s="90">
        <f>I119</f>
        <v>4.1369047619047619</v>
      </c>
      <c r="F211" s="91">
        <f>M326</f>
        <v>0.234375</v>
      </c>
      <c r="G211" s="91">
        <f>F211*C$209</f>
        <v>8.6288437439753229E-2</v>
      </c>
      <c r="H211" s="37">
        <f t="shared" si="3"/>
        <v>0.3569670477418363</v>
      </c>
      <c r="I211" s="222"/>
      <c r="K211" s="11"/>
    </row>
    <row r="212" spans="1:11" x14ac:dyDescent="0.25">
      <c r="A212" s="207"/>
      <c r="B212" s="217"/>
      <c r="C212" s="220"/>
      <c r="D212" s="1" t="s">
        <v>118</v>
      </c>
      <c r="E212" s="90">
        <f>I120</f>
        <v>3.191964285714286</v>
      </c>
      <c r="F212" s="91">
        <f>M327</f>
        <v>0.171875</v>
      </c>
      <c r="G212" s="91">
        <f>F212*C$209</f>
        <v>6.3278187455819035E-2</v>
      </c>
      <c r="H212" s="37">
        <f t="shared" si="3"/>
        <v>0.2019817144237081</v>
      </c>
      <c r="I212" s="222"/>
      <c r="K212" s="11"/>
    </row>
    <row r="213" spans="1:11" x14ac:dyDescent="0.25">
      <c r="A213" s="207"/>
      <c r="B213" s="217" t="s">
        <v>256</v>
      </c>
      <c r="C213" s="219">
        <f>K246</f>
        <v>0.29927382558961507</v>
      </c>
      <c r="D213" s="1" t="s">
        <v>106</v>
      </c>
      <c r="E213" s="90">
        <f>I116</f>
        <v>4.2129629629629628</v>
      </c>
      <c r="F213" s="91">
        <f>S339</f>
        <v>0.15961331901181525</v>
      </c>
      <c r="G213" s="91">
        <f>F213*C$213</f>
        <v>4.776808859572159E-2</v>
      </c>
      <c r="H213" s="37">
        <f t="shared" si="3"/>
        <v>0.20124518806530856</v>
      </c>
      <c r="I213" s="232" cm="1">
        <f t="array" ref="I213">SUM(E213:E219*F213:F219)</f>
        <v>3.6850901346336356</v>
      </c>
      <c r="K213" s="11"/>
    </row>
    <row r="214" spans="1:11" x14ac:dyDescent="0.25">
      <c r="A214" s="207"/>
      <c r="B214" s="217"/>
      <c r="C214" s="219"/>
      <c r="D214" s="1" t="s">
        <v>140</v>
      </c>
      <c r="E214" s="90">
        <f>E160</f>
        <v>3</v>
      </c>
      <c r="F214" s="91">
        <f>S341</f>
        <v>0.15961331901181525</v>
      </c>
      <c r="G214" s="91">
        <f t="shared" ref="G214:G219" si="10">F214*C$213</f>
        <v>4.776808859572159E-2</v>
      </c>
      <c r="H214" s="37">
        <f t="shared" si="3"/>
        <v>0.14330426578716476</v>
      </c>
      <c r="I214" s="233"/>
      <c r="K214" s="11"/>
    </row>
    <row r="215" spans="1:11" x14ac:dyDescent="0.25">
      <c r="A215" s="207"/>
      <c r="B215" s="217"/>
      <c r="C215" s="219"/>
      <c r="D215" s="1" t="s">
        <v>144</v>
      </c>
      <c r="E215" s="90">
        <f>E163</f>
        <v>4</v>
      </c>
      <c r="F215" s="91">
        <f>S340</f>
        <v>0.14056569996419618</v>
      </c>
      <c r="G215" s="91">
        <f>F215*C$213</f>
        <v>4.2067634774967007E-2</v>
      </c>
      <c r="H215" s="37">
        <f t="shared" si="3"/>
        <v>0.16827053909986803</v>
      </c>
      <c r="I215" s="233"/>
      <c r="K215" s="11"/>
    </row>
    <row r="216" spans="1:11" x14ac:dyDescent="0.25">
      <c r="A216" s="207"/>
      <c r="B216" s="217"/>
      <c r="C216" s="219"/>
      <c r="D216" s="1" t="s">
        <v>119</v>
      </c>
      <c r="E216" s="90">
        <f>I121</f>
        <v>3.6160714285714284</v>
      </c>
      <c r="F216" s="91">
        <f t="shared" ref="F216:F219" si="11">S342</f>
        <v>0.14056569996419618</v>
      </c>
      <c r="G216" s="91">
        <f t="shared" si="10"/>
        <v>4.2067634774967007E-2</v>
      </c>
      <c r="H216" s="37">
        <f>G216*E216</f>
        <v>0.15211957217733604</v>
      </c>
      <c r="I216" s="233"/>
      <c r="K216" s="11"/>
    </row>
    <row r="217" spans="1:11" x14ac:dyDescent="0.25">
      <c r="A217" s="207"/>
      <c r="B217" s="217"/>
      <c r="C217" s="219"/>
      <c r="D217" s="1" t="s">
        <v>514</v>
      </c>
      <c r="E217" s="90">
        <f>I131</f>
        <v>3.6160714285714284</v>
      </c>
      <c r="F217" s="91">
        <f t="shared" si="11"/>
        <v>0.15961331901181525</v>
      </c>
      <c r="G217" s="91">
        <f t="shared" si="10"/>
        <v>4.776808859572159E-2</v>
      </c>
      <c r="H217" s="37">
        <f t="shared" ref="H217:H219" si="12">G217*E217</f>
        <v>0.17273282036845752</v>
      </c>
      <c r="I217" s="233"/>
      <c r="K217" s="11"/>
    </row>
    <row r="218" spans="1:11" x14ac:dyDescent="0.25">
      <c r="A218" s="207"/>
      <c r="B218" s="217"/>
      <c r="C218" s="219"/>
      <c r="D218" s="1" t="s">
        <v>515</v>
      </c>
      <c r="E218" s="90">
        <f>I132</f>
        <v>3.4821428571428568</v>
      </c>
      <c r="F218" s="91">
        <f t="shared" si="11"/>
        <v>0.15961331901181525</v>
      </c>
      <c r="G218" s="91">
        <f t="shared" si="10"/>
        <v>4.776808859572159E-2</v>
      </c>
      <c r="H218" s="37">
        <f t="shared" si="12"/>
        <v>0.16633530850295908</v>
      </c>
      <c r="I218" s="233"/>
      <c r="K218" s="11"/>
    </row>
    <row r="219" spans="1:11" x14ac:dyDescent="0.25">
      <c r="A219" s="207"/>
      <c r="B219" s="217"/>
      <c r="C219" s="219"/>
      <c r="D219" s="1" t="s">
        <v>516</v>
      </c>
      <c r="E219" s="90">
        <f>I133</f>
        <v>4.1071428571428568</v>
      </c>
      <c r="F219" s="91">
        <f t="shared" si="11"/>
        <v>8.0415324024346563E-2</v>
      </c>
      <c r="G219" s="91">
        <f t="shared" si="10"/>
        <v>2.4066201656794677E-2</v>
      </c>
      <c r="H219" s="37">
        <f t="shared" si="12"/>
        <v>9.8843328233263847E-2</v>
      </c>
      <c r="I219" s="223"/>
      <c r="K219" s="11"/>
    </row>
    <row r="220" spans="1:11" ht="18.75" x14ac:dyDescent="0.3">
      <c r="F220" s="92" t="s">
        <v>300</v>
      </c>
      <c r="G220" s="94">
        <f>SUM(G202:G219)</f>
        <v>0.99999999999999978</v>
      </c>
      <c r="H220" s="93">
        <f>SUM(H202:H219)</f>
        <v>3.6394580472334703</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27" t="s">
        <v>277</v>
      </c>
      <c r="H229" s="227"/>
      <c r="I229" s="227"/>
      <c r="J229" s="227"/>
      <c r="K229" s="75" t="s">
        <v>278</v>
      </c>
      <c r="L229" s="76" t="s">
        <v>297</v>
      </c>
      <c r="M229" s="77" t="s">
        <v>279</v>
      </c>
    </row>
    <row r="230" spans="2:17" ht="30" customHeight="1" x14ac:dyDescent="0.25">
      <c r="B230" s="73" t="s">
        <v>250</v>
      </c>
      <c r="C230" s="67">
        <v>1</v>
      </c>
      <c r="D230" s="67">
        <f>'Panel de expertos'!L6</f>
        <v>0.33333333333333331</v>
      </c>
      <c r="E230" s="67">
        <f>'Panel de expertos'!L7</f>
        <v>1</v>
      </c>
      <c r="F230" s="67">
        <f>'Panel de expertos'!L8</f>
        <v>1</v>
      </c>
      <c r="G230" s="16">
        <f t="shared" ref="G230:J233" si="13">C230/C$234</f>
        <v>0.16666666666666666</v>
      </c>
      <c r="H230" s="16">
        <f t="shared" si="13"/>
        <v>0.1</v>
      </c>
      <c r="I230" s="16">
        <f t="shared" si="13"/>
        <v>0.25</v>
      </c>
      <c r="J230" s="16">
        <f t="shared" si="13"/>
        <v>0.25</v>
      </c>
      <c r="K230" s="16">
        <f>SUM(G230:J230)</f>
        <v>0.76666666666666661</v>
      </c>
      <c r="L230" s="1">
        <f>K230/K$234</f>
        <v>0.19166666666666665</v>
      </c>
      <c r="M230" s="78">
        <f>L230</f>
        <v>0.19166666666666665</v>
      </c>
    </row>
    <row r="231" spans="2:17" ht="30" customHeight="1" x14ac:dyDescent="0.25">
      <c r="B231" s="73" t="s">
        <v>252</v>
      </c>
      <c r="C231" s="67">
        <f>IF(D230&lt;&gt;"N/A",1/D230,"N/A")</f>
        <v>3</v>
      </c>
      <c r="D231" s="67">
        <v>1</v>
      </c>
      <c r="E231" s="67">
        <f>'Panel de expertos'!L9</f>
        <v>1</v>
      </c>
      <c r="F231" s="67">
        <f>'Panel de expertos'!L10</f>
        <v>1</v>
      </c>
      <c r="G231" s="16">
        <f t="shared" si="13"/>
        <v>0.5</v>
      </c>
      <c r="H231" s="16">
        <f t="shared" si="13"/>
        <v>0.30000000000000004</v>
      </c>
      <c r="I231" s="16">
        <f t="shared" si="13"/>
        <v>0.25</v>
      </c>
      <c r="J231" s="16">
        <f t="shared" si="13"/>
        <v>0.25</v>
      </c>
      <c r="K231" s="16">
        <f t="shared" ref="K231:K233" si="14">SUM(G231:J231)</f>
        <v>1.3</v>
      </c>
      <c r="L231" s="1">
        <f>K231/K$234</f>
        <v>0.32500000000000001</v>
      </c>
      <c r="M231" s="78">
        <f t="shared" ref="M231:M233" si="15">L231</f>
        <v>0.32500000000000001</v>
      </c>
    </row>
    <row r="232" spans="2:17" ht="30" customHeight="1" x14ac:dyDescent="0.25">
      <c r="B232" s="73" t="s">
        <v>253</v>
      </c>
      <c r="C232" s="67">
        <f>IF(E230&lt;&gt;"N/A",1/E230,"N/A")</f>
        <v>1</v>
      </c>
      <c r="D232" s="67">
        <f>IF(E231&lt;&gt;"N/A",1/E231,"N/A")</f>
        <v>1</v>
      </c>
      <c r="E232" s="67">
        <v>1</v>
      </c>
      <c r="F232" s="67">
        <f>'Panel de expertos'!L11</f>
        <v>1</v>
      </c>
      <c r="G232" s="16">
        <f t="shared" si="13"/>
        <v>0.16666666666666666</v>
      </c>
      <c r="H232" s="16">
        <f t="shared" si="13"/>
        <v>0.30000000000000004</v>
      </c>
      <c r="I232" s="16">
        <f t="shared" si="13"/>
        <v>0.25</v>
      </c>
      <c r="J232" s="16">
        <f t="shared" si="13"/>
        <v>0.25</v>
      </c>
      <c r="K232" s="16">
        <f t="shared" si="14"/>
        <v>0.96666666666666667</v>
      </c>
      <c r="L232" s="1">
        <f>K232/K$234</f>
        <v>0.24166666666666667</v>
      </c>
      <c r="M232" s="78">
        <f t="shared" si="15"/>
        <v>0.24166666666666667</v>
      </c>
    </row>
    <row r="233" spans="2:17" ht="30" customHeight="1" x14ac:dyDescent="0.25">
      <c r="B233" s="73" t="s">
        <v>368</v>
      </c>
      <c r="C233" s="67">
        <f>IF($F230&lt;&gt;"N/A",1/$F230,"N/A")</f>
        <v>1</v>
      </c>
      <c r="D233" s="67">
        <f>IF($F231&lt;&gt;"N/A",1/$F231,"N/A")</f>
        <v>1</v>
      </c>
      <c r="E233" s="67">
        <f>IF($F232&lt;&gt;"N/A",1/$F232,"N/A")</f>
        <v>1</v>
      </c>
      <c r="F233" s="1">
        <v>1</v>
      </c>
      <c r="G233" s="16">
        <f t="shared" si="13"/>
        <v>0.16666666666666666</v>
      </c>
      <c r="H233" s="16">
        <f t="shared" si="13"/>
        <v>0.30000000000000004</v>
      </c>
      <c r="I233" s="16">
        <f t="shared" si="13"/>
        <v>0.25</v>
      </c>
      <c r="J233" s="16">
        <f t="shared" si="13"/>
        <v>0.25</v>
      </c>
      <c r="K233" s="16">
        <f t="shared" si="14"/>
        <v>0.96666666666666667</v>
      </c>
      <c r="L233" s="1">
        <f>K233/K$234</f>
        <v>0.24166666666666667</v>
      </c>
      <c r="M233" s="78">
        <f t="shared" si="15"/>
        <v>0.24166666666666667</v>
      </c>
    </row>
    <row r="234" spans="2:17" ht="15" customHeight="1" x14ac:dyDescent="0.25">
      <c r="B234" s="69" t="s">
        <v>275</v>
      </c>
      <c r="C234" s="71">
        <f t="shared" ref="C234:M234" si="16">SUM(C230:C233)</f>
        <v>6</v>
      </c>
      <c r="D234" s="71">
        <f t="shared" si="16"/>
        <v>3.333333333333333</v>
      </c>
      <c r="E234" s="71">
        <f t="shared" si="16"/>
        <v>4</v>
      </c>
      <c r="F234" s="71">
        <f t="shared" si="16"/>
        <v>4</v>
      </c>
      <c r="G234" s="71">
        <f t="shared" si="16"/>
        <v>0.99999999999999989</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4.166666666666667</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5.5555555555555657E-2</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6.1728395061728503E-2</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27" t="s">
        <v>277</v>
      </c>
      <c r="G243" s="227"/>
      <c r="H243" s="227"/>
      <c r="I243" s="75" t="s">
        <v>278</v>
      </c>
      <c r="J243" s="76" t="s">
        <v>297</v>
      </c>
      <c r="K243" s="77" t="s">
        <v>279</v>
      </c>
    </row>
    <row r="244" spans="2:17" ht="30" customHeight="1" x14ac:dyDescent="0.25">
      <c r="B244" s="73" t="s">
        <v>254</v>
      </c>
      <c r="C244" s="67">
        <v>1</v>
      </c>
      <c r="D244" s="67">
        <f>'Panel de expertos'!L89</f>
        <v>3</v>
      </c>
      <c r="E244" s="67">
        <f>'Panel de expertos'!L90</f>
        <v>0.33333333333333331</v>
      </c>
      <c r="F244" s="16">
        <f>C244/C$247</f>
        <v>0.23076923076923078</v>
      </c>
      <c r="G244" s="16">
        <f>D244/D$247</f>
        <v>0.7142857142857143</v>
      </c>
      <c r="H244" s="16">
        <f t="shared" ref="H244" si="17">E244/E$247</f>
        <v>5.2631578947368418E-2</v>
      </c>
      <c r="I244" s="16">
        <f>SUM(F244:H244)</f>
        <v>0.99768652400231339</v>
      </c>
      <c r="J244" s="1">
        <f>I244/I$247</f>
        <v>0.33256217466743782</v>
      </c>
      <c r="K244" s="78">
        <f t="shared" ref="K244:K246" si="18">J244</f>
        <v>0.33256217466743782</v>
      </c>
    </row>
    <row r="245" spans="2:17" ht="30" customHeight="1" x14ac:dyDescent="0.25">
      <c r="B245" s="73" t="s">
        <v>255</v>
      </c>
      <c r="C245" s="67">
        <f>IF(D244&lt;&gt;"N/A",1/D244,"N/A")</f>
        <v>0.33333333333333331</v>
      </c>
      <c r="D245" s="67">
        <v>1</v>
      </c>
      <c r="E245" s="67">
        <f>'Panel de expertos'!L91</f>
        <v>5</v>
      </c>
      <c r="F245" s="16">
        <f t="shared" ref="F245:F246" si="19">C245/C$247</f>
        <v>7.6923076923076927E-2</v>
      </c>
      <c r="G245" s="16">
        <f t="shared" ref="G245:G246" si="20">D245/D$247</f>
        <v>0.23809523809523808</v>
      </c>
      <c r="H245" s="16">
        <f t="shared" ref="H245:H246" si="21">E245/E$247</f>
        <v>0.78947368421052633</v>
      </c>
      <c r="I245" s="16">
        <f t="shared" ref="I245:I246" si="22">SUM(F245:H245)</f>
        <v>1.1044919992288413</v>
      </c>
      <c r="J245" s="1">
        <f t="shared" ref="J245:J246" si="23">I245/I$247</f>
        <v>0.36816399974294711</v>
      </c>
      <c r="K245" s="78">
        <f t="shared" si="18"/>
        <v>0.36816399974294711</v>
      </c>
    </row>
    <row r="246" spans="2:17" ht="30" customHeight="1" x14ac:dyDescent="0.25">
      <c r="B246" s="73" t="s">
        <v>256</v>
      </c>
      <c r="C246" s="67">
        <f>IF(E244&lt;&gt;"N/A",1/E244,"N/A")</f>
        <v>3</v>
      </c>
      <c r="D246" s="67">
        <f>IF(E245&lt;&gt;"N/A",1/E245,"N/A")</f>
        <v>0.2</v>
      </c>
      <c r="E246" s="67">
        <v>1</v>
      </c>
      <c r="F246" s="16">
        <f t="shared" si="19"/>
        <v>0.6923076923076924</v>
      </c>
      <c r="G246" s="16">
        <f t="shared" si="20"/>
        <v>4.7619047619047616E-2</v>
      </c>
      <c r="H246" s="16">
        <f t="shared" si="21"/>
        <v>0.15789473684210528</v>
      </c>
      <c r="I246" s="16">
        <f t="shared" si="22"/>
        <v>0.89782147676884527</v>
      </c>
      <c r="J246" s="1">
        <f t="shared" si="23"/>
        <v>0.29927382558961507</v>
      </c>
      <c r="K246" s="78">
        <f t="shared" si="18"/>
        <v>0.29927382558961507</v>
      </c>
    </row>
    <row r="247" spans="2:17" ht="15" customHeight="1" x14ac:dyDescent="0.25">
      <c r="B247" s="69" t="s">
        <v>275</v>
      </c>
      <c r="C247" s="71">
        <f t="shared" ref="C247:K247" si="24">SUM(C244:C246)</f>
        <v>4.333333333333333</v>
      </c>
      <c r="D247" s="71">
        <f t="shared" si="24"/>
        <v>4.2</v>
      </c>
      <c r="E247" s="71">
        <f t="shared" si="24"/>
        <v>6.333333333333333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4.8827924512135032</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0.94139622560675162</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1.6230969407012961</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4" t="s">
        <v>277</v>
      </c>
      <c r="I256" s="235"/>
      <c r="J256" s="235"/>
      <c r="K256" s="235"/>
      <c r="L256" s="23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9.0909090909090912E-2</v>
      </c>
      <c r="J257" s="16">
        <f t="shared" si="25"/>
        <v>0.28301886792452829</v>
      </c>
      <c r="K257" s="16">
        <f t="shared" si="25"/>
        <v>0.23076923076923078</v>
      </c>
      <c r="L257" s="16">
        <f t="shared" si="25"/>
        <v>0.14285714285714285</v>
      </c>
      <c r="M257" s="16">
        <f>SUM(H257:L257)</f>
        <v>0.94755433245999288</v>
      </c>
      <c r="N257" s="1">
        <f>M257/M$262</f>
        <v>0.18951086649199858</v>
      </c>
      <c r="O257" s="78">
        <f>N257</f>
        <v>0.18951086649199858</v>
      </c>
    </row>
    <row r="258" spans="2:17" ht="30" customHeight="1" x14ac:dyDescent="0.25">
      <c r="B258" s="73" t="s">
        <v>136</v>
      </c>
      <c r="C258" s="67">
        <f>IF(D257&lt;&gt;"N/A",1/D257,"N/A")</f>
        <v>1</v>
      </c>
      <c r="D258" s="67">
        <v>1</v>
      </c>
      <c r="E258" s="67">
        <f>'Panel de expertos'!$L21</f>
        <v>0.2</v>
      </c>
      <c r="F258" s="67">
        <f>'Panel de expertos'!$L22</f>
        <v>0.33333333333333331</v>
      </c>
      <c r="G258" s="67">
        <f>'Panel de expertos'!$L23</f>
        <v>1</v>
      </c>
      <c r="H258" s="16">
        <f t="shared" ref="H258:H261" si="26">C258/C$262</f>
        <v>0.2</v>
      </c>
      <c r="I258" s="16">
        <f t="shared" ref="I258:I261" si="27">D258/D$262</f>
        <v>9.0909090909090912E-2</v>
      </c>
      <c r="J258" s="16">
        <f t="shared" ref="J258:J261" si="28">E258/E$262</f>
        <v>5.6603773584905662E-2</v>
      </c>
      <c r="K258" s="16">
        <f t="shared" ref="K258:K261" si="29">F258/F$262</f>
        <v>7.6923076923076927E-2</v>
      </c>
      <c r="L258" s="16">
        <f t="shared" ref="L258:L261" si="30">G258/G$262</f>
        <v>0.14285714285714285</v>
      </c>
      <c r="M258" s="16">
        <f t="shared" ref="M258:M261" si="31">SUM(H258:L258)</f>
        <v>0.56729308427421632</v>
      </c>
      <c r="N258" s="1">
        <f t="shared" ref="N258:N261" si="32">M258/M$262</f>
        <v>0.11345861685484326</v>
      </c>
      <c r="O258" s="78">
        <f t="shared" ref="O258:O261" si="33">N258</f>
        <v>0.11345861685484326</v>
      </c>
    </row>
    <row r="259" spans="2:17" ht="30" customHeight="1" x14ac:dyDescent="0.25">
      <c r="B259" s="73" t="s">
        <v>137</v>
      </c>
      <c r="C259" s="67">
        <f>IF(E257&lt;&gt;"N/A",1/E257,"N/A")</f>
        <v>1</v>
      </c>
      <c r="D259" s="67">
        <f>IF(E258&lt;&gt;"N/A",1/E258,"N/A")</f>
        <v>5</v>
      </c>
      <c r="E259" s="67">
        <v>1</v>
      </c>
      <c r="F259" s="67">
        <f>'Panel de expertos'!$L24</f>
        <v>1</v>
      </c>
      <c r="G259" s="67">
        <f>'Panel de expertos'!$L25</f>
        <v>3</v>
      </c>
      <c r="H259" s="16">
        <f t="shared" si="26"/>
        <v>0.2</v>
      </c>
      <c r="I259" s="16">
        <f t="shared" si="27"/>
        <v>0.45454545454545453</v>
      </c>
      <c r="J259" s="16">
        <f t="shared" si="28"/>
        <v>0.28301886792452829</v>
      </c>
      <c r="K259" s="16">
        <f t="shared" si="29"/>
        <v>0.23076923076923078</v>
      </c>
      <c r="L259" s="16">
        <f t="shared" si="30"/>
        <v>0.42857142857142855</v>
      </c>
      <c r="M259" s="16">
        <f t="shared" si="31"/>
        <v>1.5969049818106422</v>
      </c>
      <c r="N259" s="1">
        <f t="shared" si="32"/>
        <v>0.31938099636212847</v>
      </c>
      <c r="O259" s="78">
        <f t="shared" si="33"/>
        <v>0.31938099636212847</v>
      </c>
    </row>
    <row r="260" spans="2:17" ht="30" customHeight="1" x14ac:dyDescent="0.25">
      <c r="B260" s="73" t="s">
        <v>138</v>
      </c>
      <c r="C260" s="67">
        <f>IF(F257&lt;&gt;"N/A",1/F257,"N/A")</f>
        <v>1</v>
      </c>
      <c r="D260" s="67">
        <f>IF(F258&lt;&gt;"N/A",1/F258,"N/A")</f>
        <v>3</v>
      </c>
      <c r="E260" s="67">
        <f>IF(F259&lt;&gt;"N/A",1/F259,"N/A")</f>
        <v>1</v>
      </c>
      <c r="F260" s="67">
        <v>1</v>
      </c>
      <c r="G260" s="67">
        <f>'Panel de expertos'!$L26</f>
        <v>1</v>
      </c>
      <c r="H260" s="16">
        <f t="shared" si="26"/>
        <v>0.2</v>
      </c>
      <c r="I260" s="16">
        <f t="shared" si="27"/>
        <v>0.27272727272727271</v>
      </c>
      <c r="J260" s="16">
        <f t="shared" si="28"/>
        <v>0.28301886792452829</v>
      </c>
      <c r="K260" s="16">
        <f t="shared" si="29"/>
        <v>0.23076923076923078</v>
      </c>
      <c r="L260" s="16">
        <f t="shared" si="30"/>
        <v>0.14285714285714285</v>
      </c>
      <c r="M260" s="16">
        <f t="shared" si="31"/>
        <v>1.1293725142781745</v>
      </c>
      <c r="N260" s="1">
        <f t="shared" si="32"/>
        <v>0.2258745028556349</v>
      </c>
      <c r="O260" s="78">
        <f t="shared" si="33"/>
        <v>0.2258745028556349</v>
      </c>
    </row>
    <row r="261" spans="2:17" ht="30" customHeight="1" x14ac:dyDescent="0.25">
      <c r="B261" s="73" t="s">
        <v>251</v>
      </c>
      <c r="C261" s="67">
        <f>IF(G257&lt;&gt;"N/A",1/G257,"N/A")</f>
        <v>1</v>
      </c>
      <c r="D261" s="67">
        <f>IF(G258&lt;&gt;"N/A",1/G258,"N/A")</f>
        <v>1</v>
      </c>
      <c r="E261" s="67">
        <f>IF(G259&lt;&gt;"N/A",1/G259,"N/A")</f>
        <v>0.33333333333333331</v>
      </c>
      <c r="F261" s="67">
        <f>IF(G260&lt;&gt;"N/A",1/G260,"N/A")</f>
        <v>1</v>
      </c>
      <c r="G261" s="67">
        <v>1</v>
      </c>
      <c r="H261" s="16">
        <f t="shared" si="26"/>
        <v>0.2</v>
      </c>
      <c r="I261" s="16">
        <f t="shared" si="27"/>
        <v>9.0909090909090912E-2</v>
      </c>
      <c r="J261" s="16">
        <f t="shared" si="28"/>
        <v>9.4339622641509427E-2</v>
      </c>
      <c r="K261" s="16">
        <f t="shared" si="29"/>
        <v>0.23076923076923078</v>
      </c>
      <c r="L261" s="16">
        <f t="shared" si="30"/>
        <v>0.14285714285714285</v>
      </c>
      <c r="M261" s="16">
        <f t="shared" si="31"/>
        <v>0.75887508717697383</v>
      </c>
      <c r="N261" s="1">
        <f t="shared" si="32"/>
        <v>0.15177501743539476</v>
      </c>
      <c r="O261" s="78">
        <f t="shared" si="33"/>
        <v>0.15177501743539476</v>
      </c>
    </row>
    <row r="262" spans="2:17" ht="15" customHeight="1" x14ac:dyDescent="0.25">
      <c r="B262" s="69" t="s">
        <v>275</v>
      </c>
      <c r="C262" s="71">
        <f t="shared" ref="C262:H262" si="34">SUM(C257:C261)</f>
        <v>5</v>
      </c>
      <c r="D262" s="71">
        <f t="shared" si="34"/>
        <v>11</v>
      </c>
      <c r="E262" s="71">
        <f t="shared" si="34"/>
        <v>3.5333333333333337</v>
      </c>
      <c r="F262" s="71">
        <f t="shared" si="34"/>
        <v>4.333333333333333</v>
      </c>
      <c r="G262" s="71">
        <f t="shared" si="34"/>
        <v>7</v>
      </c>
      <c r="H262" s="71">
        <f t="shared" si="34"/>
        <v>1</v>
      </c>
      <c r="I262" s="71">
        <f t="shared" ref="I262:L262" si="35">SUM(I257:I261)</f>
        <v>1</v>
      </c>
      <c r="J262" s="71">
        <f t="shared" si="35"/>
        <v>1</v>
      </c>
      <c r="K262" s="71">
        <f t="shared" si="35"/>
        <v>1.0000000000000002</v>
      </c>
      <c r="L262" s="71">
        <f t="shared" si="35"/>
        <v>0.99999999999999978</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5.36529327276497</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9.1323318191242508E-2</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8.1538676956466521E-2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4" t="s">
        <v>277</v>
      </c>
      <c r="F272" s="235"/>
      <c r="G272" s="75" t="s">
        <v>278</v>
      </c>
      <c r="H272" s="76" t="s">
        <v>297</v>
      </c>
      <c r="I272" s="77" t="s">
        <v>279</v>
      </c>
    </row>
    <row r="273" spans="2:23" ht="30" customHeight="1" x14ac:dyDescent="0.25">
      <c r="B273" s="62" t="s">
        <v>91</v>
      </c>
      <c r="C273" s="67">
        <v>1</v>
      </c>
      <c r="D273" s="67">
        <f>'Panel de expertos'!L30</f>
        <v>3</v>
      </c>
      <c r="E273" s="16">
        <f>C273/C$275</f>
        <v>0.75</v>
      </c>
      <c r="F273" s="16">
        <f>D273/D$275</f>
        <v>0.75</v>
      </c>
      <c r="G273" s="16">
        <f>SUM(E273:F273)</f>
        <v>1.5</v>
      </c>
      <c r="H273" s="1">
        <f>G273/G$275</f>
        <v>0.75</v>
      </c>
      <c r="I273" s="78">
        <f>H273</f>
        <v>0.75</v>
      </c>
    </row>
    <row r="274" spans="2:23" ht="30" customHeight="1" x14ac:dyDescent="0.25">
      <c r="B274" s="62" t="s">
        <v>265</v>
      </c>
      <c r="C274" s="67">
        <f>IF(D273&lt;&gt;"N/A",1/D273,"N/A")</f>
        <v>0.33333333333333331</v>
      </c>
      <c r="D274" s="67">
        <v>1</v>
      </c>
      <c r="E274" s="16">
        <f>C274/C$275</f>
        <v>0.25</v>
      </c>
      <c r="F274" s="16">
        <f>D274/D$275</f>
        <v>0.25</v>
      </c>
      <c r="G274" s="16">
        <f>SUM(E274:F274)</f>
        <v>0.5</v>
      </c>
      <c r="H274" s="1">
        <f>G274/G$275</f>
        <v>0.25</v>
      </c>
      <c r="I274" s="78">
        <f t="shared" ref="I274" si="38">H274</f>
        <v>0.25</v>
      </c>
    </row>
    <row r="275" spans="2:23" ht="15" customHeight="1" x14ac:dyDescent="0.25">
      <c r="B275" s="69" t="s">
        <v>275</v>
      </c>
      <c r="C275" s="71">
        <f>SUM(C273:C274)</f>
        <v>1.3333333333333333</v>
      </c>
      <c r="D275" s="71">
        <f t="shared" ref="D275:I275" si="39">SUM(D273:D274)</f>
        <v>4</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277</v>
      </c>
      <c r="M285" s="227"/>
      <c r="N285" s="227"/>
      <c r="O285" s="227"/>
      <c r="P285" s="227"/>
      <c r="Q285" s="227"/>
      <c r="R285" s="227"/>
      <c r="S285" s="227"/>
      <c r="T285" s="22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0.33333333333333331</v>
      </c>
      <c r="H286" s="67">
        <f>'Panel de expertos'!$L38</f>
        <v>0.33333333333333331</v>
      </c>
      <c r="I286" s="67">
        <f>'Panel de expertos'!$L39</f>
        <v>1</v>
      </c>
      <c r="J286" s="67">
        <f>'Panel de expertos'!$L40</f>
        <v>1</v>
      </c>
      <c r="K286" s="67">
        <f>'Panel de expertos'!$L41</f>
        <v>1</v>
      </c>
      <c r="L286" s="90">
        <f>C286/C$295</f>
        <v>7.6923076923076927E-2</v>
      </c>
      <c r="M286" s="90">
        <f t="shared" ref="M286:T286" si="40">D286/D$295</f>
        <v>7.6923076923076927E-2</v>
      </c>
      <c r="N286" s="90">
        <f t="shared" si="40"/>
        <v>7.6923076923076927E-2</v>
      </c>
      <c r="O286" s="90">
        <f t="shared" si="40"/>
        <v>0.1111111111111111</v>
      </c>
      <c r="P286" s="90">
        <f t="shared" si="40"/>
        <v>7.6923076923076927E-2</v>
      </c>
      <c r="Q286" s="90">
        <f t="shared" si="40"/>
        <v>4.7619047619047623E-2</v>
      </c>
      <c r="R286" s="90">
        <f t="shared" si="40"/>
        <v>7.6923076923076927E-2</v>
      </c>
      <c r="S286" s="90">
        <f t="shared" si="40"/>
        <v>7.6923076923076927E-2</v>
      </c>
      <c r="T286" s="90">
        <f t="shared" si="40"/>
        <v>7.6923076923076927E-2</v>
      </c>
      <c r="U286" s="90">
        <f>SUM(L286:T286)</f>
        <v>0.69719169719169716</v>
      </c>
      <c r="V286" s="1">
        <f>U286/U$295</f>
        <v>7.7465744132410794E-2</v>
      </c>
      <c r="W286" s="78">
        <f>V286</f>
        <v>7.7465744132410794E-2</v>
      </c>
    </row>
    <row r="287" spans="2:23" ht="30" customHeight="1" x14ac:dyDescent="0.25">
      <c r="B287" s="73" t="s">
        <v>107</v>
      </c>
      <c r="C287" s="67">
        <f>IF(D286&lt;&gt;"N/A",1/D286,"N/A")</f>
        <v>1</v>
      </c>
      <c r="D287" s="67">
        <v>1</v>
      </c>
      <c r="E287" s="67">
        <f>'Panel de expertos'!$L42</f>
        <v>1</v>
      </c>
      <c r="F287" s="67">
        <f>'Panel de expertos'!$L43</f>
        <v>1</v>
      </c>
      <c r="G287" s="67">
        <f>'Panel de expertos'!$L44</f>
        <v>0.33333333333333331</v>
      </c>
      <c r="H287" s="67">
        <f>'Panel de expertos'!$L45</f>
        <v>0.33333333333333331</v>
      </c>
      <c r="I287" s="67">
        <f>'Panel de expertos'!$L46</f>
        <v>1</v>
      </c>
      <c r="J287" s="67">
        <f>'Panel de expertos'!$L47</f>
        <v>1</v>
      </c>
      <c r="K287" s="67">
        <f>'Panel de expertos'!$L48</f>
        <v>1</v>
      </c>
      <c r="L287" s="90">
        <f t="shared" ref="L287:L294" si="41">C287/C$295</f>
        <v>7.6923076923076927E-2</v>
      </c>
      <c r="M287" s="90">
        <f t="shared" ref="M287:M294" si="42">D287/D$295</f>
        <v>7.6923076923076927E-2</v>
      </c>
      <c r="N287" s="90">
        <f t="shared" ref="N287:N294" si="43">E287/E$295</f>
        <v>7.6923076923076927E-2</v>
      </c>
      <c r="O287" s="90">
        <f t="shared" ref="O287:O294" si="44">F287/F$295</f>
        <v>0.1111111111111111</v>
      </c>
      <c r="P287" s="90">
        <f t="shared" ref="P287:P294" si="45">G287/G$295</f>
        <v>7.6923076923076927E-2</v>
      </c>
      <c r="Q287" s="90">
        <f t="shared" ref="Q287:Q294" si="46">H287/H$295</f>
        <v>4.7619047619047623E-2</v>
      </c>
      <c r="R287" s="90">
        <f t="shared" ref="R287:R294" si="47">I287/I$295</f>
        <v>7.6923076923076927E-2</v>
      </c>
      <c r="S287" s="90">
        <f t="shared" ref="S287:S294" si="48">J287/J$295</f>
        <v>7.6923076923076927E-2</v>
      </c>
      <c r="T287" s="90">
        <f t="shared" ref="T287:T294" si="49">K287/K$295</f>
        <v>7.6923076923076927E-2</v>
      </c>
      <c r="U287" s="90">
        <f t="shared" ref="U287:U294" si="50">SUM(L287:T287)</f>
        <v>0.69719169719169716</v>
      </c>
      <c r="V287" s="1">
        <f t="shared" ref="V287:V294" si="51">U287/U$295</f>
        <v>7.7465744132410794E-2</v>
      </c>
      <c r="W287" s="78">
        <f t="shared" ref="W287:W294" si="52">V287</f>
        <v>7.7465744132410794E-2</v>
      </c>
    </row>
    <row r="288" spans="2:23" ht="30" customHeight="1" x14ac:dyDescent="0.25">
      <c r="B288" s="73" t="s">
        <v>108</v>
      </c>
      <c r="C288" s="67">
        <f>IF(E286&lt;&gt;"N/A",1/E286,"N/A")</f>
        <v>1</v>
      </c>
      <c r="D288" s="67">
        <f>IF(E287&lt;&gt;"N/A",1/E287,"N/A")</f>
        <v>1</v>
      </c>
      <c r="E288" s="67">
        <v>1</v>
      </c>
      <c r="F288" s="67">
        <f>'Panel de expertos'!$L49</f>
        <v>1</v>
      </c>
      <c r="G288" s="67">
        <f>'Panel de expertos'!$L50</f>
        <v>0.33333333333333331</v>
      </c>
      <c r="H288" s="67">
        <f>'Panel de expertos'!$L51</f>
        <v>0.33333333333333331</v>
      </c>
      <c r="I288" s="67">
        <f>'Panel de expertos'!$L52</f>
        <v>1</v>
      </c>
      <c r="J288" s="67">
        <f>'Panel de expertos'!$L53</f>
        <v>1</v>
      </c>
      <c r="K288" s="67">
        <f>'Panel de expertos'!$L54</f>
        <v>1</v>
      </c>
      <c r="L288" s="90">
        <f t="shared" si="41"/>
        <v>7.6923076923076927E-2</v>
      </c>
      <c r="M288" s="90">
        <f t="shared" si="42"/>
        <v>7.6923076923076927E-2</v>
      </c>
      <c r="N288" s="90">
        <f t="shared" si="43"/>
        <v>7.6923076923076927E-2</v>
      </c>
      <c r="O288" s="90">
        <f t="shared" si="44"/>
        <v>0.1111111111111111</v>
      </c>
      <c r="P288" s="90">
        <f t="shared" si="45"/>
        <v>7.6923076923076927E-2</v>
      </c>
      <c r="Q288" s="90">
        <f t="shared" si="46"/>
        <v>4.7619047619047623E-2</v>
      </c>
      <c r="R288" s="90">
        <f t="shared" si="47"/>
        <v>7.6923076923076927E-2</v>
      </c>
      <c r="S288" s="90">
        <f t="shared" si="48"/>
        <v>7.6923076923076927E-2</v>
      </c>
      <c r="T288" s="90">
        <f t="shared" si="49"/>
        <v>7.6923076923076927E-2</v>
      </c>
      <c r="U288" s="90">
        <f t="shared" si="50"/>
        <v>0.69719169719169716</v>
      </c>
      <c r="V288" s="1">
        <f t="shared" si="51"/>
        <v>7.7465744132410794E-2</v>
      </c>
      <c r="W288" s="78">
        <f t="shared" si="52"/>
        <v>7.7465744132410794E-2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7.6923076923076927E-2</v>
      </c>
      <c r="M289" s="90">
        <f t="shared" si="42"/>
        <v>7.6923076923076927E-2</v>
      </c>
      <c r="N289" s="90">
        <f t="shared" si="43"/>
        <v>7.6923076923076927E-2</v>
      </c>
      <c r="O289" s="90">
        <f t="shared" si="44"/>
        <v>0.1111111111111111</v>
      </c>
      <c r="P289" s="90">
        <f t="shared" si="45"/>
        <v>0.23076923076923078</v>
      </c>
      <c r="Q289" s="90">
        <f t="shared" si="46"/>
        <v>0.14285714285714288</v>
      </c>
      <c r="R289" s="90">
        <f t="shared" si="47"/>
        <v>7.6923076923076927E-2</v>
      </c>
      <c r="S289" s="90">
        <f t="shared" si="48"/>
        <v>7.6923076923076927E-2</v>
      </c>
      <c r="T289" s="90">
        <f t="shared" si="49"/>
        <v>7.6923076923076927E-2</v>
      </c>
      <c r="U289" s="90">
        <f t="shared" si="50"/>
        <v>0.94627594627594624</v>
      </c>
      <c r="V289" s="1">
        <f t="shared" si="51"/>
        <v>0.10514177180843848</v>
      </c>
      <c r="W289" s="78">
        <f t="shared" si="52"/>
        <v>0.10514177180843848</v>
      </c>
    </row>
    <row r="290" spans="2:23" ht="30" customHeight="1" x14ac:dyDescent="0.25">
      <c r="B290" s="73" t="s">
        <v>110</v>
      </c>
      <c r="C290" s="67">
        <f>IF(G286&lt;&gt;"N/A",1/G286,"N/A")</f>
        <v>3</v>
      </c>
      <c r="D290" s="67">
        <f>IF(G287&lt;&gt;"N/A",1/G287,"N/A")</f>
        <v>3</v>
      </c>
      <c r="E290" s="67">
        <f>IF(G$288&lt;&gt;"N/A",1/G$288,"N/A")</f>
        <v>3</v>
      </c>
      <c r="F290" s="67">
        <f>IF(G$289&lt;&gt;"N/A",1/G$289,"N/A")</f>
        <v>1</v>
      </c>
      <c r="G290" s="67">
        <v>1</v>
      </c>
      <c r="H290" s="67">
        <f>'Panel de expertos'!$L60</f>
        <v>3</v>
      </c>
      <c r="I290" s="67">
        <f>'Panel de expertos'!$L61</f>
        <v>3</v>
      </c>
      <c r="J290" s="67">
        <f>'Panel de expertos'!$L62</f>
        <v>3</v>
      </c>
      <c r="K290" s="67">
        <f>'Panel de expertos'!$L63</f>
        <v>3</v>
      </c>
      <c r="L290" s="90">
        <f t="shared" si="41"/>
        <v>0.23076923076923078</v>
      </c>
      <c r="M290" s="90">
        <f t="shared" si="42"/>
        <v>0.23076923076923078</v>
      </c>
      <c r="N290" s="90">
        <f t="shared" si="43"/>
        <v>0.23076923076923078</v>
      </c>
      <c r="O290" s="90">
        <f t="shared" si="44"/>
        <v>0.1111111111111111</v>
      </c>
      <c r="P290" s="90">
        <f t="shared" si="45"/>
        <v>0.23076923076923078</v>
      </c>
      <c r="Q290" s="90">
        <f t="shared" si="46"/>
        <v>0.4285714285714286</v>
      </c>
      <c r="R290" s="90">
        <f t="shared" si="47"/>
        <v>0.23076923076923078</v>
      </c>
      <c r="S290" s="90">
        <f t="shared" si="48"/>
        <v>0.23076923076923078</v>
      </c>
      <c r="T290" s="90">
        <f t="shared" si="49"/>
        <v>0.23076923076923078</v>
      </c>
      <c r="U290" s="90">
        <f t="shared" si="50"/>
        <v>2.1550671550671554</v>
      </c>
      <c r="V290" s="1">
        <f t="shared" si="51"/>
        <v>0.23945190611857281</v>
      </c>
      <c r="W290" s="78">
        <f t="shared" si="52"/>
        <v>0.23945190611857281</v>
      </c>
    </row>
    <row r="291" spans="2:23" ht="30" customHeight="1" x14ac:dyDescent="0.25">
      <c r="B291" s="73" t="s">
        <v>111</v>
      </c>
      <c r="C291" s="67">
        <f>IF(H$286&lt;&gt;"N/A",1/H$286,"N/A")</f>
        <v>3</v>
      </c>
      <c r="D291" s="67">
        <f>IF(H$287&lt;&gt;"N/A",1/H$287,"N/A")</f>
        <v>3</v>
      </c>
      <c r="E291" s="67">
        <f>IF(H$288&lt;&gt;"N/A",1/H$288,"N/A")</f>
        <v>3</v>
      </c>
      <c r="F291" s="67">
        <f>IF(H$289&lt;&gt;"N/A",1/H$289,"N/A")</f>
        <v>1</v>
      </c>
      <c r="G291" s="67">
        <f>IF(H$290&lt;&gt;"N/A",1/H$290,"N/A")</f>
        <v>0.33333333333333331</v>
      </c>
      <c r="H291" s="67">
        <v>1</v>
      </c>
      <c r="I291" s="67">
        <f>'Panel de expertos'!$L64</f>
        <v>3</v>
      </c>
      <c r="J291" s="67">
        <f>'Panel de expertos'!$L65</f>
        <v>3</v>
      </c>
      <c r="K291" s="67">
        <f>'Panel de expertos'!$L66</f>
        <v>3</v>
      </c>
      <c r="L291" s="90">
        <f t="shared" si="41"/>
        <v>0.23076923076923078</v>
      </c>
      <c r="M291" s="90">
        <f t="shared" si="42"/>
        <v>0.23076923076923078</v>
      </c>
      <c r="N291" s="90">
        <f t="shared" si="43"/>
        <v>0.23076923076923078</v>
      </c>
      <c r="O291" s="90">
        <f t="shared" si="44"/>
        <v>0.1111111111111111</v>
      </c>
      <c r="P291" s="90">
        <f t="shared" si="45"/>
        <v>7.6923076923076927E-2</v>
      </c>
      <c r="Q291" s="90">
        <f t="shared" si="46"/>
        <v>0.14285714285714288</v>
      </c>
      <c r="R291" s="90">
        <f t="shared" si="47"/>
        <v>0.23076923076923078</v>
      </c>
      <c r="S291" s="90">
        <f t="shared" si="48"/>
        <v>0.23076923076923078</v>
      </c>
      <c r="T291" s="90">
        <f t="shared" si="49"/>
        <v>0.23076923076923078</v>
      </c>
      <c r="U291" s="90">
        <f t="shared" si="50"/>
        <v>1.7155067155067156</v>
      </c>
      <c r="V291" s="1">
        <f t="shared" si="51"/>
        <v>0.19061185727852395</v>
      </c>
      <c r="W291" s="78">
        <f t="shared" si="52"/>
        <v>0.19061185727852395</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0.33333333333333331</v>
      </c>
      <c r="H292" s="67">
        <f>IF(I$291&lt;&gt;"N/A",1/I$291,"N/A")</f>
        <v>0.33333333333333331</v>
      </c>
      <c r="I292" s="67">
        <v>1</v>
      </c>
      <c r="J292" s="67">
        <f>'Panel de expertos'!$L67</f>
        <v>1</v>
      </c>
      <c r="K292" s="67">
        <f>'Panel de expertos'!$L68</f>
        <v>1</v>
      </c>
      <c r="L292" s="90">
        <f t="shared" si="41"/>
        <v>7.6923076923076927E-2</v>
      </c>
      <c r="M292" s="90">
        <f t="shared" si="42"/>
        <v>7.6923076923076927E-2</v>
      </c>
      <c r="N292" s="90">
        <f t="shared" si="43"/>
        <v>7.6923076923076927E-2</v>
      </c>
      <c r="O292" s="90">
        <f t="shared" si="44"/>
        <v>0.1111111111111111</v>
      </c>
      <c r="P292" s="90">
        <f t="shared" si="45"/>
        <v>7.6923076923076927E-2</v>
      </c>
      <c r="Q292" s="90">
        <f t="shared" si="46"/>
        <v>4.7619047619047623E-2</v>
      </c>
      <c r="R292" s="90">
        <f t="shared" si="47"/>
        <v>7.6923076923076927E-2</v>
      </c>
      <c r="S292" s="90">
        <f t="shared" si="48"/>
        <v>7.6923076923076927E-2</v>
      </c>
      <c r="T292" s="90">
        <f t="shared" si="49"/>
        <v>7.6923076923076927E-2</v>
      </c>
      <c r="U292" s="90">
        <f t="shared" si="50"/>
        <v>0.69719169719169716</v>
      </c>
      <c r="V292" s="1">
        <f t="shared" si="51"/>
        <v>7.7465744132410794E-2</v>
      </c>
      <c r="W292" s="78">
        <f t="shared" si="52"/>
        <v>7.7465744132410794E-2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0.33333333333333331</v>
      </c>
      <c r="H293" s="67">
        <f>IF(J$291&lt;&gt;"N/A",1/J$291,"N/A")</f>
        <v>0.33333333333333331</v>
      </c>
      <c r="I293" s="67">
        <f>IF(J292&lt;&gt;"N/A",1/J292,"N/A")</f>
        <v>1</v>
      </c>
      <c r="J293" s="67">
        <v>1</v>
      </c>
      <c r="K293" s="67">
        <f>'Panel de expertos'!$L69</f>
        <v>1</v>
      </c>
      <c r="L293" s="90">
        <f t="shared" si="41"/>
        <v>7.6923076923076927E-2</v>
      </c>
      <c r="M293" s="90">
        <f t="shared" si="42"/>
        <v>7.6923076923076927E-2</v>
      </c>
      <c r="N293" s="90">
        <f t="shared" si="43"/>
        <v>7.6923076923076927E-2</v>
      </c>
      <c r="O293" s="90">
        <f t="shared" si="44"/>
        <v>0.1111111111111111</v>
      </c>
      <c r="P293" s="90">
        <f t="shared" si="45"/>
        <v>7.6923076923076927E-2</v>
      </c>
      <c r="Q293" s="90">
        <f t="shared" si="46"/>
        <v>4.7619047619047623E-2</v>
      </c>
      <c r="R293" s="90">
        <f t="shared" si="47"/>
        <v>7.6923076923076927E-2</v>
      </c>
      <c r="S293" s="90">
        <f t="shared" si="48"/>
        <v>7.6923076923076927E-2</v>
      </c>
      <c r="T293" s="90">
        <f t="shared" si="49"/>
        <v>7.6923076923076927E-2</v>
      </c>
      <c r="U293" s="90">
        <f t="shared" si="50"/>
        <v>0.69719169719169716</v>
      </c>
      <c r="V293" s="1">
        <f t="shared" si="51"/>
        <v>7.7465744132410794E-2</v>
      </c>
      <c r="W293" s="78">
        <f t="shared" si="52"/>
        <v>7.7465744132410794E-2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0.33333333333333331</v>
      </c>
      <c r="H294" s="67">
        <f>IF(K$291&lt;&gt;"N/A",1/K$291,"N/A")</f>
        <v>0.33333333333333331</v>
      </c>
      <c r="I294" s="67">
        <f>IF(K292&lt;&gt;"N/A",1/K292,"N/A")</f>
        <v>1</v>
      </c>
      <c r="J294" s="67">
        <f>IF(K293&lt;&gt;"N/A",1/K293,"N/A")</f>
        <v>1</v>
      </c>
      <c r="K294" s="67">
        <v>1</v>
      </c>
      <c r="L294" s="90">
        <f t="shared" si="41"/>
        <v>7.6923076923076927E-2</v>
      </c>
      <c r="M294" s="90">
        <f t="shared" si="42"/>
        <v>7.6923076923076927E-2</v>
      </c>
      <c r="N294" s="90">
        <f t="shared" si="43"/>
        <v>7.6923076923076927E-2</v>
      </c>
      <c r="O294" s="90">
        <f t="shared" si="44"/>
        <v>0.1111111111111111</v>
      </c>
      <c r="P294" s="90">
        <f t="shared" si="45"/>
        <v>7.6923076923076927E-2</v>
      </c>
      <c r="Q294" s="90">
        <f t="shared" si="46"/>
        <v>4.7619047619047623E-2</v>
      </c>
      <c r="R294" s="90">
        <f t="shared" si="47"/>
        <v>7.6923076923076927E-2</v>
      </c>
      <c r="S294" s="90">
        <f t="shared" si="48"/>
        <v>7.6923076923076927E-2</v>
      </c>
      <c r="T294" s="90">
        <f t="shared" si="49"/>
        <v>7.6923076923076927E-2</v>
      </c>
      <c r="U294" s="90">
        <f t="shared" si="50"/>
        <v>0.69719169719169716</v>
      </c>
      <c r="V294" s="1">
        <f t="shared" si="51"/>
        <v>7.7465744132410794E-2</v>
      </c>
      <c r="W294" s="78">
        <f t="shared" si="52"/>
        <v>7.7465744132410794E-2</v>
      </c>
    </row>
    <row r="295" spans="2:23" x14ac:dyDescent="0.25">
      <c r="B295" s="69" t="s">
        <v>275</v>
      </c>
      <c r="C295" s="71">
        <f>SUM(C286:C294)</f>
        <v>13</v>
      </c>
      <c r="D295" s="71">
        <f t="shared" ref="D295:W295" si="53">SUM(D286:D294)</f>
        <v>13</v>
      </c>
      <c r="E295" s="71">
        <f t="shared" si="53"/>
        <v>13</v>
      </c>
      <c r="F295" s="71">
        <f t="shared" si="53"/>
        <v>9</v>
      </c>
      <c r="G295" s="71">
        <f t="shared" si="53"/>
        <v>4.333333333333333</v>
      </c>
      <c r="H295" s="71">
        <f t="shared" si="53"/>
        <v>6.9999999999999991</v>
      </c>
      <c r="I295" s="71">
        <f t="shared" si="53"/>
        <v>13</v>
      </c>
      <c r="J295" s="71">
        <f t="shared" si="53"/>
        <v>13</v>
      </c>
      <c r="K295" s="71">
        <f t="shared" si="53"/>
        <v>13</v>
      </c>
      <c r="L295" s="71">
        <f t="shared" si="53"/>
        <v>1</v>
      </c>
      <c r="M295" s="71">
        <f t="shared" si="53"/>
        <v>1</v>
      </c>
      <c r="N295" s="71">
        <f t="shared" si="53"/>
        <v>1</v>
      </c>
      <c r="O295" s="71">
        <f t="shared" si="53"/>
        <v>1.0000000000000002</v>
      </c>
      <c r="P295" s="71">
        <f t="shared" si="53"/>
        <v>0.99999999999999978</v>
      </c>
      <c r="Q295" s="71">
        <f t="shared" si="53"/>
        <v>1.0000000000000002</v>
      </c>
      <c r="R295" s="71">
        <f t="shared" si="53"/>
        <v>1</v>
      </c>
      <c r="S295" s="71">
        <f t="shared" si="53"/>
        <v>1</v>
      </c>
      <c r="T295" s="71">
        <f t="shared" si="53"/>
        <v>1</v>
      </c>
      <c r="U295" s="71">
        <f t="shared" si="53"/>
        <v>9</v>
      </c>
      <c r="V295" s="71">
        <f t="shared" si="53"/>
        <v>1</v>
      </c>
      <c r="W295" s="89">
        <f t="shared" si="53"/>
        <v>1</v>
      </c>
    </row>
    <row r="297" spans="2:23" ht="15" customHeight="1" x14ac:dyDescent="0.25">
      <c r="B297" s="85" t="s">
        <v>299</v>
      </c>
      <c r="C297" s="86" t="s">
        <v>293</v>
      </c>
      <c r="D297" s="83" cm="1">
        <f t="array" ref="D297">SUMPRODUCT(C295:K295,TRANSPOSE(V286:V294))</f>
        <v>9.3605119160674715</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4.5063989508433933E-2</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3.1078613454092369E-2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277</v>
      </c>
      <c r="K305" s="235"/>
      <c r="L305" s="235"/>
      <c r="M305" s="235"/>
      <c r="N305" s="235"/>
      <c r="O305" s="235"/>
      <c r="P305" s="23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0.1111111111111111</v>
      </c>
      <c r="L306" s="90">
        <f t="shared" si="54"/>
        <v>0.1111111111111111</v>
      </c>
      <c r="M306" s="90">
        <f t="shared" si="54"/>
        <v>0.2</v>
      </c>
      <c r="N306" s="90">
        <f t="shared" si="54"/>
        <v>0.1111111111111111</v>
      </c>
      <c r="O306" s="90">
        <f t="shared" si="54"/>
        <v>0.14285714285714285</v>
      </c>
      <c r="P306" s="90">
        <f t="shared" si="54"/>
        <v>0.14285714285714285</v>
      </c>
      <c r="Q306" s="90">
        <f t="shared" ref="Q306:Q312" si="55">SUM(J306:P306)</f>
        <v>0.96190476190476182</v>
      </c>
      <c r="R306" s="1">
        <f t="shared" ref="R306:R312" si="56">Q306/Q$313</f>
        <v>0.13741496598639455</v>
      </c>
      <c r="S306" s="78">
        <f>R306</f>
        <v>0.13741496598639455</v>
      </c>
    </row>
    <row r="307" spans="2:21" ht="30" customHeight="1" x14ac:dyDescent="0.25">
      <c r="B307" s="73" t="s">
        <v>103</v>
      </c>
      <c r="C307" s="67">
        <f>IF(D306&lt;&gt;"N/A",1/D306,"N/A")</f>
        <v>1</v>
      </c>
      <c r="D307" s="67">
        <v>1</v>
      </c>
      <c r="E307" s="67">
        <f>'Panel de expertos'!$L103</f>
        <v>1</v>
      </c>
      <c r="F307" s="67">
        <f>'Panel de expertos'!$L104</f>
        <v>0.33333333333333331</v>
      </c>
      <c r="G307" s="67">
        <f>'Panel de expertos'!$L105</f>
        <v>1</v>
      </c>
      <c r="H307" s="67">
        <f>'Panel de expertos'!$L106</f>
        <v>1</v>
      </c>
      <c r="I307" s="67">
        <f>'Panel de expertos'!$L107</f>
        <v>1</v>
      </c>
      <c r="J307" s="90">
        <f t="shared" si="54"/>
        <v>0.14285714285714285</v>
      </c>
      <c r="K307" s="90">
        <f t="shared" si="54"/>
        <v>0.1111111111111111</v>
      </c>
      <c r="L307" s="90">
        <f t="shared" si="54"/>
        <v>0.1111111111111111</v>
      </c>
      <c r="M307" s="90">
        <f t="shared" si="54"/>
        <v>6.6666666666666666E-2</v>
      </c>
      <c r="N307" s="90">
        <f t="shared" si="54"/>
        <v>0.1111111111111111</v>
      </c>
      <c r="O307" s="90">
        <f t="shared" si="54"/>
        <v>0.14285714285714285</v>
      </c>
      <c r="P307" s="90">
        <f t="shared" si="54"/>
        <v>0.14285714285714285</v>
      </c>
      <c r="Q307" s="90">
        <f t="shared" si="55"/>
        <v>0.82857142857142851</v>
      </c>
      <c r="R307" s="1">
        <f t="shared" si="56"/>
        <v>0.11836734693877551</v>
      </c>
      <c r="S307" s="78">
        <f t="shared" ref="S307:S312" si="57">R307</f>
        <v>0.11836734693877551</v>
      </c>
    </row>
    <row r="308" spans="2:21" ht="30" customHeight="1" x14ac:dyDescent="0.25">
      <c r="B308" s="73" t="s">
        <v>104</v>
      </c>
      <c r="C308" s="67">
        <f>IF(E306&lt;&gt;"N/A",1/E306,"N/A")</f>
        <v>1</v>
      </c>
      <c r="D308" s="67">
        <f>IF(E307&lt;&gt;"N/A",1/E307,"N/A")</f>
        <v>1</v>
      </c>
      <c r="E308" s="67">
        <v>1</v>
      </c>
      <c r="F308" s="67">
        <f>'Panel de expertos'!$L108</f>
        <v>0.33333333333333331</v>
      </c>
      <c r="G308" s="67">
        <f>'Panel de expertos'!$L109</f>
        <v>1</v>
      </c>
      <c r="H308" s="67">
        <f>'Panel de expertos'!$L110</f>
        <v>1</v>
      </c>
      <c r="I308" s="67">
        <f>'Panel de expertos'!$L111</f>
        <v>1</v>
      </c>
      <c r="J308" s="90">
        <f t="shared" si="54"/>
        <v>0.14285714285714285</v>
      </c>
      <c r="K308" s="90">
        <f t="shared" si="54"/>
        <v>0.1111111111111111</v>
      </c>
      <c r="L308" s="90">
        <f t="shared" si="54"/>
        <v>0.1111111111111111</v>
      </c>
      <c r="M308" s="90">
        <f t="shared" si="54"/>
        <v>6.6666666666666666E-2</v>
      </c>
      <c r="N308" s="90">
        <f t="shared" si="54"/>
        <v>0.1111111111111111</v>
      </c>
      <c r="O308" s="90">
        <f t="shared" si="54"/>
        <v>0.14285714285714285</v>
      </c>
      <c r="P308" s="90">
        <f t="shared" si="54"/>
        <v>0.14285714285714285</v>
      </c>
      <c r="Q308" s="90">
        <f t="shared" si="55"/>
        <v>0.82857142857142851</v>
      </c>
      <c r="R308" s="1">
        <f t="shared" si="56"/>
        <v>0.11836734693877551</v>
      </c>
      <c r="S308" s="78">
        <f t="shared" si="57"/>
        <v>0.11836734693877551</v>
      </c>
    </row>
    <row r="309" spans="2:21" ht="30" customHeight="1" x14ac:dyDescent="0.25">
      <c r="B309" s="73" t="s">
        <v>139</v>
      </c>
      <c r="C309" s="67">
        <f>IF(F306&lt;&gt;"N/A",1/F306,"N/A")</f>
        <v>1</v>
      </c>
      <c r="D309" s="67">
        <f>IF(F307&lt;&gt;"N/A",1/F307,"N/A")</f>
        <v>3</v>
      </c>
      <c r="E309" s="67">
        <f>IF(F308&lt;&gt;"N/A",1/F308,"N/A")</f>
        <v>3</v>
      </c>
      <c r="F309" s="67">
        <v>1</v>
      </c>
      <c r="G309" s="67">
        <f>'Panel de expertos'!$L112</f>
        <v>3</v>
      </c>
      <c r="H309" s="67">
        <f>'Panel de expertos'!$L113</f>
        <v>1</v>
      </c>
      <c r="I309" s="67">
        <f>'Panel de expertos'!$L114</f>
        <v>1</v>
      </c>
      <c r="J309" s="90">
        <f t="shared" si="54"/>
        <v>0.14285714285714285</v>
      </c>
      <c r="K309" s="90">
        <f t="shared" si="54"/>
        <v>0.33333333333333331</v>
      </c>
      <c r="L309" s="90">
        <f t="shared" si="54"/>
        <v>0.33333333333333331</v>
      </c>
      <c r="M309" s="90">
        <f t="shared" si="54"/>
        <v>0.2</v>
      </c>
      <c r="N309" s="90">
        <f t="shared" si="54"/>
        <v>0.33333333333333331</v>
      </c>
      <c r="O309" s="90">
        <f t="shared" si="54"/>
        <v>0.14285714285714285</v>
      </c>
      <c r="P309" s="90">
        <f t="shared" si="54"/>
        <v>0.14285714285714285</v>
      </c>
      <c r="Q309" s="90">
        <f t="shared" si="55"/>
        <v>1.6285714285714283</v>
      </c>
      <c r="R309" s="1">
        <f t="shared" si="56"/>
        <v>0.23265306122448978</v>
      </c>
      <c r="S309" s="78">
        <f t="shared" si="57"/>
        <v>0.23265306122448978</v>
      </c>
    </row>
    <row r="310" spans="2:21" ht="30" customHeight="1" x14ac:dyDescent="0.25">
      <c r="B310" s="73" t="s">
        <v>141</v>
      </c>
      <c r="C310" s="67">
        <f>IF(G306&lt;&gt;"N/A",1/G306,"N/A")</f>
        <v>1</v>
      </c>
      <c r="D310" s="67">
        <f>IF(G307&lt;&gt;"N/A",1/G307,"N/A")</f>
        <v>1</v>
      </c>
      <c r="E310" s="67">
        <f>IF(G308&lt;&gt;"N/A",1/G308,"N/A")</f>
        <v>1</v>
      </c>
      <c r="F310" s="67">
        <f>IF(G309&lt;&gt;"N/A",1/G309,"N/A")</f>
        <v>0.33333333333333331</v>
      </c>
      <c r="G310" s="67">
        <v>1</v>
      </c>
      <c r="H310" s="67">
        <f>'Panel de expertos'!$L115</f>
        <v>1</v>
      </c>
      <c r="I310" s="67">
        <f>'Panel de expertos'!$L116</f>
        <v>1</v>
      </c>
      <c r="J310" s="90">
        <f t="shared" si="54"/>
        <v>0.14285714285714285</v>
      </c>
      <c r="K310" s="90">
        <f t="shared" si="54"/>
        <v>0.1111111111111111</v>
      </c>
      <c r="L310" s="90">
        <f t="shared" si="54"/>
        <v>0.1111111111111111</v>
      </c>
      <c r="M310" s="90">
        <f t="shared" si="54"/>
        <v>6.6666666666666666E-2</v>
      </c>
      <c r="N310" s="90">
        <f t="shared" si="54"/>
        <v>0.1111111111111111</v>
      </c>
      <c r="O310" s="90">
        <f t="shared" si="54"/>
        <v>0.14285714285714285</v>
      </c>
      <c r="P310" s="90">
        <f t="shared" si="54"/>
        <v>0.14285714285714285</v>
      </c>
      <c r="Q310" s="90">
        <f t="shared" si="55"/>
        <v>0.82857142857142851</v>
      </c>
      <c r="R310" s="1">
        <f t="shared" si="56"/>
        <v>0.11836734693877551</v>
      </c>
      <c r="S310" s="78">
        <f t="shared" si="57"/>
        <v>0.11836734693877551</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0.1111111111111111</v>
      </c>
      <c r="L311" s="90">
        <f t="shared" si="54"/>
        <v>0.1111111111111111</v>
      </c>
      <c r="M311" s="90">
        <f t="shared" si="54"/>
        <v>0.2</v>
      </c>
      <c r="N311" s="90">
        <f t="shared" si="54"/>
        <v>0.1111111111111111</v>
      </c>
      <c r="O311" s="90">
        <f t="shared" si="54"/>
        <v>0.14285714285714285</v>
      </c>
      <c r="P311" s="90">
        <f t="shared" si="54"/>
        <v>0.14285714285714285</v>
      </c>
      <c r="Q311" s="90">
        <f t="shared" si="55"/>
        <v>0.96190476190476182</v>
      </c>
      <c r="R311" s="1">
        <f t="shared" si="56"/>
        <v>0.13741496598639455</v>
      </c>
      <c r="S311" s="78">
        <f t="shared" si="57"/>
        <v>0.13741496598639455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0.1111111111111111</v>
      </c>
      <c r="L312" s="90">
        <f t="shared" si="54"/>
        <v>0.1111111111111111</v>
      </c>
      <c r="M312" s="90">
        <f t="shared" si="54"/>
        <v>0.2</v>
      </c>
      <c r="N312" s="90">
        <f t="shared" si="54"/>
        <v>0.1111111111111111</v>
      </c>
      <c r="O312" s="90">
        <f t="shared" si="54"/>
        <v>0.14285714285714285</v>
      </c>
      <c r="P312" s="90">
        <f t="shared" si="54"/>
        <v>0.14285714285714285</v>
      </c>
      <c r="Q312" s="90">
        <f t="shared" si="55"/>
        <v>0.96190476190476182</v>
      </c>
      <c r="R312" s="1">
        <f t="shared" si="56"/>
        <v>0.13741496598639455</v>
      </c>
      <c r="S312" s="78">
        <f t="shared" si="57"/>
        <v>0.13741496598639455</v>
      </c>
    </row>
    <row r="313" spans="2:21" x14ac:dyDescent="0.25">
      <c r="B313" s="69" t="s">
        <v>275</v>
      </c>
      <c r="C313" s="71">
        <f t="shared" ref="C313:S313" si="58">SUM(C306:C312)</f>
        <v>7</v>
      </c>
      <c r="D313" s="71">
        <f t="shared" si="58"/>
        <v>9</v>
      </c>
      <c r="E313" s="71">
        <f t="shared" si="58"/>
        <v>9</v>
      </c>
      <c r="F313" s="71">
        <f t="shared" si="58"/>
        <v>5</v>
      </c>
      <c r="G313" s="71">
        <f t="shared" si="58"/>
        <v>9</v>
      </c>
      <c r="H313" s="71">
        <f t="shared" si="58"/>
        <v>7</v>
      </c>
      <c r="I313" s="71">
        <f t="shared" si="58"/>
        <v>7</v>
      </c>
      <c r="J313" s="71">
        <f t="shared" si="58"/>
        <v>0.99999999999999978</v>
      </c>
      <c r="K313" s="71">
        <f t="shared" si="58"/>
        <v>1</v>
      </c>
      <c r="L313" s="71">
        <f t="shared" si="58"/>
        <v>1</v>
      </c>
      <c r="M313" s="71">
        <f t="shared" si="58"/>
        <v>1</v>
      </c>
      <c r="N313" s="71">
        <f t="shared" si="58"/>
        <v>1</v>
      </c>
      <c r="O313" s="71">
        <f t="shared" si="58"/>
        <v>0.99999999999999978</v>
      </c>
      <c r="P313" s="71">
        <f t="shared" si="58"/>
        <v>0.99999999999999978</v>
      </c>
      <c r="Q313" s="71">
        <f t="shared" si="58"/>
        <v>6.9999999999999991</v>
      </c>
      <c r="R313" s="71">
        <f t="shared" si="58"/>
        <v>1</v>
      </c>
      <c r="S313" s="89">
        <f t="shared" si="58"/>
        <v>1</v>
      </c>
      <c r="T313" s="71"/>
      <c r="U313" s="89"/>
    </row>
    <row r="315" spans="2:21" ht="15" customHeight="1" x14ac:dyDescent="0.25">
      <c r="B315" s="85" t="s">
        <v>299</v>
      </c>
      <c r="C315" s="86" t="s">
        <v>293</v>
      </c>
      <c r="D315" s="83" cm="1">
        <f t="array" ref="D315">SUMPRODUCT(C313:I313,TRANSPOSE(R306:R312))</f>
        <v>7.2448979591836737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4.081632653061229E-2</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2.8947749312490986E-2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5</v>
      </c>
      <c r="G324" s="90">
        <f t="shared" ref="G324:J327" si="59">C324/C$328</f>
        <v>0.3125</v>
      </c>
      <c r="H324" s="90">
        <f t="shared" si="59"/>
        <v>0.25</v>
      </c>
      <c r="I324" s="90">
        <f t="shared" si="59"/>
        <v>0.25</v>
      </c>
      <c r="J324" s="90">
        <f t="shared" si="59"/>
        <v>0.625</v>
      </c>
      <c r="K324" s="90">
        <f>SUM(G324:J324)</f>
        <v>1.4375</v>
      </c>
      <c r="L324" s="1">
        <f>K324/K$328</f>
        <v>0.359375</v>
      </c>
      <c r="M324" s="78">
        <f>L324</f>
        <v>0.359375</v>
      </c>
    </row>
    <row r="325" spans="2:19" ht="30" customHeight="1" x14ac:dyDescent="0.25">
      <c r="B325" s="73" t="s">
        <v>116</v>
      </c>
      <c r="C325" s="67">
        <f>IF(D324&lt;&gt;"N/A",1/D324,"N/A")</f>
        <v>1</v>
      </c>
      <c r="D325" s="67">
        <v>1</v>
      </c>
      <c r="E325" s="67">
        <f>'Panel de expertos'!$L124</f>
        <v>1</v>
      </c>
      <c r="F325" s="67">
        <f>'Panel de expertos'!$L125</f>
        <v>1</v>
      </c>
      <c r="G325" s="90">
        <f t="shared" si="59"/>
        <v>0.3125</v>
      </c>
      <c r="H325" s="90">
        <f t="shared" si="59"/>
        <v>0.25</v>
      </c>
      <c r="I325" s="90">
        <f t="shared" si="59"/>
        <v>0.25</v>
      </c>
      <c r="J325" s="90">
        <f t="shared" si="59"/>
        <v>0.125</v>
      </c>
      <c r="K325" s="90">
        <f>SUM(G325:J325)</f>
        <v>0.9375</v>
      </c>
      <c r="L325" s="1">
        <f>K325/K$328</f>
        <v>0.234375</v>
      </c>
      <c r="M325" s="78">
        <f t="shared" ref="M325:M327" si="60">L325</f>
        <v>0.234375</v>
      </c>
    </row>
    <row r="326" spans="2:19" ht="30" customHeight="1" x14ac:dyDescent="0.25">
      <c r="B326" s="73" t="s">
        <v>117</v>
      </c>
      <c r="C326" s="67">
        <f>IF(E324&lt;&gt;"N/A",1/E324,"N/A")</f>
        <v>1</v>
      </c>
      <c r="D326" s="67">
        <f>IF(E325&lt;&gt;"N/A",1/E325,"N/A")</f>
        <v>1</v>
      </c>
      <c r="E326" s="67">
        <v>1</v>
      </c>
      <c r="F326" s="67">
        <f>'Panel de expertos'!$L126</f>
        <v>1</v>
      </c>
      <c r="G326" s="90">
        <f t="shared" si="59"/>
        <v>0.3125</v>
      </c>
      <c r="H326" s="90">
        <f t="shared" si="59"/>
        <v>0.25</v>
      </c>
      <c r="I326" s="90">
        <f t="shared" si="59"/>
        <v>0.25</v>
      </c>
      <c r="J326" s="90">
        <f t="shared" si="59"/>
        <v>0.125</v>
      </c>
      <c r="K326" s="90">
        <f>SUM(G326:J326)</f>
        <v>0.9375</v>
      </c>
      <c r="L326" s="1">
        <f>K326/K$328</f>
        <v>0.234375</v>
      </c>
      <c r="M326" s="78">
        <f t="shared" si="60"/>
        <v>0.234375</v>
      </c>
    </row>
    <row r="327" spans="2:19" ht="30" customHeight="1" x14ac:dyDescent="0.25">
      <c r="B327" s="73" t="s">
        <v>118</v>
      </c>
      <c r="C327" s="67">
        <f>IF(F324&lt;&gt;"N/A",1/F324,"N/A")</f>
        <v>0.2</v>
      </c>
      <c r="D327" s="67">
        <f>IF(F325&lt;&gt;"N/A",1/F325,"N/A")</f>
        <v>1</v>
      </c>
      <c r="E327" s="67">
        <f>IF(F326&lt;&gt;"N/A",1/F326,"N/A")</f>
        <v>1</v>
      </c>
      <c r="F327" s="67">
        <v>1</v>
      </c>
      <c r="G327" s="90">
        <f t="shared" si="59"/>
        <v>6.25E-2</v>
      </c>
      <c r="H327" s="90">
        <f t="shared" si="59"/>
        <v>0.25</v>
      </c>
      <c r="I327" s="90">
        <f t="shared" si="59"/>
        <v>0.25</v>
      </c>
      <c r="J327" s="90">
        <f t="shared" si="59"/>
        <v>0.125</v>
      </c>
      <c r="K327" s="90">
        <f>SUM(G327:J327)</f>
        <v>0.6875</v>
      </c>
      <c r="L327" s="1">
        <f>K327/K$328</f>
        <v>0.171875</v>
      </c>
      <c r="M327" s="78">
        <f t="shared" si="60"/>
        <v>0.171875</v>
      </c>
    </row>
    <row r="328" spans="2:19" x14ac:dyDescent="0.25">
      <c r="B328" s="69" t="s">
        <v>275</v>
      </c>
      <c r="C328" s="71">
        <f t="shared" ref="C328:M328" si="61">SUM(C324:C327)</f>
        <v>3.2</v>
      </c>
      <c r="D328" s="71">
        <f t="shared" si="61"/>
        <v>4</v>
      </c>
      <c r="E328" s="71">
        <f t="shared" si="61"/>
        <v>4</v>
      </c>
      <c r="F328" s="71">
        <f t="shared" si="61"/>
        <v>8</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4.4000000000000004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0.13333333333333344</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0.10752688172043019</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4" t="s">
        <v>277</v>
      </c>
      <c r="K338" s="235"/>
      <c r="L338" s="235"/>
      <c r="M338" s="235"/>
      <c r="N338" s="235"/>
      <c r="O338" s="235"/>
      <c r="P338" s="236"/>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3</v>
      </c>
      <c r="J339" s="90">
        <f>C339/C$346</f>
        <v>0.15789473684210528</v>
      </c>
      <c r="K339" s="90">
        <f t="shared" ref="K339:P339" si="62">D339/D$346</f>
        <v>0.14285714285714285</v>
      </c>
      <c r="L339" s="90">
        <f t="shared" si="62"/>
        <v>0.15789473684210528</v>
      </c>
      <c r="M339" s="90">
        <f t="shared" si="62"/>
        <v>0.14285714285714285</v>
      </c>
      <c r="N339" s="90">
        <f t="shared" si="62"/>
        <v>0.15789473684210528</v>
      </c>
      <c r="O339" s="90">
        <f t="shared" si="62"/>
        <v>0.15789473684210528</v>
      </c>
      <c r="P339" s="90">
        <f t="shared" si="62"/>
        <v>0.2</v>
      </c>
      <c r="Q339" s="90">
        <f>SUM(J339:P339)</f>
        <v>1.1172932330827068</v>
      </c>
      <c r="R339" s="1">
        <f>Q339/Q$346</f>
        <v>0.15961331901181525</v>
      </c>
      <c r="S339" s="78">
        <f>R339</f>
        <v>0.15961331901181525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0.15789473684210528</v>
      </c>
      <c r="K340" s="90">
        <f t="shared" ref="K340:K345" si="64">D340/D$346</f>
        <v>0.14285714285714285</v>
      </c>
      <c r="L340" s="90">
        <f t="shared" ref="L340:L345" si="65">E340/E$346</f>
        <v>0.15789473684210528</v>
      </c>
      <c r="M340" s="90">
        <f t="shared" ref="M340:M345" si="66">F340/F$346</f>
        <v>0.14285714285714285</v>
      </c>
      <c r="N340" s="90">
        <f t="shared" ref="N340:N345" si="67">G340/G$346</f>
        <v>0.15789473684210528</v>
      </c>
      <c r="O340" s="90">
        <f t="shared" ref="O340:O345" si="68">H340/H$346</f>
        <v>0.15789473684210528</v>
      </c>
      <c r="P340" s="90">
        <f t="shared" ref="P340:P345" si="69">I340/I$346</f>
        <v>6.6666666666666666E-2</v>
      </c>
      <c r="Q340" s="90">
        <f t="shared" ref="Q340:Q345" si="70">SUM(J340:P340)</f>
        <v>0.98395989974937348</v>
      </c>
      <c r="R340" s="1">
        <f t="shared" ref="R340:R345" si="71">Q340/Q$346</f>
        <v>0.14056569996419618</v>
      </c>
      <c r="S340" s="78">
        <f t="shared" ref="S340:S345" si="72">R340</f>
        <v>0.14056569996419618</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3</v>
      </c>
      <c r="J341" s="90">
        <f t="shared" si="63"/>
        <v>0.15789473684210528</v>
      </c>
      <c r="K341" s="90">
        <f t="shared" si="64"/>
        <v>0.14285714285714285</v>
      </c>
      <c r="L341" s="90">
        <f t="shared" si="65"/>
        <v>0.15789473684210528</v>
      </c>
      <c r="M341" s="90">
        <f t="shared" si="66"/>
        <v>0.14285714285714285</v>
      </c>
      <c r="N341" s="90">
        <f t="shared" si="67"/>
        <v>0.15789473684210528</v>
      </c>
      <c r="O341" s="90">
        <f t="shared" si="68"/>
        <v>0.15789473684210528</v>
      </c>
      <c r="P341" s="90">
        <f t="shared" si="69"/>
        <v>0.2</v>
      </c>
      <c r="Q341" s="90">
        <f t="shared" si="70"/>
        <v>1.1172932330827068</v>
      </c>
      <c r="R341" s="1">
        <f t="shared" si="71"/>
        <v>0.15961331901181525</v>
      </c>
      <c r="S341" s="78">
        <f t="shared" si="72"/>
        <v>0.15961331901181525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0.15789473684210528</v>
      </c>
      <c r="K342" s="90">
        <f t="shared" si="64"/>
        <v>0.14285714285714285</v>
      </c>
      <c r="L342" s="90">
        <f t="shared" si="65"/>
        <v>0.15789473684210528</v>
      </c>
      <c r="M342" s="90">
        <f t="shared" si="66"/>
        <v>0.14285714285714285</v>
      </c>
      <c r="N342" s="90">
        <f t="shared" si="67"/>
        <v>0.15789473684210528</v>
      </c>
      <c r="O342" s="90">
        <f t="shared" si="68"/>
        <v>0.15789473684210528</v>
      </c>
      <c r="P342" s="90">
        <f t="shared" si="69"/>
        <v>6.6666666666666666E-2</v>
      </c>
      <c r="Q342" s="90">
        <f t="shared" si="70"/>
        <v>0.98395989974937348</v>
      </c>
      <c r="R342" s="1">
        <f t="shared" si="71"/>
        <v>0.14056569996419618</v>
      </c>
      <c r="S342" s="78">
        <f t="shared" si="72"/>
        <v>0.14056569996419618</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3</v>
      </c>
      <c r="J343" s="90">
        <f t="shared" si="63"/>
        <v>0.15789473684210528</v>
      </c>
      <c r="K343" s="90">
        <f t="shared" si="64"/>
        <v>0.14285714285714285</v>
      </c>
      <c r="L343" s="90">
        <f t="shared" si="65"/>
        <v>0.15789473684210528</v>
      </c>
      <c r="M343" s="90">
        <f t="shared" si="66"/>
        <v>0.14285714285714285</v>
      </c>
      <c r="N343" s="90">
        <f t="shared" si="67"/>
        <v>0.15789473684210528</v>
      </c>
      <c r="O343" s="90">
        <f t="shared" si="68"/>
        <v>0.15789473684210528</v>
      </c>
      <c r="P343" s="90">
        <f t="shared" si="69"/>
        <v>0.2</v>
      </c>
      <c r="Q343" s="90">
        <f t="shared" si="70"/>
        <v>1.1172932330827068</v>
      </c>
      <c r="R343" s="1">
        <f t="shared" si="71"/>
        <v>0.15961331901181525</v>
      </c>
      <c r="S343" s="78">
        <f t="shared" si="72"/>
        <v>0.15961331901181525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3</v>
      </c>
      <c r="J344" s="90">
        <f t="shared" si="63"/>
        <v>0.15789473684210528</v>
      </c>
      <c r="K344" s="90">
        <f t="shared" si="64"/>
        <v>0.14285714285714285</v>
      </c>
      <c r="L344" s="90">
        <f t="shared" si="65"/>
        <v>0.15789473684210528</v>
      </c>
      <c r="M344" s="90">
        <f t="shared" si="66"/>
        <v>0.14285714285714285</v>
      </c>
      <c r="N344" s="90">
        <f t="shared" si="67"/>
        <v>0.15789473684210528</v>
      </c>
      <c r="O344" s="90">
        <f t="shared" si="68"/>
        <v>0.15789473684210528</v>
      </c>
      <c r="P344" s="90">
        <f t="shared" si="69"/>
        <v>0.2</v>
      </c>
      <c r="Q344" s="90">
        <f t="shared" si="70"/>
        <v>1.1172932330827068</v>
      </c>
      <c r="R344" s="1">
        <f t="shared" si="71"/>
        <v>0.15961331901181525</v>
      </c>
      <c r="S344" s="78">
        <f t="shared" si="72"/>
        <v>0.15961331901181525</v>
      </c>
    </row>
    <row r="345" spans="2:23" ht="30" customHeight="1" x14ac:dyDescent="0.25">
      <c r="B345" s="153" t="s">
        <v>516</v>
      </c>
      <c r="C345" s="67">
        <f>IF($I$339&lt;&gt;"N/A",1/$I$339,"N/A")</f>
        <v>0.33333333333333331</v>
      </c>
      <c r="D345" s="67">
        <f>IF($I$340&lt;&gt;"N/A",1/$I$340,"N/A")</f>
        <v>1</v>
      </c>
      <c r="E345" s="67">
        <f>IF($I$341&lt;&gt;"N/A",1/$I$341,"N/A")</f>
        <v>0.33333333333333331</v>
      </c>
      <c r="F345" s="67">
        <f>IF($I$342&lt;&gt;"N/A",1/$I$342,"N/A")</f>
        <v>1</v>
      </c>
      <c r="G345" s="67">
        <f>IF($I$343&lt;&gt;"N/A",1/$I$343,"N/A")</f>
        <v>0.33333333333333331</v>
      </c>
      <c r="H345" s="67">
        <f>IF($I$344&lt;&gt;"N/A",1/$I$343,"N/A")</f>
        <v>0.33333333333333331</v>
      </c>
      <c r="I345" s="67">
        <v>1</v>
      </c>
      <c r="J345" s="90">
        <f t="shared" si="63"/>
        <v>5.2631578947368418E-2</v>
      </c>
      <c r="K345" s="90">
        <f t="shared" si="64"/>
        <v>0.14285714285714285</v>
      </c>
      <c r="L345" s="90">
        <f t="shared" si="65"/>
        <v>5.2631578947368418E-2</v>
      </c>
      <c r="M345" s="90">
        <f t="shared" si="66"/>
        <v>0.14285714285714285</v>
      </c>
      <c r="N345" s="90">
        <f t="shared" si="67"/>
        <v>5.2631578947368418E-2</v>
      </c>
      <c r="O345" s="90">
        <f t="shared" si="68"/>
        <v>5.2631578947368418E-2</v>
      </c>
      <c r="P345" s="90">
        <f t="shared" si="69"/>
        <v>6.6666666666666666E-2</v>
      </c>
      <c r="Q345" s="90">
        <f t="shared" si="70"/>
        <v>0.56290726817042602</v>
      </c>
      <c r="R345" s="1">
        <f t="shared" si="71"/>
        <v>8.0415324024346563E-2</v>
      </c>
      <c r="S345" s="78">
        <f t="shared" si="72"/>
        <v>8.0415324024346563E-2</v>
      </c>
    </row>
    <row r="346" spans="2:23" x14ac:dyDescent="0.25">
      <c r="B346" s="69" t="s">
        <v>275</v>
      </c>
      <c r="C346" s="71">
        <f>SUM(C339:C345)</f>
        <v>6.333333333333333</v>
      </c>
      <c r="D346" s="71">
        <f t="shared" ref="D346:I346" si="73">SUM(D339:D345)</f>
        <v>7</v>
      </c>
      <c r="E346" s="71">
        <f t="shared" si="73"/>
        <v>6.333333333333333</v>
      </c>
      <c r="F346" s="71">
        <f t="shared" si="73"/>
        <v>7</v>
      </c>
      <c r="G346" s="71">
        <f t="shared" si="73"/>
        <v>6.333333333333333</v>
      </c>
      <c r="H346" s="71">
        <f t="shared" si="73"/>
        <v>6.333333333333333</v>
      </c>
      <c r="I346" s="71">
        <f t="shared" si="73"/>
        <v>15</v>
      </c>
      <c r="J346" s="71">
        <f t="shared" ref="J346" si="74">SUM(J339:J345)</f>
        <v>1.0000000000000002</v>
      </c>
      <c r="K346" s="71">
        <f t="shared" ref="K346" si="75">SUM(K339:K345)</f>
        <v>0.99999999999999978</v>
      </c>
      <c r="L346" s="71">
        <f t="shared" ref="L346" si="76">SUM(L339:L345)</f>
        <v>1.0000000000000002</v>
      </c>
      <c r="M346" s="71">
        <f t="shared" ref="M346" si="77">SUM(M339:M345)</f>
        <v>0.99999999999999978</v>
      </c>
      <c r="N346" s="71">
        <f t="shared" ref="N346:S346" si="78">SUM(N339:N345)</f>
        <v>1.0000000000000002</v>
      </c>
      <c r="O346" s="71">
        <f t="shared" si="78"/>
        <v>1.0000000000000002</v>
      </c>
      <c r="P346" s="71">
        <f t="shared" si="78"/>
        <v>1</v>
      </c>
      <c r="Q346" s="71">
        <f t="shared" si="78"/>
        <v>7.0000000000000009</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7.2176870748299304</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3.628117913832174E-2</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2.7485741771455862E-2</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27" t="s">
        <v>277</v>
      </c>
      <c r="I356" s="227"/>
      <c r="J356" s="227"/>
      <c r="K356" s="227"/>
      <c r="L356" s="227"/>
      <c r="M356" s="75" t="s">
        <v>278</v>
      </c>
      <c r="N356" s="76" t="s">
        <v>297</v>
      </c>
      <c r="O356" s="77" t="s">
        <v>279</v>
      </c>
    </row>
    <row r="357" spans="2:15" ht="30" x14ac:dyDescent="0.25">
      <c r="B357" s="73" t="s">
        <v>373</v>
      </c>
      <c r="C357" s="67">
        <v>1</v>
      </c>
      <c r="D357" s="67">
        <f>'Panel de expertos'!$L74</f>
        <v>3</v>
      </c>
      <c r="E357" s="67">
        <f>'Panel de expertos'!$L75</f>
        <v>1</v>
      </c>
      <c r="F357" s="67">
        <f>'Panel de expertos'!$L76</f>
        <v>1</v>
      </c>
      <c r="G357" s="67">
        <f>'Panel de expertos'!$L77</f>
        <v>3</v>
      </c>
      <c r="H357" s="90">
        <f>C357/C$362</f>
        <v>0.27272727272727276</v>
      </c>
      <c r="I357" s="90">
        <f t="shared" ref="I357:L357" si="79">D357/D$362</f>
        <v>0.47368421052631582</v>
      </c>
      <c r="J357" s="90">
        <f t="shared" si="79"/>
        <v>0.1111111111111111</v>
      </c>
      <c r="K357" s="90">
        <f t="shared" si="79"/>
        <v>0.23076923076923073</v>
      </c>
      <c r="L357" s="90">
        <f t="shared" si="79"/>
        <v>0.42857142857142855</v>
      </c>
      <c r="M357" s="90">
        <f>SUM(H357:L357)</f>
        <v>1.516863253705359</v>
      </c>
      <c r="N357" s="1">
        <f>M357/M$362</f>
        <v>0.30337265074107178</v>
      </c>
      <c r="O357" s="78">
        <f>N357</f>
        <v>0.30337265074107178</v>
      </c>
    </row>
    <row r="358" spans="2:15" ht="30" x14ac:dyDescent="0.25">
      <c r="B358" s="73" t="s">
        <v>374</v>
      </c>
      <c r="C358" s="67">
        <f>IF(D357&lt;&gt;"N/A",1/D357,"N/A")</f>
        <v>0.33333333333333331</v>
      </c>
      <c r="D358" s="67">
        <v>1</v>
      </c>
      <c r="E358" s="67">
        <f>'Panel de expertos'!$L78</f>
        <v>3</v>
      </c>
      <c r="F358" s="67">
        <f>'Panel de expertos'!$L79</f>
        <v>1</v>
      </c>
      <c r="G358" s="67">
        <f>'Panel de expertos'!$L80</f>
        <v>1</v>
      </c>
      <c r="H358" s="90">
        <f t="shared" ref="H358:H361" si="80">C358/C$362</f>
        <v>9.0909090909090912E-2</v>
      </c>
      <c r="I358" s="90">
        <f t="shared" ref="I358:I361" si="81">D358/D$362</f>
        <v>0.15789473684210528</v>
      </c>
      <c r="J358" s="90">
        <f t="shared" ref="J358:J361" si="82">E358/E$362</f>
        <v>0.33333333333333331</v>
      </c>
      <c r="K358" s="90">
        <f t="shared" ref="K358:K361" si="83">F358/F$362</f>
        <v>0.23076923076923073</v>
      </c>
      <c r="L358" s="90">
        <f t="shared" ref="L358:L361" si="84">G358/G$362</f>
        <v>0.14285714285714285</v>
      </c>
      <c r="M358" s="90">
        <f t="shared" ref="M358:M361" si="85">SUM(H358:L358)</f>
        <v>0.95576353471090303</v>
      </c>
      <c r="N358" s="1">
        <f t="shared" ref="N358:N361" si="86">M358/M$362</f>
        <v>0.19115270694218062</v>
      </c>
      <c r="O358" s="78">
        <f t="shared" ref="O358:O361" si="87">N358</f>
        <v>0.19115270694218062</v>
      </c>
    </row>
    <row r="359" spans="2:15" ht="30" x14ac:dyDescent="0.25">
      <c r="B359" s="73" t="s">
        <v>369</v>
      </c>
      <c r="C359" s="67">
        <f>IF(E357&lt;&gt;"N/A",1/E357,"N/A")</f>
        <v>1</v>
      </c>
      <c r="D359" s="67">
        <f>IF(E358&lt;&gt;"N/A",1/E358,"N/A")</f>
        <v>0.33333333333333331</v>
      </c>
      <c r="E359" s="67">
        <v>1</v>
      </c>
      <c r="F359" s="67">
        <f>'Panel de expertos'!$L81</f>
        <v>0.33333333333333331</v>
      </c>
      <c r="G359" s="67">
        <f>'Panel de expertos'!$L82</f>
        <v>1</v>
      </c>
      <c r="H359" s="90">
        <f t="shared" si="80"/>
        <v>0.27272727272727276</v>
      </c>
      <c r="I359" s="90">
        <f t="shared" si="81"/>
        <v>5.2631578947368418E-2</v>
      </c>
      <c r="J359" s="90">
        <f t="shared" si="82"/>
        <v>0.1111111111111111</v>
      </c>
      <c r="K359" s="90">
        <f t="shared" si="83"/>
        <v>7.6923076923076913E-2</v>
      </c>
      <c r="L359" s="90">
        <f t="shared" si="84"/>
        <v>0.14285714285714285</v>
      </c>
      <c r="M359" s="90">
        <f t="shared" si="85"/>
        <v>0.65625018256597212</v>
      </c>
      <c r="N359" s="1">
        <f t="shared" si="86"/>
        <v>0.13125003651319442</v>
      </c>
      <c r="O359" s="78">
        <f t="shared" si="87"/>
        <v>0.13125003651319442</v>
      </c>
    </row>
    <row r="360" spans="2:15" ht="30" x14ac:dyDescent="0.25">
      <c r="B360" s="73" t="s">
        <v>370</v>
      </c>
      <c r="C360" s="67">
        <f>IF(F357&lt;&gt;"N/A",1/F357,"N/A")</f>
        <v>1</v>
      </c>
      <c r="D360" s="67">
        <f>IF(F358&lt;&gt;"N/A",1/F358,"N/A")</f>
        <v>1</v>
      </c>
      <c r="E360" s="67">
        <f>IF(F359&lt;&gt;"N/A",1/F359,"N/A")</f>
        <v>3</v>
      </c>
      <c r="F360" s="67">
        <v>1</v>
      </c>
      <c r="G360" s="67">
        <f>'Panel de expertos'!$L83</f>
        <v>1</v>
      </c>
      <c r="H360" s="90">
        <f t="shared" si="80"/>
        <v>0.27272727272727276</v>
      </c>
      <c r="I360" s="90">
        <f t="shared" si="81"/>
        <v>0.15789473684210528</v>
      </c>
      <c r="J360" s="90">
        <f t="shared" si="82"/>
        <v>0.33333333333333331</v>
      </c>
      <c r="K360" s="90">
        <f t="shared" si="83"/>
        <v>0.23076923076923073</v>
      </c>
      <c r="L360" s="90">
        <f t="shared" si="84"/>
        <v>0.14285714285714285</v>
      </c>
      <c r="M360" s="90">
        <f t="shared" si="85"/>
        <v>1.1375817165290849</v>
      </c>
      <c r="N360" s="1">
        <f t="shared" si="86"/>
        <v>0.22751634330581699</v>
      </c>
      <c r="O360" s="78">
        <f t="shared" si="87"/>
        <v>0.22751634330581699</v>
      </c>
    </row>
    <row r="361" spans="2:15" ht="30" x14ac:dyDescent="0.25">
      <c r="B361" s="73" t="s">
        <v>371</v>
      </c>
      <c r="C361" s="67">
        <f>IF($G357&lt;&gt;"N/A",1/$G357,"N/A")</f>
        <v>0.33333333333333331</v>
      </c>
      <c r="D361" s="67">
        <f>IF($G358&lt;&gt;"N/A",1/$G358,"N/A")</f>
        <v>1</v>
      </c>
      <c r="E361" s="67">
        <f>IF($G359&lt;&gt;"N/A",1/$G359,"N/A")</f>
        <v>1</v>
      </c>
      <c r="F361" s="67">
        <f>IF($G360&lt;&gt;"N/A",1/$G360,"N/A")</f>
        <v>1</v>
      </c>
      <c r="G361" s="1">
        <v>1</v>
      </c>
      <c r="H361" s="90">
        <f t="shared" si="80"/>
        <v>9.0909090909090912E-2</v>
      </c>
      <c r="I361" s="90">
        <f t="shared" si="81"/>
        <v>0.15789473684210528</v>
      </c>
      <c r="J361" s="90">
        <f t="shared" si="82"/>
        <v>0.1111111111111111</v>
      </c>
      <c r="K361" s="90">
        <f t="shared" si="83"/>
        <v>0.23076923076923073</v>
      </c>
      <c r="L361" s="90">
        <f t="shared" si="84"/>
        <v>0.14285714285714285</v>
      </c>
      <c r="M361" s="90">
        <f t="shared" si="85"/>
        <v>0.73354131248868093</v>
      </c>
      <c r="N361" s="1">
        <f t="shared" si="86"/>
        <v>0.14670826249773619</v>
      </c>
      <c r="O361" s="78">
        <f t="shared" si="87"/>
        <v>0.14670826249773619</v>
      </c>
    </row>
    <row r="362" spans="2:15" x14ac:dyDescent="0.25">
      <c r="B362" s="69" t="s">
        <v>275</v>
      </c>
      <c r="C362" s="71">
        <f>SUM(C357:C361)</f>
        <v>3.6666666666666665</v>
      </c>
      <c r="D362" s="71">
        <f t="shared" ref="D362:G362" si="88">SUM(D357:D361)</f>
        <v>6.333333333333333</v>
      </c>
      <c r="E362" s="71">
        <f t="shared" si="88"/>
        <v>9</v>
      </c>
      <c r="F362" s="71">
        <f t="shared" si="88"/>
        <v>4.3333333333333339</v>
      </c>
      <c r="G362" s="71">
        <f t="shared" si="88"/>
        <v>7</v>
      </c>
      <c r="H362" s="71">
        <f t="shared" ref="H362" si="89">SUM(H357:H361)</f>
        <v>1</v>
      </c>
      <c r="I362" s="71">
        <f t="shared" ref="I362" si="90">SUM(I357:I361)</f>
        <v>1.0000000000000002</v>
      </c>
      <c r="J362" s="71">
        <f t="shared" ref="J362" si="91">SUM(J357:J361)</f>
        <v>1</v>
      </c>
      <c r="K362" s="71">
        <f t="shared" ref="K362" si="92">SUM(K357:K361)</f>
        <v>0.99999999999999978</v>
      </c>
      <c r="L362" s="71">
        <f t="shared" ref="L362:O362" si="93">SUM(L357:L361)</f>
        <v>0.99999999999999978</v>
      </c>
      <c r="M362" s="71">
        <f t="shared" si="93"/>
        <v>5</v>
      </c>
      <c r="N362" s="71">
        <f t="shared" si="93"/>
        <v>0.99999999999999989</v>
      </c>
      <c r="O362" s="89">
        <f t="shared" si="93"/>
        <v>0.99999999999999989</v>
      </c>
    </row>
    <row r="364" spans="2:15" x14ac:dyDescent="0.25">
      <c r="B364" s="85" t="s">
        <v>299</v>
      </c>
      <c r="C364" s="86" t="s">
        <v>293</v>
      </c>
      <c r="D364" s="83" cm="1">
        <f t="array" ref="D364">SUMPRODUCT(C362:G362,TRANSPOSE(N357:N361))</f>
        <v>5.5171125171125173</v>
      </c>
    </row>
    <row r="365" spans="2:15" x14ac:dyDescent="0.25">
      <c r="B365" s="85" t="s">
        <v>291</v>
      </c>
      <c r="C365" s="86" t="s">
        <v>294</v>
      </c>
      <c r="D365" s="83">
        <f>(D364-C355)/(C355-1)</f>
        <v>0.12927812927812932</v>
      </c>
    </row>
    <row r="366" spans="2:15" x14ac:dyDescent="0.25">
      <c r="B366" s="85" t="s">
        <v>282</v>
      </c>
      <c r="C366" s="86" t="s">
        <v>295</v>
      </c>
      <c r="D366" s="83" cm="1">
        <f t="array" ref="D366">Tabla1[5]</f>
        <v>1.1200000000000001</v>
      </c>
    </row>
    <row r="367" spans="2:15" x14ac:dyDescent="0.25">
      <c r="B367" s="85" t="s">
        <v>292</v>
      </c>
      <c r="C367" s="86" t="s">
        <v>296</v>
      </c>
      <c r="D367" s="84">
        <f>D365/D366</f>
        <v>0.11542690114118688</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328" zoomScale="60" zoomScaleNormal="100" workbookViewId="0">
      <selection activeCell="O423" sqref="O423"/>
    </sheetView>
    <sheetView workbookViewId="1">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305</v>
      </c>
      <c r="B1" s="289"/>
      <c r="C1" s="289"/>
      <c r="D1" s="289"/>
      <c r="E1" s="289"/>
      <c r="F1" s="290"/>
      <c r="G1" s="106" t="s">
        <v>306</v>
      </c>
      <c r="H1" s="98">
        <f ca="1">TODAY()</f>
        <v>45292</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4" t="s">
        <v>308</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2023-10-23</v>
      </c>
      <c r="F5" s="292"/>
      <c r="G5" s="292"/>
      <c r="H5" s="99"/>
      <c r="I5" s="95"/>
      <c r="J5" s="95"/>
      <c r="K5" s="95"/>
      <c r="L5" s="95"/>
      <c r="M5" s="95"/>
      <c r="N5" s="95"/>
      <c r="O5" s="95"/>
      <c r="P5" s="95"/>
      <c r="Q5" s="95"/>
      <c r="R5" s="95"/>
      <c r="S5" s="95"/>
      <c r="T5" s="95"/>
      <c r="U5" s="95"/>
    </row>
    <row r="6" spans="1:21" x14ac:dyDescent="0.25">
      <c r="A6" s="291" t="s">
        <v>1</v>
      </c>
      <c r="B6" s="292"/>
      <c r="C6" s="292"/>
      <c r="D6" s="292" t="str">
        <f>'Informe Previo'!D10</f>
        <v>Escuela Superior de Ingenieros</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4º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Servicios Telemáticos Avanzados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t="str">
        <f>'Informe Previo'!D14</f>
        <v>Francisco Javier Muñoz Calle</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t="str">
        <f>'Informe Previo'!D15</f>
        <v>José Manuel Candilejo Egea</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629</v>
      </c>
      <c r="B13" s="274"/>
      <c r="C13" s="101" t="str">
        <f>'Informe Previo'!D6</f>
        <v>2 semanas</v>
      </c>
      <c r="D13" s="101"/>
      <c r="E13" s="273" t="s">
        <v>627</v>
      </c>
      <c r="F13" s="274"/>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5" t="s">
        <v>626</v>
      </c>
      <c r="F14" s="276"/>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44</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f>'Informe Previo'!D19</f>
        <v>0</v>
      </c>
      <c r="E19" s="299"/>
      <c r="F19" s="299"/>
      <c r="G19" s="299"/>
      <c r="H19" s="308"/>
      <c r="I19" s="95"/>
      <c r="J19" s="95"/>
      <c r="K19" s="95"/>
      <c r="L19" s="95"/>
      <c r="M19" s="95"/>
      <c r="N19" s="95"/>
      <c r="O19" s="95"/>
      <c r="P19" s="95"/>
      <c r="Q19" s="95"/>
      <c r="R19" s="95"/>
      <c r="S19" s="95"/>
      <c r="T19" s="95"/>
      <c r="U19" s="95"/>
    </row>
    <row r="20" spans="1:21" ht="31.5" customHeight="1" x14ac:dyDescent="0.25">
      <c r="A20" s="273" t="s">
        <v>310</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311</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312</v>
      </c>
      <c r="B22" s="274" t="s">
        <v>10</v>
      </c>
      <c r="C22" s="274"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631</v>
      </c>
      <c r="B26" s="292"/>
      <c r="C26" s="292"/>
      <c r="D26" s="300">
        <f>'Informe Previo'!D26</f>
        <v>1</v>
      </c>
      <c r="E26" s="292"/>
      <c r="F26" s="292"/>
      <c r="G26" s="292"/>
      <c r="H26" s="293"/>
      <c r="I26" s="95"/>
      <c r="J26" s="95"/>
      <c r="K26" s="95"/>
      <c r="L26" s="95"/>
      <c r="M26" s="95"/>
      <c r="N26" s="95"/>
      <c r="O26" s="95"/>
      <c r="P26" s="95"/>
      <c r="Q26" s="95"/>
      <c r="R26" s="95"/>
      <c r="S26" s="95"/>
      <c r="T26" s="95"/>
      <c r="U26" s="95"/>
    </row>
    <row r="27" spans="1:21" x14ac:dyDescent="0.25">
      <c r="A27" s="291" t="s">
        <v>632</v>
      </c>
      <c r="B27" s="292"/>
      <c r="C27" s="292"/>
      <c r="D27" s="292" t="str">
        <f>IF('Informe Previo'!D28&lt;&gt;"",'Informe Previo'!D28,"Sin especificar")</f>
        <v>Sin especificar</v>
      </c>
      <c r="E27" s="292"/>
      <c r="F27" s="292"/>
      <c r="G27" s="292"/>
      <c r="H27" s="293"/>
      <c r="I27" s="95"/>
      <c r="J27" s="95"/>
      <c r="K27" s="95"/>
      <c r="L27" s="95"/>
      <c r="M27" s="95"/>
      <c r="N27" s="95"/>
      <c r="O27" s="95"/>
      <c r="P27" s="95"/>
      <c r="Q27" s="95"/>
      <c r="R27" s="95"/>
      <c r="S27" s="95"/>
      <c r="T27" s="95"/>
      <c r="U27" s="95"/>
    </row>
    <row r="28" spans="1:21" x14ac:dyDescent="0.25">
      <c r="A28" s="309" t="s">
        <v>633</v>
      </c>
      <c r="B28" s="302"/>
      <c r="C28" s="302"/>
      <c r="D28" s="302">
        <f>'Informe Previo'!D29</f>
        <v>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319</v>
      </c>
      <c r="C37" s="294"/>
      <c r="D37" s="295" t="s">
        <v>317</v>
      </c>
      <c r="E37" s="295"/>
      <c r="F37" s="295" t="s">
        <v>316</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96" t="s">
        <v>54</v>
      </c>
      <c r="C40" s="296"/>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320</v>
      </c>
      <c r="C42" s="294"/>
      <c r="D42" s="295" t="s">
        <v>317</v>
      </c>
      <c r="E42" s="295"/>
      <c r="F42" s="295" t="s">
        <v>316</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317</v>
      </c>
      <c r="C44" s="116" t="s">
        <v>53</v>
      </c>
      <c r="D44" s="115" t="s">
        <v>318</v>
      </c>
      <c r="E44" s="119">
        <f>IF(D33="No","N/A",Cálculos!J61)</f>
        <v>1.1117858392307811E-3</v>
      </c>
      <c r="F44" s="119">
        <f>IF('Resultados Examen'!F6="Sí",Cálculos!J42,"N/A")</f>
        <v>5.6254521937721194E-4</v>
      </c>
      <c r="G44" s="117" t="s">
        <v>318</v>
      </c>
      <c r="H44" s="111"/>
      <c r="I44" s="95"/>
      <c r="J44" s="95"/>
      <c r="K44" s="95"/>
      <c r="L44" s="95"/>
      <c r="M44" s="95"/>
      <c r="N44" s="95"/>
      <c r="O44" s="95"/>
      <c r="P44" s="95"/>
      <c r="Q44" s="95"/>
      <c r="R44" s="95"/>
      <c r="S44" s="95"/>
      <c r="T44" s="95"/>
      <c r="U44" s="95"/>
    </row>
    <row r="45" spans="1:21" x14ac:dyDescent="0.25">
      <c r="A45" s="110"/>
      <c r="B45" s="297"/>
      <c r="C45" s="116" t="s">
        <v>54</v>
      </c>
      <c r="D45" s="119">
        <f>IF(D33="No","N/A",E44)</f>
        <v>1.1117858392307811E-3</v>
      </c>
      <c r="E45" s="115" t="s">
        <v>318</v>
      </c>
      <c r="F45" s="115" t="s">
        <v>318</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317" t="s">
        <v>316</v>
      </c>
      <c r="C46" s="116" t="s">
        <v>53</v>
      </c>
      <c r="D46" s="119">
        <f>F44</f>
        <v>5.6254521937721194E-4</v>
      </c>
      <c r="E46" s="115" t="s">
        <v>318</v>
      </c>
      <c r="F46" s="115" t="s">
        <v>318</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f>G45</f>
        <v>1.6744761331307568E-5</v>
      </c>
      <c r="F47" s="119">
        <f>G46</f>
        <v>1.3356168838407797E-5</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490</v>
      </c>
      <c r="C70" s="277"/>
      <c r="D70" s="277"/>
      <c r="E70" s="277"/>
      <c r="F70" s="277"/>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78" t="s">
        <v>491</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492</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378</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4º   //   4º   //   4º   //   4º   //   4º   //   4º   //   4º   //   4º   //   4º   //   4º   //   4º   //   4º   //   4º   //   4º   //   4º   //   4º   //   4º   //   4º   //   4º   //   4º   //   4º   //   4º   //   4º   //   4º   //   4º   //   4º   //   4º   //   4º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493</v>
      </c>
      <c r="C77" s="277"/>
      <c r="D77" s="277"/>
      <c r="E77" s="277"/>
      <c r="F77" s="277"/>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77" t="s">
        <v>323</v>
      </c>
      <c r="C78" s="277"/>
      <c r="D78" s="277"/>
      <c r="E78" s="277"/>
      <c r="F78" s="277"/>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77" t="s">
        <v>324</v>
      </c>
      <c r="C79" s="277"/>
      <c r="D79" s="277"/>
      <c r="E79" s="277"/>
      <c r="F79" s="277"/>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77" t="s">
        <v>549</v>
      </c>
      <c r="C80" s="277"/>
      <c r="D80" s="277"/>
      <c r="E80" s="277"/>
      <c r="F80" s="277"/>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77" t="s">
        <v>550</v>
      </c>
      <c r="C81" s="277"/>
      <c r="D81" s="277"/>
      <c r="E81" s="277"/>
      <c r="F81" s="277"/>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77" t="s">
        <v>325</v>
      </c>
      <c r="C82" s="277"/>
      <c r="D82" s="277"/>
      <c r="E82" s="277"/>
      <c r="F82" s="277"/>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77" t="s">
        <v>326</v>
      </c>
      <c r="C83" s="277"/>
      <c r="D83" s="277"/>
      <c r="E83" s="277"/>
      <c r="F83" s="277"/>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77" t="s">
        <v>551</v>
      </c>
      <c r="C84" s="277"/>
      <c r="D84" s="277"/>
      <c r="E84" s="277"/>
      <c r="F84" s="277"/>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77" t="s">
        <v>327</v>
      </c>
      <c r="C85" s="277"/>
      <c r="D85" s="277"/>
      <c r="E85" s="277"/>
      <c r="F85" s="277"/>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77" t="s">
        <v>328</v>
      </c>
      <c r="C86" s="277"/>
      <c r="D86" s="277"/>
      <c r="E86" s="277"/>
      <c r="F86" s="277"/>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77" t="s">
        <v>329</v>
      </c>
      <c r="C87" s="277"/>
      <c r="D87" s="277"/>
      <c r="E87" s="277"/>
      <c r="F87" s="277"/>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77" t="s">
        <v>330</v>
      </c>
      <c r="C88" s="277"/>
      <c r="D88" s="277"/>
      <c r="E88" s="277"/>
      <c r="F88" s="277"/>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77" t="s">
        <v>331</v>
      </c>
      <c r="C89" s="277"/>
      <c r="D89" s="277"/>
      <c r="E89" s="277"/>
      <c r="F89" s="277"/>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77" t="s">
        <v>332</v>
      </c>
      <c r="C90" s="277"/>
      <c r="D90" s="277"/>
      <c r="E90" s="277"/>
      <c r="F90" s="277"/>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77" t="s">
        <v>333</v>
      </c>
      <c r="C91" s="277"/>
      <c r="D91" s="277"/>
      <c r="E91" s="277"/>
      <c r="F91" s="277"/>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77" t="s">
        <v>334</v>
      </c>
      <c r="C92" s="277"/>
      <c r="D92" s="277"/>
      <c r="E92" s="277"/>
      <c r="F92" s="277"/>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78" t="s">
        <v>552</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Creo que la duración es la óptima   //   Cuando se realizó la segunda vez con más tiempo para las preguntas, se puso realizar mejor los kahoot   //   Creo que el tiempo se adapta bien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335</v>
      </c>
      <c r="C95" s="277"/>
      <c r="D95" s="277"/>
      <c r="E95" s="277"/>
      <c r="F95" s="277"/>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77" t="s">
        <v>336</v>
      </c>
      <c r="C96" s="277"/>
      <c r="D96" s="277"/>
      <c r="E96" s="277"/>
      <c r="F96" s="277"/>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77" t="s">
        <v>337</v>
      </c>
      <c r="C97" s="277"/>
      <c r="D97" s="277"/>
      <c r="E97" s="277"/>
      <c r="F97" s="277"/>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77" t="s">
        <v>338</v>
      </c>
      <c r="C98" s="277"/>
      <c r="D98" s="277"/>
      <c r="E98" s="277"/>
      <c r="F98" s="277"/>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77" t="s">
        <v>339</v>
      </c>
      <c r="C99" s="277"/>
      <c r="D99" s="277"/>
      <c r="E99" s="277"/>
      <c r="F99" s="277"/>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77" t="s">
        <v>340</v>
      </c>
      <c r="C100" s="277"/>
      <c r="D100" s="277"/>
      <c r="E100" s="277"/>
      <c r="F100" s="277"/>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77" t="s">
        <v>341</v>
      </c>
      <c r="C101" s="277"/>
      <c r="D101" s="277"/>
      <c r="E101" s="277"/>
      <c r="F101" s="277"/>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77" t="s">
        <v>342</v>
      </c>
      <c r="C102" s="277"/>
      <c r="D102" s="277"/>
      <c r="E102" s="277"/>
      <c r="F102" s="277"/>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77" t="s">
        <v>343</v>
      </c>
      <c r="C103" s="277"/>
      <c r="D103" s="277"/>
      <c r="E103" s="277"/>
      <c r="F103" s="277"/>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77" t="s">
        <v>344</v>
      </c>
      <c r="C104" s="277"/>
      <c r="D104" s="277"/>
      <c r="E104" s="277"/>
      <c r="F104" s="277"/>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77" t="s">
        <v>345</v>
      </c>
      <c r="C105" s="277"/>
      <c r="D105" s="277"/>
      <c r="E105" s="277"/>
      <c r="F105" s="277"/>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77" t="s">
        <v>346</v>
      </c>
      <c r="C106" s="277"/>
      <c r="D106" s="277"/>
      <c r="E106" s="277"/>
      <c r="F106" s="277"/>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77" t="s">
        <v>347</v>
      </c>
      <c r="C107" s="277"/>
      <c r="D107" s="277"/>
      <c r="E107" s="277"/>
      <c r="F107" s="277"/>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77" t="s">
        <v>348</v>
      </c>
      <c r="C108" s="277"/>
      <c r="D108" s="277"/>
      <c r="E108" s="277"/>
      <c r="F108" s="277"/>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77" t="s">
        <v>494</v>
      </c>
      <c r="C109" s="277"/>
      <c r="D109" s="277"/>
      <c r="E109" s="277"/>
      <c r="F109" s="277"/>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78" t="s">
        <v>553</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504</v>
      </c>
      <c r="B112" s="277" t="s">
        <v>495</v>
      </c>
      <c r="C112" s="277"/>
      <c r="D112" s="277"/>
      <c r="E112" s="277"/>
      <c r="F112" s="277"/>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78" t="s">
        <v>554</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Yo creo que grupos de 2 es lo correcto</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506</v>
      </c>
      <c r="B115" s="277" t="s">
        <v>496</v>
      </c>
      <c r="C115" s="277"/>
      <c r="D115" s="277"/>
      <c r="E115" s="277"/>
      <c r="F115" s="277"/>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77" t="s">
        <v>497</v>
      </c>
      <c r="C116" s="277"/>
      <c r="D116" s="277"/>
      <c r="E116" s="277"/>
      <c r="F116" s="277"/>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78" t="s">
        <v>498</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298.5" customHeight="1" x14ac:dyDescent="0.25">
      <c r="A118" s="281"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512</v>
      </c>
      <c r="B119" s="278" t="s">
        <v>499</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329.25" customHeight="1" x14ac:dyDescent="0.25">
      <c r="A120" s="281"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364</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7</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351</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364</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6</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352</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364</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7</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353</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364</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8</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354</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365</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355</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364</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356</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364</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8</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357</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364</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9</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358</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364</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359</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364</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5</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360</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364</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7</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361</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364</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5</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362</v>
      </c>
      <c r="B216" s="285" t="s">
        <v>363</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364</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f>Cálculos!D169</f>
        <v>5</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71" t="s">
        <v>559</v>
      </c>
      <c r="D234" s="271"/>
      <c r="E234" s="271">
        <f>'Resultados Informe Final'!D3</f>
        <v>7</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560</v>
      </c>
      <c r="D235" s="271"/>
      <c r="E235" s="271" t="str">
        <f>'Resultados Informe Final'!D4</f>
        <v/>
      </c>
      <c r="F235" s="271"/>
      <c r="G235" s="271"/>
      <c r="H235" s="271"/>
      <c r="I235" s="95"/>
      <c r="J235" s="95"/>
      <c r="K235" s="95"/>
      <c r="L235" s="95"/>
      <c r="M235" s="95"/>
      <c r="N235" s="95"/>
      <c r="O235" s="95"/>
      <c r="P235" s="95"/>
      <c r="Q235" s="95"/>
      <c r="R235" s="95"/>
      <c r="S235" s="95"/>
      <c r="T235" s="95"/>
      <c r="U235" s="95"/>
    </row>
    <row r="236" spans="1:21" ht="45" customHeight="1" x14ac:dyDescent="0.25">
      <c r="A236" s="206" t="s">
        <v>561</v>
      </c>
      <c r="B236" s="206"/>
      <c r="C236" s="271" t="s">
        <v>562</v>
      </c>
      <c r="D236" s="271"/>
      <c r="E236" s="271">
        <f>'Resultados Informe Final'!D5</f>
        <v>6</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563</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564</v>
      </c>
      <c r="B238" s="206"/>
      <c r="C238" s="271" t="s">
        <v>565</v>
      </c>
      <c r="D238" s="271"/>
      <c r="E238" s="271">
        <f>'Resultados Informe Final'!D7</f>
        <v>7</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566</v>
      </c>
      <c r="D239" s="271"/>
      <c r="E239" s="271" t="str">
        <f>'Resultados Informe Final'!D8</f>
        <v/>
      </c>
      <c r="F239" s="271"/>
      <c r="G239" s="271"/>
      <c r="H239" s="271"/>
      <c r="I239" s="95"/>
      <c r="J239" s="95"/>
      <c r="K239" s="95"/>
      <c r="L239" s="95"/>
      <c r="M239" s="95"/>
      <c r="N239" s="95"/>
      <c r="O239" s="95"/>
      <c r="P239" s="95"/>
      <c r="Q239" s="95"/>
      <c r="R239" s="95"/>
      <c r="S239" s="95"/>
      <c r="T239" s="95"/>
      <c r="U239" s="95"/>
    </row>
    <row r="240" spans="1:21" ht="48.75" customHeight="1" x14ac:dyDescent="0.25">
      <c r="A240" s="272" t="s">
        <v>567</v>
      </c>
      <c r="B240" s="272"/>
      <c r="C240" s="271" t="s">
        <v>621</v>
      </c>
      <c r="D240" s="271"/>
      <c r="E240" s="271">
        <f>'Resultados Informe Final'!D9</f>
        <v>8</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568</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569</v>
      </c>
      <c r="B242" s="206"/>
      <c r="C242" s="271" t="s">
        <v>622</v>
      </c>
      <c r="D242" s="271"/>
      <c r="E242" s="271">
        <f>'Resultados Informe Final'!D11</f>
        <v>8</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570</v>
      </c>
      <c r="D243" s="271"/>
      <c r="E243" s="271" t="str">
        <f>'Resultados Informe Final'!D12</f>
        <v/>
      </c>
      <c r="F243" s="271"/>
      <c r="G243" s="271"/>
      <c r="H243" s="271"/>
      <c r="I243" s="95"/>
      <c r="J243" s="95"/>
      <c r="K243" s="95"/>
      <c r="L243" s="95"/>
      <c r="M243" s="95"/>
      <c r="N243" s="95"/>
      <c r="O243" s="95"/>
      <c r="P243" s="95"/>
      <c r="Q243" s="95"/>
      <c r="R243" s="95"/>
      <c r="S243" s="95"/>
      <c r="T243" s="95"/>
      <c r="U243" s="95"/>
    </row>
    <row r="244" spans="1:21" ht="45" customHeight="1" x14ac:dyDescent="0.25">
      <c r="A244" s="206" t="s">
        <v>571</v>
      </c>
      <c r="B244" s="206"/>
      <c r="C244" s="271" t="s">
        <v>572</v>
      </c>
      <c r="D244" s="271"/>
      <c r="E244" s="271">
        <f>'Resultados Informe Final'!D13</f>
        <v>9</v>
      </c>
      <c r="F244" s="271"/>
      <c r="G244" s="271"/>
      <c r="H244" s="271"/>
      <c r="I244" s="95"/>
      <c r="J244" s="95"/>
      <c r="K244" s="95"/>
      <c r="L244" s="95"/>
      <c r="M244" s="95"/>
      <c r="N244" s="95"/>
      <c r="O244" s="95"/>
      <c r="P244" s="95"/>
      <c r="Q244" s="95"/>
      <c r="R244" s="95"/>
      <c r="S244" s="95"/>
      <c r="T244" s="95"/>
      <c r="U244" s="95"/>
    </row>
    <row r="245" spans="1:21" ht="102.75" customHeight="1" x14ac:dyDescent="0.25">
      <c r="A245" s="206"/>
      <c r="B245" s="206"/>
      <c r="C245" s="271" t="s">
        <v>573</v>
      </c>
      <c r="D245" s="271"/>
      <c r="E245" s="271" t="str">
        <f>'Resultados Informe Final'!D14</f>
        <v/>
      </c>
      <c r="F245" s="271"/>
      <c r="G245" s="271"/>
      <c r="H245" s="271"/>
      <c r="I245" s="95"/>
      <c r="J245" s="95"/>
      <c r="K245" s="95"/>
      <c r="L245" s="95"/>
      <c r="M245" s="95"/>
      <c r="N245" s="95"/>
      <c r="O245" s="95"/>
      <c r="P245" s="95"/>
      <c r="Q245" s="95"/>
      <c r="R245" s="95"/>
      <c r="S245" s="95"/>
      <c r="T245" s="95"/>
      <c r="U245" s="95"/>
    </row>
    <row r="246" spans="1:21" ht="45" customHeight="1" x14ac:dyDescent="0.25">
      <c r="A246" s="206" t="s">
        <v>574</v>
      </c>
      <c r="B246" s="206"/>
      <c r="C246" s="271" t="s">
        <v>575</v>
      </c>
      <c r="D246" s="271"/>
      <c r="E246" s="271">
        <f>'Resultados Informe Final'!D15</f>
        <v>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576</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577</v>
      </c>
      <c r="B248" s="206"/>
      <c r="C248" s="271" t="s">
        <v>578</v>
      </c>
      <c r="D248" s="271"/>
      <c r="E248" s="271">
        <f>'Resultados Informe Final'!D17</f>
        <v>5</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579</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580</v>
      </c>
      <c r="B250" s="206"/>
      <c r="C250" s="271" t="s">
        <v>581</v>
      </c>
      <c r="D250" s="271"/>
      <c r="E250" s="271">
        <f>'Resultados Informe Final'!D19</f>
        <v>7</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582</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583</v>
      </c>
      <c r="B252" s="206"/>
      <c r="C252" s="271" t="s">
        <v>584</v>
      </c>
      <c r="D252" s="271"/>
      <c r="E252" s="271">
        <f>'Resultados Informe Final'!D21</f>
        <v>5</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585</v>
      </c>
      <c r="D253" s="271"/>
      <c r="E253" s="271" t="str">
        <f>'Resultados Informe Final'!D22</f>
        <v/>
      </c>
      <c r="F253" s="271"/>
      <c r="G253" s="271"/>
      <c r="H253" s="271"/>
      <c r="I253" s="95"/>
      <c r="J253" s="95"/>
      <c r="K253" s="95"/>
      <c r="L253" s="95"/>
      <c r="M253" s="95"/>
      <c r="N253" s="95"/>
      <c r="O253" s="95"/>
      <c r="P253" s="95"/>
      <c r="Q253" s="95"/>
      <c r="R253" s="95"/>
      <c r="S253" s="95"/>
      <c r="T253" s="95"/>
      <c r="U253" s="95"/>
    </row>
    <row r="254" spans="1:21" ht="45" customHeight="1" x14ac:dyDescent="0.25">
      <c r="A254" s="272" t="s">
        <v>586</v>
      </c>
      <c r="B254" s="272"/>
      <c r="C254" s="271" t="s">
        <v>587</v>
      </c>
      <c r="D254" s="271"/>
      <c r="E254" s="271">
        <f>'Resultados Informe Final'!D23</f>
        <v>5</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588</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589</v>
      </c>
      <c r="B256" s="206"/>
      <c r="C256" s="271" t="s">
        <v>590</v>
      </c>
      <c r="D256" s="271"/>
      <c r="E256" s="271">
        <f>'Resultados Informe Final'!D25</f>
        <v>7</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591</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592</v>
      </c>
      <c r="B258" s="206"/>
      <c r="C258" s="271" t="s">
        <v>593</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594</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595</v>
      </c>
      <c r="B260" s="206"/>
      <c r="C260" s="271" t="s">
        <v>593</v>
      </c>
      <c r="D260" s="271"/>
      <c r="E260" s="271">
        <f>'Resultados Informe Final'!D29</f>
        <v>6</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596</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597</v>
      </c>
      <c r="B262" s="206"/>
      <c r="C262" s="271" t="s">
        <v>598</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566</v>
      </c>
      <c r="D263" s="271"/>
      <c r="E263" s="271">
        <f>'Resultados Informe Final'!D32</f>
        <v>0</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364</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4.5</v>
      </c>
      <c r="G288" s="256"/>
      <c r="H288" s="264">
        <f>Cálculos!I179</f>
        <v>2.8212496937025242</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0</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2.5</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3.5</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f>Cálculos!E183</f>
        <v>2.5</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f>Cálculos!E184</f>
        <v>3.453608247422681</v>
      </c>
      <c r="G293" s="257"/>
      <c r="H293" s="265">
        <f>Cálculos!I184</f>
        <v>3.5723490427098681</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f>Cálculos!E185</f>
        <v>3.9285714285714293</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3.7053571428571432</v>
      </c>
      <c r="G295" s="257"/>
      <c r="H295" s="266">
        <f>Cálculos!I186</f>
        <v>3.5835863178235314</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4.1517857142857135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3.75</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3.8616071428571419</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3.75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3.3035714285714284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2.65625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3.9550264550264558</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3.0803571428571432</v>
      </c>
      <c r="G303" s="257"/>
      <c r="H303" s="266"/>
      <c r="I303" s="95"/>
      <c r="J303" s="95"/>
      <c r="K303" s="95"/>
      <c r="L303" s="95"/>
      <c r="M303" s="95"/>
      <c r="N303" s="95"/>
      <c r="O303" s="95"/>
      <c r="P303" s="95"/>
      <c r="Q303" s="95"/>
      <c r="R303" s="95"/>
      <c r="S303" s="95"/>
      <c r="T303" s="95"/>
      <c r="U303" s="95"/>
    </row>
    <row r="304" spans="1:21" x14ac:dyDescent="0.25">
      <c r="A304" s="206" t="s">
        <v>368</v>
      </c>
      <c r="B304" s="206"/>
      <c r="C304" s="260" t="s">
        <v>373</v>
      </c>
      <c r="D304" s="260"/>
      <c r="E304" s="260"/>
      <c r="F304" s="256">
        <f>Cálculos!E195</f>
        <v>3.5</v>
      </c>
      <c r="G304" s="256"/>
      <c r="H304" s="265">
        <f>Cálculos!I195</f>
        <v>3.6355013857038148</v>
      </c>
      <c r="I304" s="95"/>
      <c r="J304" s="95"/>
      <c r="K304" s="95"/>
      <c r="L304" s="95"/>
      <c r="M304" s="95"/>
      <c r="N304" s="95"/>
      <c r="O304" s="95"/>
      <c r="P304" s="95"/>
      <c r="Q304" s="95"/>
      <c r="R304" s="95"/>
      <c r="S304" s="95"/>
      <c r="T304" s="95"/>
      <c r="U304" s="95"/>
    </row>
    <row r="305" spans="1:21" x14ac:dyDescent="0.25">
      <c r="A305" s="206"/>
      <c r="B305" s="206"/>
      <c r="C305" s="261" t="s">
        <v>374</v>
      </c>
      <c r="D305" s="261"/>
      <c r="E305" s="261"/>
      <c r="F305" s="257">
        <f>Cálculos!E196</f>
        <v>4.0769230769230766</v>
      </c>
      <c r="G305" s="257"/>
      <c r="H305" s="265"/>
      <c r="I305" s="95"/>
      <c r="J305" s="95"/>
      <c r="K305" s="95"/>
      <c r="L305" s="95"/>
      <c r="M305" s="95"/>
      <c r="N305" s="95"/>
      <c r="O305" s="95"/>
      <c r="P305" s="95"/>
      <c r="Q305" s="95"/>
      <c r="R305" s="95"/>
      <c r="S305" s="95"/>
      <c r="T305" s="95"/>
      <c r="U305" s="95"/>
    </row>
    <row r="306" spans="1:21" x14ac:dyDescent="0.25">
      <c r="A306" s="206"/>
      <c r="B306" s="206"/>
      <c r="C306" s="260" t="s">
        <v>369</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370</v>
      </c>
      <c r="D307" s="261"/>
      <c r="E307" s="261"/>
      <c r="F307" s="257">
        <f>Cálculos!E198</f>
        <v>3</v>
      </c>
      <c r="G307" s="257"/>
      <c r="H307" s="265"/>
      <c r="I307" s="95"/>
      <c r="J307" s="95"/>
      <c r="K307" s="95"/>
      <c r="L307" s="95"/>
      <c r="M307" s="95"/>
      <c r="N307" s="95"/>
      <c r="O307" s="95"/>
      <c r="P307" s="95"/>
      <c r="Q307" s="95"/>
      <c r="R307" s="95"/>
      <c r="S307" s="95"/>
      <c r="T307" s="95"/>
      <c r="U307" s="95"/>
    </row>
    <row r="308" spans="1:21" x14ac:dyDescent="0.25">
      <c r="A308" s="206"/>
      <c r="B308" s="206"/>
      <c r="C308" s="260" t="s">
        <v>371</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3.4463658251927995</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364</v>
      </c>
      <c r="G311" s="259"/>
      <c r="H311" s="189" t="s">
        <v>366</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3.660714285714286</v>
      </c>
      <c r="G312" s="257"/>
      <c r="H312" s="267">
        <f>Cálculos!I202</f>
        <v>3.5449168556311417</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3.7516534391534395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3.8607804232804233</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3.5</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2.5</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3.5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4</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3.6830357142857144</v>
      </c>
      <c r="G319" s="256"/>
      <c r="H319" s="265">
        <f>Cálculos!I209</f>
        <v>3.6877635168650795</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3.6094576719576721</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4.1369047619047619</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3.191964285714286</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4.2129629629629628</v>
      </c>
      <c r="G323" s="256"/>
      <c r="H323" s="266">
        <f>Cálculos!I213</f>
        <v>3.6850901346336356</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3</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4</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3.6160714285714284</v>
      </c>
      <c r="G326" s="257"/>
      <c r="H326" s="266"/>
      <c r="I326" s="95"/>
      <c r="J326" s="95"/>
      <c r="K326" s="95"/>
      <c r="L326" s="95"/>
      <c r="M326" s="95"/>
      <c r="N326" s="95"/>
      <c r="O326" s="95"/>
      <c r="P326" s="95"/>
      <c r="Q326" s="95"/>
      <c r="R326" s="95"/>
      <c r="S326" s="95"/>
      <c r="T326" s="95"/>
      <c r="U326" s="95"/>
    </row>
    <row r="327" spans="1:21" x14ac:dyDescent="0.25">
      <c r="A327" s="270"/>
      <c r="B327" s="270"/>
      <c r="C327" s="260" t="s">
        <v>514</v>
      </c>
      <c r="D327" s="260"/>
      <c r="E327" s="260"/>
      <c r="F327" s="256">
        <f>Cálculos!E217</f>
        <v>3.6160714285714284</v>
      </c>
      <c r="G327" s="256"/>
      <c r="H327" s="266"/>
      <c r="I327" s="95"/>
      <c r="J327" s="95"/>
      <c r="K327" s="95"/>
      <c r="L327" s="95"/>
      <c r="M327" s="95"/>
      <c r="N327" s="95"/>
      <c r="O327" s="95"/>
      <c r="P327" s="95"/>
      <c r="Q327" s="95"/>
      <c r="R327" s="95"/>
      <c r="S327" s="95"/>
      <c r="T327" s="95"/>
      <c r="U327" s="95"/>
    </row>
    <row r="328" spans="1:21" x14ac:dyDescent="0.25">
      <c r="A328" s="270"/>
      <c r="B328" s="270"/>
      <c r="C328" s="261" t="s">
        <v>515</v>
      </c>
      <c r="D328" s="261"/>
      <c r="E328" s="261"/>
      <c r="F328" s="257">
        <f>Cálculos!E218</f>
        <v>3.4821428571428568</v>
      </c>
      <c r="G328" s="257"/>
      <c r="H328" s="266"/>
      <c r="I328" s="95"/>
      <c r="J328" s="95"/>
      <c r="K328" s="95"/>
      <c r="L328" s="95"/>
      <c r="M328" s="95"/>
      <c r="N328" s="95"/>
      <c r="O328" s="95"/>
      <c r="P328" s="95"/>
      <c r="Q328" s="95"/>
      <c r="R328" s="95"/>
      <c r="S328" s="95"/>
      <c r="T328" s="95"/>
      <c r="U328" s="95"/>
    </row>
    <row r="329" spans="1:21" x14ac:dyDescent="0.25">
      <c r="A329" s="270"/>
      <c r="B329" s="270"/>
      <c r="C329" s="260" t="s">
        <v>516</v>
      </c>
      <c r="D329" s="260"/>
      <c r="E329" s="260"/>
      <c r="F329" s="256">
        <f>Cálculos!E219</f>
        <v>4.1071428571428568</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3.6394580472334703</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3.6322916077633056E-2</v>
      </c>
      <c r="E335" s="95"/>
      <c r="F335" s="250" t="s">
        <v>102</v>
      </c>
      <c r="G335" s="251"/>
      <c r="H335" s="197">
        <f>Cálculos!G202</f>
        <v>4.5699019920287368E-2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2.174623489717829E-2</v>
      </c>
      <c r="E336" s="95"/>
      <c r="F336" s="250" t="s">
        <v>103</v>
      </c>
      <c r="G336" s="251"/>
      <c r="H336" s="197">
        <f>Cálculos!G203</f>
        <v>3.9364502307574274E-2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6.1214690969407952E-2</v>
      </c>
      <c r="E337" s="95"/>
      <c r="F337" s="250" t="s">
        <v>104</v>
      </c>
      <c r="G337" s="251"/>
      <c r="H337" s="197">
        <f>Cálculos!G204</f>
        <v>3.9364502307574274E-2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4.3292613047330022E-2</v>
      </c>
      <c r="E338" s="95"/>
      <c r="F338" s="250" t="s">
        <v>139</v>
      </c>
      <c r="G338" s="251"/>
      <c r="H338" s="197">
        <f>Cálculos!G205</f>
        <v>7.7371607983852869E-2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2.9090211675117328E-2</v>
      </c>
      <c r="E339" s="95"/>
      <c r="F339" s="250" t="s">
        <v>141</v>
      </c>
      <c r="G339" s="251"/>
      <c r="H339" s="197">
        <f>Cálculos!G206</f>
        <v>3.9364502307574274E-2</v>
      </c>
      <c r="I339" s="95"/>
      <c r="J339" s="95"/>
      <c r="K339" s="95"/>
      <c r="L339" s="95"/>
      <c r="M339" s="95"/>
      <c r="N339" s="95"/>
      <c r="O339" s="95"/>
      <c r="P339" s="95"/>
      <c r="Q339" s="95"/>
      <c r="R339" s="95"/>
      <c r="S339" s="95"/>
      <c r="T339" s="95"/>
      <c r="U339" s="95"/>
    </row>
    <row r="340" spans="1:21" ht="24.95" customHeight="1" x14ac:dyDescent="0.25">
      <c r="A340" s="252" t="s">
        <v>91</v>
      </c>
      <c r="B340" s="253"/>
      <c r="C340" s="197">
        <f>Cálculos!G184</f>
        <v>0.24375000000000002</v>
      </c>
      <c r="E340" s="95"/>
      <c r="F340" s="250" t="s">
        <v>142</v>
      </c>
      <c r="G340" s="251"/>
      <c r="H340" s="197">
        <f>Cálculos!G207</f>
        <v>4.5699019920287368E-2</v>
      </c>
      <c r="I340" s="95"/>
      <c r="J340" s="95"/>
      <c r="K340" s="95"/>
      <c r="L340" s="95"/>
      <c r="M340" s="95"/>
      <c r="N340" s="95"/>
      <c r="O340" s="95"/>
      <c r="P340" s="95"/>
      <c r="Q340" s="95"/>
      <c r="R340" s="95"/>
      <c r="S340" s="95"/>
      <c r="T340" s="95"/>
      <c r="U340" s="95"/>
    </row>
    <row r="341" spans="1:21" ht="24.95" customHeight="1" x14ac:dyDescent="0.25">
      <c r="A341" s="252" t="s">
        <v>95</v>
      </c>
      <c r="B341" s="253"/>
      <c r="C341" s="197">
        <f>Cálculos!G185</f>
        <v>8.1250000000000003E-2</v>
      </c>
      <c r="E341" s="95"/>
      <c r="F341" s="250" t="s">
        <v>143</v>
      </c>
      <c r="G341" s="251"/>
      <c r="H341" s="197">
        <f>Cálculos!G208</f>
        <v>4.5699019920287368E-2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1.872088816533261E-2</v>
      </c>
      <c r="E342" s="95"/>
      <c r="F342" s="250" t="s">
        <v>115</v>
      </c>
      <c r="G342" s="251"/>
      <c r="H342" s="197">
        <f>Cálculos!G209</f>
        <v>0.13230893740762162</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1.872088816533261E-2</v>
      </c>
      <c r="E343" s="95"/>
      <c r="F343" s="250" t="s">
        <v>116</v>
      </c>
      <c r="G343" s="251"/>
      <c r="H343" s="197">
        <f>Cálculos!G210</f>
        <v>8.6288437439753229E-2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1.872088816533261E-2</v>
      </c>
      <c r="E344" s="95"/>
      <c r="F344" s="250" t="s">
        <v>117</v>
      </c>
      <c r="G344" s="251"/>
      <c r="H344" s="197">
        <f>Cálculos!G211</f>
        <v>8.6288437439753229E-2</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2.5409261520372633E-2</v>
      </c>
      <c r="E345" s="95"/>
      <c r="F345" s="250" t="s">
        <v>118</v>
      </c>
      <c r="G345" s="251"/>
      <c r="H345" s="197">
        <f>Cálculos!G212</f>
        <v>6.3278187455819035E-2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5.7867543978655095E-2</v>
      </c>
      <c r="E346" s="95"/>
      <c r="F346" s="250" t="s">
        <v>106</v>
      </c>
      <c r="G346" s="251"/>
      <c r="H346" s="197">
        <f>Cálculos!G213</f>
        <v>4.776808859572159E-2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4.606453217564329E-2</v>
      </c>
      <c r="E347" s="95"/>
      <c r="F347" s="250" t="s">
        <v>140</v>
      </c>
      <c r="G347" s="251"/>
      <c r="H347" s="197">
        <f>Cálculos!G214</f>
        <v>4.776808859572159E-2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1.872088816533261E-2</v>
      </c>
      <c r="E348" s="95"/>
      <c r="F348" s="250" t="s">
        <v>144</v>
      </c>
      <c r="G348" s="251"/>
      <c r="H348" s="197">
        <f>Cálculos!G215</f>
        <v>4.2067634774967007E-2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1.872088816533261E-2</v>
      </c>
      <c r="E349" s="95"/>
      <c r="F349" s="250" t="s">
        <v>119</v>
      </c>
      <c r="G349" s="251"/>
      <c r="H349" s="197">
        <f>Cálculos!G216</f>
        <v>4.2067634774967007E-2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1.872088816533261E-2</v>
      </c>
      <c r="E350" s="95"/>
      <c r="F350" s="250" t="s">
        <v>514</v>
      </c>
      <c r="G350" s="251"/>
      <c r="H350" s="197">
        <f>Cálculos!G217</f>
        <v>4.776808859572159E-2</v>
      </c>
      <c r="I350" s="95"/>
      <c r="J350" s="95"/>
      <c r="K350" s="95"/>
      <c r="L350" s="95"/>
      <c r="M350" s="95"/>
      <c r="N350" s="95"/>
      <c r="O350" s="95"/>
      <c r="P350" s="95"/>
      <c r="Q350" s="95"/>
      <c r="R350" s="95"/>
      <c r="S350" s="95"/>
      <c r="T350" s="95"/>
      <c r="U350" s="95"/>
    </row>
    <row r="351" spans="1:21" ht="24.95" customHeight="1" x14ac:dyDescent="0.25">
      <c r="A351" s="252" t="s">
        <v>373</v>
      </c>
      <c r="B351" s="253"/>
      <c r="C351" s="197">
        <f>Cálculos!G195</f>
        <v>7.3315057262425681E-2</v>
      </c>
      <c r="E351" s="95"/>
      <c r="F351" s="250" t="s">
        <v>515</v>
      </c>
      <c r="G351" s="251"/>
      <c r="H351" s="197">
        <f>Cálculos!G218</f>
        <v>4.776808859572159E-2</v>
      </c>
      <c r="I351" s="95"/>
      <c r="J351" s="95"/>
      <c r="K351" s="95"/>
      <c r="L351" s="95"/>
      <c r="M351" s="95"/>
      <c r="N351" s="95"/>
      <c r="O351" s="95"/>
      <c r="P351" s="95"/>
      <c r="Q351" s="95"/>
      <c r="R351" s="95"/>
      <c r="S351" s="95"/>
      <c r="T351" s="95"/>
      <c r="U351" s="95"/>
    </row>
    <row r="352" spans="1:21" ht="24.95" customHeight="1" x14ac:dyDescent="0.25">
      <c r="A352" s="252" t="s">
        <v>374</v>
      </c>
      <c r="B352" s="253"/>
      <c r="C352" s="197">
        <f>Cálculos!G196</f>
        <v>4.6195237511026985E-2</v>
      </c>
      <c r="E352" s="95"/>
      <c r="F352" s="237" t="s">
        <v>516</v>
      </c>
      <c r="G352" s="238"/>
      <c r="H352" s="198">
        <f>Cálculos!G219</f>
        <v>2.4066201656794677E-2</v>
      </c>
      <c r="I352" s="95"/>
      <c r="J352" s="95"/>
      <c r="K352" s="95"/>
      <c r="L352" s="95"/>
      <c r="M352" s="95"/>
      <c r="N352" s="95"/>
      <c r="O352" s="95"/>
      <c r="P352" s="95"/>
      <c r="Q352" s="95"/>
      <c r="R352" s="95"/>
      <c r="S352" s="95"/>
      <c r="T352" s="95"/>
      <c r="U352" s="95"/>
    </row>
    <row r="353" spans="1:21" ht="24.95" customHeight="1" x14ac:dyDescent="0.25">
      <c r="A353" s="252" t="s">
        <v>369</v>
      </c>
      <c r="B353" s="253"/>
      <c r="C353" s="197">
        <f>Cálculos!G197</f>
        <v>3.1718758824021982E-2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370</v>
      </c>
      <c r="B354" s="253"/>
      <c r="C354" s="197">
        <f>Cálculos!G198</f>
        <v>5.4983116298905774E-2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371</v>
      </c>
      <c r="B355" s="253"/>
      <c r="C355" s="197">
        <f>Cálculos!G199</f>
        <v>3.5454496770286247E-2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2024-01-01T18:58:50Z</dcterms:modified>
</cp:coreProperties>
</file>