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ses0-my.sharepoint.com/personal/joscanege_alum_us_es/Documents/TFG/TFG_GITT_Joscanege/Bloque I/"/>
    </mc:Choice>
  </mc:AlternateContent>
  <xr:revisionPtr revIDLastSave="494" documentId="13_ncr:1_{4927451D-D606-4908-AE2F-A9CB216D8BA8}" xr6:coauthVersionLast="47" xr6:coauthVersionMax="47" xr10:uidLastSave="{9CF9273D-6C75-465E-BEC1-DC196DE2B2DF}"/>
  <bookViews>
    <workbookView xWindow="-120" yWindow="-120" windowWidth="38640" windowHeight="21240" activeTab="3" xr2:uid="{085644D0-F554-4B2E-9D9F-A78C86F55E07}"/>
  </bookViews>
  <sheets>
    <sheet name="README" sheetId="11" r:id="rId1"/>
    <sheet name="Datos generales" sheetId="1" r:id="rId2"/>
    <sheet name="Datos periódicos" sheetId="4" r:id="rId3"/>
    <sheet name="Datos finales" sheetId="7" r:id="rId4"/>
    <sheet name="Análisis de revistas" sheetId="9" r:id="rId5"/>
    <sheet name="Resumen Artículos JCR" sheetId="10" r:id="rId6"/>
    <sheet name="Cálculos" sheetId="8" r:id="rId7"/>
    <sheet name="Apoyo" sheetId="5" r:id="rId8"/>
  </sheets>
  <definedNames>
    <definedName name="_xlnm._FilterDatabase" localSheetId="4" hidden="1">'Análisis de revistas'!$A$2:$Y$19</definedName>
    <definedName name="_xlnm._FilterDatabase" localSheetId="3" hidden="1">'Datos finales'!$A$2:$AW$107</definedName>
    <definedName name="_xlnm._FilterDatabase" localSheetId="1" hidden="1">'Datos generales'!$A$2:$U$212</definedName>
    <definedName name="_xlnm._FilterDatabase" localSheetId="2" hidden="1">'Datos periódicos'!$A$1:$X$310</definedName>
    <definedName name="_xlnm._FilterDatabase" localSheetId="5" hidden="1">'Resumen Artículos JCR'!$A$1:$J$1</definedName>
    <definedName name="_xlnm.Extract" localSheetId="3">'Datos finales'!$AZ$95:$BR$95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2" i="8" l="1"/>
  <c r="J313" i="8"/>
  <c r="I313" i="8"/>
  <c r="H313" i="8"/>
  <c r="G313" i="8"/>
  <c r="F313" i="8"/>
  <c r="E313" i="8"/>
  <c r="D313" i="8"/>
  <c r="C313" i="8"/>
  <c r="C311" i="8"/>
  <c r="I312" i="8"/>
  <c r="H312" i="8"/>
  <c r="G312" i="8"/>
  <c r="F312" i="8"/>
  <c r="E312" i="8"/>
  <c r="D312" i="8"/>
  <c r="C312" i="8"/>
  <c r="I307" i="8"/>
  <c r="I306" i="8"/>
  <c r="I305" i="8"/>
  <c r="I304" i="8"/>
  <c r="I308" i="8" s="1"/>
  <c r="I303" i="8"/>
  <c r="I311" i="8"/>
  <c r="I310" i="8"/>
  <c r="I302" i="8"/>
  <c r="AO3" i="7"/>
  <c r="O309" i="8"/>
  <c r="O308" i="8"/>
  <c r="O307" i="8"/>
  <c r="O306" i="8"/>
  <c r="N309" i="8"/>
  <c r="N308" i="8"/>
  <c r="N307" i="8"/>
  <c r="N306" i="8"/>
  <c r="O305" i="8"/>
  <c r="N305" i="8"/>
  <c r="O304" i="8"/>
  <c r="C353" i="8" s="1"/>
  <c r="N304" i="8"/>
  <c r="C352" i="8" s="1"/>
  <c r="N303" i="8"/>
  <c r="C354" i="8" s="1"/>
  <c r="O303" i="8"/>
  <c r="C355" i="8" s="1"/>
  <c r="O302" i="8"/>
  <c r="C351" i="8" s="1"/>
  <c r="N302" i="8"/>
  <c r="C350" i="8" s="1"/>
  <c r="H311" i="8"/>
  <c r="G311" i="8"/>
  <c r="F311" i="8"/>
  <c r="E311" i="8"/>
  <c r="D311" i="8"/>
  <c r="H310" i="8"/>
  <c r="G310" i="8"/>
  <c r="F310" i="8"/>
  <c r="E310" i="8"/>
  <c r="D310" i="8"/>
  <c r="C310" i="8"/>
  <c r="H307" i="8"/>
  <c r="G307" i="8"/>
  <c r="F307" i="8"/>
  <c r="E307" i="8"/>
  <c r="D307" i="8"/>
  <c r="C307" i="8"/>
  <c r="H306" i="8"/>
  <c r="G306" i="8"/>
  <c r="F306" i="8"/>
  <c r="E306" i="8"/>
  <c r="D306" i="8"/>
  <c r="C306" i="8"/>
  <c r="H305" i="8"/>
  <c r="H309" i="8" s="1"/>
  <c r="G305" i="8"/>
  <c r="G309" i="8" s="1"/>
  <c r="F305" i="8"/>
  <c r="F309" i="8" s="1"/>
  <c r="E305" i="8"/>
  <c r="E309" i="8" s="1"/>
  <c r="D305" i="8"/>
  <c r="D309" i="8" s="1"/>
  <c r="C305" i="8"/>
  <c r="C309" i="8" s="1"/>
  <c r="H304" i="8"/>
  <c r="H308" i="8" s="1"/>
  <c r="G304" i="8"/>
  <c r="G308" i="8" s="1"/>
  <c r="F304" i="8"/>
  <c r="F308" i="8" s="1"/>
  <c r="E304" i="8"/>
  <c r="E308" i="8" s="1"/>
  <c r="D304" i="8"/>
  <c r="D308" i="8" s="1"/>
  <c r="C304" i="8"/>
  <c r="C308" i="8" s="1"/>
  <c r="H303" i="8"/>
  <c r="G303" i="8"/>
  <c r="F303" i="8"/>
  <c r="E303" i="8"/>
  <c r="D303" i="8"/>
  <c r="C303" i="8"/>
  <c r="H302" i="8"/>
  <c r="G302" i="8"/>
  <c r="D302" i="8"/>
  <c r="E302" i="8"/>
  <c r="F302" i="8"/>
  <c r="C302" i="8"/>
  <c r="K291" i="8" a="1"/>
  <c r="K291" i="8" s="1"/>
  <c r="K278" i="8" a="1"/>
  <c r="K278" i="8" s="1"/>
  <c r="K262" i="8" a="1"/>
  <c r="K262" i="8" s="1"/>
  <c r="K249" i="8" a="1"/>
  <c r="K249" i="8" s="1"/>
  <c r="E141" i="8"/>
  <c r="G141" i="8"/>
  <c r="I141" i="8"/>
  <c r="L141" i="8"/>
  <c r="N141" i="8"/>
  <c r="D141" i="8"/>
  <c r="K176" i="8" a="1"/>
  <c r="K176" i="8" s="1"/>
  <c r="K194" i="8" a="1"/>
  <c r="K194" i="8" s="1"/>
  <c r="K285" i="8" a="1"/>
  <c r="K285" i="8" s="1"/>
  <c r="L289" i="8" s="1"/>
  <c r="K272" i="8" a="1"/>
  <c r="K272" i="8" s="1"/>
  <c r="K256" i="8" a="1"/>
  <c r="K256" i="8" s="1"/>
  <c r="O247" i="8"/>
  <c r="N245" i="8"/>
  <c r="M244" i="8"/>
  <c r="K244" i="8"/>
  <c r="K243" i="8" a="1"/>
  <c r="K243" i="8" s="1"/>
  <c r="L247" i="8" s="1"/>
  <c r="K201" i="8" a="1"/>
  <c r="K201" i="8" s="1"/>
  <c r="O192" i="8"/>
  <c r="P191" i="8"/>
  <c r="M190" i="8"/>
  <c r="N189" i="8"/>
  <c r="R189" i="8"/>
  <c r="K188" i="8" a="1"/>
  <c r="K188" i="8" s="1"/>
  <c r="K192" i="8" s="1"/>
  <c r="L174" i="8"/>
  <c r="M174" i="8"/>
  <c r="N174" i="8"/>
  <c r="O174" i="8"/>
  <c r="P174" i="8"/>
  <c r="Q174" i="8"/>
  <c r="L173" i="8"/>
  <c r="M173" i="8"/>
  <c r="N173" i="8"/>
  <c r="O173" i="8"/>
  <c r="P173" i="8"/>
  <c r="Q173" i="8"/>
  <c r="L172" i="8"/>
  <c r="M172" i="8"/>
  <c r="N172" i="8"/>
  <c r="O172" i="8"/>
  <c r="P172" i="8"/>
  <c r="Q172" i="8"/>
  <c r="K174" i="8"/>
  <c r="K173" i="8"/>
  <c r="K172" i="8"/>
  <c r="L171" i="8"/>
  <c r="M171" i="8"/>
  <c r="N171" i="8"/>
  <c r="O171" i="8"/>
  <c r="P171" i="8"/>
  <c r="Q171" i="8"/>
  <c r="K171" i="8"/>
  <c r="B208" i="8"/>
  <c r="B207" i="8"/>
  <c r="B206" i="8"/>
  <c r="B205" i="8"/>
  <c r="B204" i="8"/>
  <c r="B203" i="8"/>
  <c r="K207" i="8" s="1" a="1"/>
  <c r="K207" i="8" s="1"/>
  <c r="B221" i="8"/>
  <c r="B220" i="8"/>
  <c r="B219" i="8"/>
  <c r="B218" i="8"/>
  <c r="B217" i="8"/>
  <c r="B216" i="8"/>
  <c r="D286" i="8" a="1"/>
  <c r="D286" i="8" s="1"/>
  <c r="D294" i="8" s="1"/>
  <c r="D244" i="8" a="1"/>
  <c r="D244" i="8" s="1"/>
  <c r="D252" i="8" s="1"/>
  <c r="C227" i="8"/>
  <c r="C228" i="8"/>
  <c r="C229" i="8"/>
  <c r="C230" i="8"/>
  <c r="C231" i="8"/>
  <c r="D215" i="8" a="1"/>
  <c r="D215" i="8" s="1"/>
  <c r="D189" i="8" a="1"/>
  <c r="D189" i="8" s="1"/>
  <c r="D198" i="8" s="1"/>
  <c r="D175" i="8" a="1"/>
  <c r="D175" i="8" s="1"/>
  <c r="D183" i="8" s="1"/>
  <c r="C154" i="8"/>
  <c r="C165" i="8"/>
  <c r="C159" i="8"/>
  <c r="C158" i="8"/>
  <c r="C164" i="8"/>
  <c r="C166" i="8"/>
  <c r="C149" i="8"/>
  <c r="C150" i="8"/>
  <c r="C152" i="8"/>
  <c r="C163" i="8"/>
  <c r="C148" i="8"/>
  <c r="C162" i="8"/>
  <c r="C156" i="8"/>
  <c r="C157" i="8"/>
  <c r="C153" i="8"/>
  <c r="C168" i="8"/>
  <c r="C170" i="8"/>
  <c r="C160" i="8"/>
  <c r="C167" i="8"/>
  <c r="C151" i="8"/>
  <c r="C155" i="8"/>
  <c r="C161" i="8"/>
  <c r="C169" i="8"/>
  <c r="J302" i="8" l="1"/>
  <c r="J311" i="8"/>
  <c r="J306" i="8"/>
  <c r="J303" i="8"/>
  <c r="J307" i="8"/>
  <c r="J310" i="8"/>
  <c r="J305" i="8"/>
  <c r="J308" i="8"/>
  <c r="I309" i="8"/>
  <c r="J309" i="8" s="1"/>
  <c r="J304" i="8"/>
  <c r="M189" i="8"/>
  <c r="O191" i="8"/>
  <c r="O245" i="8"/>
  <c r="N247" i="8"/>
  <c r="O189" i="8"/>
  <c r="Q191" i="8"/>
  <c r="L192" i="8"/>
  <c r="K245" i="8"/>
  <c r="M246" i="8"/>
  <c r="C147" i="8"/>
  <c r="C226" i="8"/>
  <c r="Q189" i="8"/>
  <c r="L190" i="8"/>
  <c r="N192" i="8"/>
  <c r="L244" i="8"/>
  <c r="L246" i="8"/>
  <c r="M286" i="8"/>
  <c r="M288" i="8"/>
  <c r="P189" i="8"/>
  <c r="R191" i="8"/>
  <c r="M192" i="8"/>
  <c r="K248" i="8" a="1"/>
  <c r="Q245" i="8"/>
  <c r="Q247" i="8"/>
  <c r="L286" i="8"/>
  <c r="L288" i="8"/>
  <c r="P245" i="8"/>
  <c r="P247" i="8"/>
  <c r="K290" i="8" a="1"/>
  <c r="Q287" i="8"/>
  <c r="Q289" i="8"/>
  <c r="P287" i="8"/>
  <c r="P289" i="8"/>
  <c r="K286" i="8"/>
  <c r="O287" i="8"/>
  <c r="O289" i="8"/>
  <c r="K175" i="8" a="1"/>
  <c r="M179" i="8" s="1"/>
  <c r="L189" i="8"/>
  <c r="N191" i="8"/>
  <c r="K246" i="8"/>
  <c r="M245" i="8"/>
  <c r="M247" i="8"/>
  <c r="K287" i="8"/>
  <c r="N287" i="8"/>
  <c r="N289" i="8"/>
  <c r="R190" i="8"/>
  <c r="M191" i="8"/>
  <c r="K247" i="8"/>
  <c r="L245" i="8"/>
  <c r="K288" i="8"/>
  <c r="M287" i="8"/>
  <c r="M289" i="8"/>
  <c r="L178" i="8"/>
  <c r="L180" i="8"/>
  <c r="K189" i="8"/>
  <c r="Q190" i="8"/>
  <c r="L191" i="8"/>
  <c r="Q244" i="8"/>
  <c r="Q246" i="8"/>
  <c r="K289" i="8"/>
  <c r="L287" i="8"/>
  <c r="O180" i="8"/>
  <c r="K193" i="8" a="1"/>
  <c r="Q179" i="8"/>
  <c r="K190" i="8"/>
  <c r="P190" i="8"/>
  <c r="R192" i="8"/>
  <c r="P244" i="8"/>
  <c r="P246" i="8"/>
  <c r="Q286" i="8"/>
  <c r="Q288" i="8"/>
  <c r="K191" i="8"/>
  <c r="O190" i="8"/>
  <c r="Q192" i="8"/>
  <c r="O244" i="8"/>
  <c r="O246" i="8"/>
  <c r="P286" i="8"/>
  <c r="P288" i="8"/>
  <c r="Q177" i="8"/>
  <c r="L177" i="8"/>
  <c r="N190" i="8"/>
  <c r="P192" i="8"/>
  <c r="N244" i="8"/>
  <c r="N246" i="8"/>
  <c r="O286" i="8"/>
  <c r="O288" i="8"/>
  <c r="P178" i="8"/>
  <c r="N179" i="8"/>
  <c r="N286" i="8"/>
  <c r="N288" i="8"/>
  <c r="E143" i="8"/>
  <c r="G143" i="8"/>
  <c r="I143" i="8"/>
  <c r="L143" i="8"/>
  <c r="N143" i="8"/>
  <c r="AB15" i="7"/>
  <c r="D143" i="8"/>
  <c r="E142" i="8"/>
  <c r="G142" i="8"/>
  <c r="I142" i="8"/>
  <c r="L142" i="8"/>
  <c r="N142" i="8"/>
  <c r="D142" i="8"/>
  <c r="H140" i="8"/>
  <c r="E140" i="8"/>
  <c r="G140" i="8"/>
  <c r="I140" i="8"/>
  <c r="L140" i="8"/>
  <c r="N140" i="8"/>
  <c r="D140" i="8"/>
  <c r="C140" i="8"/>
  <c r="AI59" i="7"/>
  <c r="AI60" i="7"/>
  <c r="AI61" i="7"/>
  <c r="AI62" i="7"/>
  <c r="AI63" i="7"/>
  <c r="AI64" i="7"/>
  <c r="AI65" i="7"/>
  <c r="AI66" i="7"/>
  <c r="AI67" i="7"/>
  <c r="AI68" i="7"/>
  <c r="AI69" i="7"/>
  <c r="AI70" i="7"/>
  <c r="AI71" i="7"/>
  <c r="AI72" i="7"/>
  <c r="AI73" i="7"/>
  <c r="AI74" i="7"/>
  <c r="AI75" i="7"/>
  <c r="AI76" i="7"/>
  <c r="AI77" i="7"/>
  <c r="AI78" i="7"/>
  <c r="AI79" i="7"/>
  <c r="AI81" i="7"/>
  <c r="AI82" i="7"/>
  <c r="AI83" i="7"/>
  <c r="AI84" i="7"/>
  <c r="AI85" i="7"/>
  <c r="AI86" i="7"/>
  <c r="AI87" i="7"/>
  <c r="AI88" i="7"/>
  <c r="AI89" i="7"/>
  <c r="AI90" i="7"/>
  <c r="AI91" i="7"/>
  <c r="AI92" i="7"/>
  <c r="AI93" i="7"/>
  <c r="AI94" i="7"/>
  <c r="AI95" i="7"/>
  <c r="AI96" i="7"/>
  <c r="AI97" i="7"/>
  <c r="AI98" i="7"/>
  <c r="AI99" i="7"/>
  <c r="AI101" i="7"/>
  <c r="AI102" i="7"/>
  <c r="AI103" i="7"/>
  <c r="AI104" i="7"/>
  <c r="AI105" i="7"/>
  <c r="AI106" i="7"/>
  <c r="AI107" i="7"/>
  <c r="AI58" i="7"/>
  <c r="AI37" i="7"/>
  <c r="AI38" i="7"/>
  <c r="AI39" i="7"/>
  <c r="AI40" i="7"/>
  <c r="AI41" i="7"/>
  <c r="AI42" i="7"/>
  <c r="AI43" i="7"/>
  <c r="AI44" i="7"/>
  <c r="AI45" i="7"/>
  <c r="AI46" i="7"/>
  <c r="AI47" i="7"/>
  <c r="AI36" i="7"/>
  <c r="AI6" i="7"/>
  <c r="AI7" i="7"/>
  <c r="AI8" i="7"/>
  <c r="AI9" i="7"/>
  <c r="AI10" i="7"/>
  <c r="AI11" i="7"/>
  <c r="AI12" i="7"/>
  <c r="AI13" i="7"/>
  <c r="AI15" i="7"/>
  <c r="AI16" i="7"/>
  <c r="AI17" i="7"/>
  <c r="AI18" i="7"/>
  <c r="AI19" i="7"/>
  <c r="AI20" i="7"/>
  <c r="AI21" i="7"/>
  <c r="AI22" i="7"/>
  <c r="AI23" i="7"/>
  <c r="AI24" i="7"/>
  <c r="AI25" i="7"/>
  <c r="AI26" i="7"/>
  <c r="AI27" i="7"/>
  <c r="AI28" i="7"/>
  <c r="AI29" i="7"/>
  <c r="AI30" i="7"/>
  <c r="AI31" i="7"/>
  <c r="AI32" i="7"/>
  <c r="AI33" i="7"/>
  <c r="AI5" i="7"/>
  <c r="AF105" i="7"/>
  <c r="AG100" i="7"/>
  <c r="AG80" i="7"/>
  <c r="AI80" i="7" s="1"/>
  <c r="AF69" i="7"/>
  <c r="AF68" i="7"/>
  <c r="AF60" i="7"/>
  <c r="AF59" i="7"/>
  <c r="AF56" i="7"/>
  <c r="AF39" i="7"/>
  <c r="AF35" i="7"/>
  <c r="AF34" i="7"/>
  <c r="AF10" i="7"/>
  <c r="AF9" i="7"/>
  <c r="AB16" i="7"/>
  <c r="AB17" i="7"/>
  <c r="AB18" i="7"/>
  <c r="AB19" i="7"/>
  <c r="AB20" i="7"/>
  <c r="AB21" i="7"/>
  <c r="AB22" i="7"/>
  <c r="AB23" i="7"/>
  <c r="AB24" i="7"/>
  <c r="AB25" i="7"/>
  <c r="AB27" i="7"/>
  <c r="AB28" i="7"/>
  <c r="AB29" i="7"/>
  <c r="AB30" i="7"/>
  <c r="AB31" i="7"/>
  <c r="AB32" i="7"/>
  <c r="AB33" i="7"/>
  <c r="AB34" i="7"/>
  <c r="AB35" i="7"/>
  <c r="AB36" i="7"/>
  <c r="AB37" i="7"/>
  <c r="AB38" i="7"/>
  <c r="AB39" i="7"/>
  <c r="AB40" i="7"/>
  <c r="AB41" i="7"/>
  <c r="AB42" i="7"/>
  <c r="AB43" i="7"/>
  <c r="AB44" i="7"/>
  <c r="AB45" i="7"/>
  <c r="AB46" i="7"/>
  <c r="AB47" i="7"/>
  <c r="AB48" i="7"/>
  <c r="AB49" i="7"/>
  <c r="AB50" i="7"/>
  <c r="AB52" i="7"/>
  <c r="AB53" i="7"/>
  <c r="AB54" i="7"/>
  <c r="AB55" i="7"/>
  <c r="AB56" i="7"/>
  <c r="AB57" i="7"/>
  <c r="AB58" i="7"/>
  <c r="AB59" i="7"/>
  <c r="AB61" i="7"/>
  <c r="AB62" i="7"/>
  <c r="AB63" i="7"/>
  <c r="AB65" i="7"/>
  <c r="AB66" i="7"/>
  <c r="AB67" i="7"/>
  <c r="AB68" i="7"/>
  <c r="AB69" i="7"/>
  <c r="AB70" i="7"/>
  <c r="AB71" i="7"/>
  <c r="AB72" i="7"/>
  <c r="AB73" i="7"/>
  <c r="AB74" i="7"/>
  <c r="AB75" i="7"/>
  <c r="AB76" i="7"/>
  <c r="AB77" i="7"/>
  <c r="AB78" i="7"/>
  <c r="AB79" i="7"/>
  <c r="AB80" i="7"/>
  <c r="AB81" i="7"/>
  <c r="AB82" i="7"/>
  <c r="AB83" i="7"/>
  <c r="AB84" i="7"/>
  <c r="AB85" i="7"/>
  <c r="AB86" i="7"/>
  <c r="AB87" i="7"/>
  <c r="AB88" i="7"/>
  <c r="AB89" i="7"/>
  <c r="AB90" i="7"/>
  <c r="AB91" i="7"/>
  <c r="AB93" i="7"/>
  <c r="AB94" i="7"/>
  <c r="AB95" i="7"/>
  <c r="AB96" i="7"/>
  <c r="AB97" i="7"/>
  <c r="AB98" i="7"/>
  <c r="AB99" i="7"/>
  <c r="AB100" i="7"/>
  <c r="AB101" i="7"/>
  <c r="AB102" i="7"/>
  <c r="AB103" i="7"/>
  <c r="AB104" i="7"/>
  <c r="AB105" i="7"/>
  <c r="AB106" i="7"/>
  <c r="AB107" i="7"/>
  <c r="AB10" i="7"/>
  <c r="AB11" i="7"/>
  <c r="AB12" i="7"/>
  <c r="AB13" i="7"/>
  <c r="AB4" i="7"/>
  <c r="AB5" i="7"/>
  <c r="AB6" i="7"/>
  <c r="AB7" i="7"/>
  <c r="AB8" i="7"/>
  <c r="AB9" i="7"/>
  <c r="N18" i="8"/>
  <c r="M18" i="8"/>
  <c r="L18" i="8"/>
  <c r="J18" i="8"/>
  <c r="I18" i="8"/>
  <c r="H18" i="8"/>
  <c r="G18" i="8"/>
  <c r="K18" i="8"/>
  <c r="E106" i="8"/>
  <c r="E105" i="8"/>
  <c r="E104" i="8"/>
  <c r="D106" i="8"/>
  <c r="D105" i="8"/>
  <c r="D104" i="8"/>
  <c r="C106" i="8"/>
  <c r="C105" i="8"/>
  <c r="C104" i="8"/>
  <c r="E103" i="8"/>
  <c r="D103" i="8"/>
  <c r="C103" i="8"/>
  <c r="C81" i="8"/>
  <c r="C80" i="8"/>
  <c r="C79" i="8"/>
  <c r="C18" i="8"/>
  <c r="AO4" i="7"/>
  <c r="AO5" i="7"/>
  <c r="AO6" i="7"/>
  <c r="AO7" i="7"/>
  <c r="AO8" i="7"/>
  <c r="AO9" i="7"/>
  <c r="AO10" i="7"/>
  <c r="AO11" i="7"/>
  <c r="AO12" i="7"/>
  <c r="AO13" i="7"/>
  <c r="AO15" i="7"/>
  <c r="AO16" i="7"/>
  <c r="AO17" i="7"/>
  <c r="AO18" i="7"/>
  <c r="AO19" i="7"/>
  <c r="AO20" i="7"/>
  <c r="AO21" i="7"/>
  <c r="AO22" i="7"/>
  <c r="AO23" i="7"/>
  <c r="AO24" i="7"/>
  <c r="AO25" i="7"/>
  <c r="AO26" i="7"/>
  <c r="AO27" i="7"/>
  <c r="AO28" i="7"/>
  <c r="AO29" i="7"/>
  <c r="AO30" i="7"/>
  <c r="AO31" i="7"/>
  <c r="AO32" i="7"/>
  <c r="AO33" i="7"/>
  <c r="AO34" i="7"/>
  <c r="AO35" i="7"/>
  <c r="AO36" i="7"/>
  <c r="AO37" i="7"/>
  <c r="AO38" i="7"/>
  <c r="AO39" i="7"/>
  <c r="AO40" i="7"/>
  <c r="AO41" i="7"/>
  <c r="AO42" i="7"/>
  <c r="AO43" i="7"/>
  <c r="AO44" i="7"/>
  <c r="AO45" i="7"/>
  <c r="AO46" i="7"/>
  <c r="AO47" i="7"/>
  <c r="AO48" i="7"/>
  <c r="AO49" i="7"/>
  <c r="AO50" i="7"/>
  <c r="AO51" i="7"/>
  <c r="AO52" i="7"/>
  <c r="AO53" i="7"/>
  <c r="AO54" i="7"/>
  <c r="AO55" i="7"/>
  <c r="AO56" i="7"/>
  <c r="AO57" i="7"/>
  <c r="AO58" i="7"/>
  <c r="AO59" i="7"/>
  <c r="AO60" i="7"/>
  <c r="AO61" i="7"/>
  <c r="AO62" i="7"/>
  <c r="AO63" i="7"/>
  <c r="AO64" i="7"/>
  <c r="AO65" i="7"/>
  <c r="AO66" i="7"/>
  <c r="AO67" i="7"/>
  <c r="AO68" i="7"/>
  <c r="AO69" i="7"/>
  <c r="AO70" i="7"/>
  <c r="AO71" i="7"/>
  <c r="AO72" i="7"/>
  <c r="AO74" i="7"/>
  <c r="AO75" i="7"/>
  <c r="AO76" i="7"/>
  <c r="AO77" i="7"/>
  <c r="AO78" i="7"/>
  <c r="AO79" i="7"/>
  <c r="AO80" i="7"/>
  <c r="AO81" i="7"/>
  <c r="AO82" i="7"/>
  <c r="AO83" i="7"/>
  <c r="AO85" i="7"/>
  <c r="AO86" i="7"/>
  <c r="AO87" i="7"/>
  <c r="AO88" i="7"/>
  <c r="AO89" i="7"/>
  <c r="AO90" i="7"/>
  <c r="AO91" i="7"/>
  <c r="AO92" i="7"/>
  <c r="AO93" i="7"/>
  <c r="AO94" i="7"/>
  <c r="AO95" i="7"/>
  <c r="AO96" i="7"/>
  <c r="AO97" i="7"/>
  <c r="AO98" i="7"/>
  <c r="AO99" i="7"/>
  <c r="AO100" i="7"/>
  <c r="AO101" i="7"/>
  <c r="AO104" i="7"/>
  <c r="AO105" i="7"/>
  <c r="AO106" i="7"/>
  <c r="AO107" i="7"/>
  <c r="N79" i="8"/>
  <c r="M79" i="8"/>
  <c r="L79" i="8"/>
  <c r="K79" i="8"/>
  <c r="J79" i="8"/>
  <c r="I79" i="8"/>
  <c r="H79" i="8"/>
  <c r="G79" i="8"/>
  <c r="J125" i="8"/>
  <c r="J124" i="8"/>
  <c r="J123" i="8"/>
  <c r="I125" i="8"/>
  <c r="I124" i="8"/>
  <c r="I123" i="8"/>
  <c r="I129" i="8" s="1"/>
  <c r="H125" i="8"/>
  <c r="H131" i="8" s="1"/>
  <c r="H124" i="8"/>
  <c r="H123" i="8"/>
  <c r="G125" i="8"/>
  <c r="G124" i="8"/>
  <c r="G123" i="8"/>
  <c r="G129" i="8" s="1"/>
  <c r="F125" i="8"/>
  <c r="F124" i="8"/>
  <c r="F123" i="8"/>
  <c r="E125" i="8"/>
  <c r="E124" i="8"/>
  <c r="E123" i="8"/>
  <c r="D125" i="8"/>
  <c r="D124" i="8"/>
  <c r="D123" i="8"/>
  <c r="J122" i="8"/>
  <c r="J128" i="8" s="1"/>
  <c r="I122" i="8"/>
  <c r="H122" i="8"/>
  <c r="H128" i="8" s="1"/>
  <c r="G122" i="8"/>
  <c r="G128" i="8" s="1"/>
  <c r="F122" i="8"/>
  <c r="E122" i="8"/>
  <c r="D122" i="8"/>
  <c r="C122" i="8"/>
  <c r="C125" i="8"/>
  <c r="C124" i="8"/>
  <c r="C123" i="8"/>
  <c r="E12" i="8"/>
  <c r="E11" i="8"/>
  <c r="D12" i="8"/>
  <c r="D11" i="8"/>
  <c r="C12" i="8"/>
  <c r="C11" i="8"/>
  <c r="D67" i="8"/>
  <c r="E67" i="8"/>
  <c r="F67" i="8"/>
  <c r="G67" i="8"/>
  <c r="H67" i="8"/>
  <c r="I67" i="8"/>
  <c r="J67" i="8"/>
  <c r="K67" i="8"/>
  <c r="L67" i="8"/>
  <c r="M67" i="8"/>
  <c r="D66" i="8"/>
  <c r="E66" i="8"/>
  <c r="F66" i="8"/>
  <c r="G66" i="8"/>
  <c r="H66" i="8"/>
  <c r="I66" i="8"/>
  <c r="J66" i="8"/>
  <c r="K66" i="8"/>
  <c r="L66" i="8"/>
  <c r="M66" i="8"/>
  <c r="D65" i="8"/>
  <c r="E65" i="8"/>
  <c r="F65" i="8"/>
  <c r="G65" i="8"/>
  <c r="H65" i="8"/>
  <c r="I65" i="8"/>
  <c r="J65" i="8"/>
  <c r="K65" i="8"/>
  <c r="L65" i="8"/>
  <c r="M65" i="8"/>
  <c r="C67" i="8"/>
  <c r="C66" i="8"/>
  <c r="C65" i="8"/>
  <c r="D64" i="8"/>
  <c r="E64" i="8"/>
  <c r="F64" i="8"/>
  <c r="G64" i="8"/>
  <c r="H64" i="8"/>
  <c r="I64" i="8"/>
  <c r="J64" i="8"/>
  <c r="K64" i="8"/>
  <c r="L64" i="8"/>
  <c r="M64" i="8"/>
  <c r="C64" i="8"/>
  <c r="D41" i="8"/>
  <c r="E41" i="8"/>
  <c r="F41" i="8"/>
  <c r="G41" i="8"/>
  <c r="H41" i="8"/>
  <c r="I41" i="8"/>
  <c r="J41" i="8"/>
  <c r="K41" i="8"/>
  <c r="L41" i="8"/>
  <c r="M41" i="8"/>
  <c r="C41" i="8"/>
  <c r="M40" i="8"/>
  <c r="M69" i="8" s="1"/>
  <c r="K40" i="8"/>
  <c r="K69" i="8" s="1"/>
  <c r="L40" i="8"/>
  <c r="L69" i="8" s="1"/>
  <c r="D40" i="8"/>
  <c r="D69" i="8" s="1"/>
  <c r="E40" i="8"/>
  <c r="E69" i="8" s="1"/>
  <c r="F40" i="8"/>
  <c r="F69" i="8" s="1"/>
  <c r="G40" i="8"/>
  <c r="G69" i="8" s="1"/>
  <c r="H40" i="8"/>
  <c r="H69" i="8" s="1"/>
  <c r="I40" i="8"/>
  <c r="I69" i="8" s="1"/>
  <c r="J40" i="8"/>
  <c r="J69" i="8" s="1"/>
  <c r="C40" i="8"/>
  <c r="C69" i="8" s="1"/>
  <c r="C21" i="8"/>
  <c r="C20" i="8"/>
  <c r="C19" i="8"/>
  <c r="D5" i="8"/>
  <c r="D4" i="8"/>
  <c r="P177" i="8" l="1"/>
  <c r="O177" i="8"/>
  <c r="M180" i="8"/>
  <c r="M178" i="8"/>
  <c r="L276" i="8"/>
  <c r="Q275" i="8"/>
  <c r="P275" i="8"/>
  <c r="R259" i="8"/>
  <c r="K143" i="8"/>
  <c r="K140" i="8"/>
  <c r="J142" i="8"/>
  <c r="S259" i="8"/>
  <c r="Q260" i="8"/>
  <c r="K276" i="8"/>
  <c r="K275" i="8"/>
  <c r="N274" i="8"/>
  <c r="Q257" i="8"/>
  <c r="O276" i="8"/>
  <c r="O258" i="8"/>
  <c r="P274" i="8"/>
  <c r="S257" i="8"/>
  <c r="P259" i="8"/>
  <c r="N273" i="8"/>
  <c r="K258" i="8"/>
  <c r="J141" i="8"/>
  <c r="L260" i="8"/>
  <c r="R258" i="8"/>
  <c r="N259" i="8"/>
  <c r="T257" i="8"/>
  <c r="D257" i="8" a="1"/>
  <c r="D257" i="8" s="1"/>
  <c r="O259" i="8"/>
  <c r="K260" i="8"/>
  <c r="Q258" i="8"/>
  <c r="M257" i="8"/>
  <c r="T259" i="8"/>
  <c r="R260" i="8"/>
  <c r="S260" i="8"/>
  <c r="K274" i="8"/>
  <c r="O274" i="8"/>
  <c r="R257" i="8"/>
  <c r="M275" i="8"/>
  <c r="S258" i="8"/>
  <c r="N260" i="8"/>
  <c r="O275" i="8"/>
  <c r="L257" i="8"/>
  <c r="AI100" i="7"/>
  <c r="M142" i="8" s="1"/>
  <c r="J140" i="8"/>
  <c r="J143" i="8"/>
  <c r="K257" i="8"/>
  <c r="P273" i="8"/>
  <c r="N257" i="8"/>
  <c r="O257" i="8"/>
  <c r="M276" i="8"/>
  <c r="M258" i="8"/>
  <c r="T260" i="8"/>
  <c r="K273" i="8"/>
  <c r="M259" i="8"/>
  <c r="Q276" i="8"/>
  <c r="M273" i="8"/>
  <c r="K259" i="8"/>
  <c r="Q259" i="8"/>
  <c r="O273" i="8"/>
  <c r="K141" i="8"/>
  <c r="L275" i="8"/>
  <c r="L273" i="8"/>
  <c r="D273" i="8" a="1"/>
  <c r="D273" i="8" s="1"/>
  <c r="M140" i="8"/>
  <c r="K142" i="8"/>
  <c r="M143" i="8"/>
  <c r="P260" i="8"/>
  <c r="Q273" i="8"/>
  <c r="L274" i="8"/>
  <c r="M274" i="8"/>
  <c r="P257" i="8"/>
  <c r="N276" i="8"/>
  <c r="N258" i="8"/>
  <c r="L259" i="8"/>
  <c r="P276" i="8"/>
  <c r="P258" i="8"/>
  <c r="Q274" i="8"/>
  <c r="M260" i="8"/>
  <c r="N275" i="8"/>
  <c r="T258" i="8"/>
  <c r="O260" i="8"/>
  <c r="L258" i="8"/>
  <c r="O178" i="8"/>
  <c r="N178" i="8"/>
  <c r="O204" i="8"/>
  <c r="Q180" i="8"/>
  <c r="M204" i="8"/>
  <c r="M202" i="8"/>
  <c r="M203" i="8"/>
  <c r="P204" i="8"/>
  <c r="O205" i="8"/>
  <c r="P202" i="8"/>
  <c r="Q203" i="8"/>
  <c r="Q204" i="8"/>
  <c r="P205" i="8"/>
  <c r="O203" i="8"/>
  <c r="N204" i="8"/>
  <c r="F143" i="8"/>
  <c r="Q202" i="8"/>
  <c r="M205" i="8"/>
  <c r="P203" i="8"/>
  <c r="K202" i="8"/>
  <c r="N202" i="8"/>
  <c r="K204" i="8"/>
  <c r="N205" i="8"/>
  <c r="N203" i="8"/>
  <c r="L203" i="8"/>
  <c r="K203" i="8"/>
  <c r="L204" i="8"/>
  <c r="F141" i="8"/>
  <c r="D202" i="8" a="1"/>
  <c r="D202" i="8" s="1"/>
  <c r="K205" i="8"/>
  <c r="L202" i="8"/>
  <c r="O202" i="8"/>
  <c r="Q205" i="8"/>
  <c r="L205" i="8"/>
  <c r="K193" i="8"/>
  <c r="O196" i="8"/>
  <c r="P195" i="8"/>
  <c r="P196" i="8"/>
  <c r="L198" i="8"/>
  <c r="Q195" i="8"/>
  <c r="Q196" i="8"/>
  <c r="M198" i="8"/>
  <c r="R195" i="8"/>
  <c r="R196" i="8"/>
  <c r="N198" i="8"/>
  <c r="O198" i="8"/>
  <c r="L197" i="8"/>
  <c r="P198" i="8"/>
  <c r="M197" i="8"/>
  <c r="Q198" i="8"/>
  <c r="N197" i="8"/>
  <c r="R198" i="8"/>
  <c r="O197" i="8"/>
  <c r="L195" i="8"/>
  <c r="L196" i="8"/>
  <c r="P197" i="8"/>
  <c r="M195" i="8"/>
  <c r="M196" i="8"/>
  <c r="Q197" i="8"/>
  <c r="N195" i="8"/>
  <c r="N196" i="8"/>
  <c r="R197" i="8"/>
  <c r="O195" i="8"/>
  <c r="K175" i="8"/>
  <c r="P179" i="8"/>
  <c r="L179" i="8"/>
  <c r="N180" i="8"/>
  <c r="M177" i="8"/>
  <c r="K290" i="8"/>
  <c r="L292" i="8"/>
  <c r="L294" i="8"/>
  <c r="M292" i="8"/>
  <c r="M294" i="8"/>
  <c r="N292" i="8"/>
  <c r="N294" i="8"/>
  <c r="O292" i="8"/>
  <c r="O294" i="8"/>
  <c r="P292" i="8"/>
  <c r="P294" i="8"/>
  <c r="Q292" i="8"/>
  <c r="Q294" i="8"/>
  <c r="L293" i="8"/>
  <c r="L295" i="8"/>
  <c r="M293" i="8"/>
  <c r="M295" i="8"/>
  <c r="N293" i="8"/>
  <c r="N295" i="8"/>
  <c r="O293" i="8"/>
  <c r="O295" i="8"/>
  <c r="P293" i="8"/>
  <c r="P295" i="8"/>
  <c r="Q293" i="8"/>
  <c r="Q295" i="8"/>
  <c r="P180" i="8"/>
  <c r="K248" i="8"/>
  <c r="O252" i="8"/>
  <c r="N250" i="8"/>
  <c r="P252" i="8"/>
  <c r="O250" i="8"/>
  <c r="L251" i="8"/>
  <c r="Q252" i="8"/>
  <c r="P250" i="8"/>
  <c r="M251" i="8"/>
  <c r="Q250" i="8"/>
  <c r="N251" i="8"/>
  <c r="L253" i="8"/>
  <c r="P253" i="8"/>
  <c r="O251" i="8"/>
  <c r="M253" i="8"/>
  <c r="P251" i="8"/>
  <c r="N253" i="8"/>
  <c r="Q251" i="8"/>
  <c r="O253" i="8"/>
  <c r="L252" i="8"/>
  <c r="Q253" i="8"/>
  <c r="M252" i="8"/>
  <c r="L250" i="8"/>
  <c r="N252" i="8"/>
  <c r="M250" i="8"/>
  <c r="O179" i="8"/>
  <c r="Q178" i="8"/>
  <c r="N177" i="8"/>
  <c r="I128" i="8"/>
  <c r="E131" i="8"/>
  <c r="G131" i="8"/>
  <c r="G130" i="8"/>
  <c r="E129" i="8"/>
  <c r="E130" i="8"/>
  <c r="E128" i="8"/>
  <c r="C129" i="8"/>
  <c r="C130" i="8"/>
  <c r="C131" i="8"/>
  <c r="C128" i="8"/>
  <c r="F128" i="8"/>
  <c r="F130" i="8"/>
  <c r="F131" i="8"/>
  <c r="J131" i="8"/>
  <c r="D129" i="8"/>
  <c r="D130" i="8"/>
  <c r="D131" i="8"/>
  <c r="D128" i="8"/>
  <c r="I131" i="8"/>
  <c r="F129" i="8"/>
  <c r="F140" i="8"/>
  <c r="F142" i="8"/>
  <c r="J129" i="8"/>
  <c r="J130" i="8"/>
  <c r="D18" i="8"/>
  <c r="K19" i="8"/>
  <c r="J19" i="8"/>
  <c r="G19" i="8"/>
  <c r="L19" i="8"/>
  <c r="H19" i="8"/>
  <c r="M19" i="8"/>
  <c r="I19" i="8"/>
  <c r="N19" i="8"/>
  <c r="H103" i="8"/>
  <c r="I103" i="8"/>
  <c r="H105" i="8"/>
  <c r="I106" i="8"/>
  <c r="H106" i="8"/>
  <c r="J104" i="8"/>
  <c r="J103" i="8"/>
  <c r="I104" i="8"/>
  <c r="J105" i="8"/>
  <c r="H104" i="8"/>
  <c r="I105" i="8"/>
  <c r="J106" i="8"/>
  <c r="I130" i="8"/>
  <c r="H129" i="8"/>
  <c r="H130" i="8"/>
  <c r="G80" i="8"/>
  <c r="K80" i="8"/>
  <c r="C70" i="8"/>
  <c r="H80" i="8"/>
  <c r="L80" i="8"/>
  <c r="I80" i="8"/>
  <c r="M80" i="8"/>
  <c r="J80" i="8"/>
  <c r="N80" i="8"/>
  <c r="D63" i="8"/>
  <c r="L70" i="8"/>
  <c r="D42" i="8"/>
  <c r="K70" i="8"/>
  <c r="M63" i="8"/>
  <c r="I63" i="8"/>
  <c r="H63" i="8"/>
  <c r="E63" i="8"/>
  <c r="M70" i="8"/>
  <c r="I70" i="8"/>
  <c r="E70" i="8"/>
  <c r="C73" i="8"/>
  <c r="J71" i="8"/>
  <c r="F71" i="8"/>
  <c r="L72" i="8"/>
  <c r="H72" i="8"/>
  <c r="D72" i="8"/>
  <c r="J73" i="8"/>
  <c r="F73" i="8"/>
  <c r="H70" i="8"/>
  <c r="D70" i="8"/>
  <c r="M71" i="8"/>
  <c r="I71" i="8"/>
  <c r="E71" i="8"/>
  <c r="K72" i="8"/>
  <c r="G72" i="8"/>
  <c r="M73" i="8"/>
  <c r="I73" i="8"/>
  <c r="E73" i="8"/>
  <c r="G70" i="8"/>
  <c r="C71" i="8"/>
  <c r="L71" i="8"/>
  <c r="H71" i="8"/>
  <c r="D71" i="8"/>
  <c r="J72" i="8"/>
  <c r="F72" i="8"/>
  <c r="L73" i="8"/>
  <c r="H73" i="8"/>
  <c r="D73" i="8"/>
  <c r="D80" i="8"/>
  <c r="J70" i="8"/>
  <c r="F70" i="8"/>
  <c r="C72" i="8"/>
  <c r="K71" i="8"/>
  <c r="G71" i="8"/>
  <c r="M72" i="8"/>
  <c r="I72" i="8"/>
  <c r="E72" i="8"/>
  <c r="K73" i="8"/>
  <c r="G73" i="8"/>
  <c r="D81" i="8"/>
  <c r="K63" i="8"/>
  <c r="G63" i="8"/>
  <c r="D20" i="8"/>
  <c r="K42" i="8"/>
  <c r="G42" i="8"/>
  <c r="C63" i="8"/>
  <c r="J63" i="8"/>
  <c r="F63" i="8"/>
  <c r="D79" i="8"/>
  <c r="L63" i="8"/>
  <c r="J42" i="8"/>
  <c r="F42" i="8"/>
  <c r="C42" i="8"/>
  <c r="D21" i="8"/>
  <c r="M42" i="8"/>
  <c r="I42" i="8"/>
  <c r="E42" i="8"/>
  <c r="D19" i="8"/>
  <c r="L42" i="8"/>
  <c r="H42" i="8"/>
  <c r="L82" i="8" l="1"/>
  <c r="D281" i="8"/>
  <c r="K277" i="8" a="1"/>
  <c r="M141" i="8"/>
  <c r="D268" i="8"/>
  <c r="K261" i="8" a="1"/>
  <c r="D210" i="8"/>
  <c r="K206" i="8" a="1"/>
  <c r="K178" i="8"/>
  <c r="K179" i="8"/>
  <c r="K180" i="8"/>
  <c r="K177" i="8"/>
  <c r="K251" i="8"/>
  <c r="K253" i="8"/>
  <c r="K250" i="8"/>
  <c r="K252" i="8"/>
  <c r="K293" i="8"/>
  <c r="K294" i="8"/>
  <c r="K295" i="8"/>
  <c r="K292" i="8"/>
  <c r="K198" i="8"/>
  <c r="K195" i="8"/>
  <c r="K197" i="8"/>
  <c r="K196" i="8"/>
  <c r="O279" i="8" l="1"/>
  <c r="Q279" i="8"/>
  <c r="M280" i="8"/>
  <c r="O280" i="8"/>
  <c r="Q280" i="8"/>
  <c r="M279" i="8"/>
  <c r="K277" i="8"/>
  <c r="O281" i="8"/>
  <c r="Q281" i="8"/>
  <c r="M282" i="8"/>
  <c r="O282" i="8"/>
  <c r="Q282" i="8"/>
  <c r="M281" i="8"/>
  <c r="N279" i="8"/>
  <c r="P279" i="8"/>
  <c r="L280" i="8"/>
  <c r="N280" i="8"/>
  <c r="P280" i="8"/>
  <c r="L279" i="8"/>
  <c r="N281" i="8"/>
  <c r="P281" i="8"/>
  <c r="L282" i="8"/>
  <c r="N282" i="8"/>
  <c r="P282" i="8"/>
  <c r="L281" i="8"/>
  <c r="K261" i="8"/>
  <c r="P265" i="8"/>
  <c r="S265" i="8"/>
  <c r="O264" i="8"/>
  <c r="L266" i="8"/>
  <c r="M266" i="8"/>
  <c r="N266" i="8"/>
  <c r="P263" i="8"/>
  <c r="M265" i="8"/>
  <c r="R266" i="8"/>
  <c r="O265" i="8"/>
  <c r="T264" i="8"/>
  <c r="N264" i="8"/>
  <c r="S266" i="8"/>
  <c r="T266" i="8"/>
  <c r="T263" i="8"/>
  <c r="S263" i="8"/>
  <c r="L265" i="8"/>
  <c r="Q266" i="8"/>
  <c r="S264" i="8"/>
  <c r="M264" i="8"/>
  <c r="R265" i="8"/>
  <c r="L263" i="8"/>
  <c r="M263" i="8"/>
  <c r="N263" i="8"/>
  <c r="O263" i="8"/>
  <c r="P266" i="8"/>
  <c r="R263" i="8"/>
  <c r="L264" i="8"/>
  <c r="Q265" i="8"/>
  <c r="T265" i="8"/>
  <c r="P264" i="8"/>
  <c r="Q264" i="8"/>
  <c r="R264" i="8"/>
  <c r="O266" i="8"/>
  <c r="Q263" i="8"/>
  <c r="N265" i="8"/>
  <c r="K206" i="8"/>
  <c r="K208" i="8" s="1"/>
  <c r="O210" i="8"/>
  <c r="Q208" i="8"/>
  <c r="M209" i="8"/>
  <c r="M211" i="8"/>
  <c r="M208" i="8"/>
  <c r="O209" i="8"/>
  <c r="N210" i="8"/>
  <c r="Q209" i="8"/>
  <c r="Q211" i="8"/>
  <c r="N209" i="8"/>
  <c r="P209" i="8"/>
  <c r="N208" i="8"/>
  <c r="O211" i="8"/>
  <c r="P211" i="8"/>
  <c r="L210" i="8"/>
  <c r="L211" i="8"/>
  <c r="L208" i="8"/>
  <c r="O208" i="8"/>
  <c r="L209" i="8"/>
  <c r="P210" i="8"/>
  <c r="N211" i="8"/>
  <c r="M210" i="8"/>
  <c r="P208" i="8"/>
  <c r="Q210" i="8"/>
  <c r="D223" i="8"/>
  <c r="K279" i="8" l="1"/>
  <c r="K280" i="8"/>
  <c r="K281" i="8"/>
  <c r="K282" i="8"/>
  <c r="K263" i="8"/>
  <c r="K266" i="8"/>
  <c r="K265" i="8"/>
  <c r="K264" i="8"/>
  <c r="K211" i="8"/>
  <c r="K210" i="8"/>
  <c r="K209"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<sst xmlns="http://schemas.openxmlformats.org/spreadsheetml/2006/main" count="4576" uniqueCount="1266">
  <si>
    <t>TITULO</t>
  </si>
  <si>
    <t>Gamification in education</t>
  </si>
  <si>
    <t>Gamification in Education industry</t>
  </si>
  <si>
    <t>GAMIFICATION OF EDUCATION</t>
  </si>
  <si>
    <t>Gamification and Education: An Overview</t>
  </si>
  <si>
    <t>GAMIFICATION FOR EDUCATION</t>
  </si>
  <si>
    <t>GAMIFICATION IN EDUCATION</t>
  </si>
  <si>
    <t>The gamification of education</t>
  </si>
  <si>
    <t>The Gamification of Education</t>
  </si>
  <si>
    <t>Questionify: Gamification in Education</t>
  </si>
  <si>
    <t>Blockchain Technology into Gamification on Education</t>
  </si>
  <si>
    <t>AN ANALYSIS OF GAMIFICATION IN EDUCATION. THE NEED FOR AN ETHICAL CODE</t>
  </si>
  <si>
    <t>Gamification in education: threats or new opportunities</t>
  </si>
  <si>
    <t>Game-Based Learning, Gamification in Education and Serious Games</t>
  </si>
  <si>
    <t>Gamification in Education Context: The Intention, The Design, and The Result</t>
  </si>
  <si>
    <t>Gamification in Education: The Motivation-Exploration-Implementation Theory</t>
  </si>
  <si>
    <t>Elaboration and validation of the scale to measure the experience on gamification in education (EGAMEDU)</t>
  </si>
  <si>
    <t>A study on Systematic review of Gamification in Education Sector</t>
  </si>
  <si>
    <t>State of Research on Gamification in Education: A Bibliometric Survey</t>
  </si>
  <si>
    <t>A Review of the Effectiveness of Gamification in Education</t>
  </si>
  <si>
    <t>Rezension „Gamification in Education and Business“</t>
  </si>
  <si>
    <t>GAMIFICATING PHYSICAL EDUCATION PEDAGOGY. COLLEGE STUDENTS' FEELINGS</t>
  </si>
  <si>
    <t>Gamification in educational software development</t>
  </si>
  <si>
    <t>Gamification and Education: a Literature Review</t>
  </si>
  <si>
    <t>Gamification for educational purposes: What are the factors contributing to varied effectiveness?</t>
  </si>
  <si>
    <t>Gamification and education: A pragmatic approach with two examples of implementation</t>
  </si>
  <si>
    <t>Gamification in education: Serious Game Prototype for Children with Special Needs</t>
  </si>
  <si>
    <t>Gamification in Educational Discourse in the Aspect of Foreign Language Teaching</t>
  </si>
  <si>
    <t>Effective Gamification Within Educational Virtual Reality Environments</t>
  </si>
  <si>
    <t>The Shift to Gamification in Education: A Review on Dominant Issues</t>
  </si>
  <si>
    <t>Hard and light gamification in education: Which one to choose?</t>
  </si>
  <si>
    <t>GAMIFICATION IN EDUCATION: BADGES AS INDICATORS OF THE FORMATION OF EDUCATIONAL RESULTS</t>
  </si>
  <si>
    <t>Gamification in education – practical solutions for educational courses</t>
  </si>
  <si>
    <t>Gamification in Education: A Systematic Mapping Study</t>
  </si>
  <si>
    <t>An Effect of Gamification on Education under Online Lives Teaching</t>
  </si>
  <si>
    <t>The role of gamification in education - a literature review</t>
  </si>
  <si>
    <t>The Impact of Gamification - Recommending Education Scenarios</t>
  </si>
  <si>
    <t>EPISTEMOLOGIES ISSUES OF GAMIFICATION IN EDUCATION: THEORETICAL PERSPECTIVES IN EVIDENCE</t>
  </si>
  <si>
    <t>A Literature Review of Domestic Research on Gamification of Education in Korea</t>
  </si>
  <si>
    <t>Gamification of Educational Process for Building Learners’ Autonomy</t>
  </si>
  <si>
    <t>The Role of Gamification in Education: Global Citizenship and 21st-Century Skills</t>
  </si>
  <si>
    <t>Gamification in Educational Contexts: A Critical View on Mechanisms and Methodology</t>
  </si>
  <si>
    <t>Is this new? Family Resemblances in Gamification in Education</t>
  </si>
  <si>
    <t>From didactic game to educational gamification</t>
  </si>
  <si>
    <t>GAMIFICATION OF EDUCATIONAL PRACTICE (ON THE EXAMPLE OF THE EXPERIMENT OF A GROUP OF PARENTS ON FAMILY EDUCATION IN CHEBOKSARY)</t>
  </si>
  <si>
    <t>GAMIFICATION OF EDUCATION AS A TECHNOLOGY OF DEVELOPMENT OF THE STUDENT’S SENSIBLE KNOWLEDGE</t>
  </si>
  <si>
    <t>Lessons from game studies to enhance gamification in education</t>
  </si>
  <si>
    <t>Between Level Up and Game Over: A Systematic Literature Review of Gamification in Education</t>
  </si>
  <si>
    <t>Gamification in Education: What, How, Why Bother?</t>
  </si>
  <si>
    <t>Gamification in education from Web of Science. An analysis with bibliometric indicators and visualization maps</t>
  </si>
  <si>
    <t>Knowing the Students' Game-Playing Characteristics as a Prerequisite for Successful Gamification in Education</t>
  </si>
  <si>
    <t>Gamification in Education: A Board Game Approach to Knowledge Acquisition</t>
  </si>
  <si>
    <t>Gamification and Education: Achievements, Cognitive Loads, and Views of Students</t>
  </si>
  <si>
    <t>The use of gamification in education: A bibliometric and text mining analysis</t>
  </si>
  <si>
    <t>The impact of gamification in educational settings on student learning outcomes: a meta-analysis</t>
  </si>
  <si>
    <t>Cloud-assisted gamification for education and learning – Recent advances and challenges</t>
  </si>
  <si>
    <t>Gamification in Educational Contexts: Analysis of Its Application in a Distance Public Accounting Program</t>
  </si>
  <si>
    <t>Improving gamification of educational process in order to develop competencies of university graduates</t>
  </si>
  <si>
    <t>Gamification in education: State of the art: Gamificación en educación: Estado del arte</t>
  </si>
  <si>
    <t>Modern Technologies and Gamification in Historical Education</t>
  </si>
  <si>
    <t>Games and Gamification in Education. Basic Definitions and a Course Template of Phonetica.</t>
  </si>
  <si>
    <t>Students’ Perceptions about Gamification of Education: A Q-Method Analysis</t>
  </si>
  <si>
    <t>This game sucks: How to improve the gamification of education</t>
  </si>
  <si>
    <t>Affluent Gaming Experience Could Fail Gamification in Education: A Review</t>
  </si>
  <si>
    <t>Accustoms gamification in education improves student motivation, engagement and academic performance</t>
  </si>
  <si>
    <t>Cogent：A Case Study of Meaningful Gamification in Education with Virtual Currency</t>
  </si>
  <si>
    <t>Need-supporting gamification in education: An assessment of motivational effects over time</t>
  </si>
  <si>
    <t>CONTENT ANALYSIS OF ARTICLES THAT RELATED TO THE USE OF GOOGLE CLASSROOM AND GAMIFICATION IN EDUCATION FROM 2016 TO 2020</t>
  </si>
  <si>
    <t>Gamification in education: a mixed-methods study of gender on computer science students’ academic performance and identity development</t>
  </si>
  <si>
    <t>Pros and Cons of Using Gamification in Tourism Education as a Motivational Tool</t>
  </si>
  <si>
    <t>An Observational Research on the Limitations and Side Effects of Gamification in Educating Human Resources</t>
  </si>
  <si>
    <t>Learning based on flipped classroom with just-in-time teaching, Unity3D, gamification and educational spaces</t>
  </si>
  <si>
    <t>Gamification Applications in E-learning: A Literature Review</t>
  </si>
  <si>
    <t>APLICATIVOS E GAMIFICAÇÃO NA EDUCAÇÃO: POSSIBILIDADES E CONSIDERAÇÕES / APPLICATIONS AND GAMIFICATION IN EDUCATION: POSSIBILITIES AND CONSIDERATIONS</t>
  </si>
  <si>
    <t>GAMIFICATION AS THE CURRENT TREND OF NATIONAL EDUCATION</t>
  </si>
  <si>
    <t>Gamification in Education. http://www.aascit.org/journal/archive2?journalId=981&amp;paperId=2987</t>
  </si>
  <si>
    <t>GAMIFICATION IN EDUCATION: CHANGING THE ATTITUDE OF MEDICAL STUDENTS TOWARDS DEMENTIA BY USING VIRTUAL REALITY (PILOT STUDY)</t>
  </si>
  <si>
    <t>The Effects of Gamification on E-learning Education: Systematic Literature Review and Conceptual Model</t>
  </si>
  <si>
    <t>Games and Gamification: Recent Trends in E-learning</t>
  </si>
  <si>
    <t>Gamification in Science Education. A Systematic Review of the Literature</t>
  </si>
  <si>
    <t>Prospective preschool and primary school teachers’ knowledge and opinion about gamification</t>
  </si>
  <si>
    <t>GAMIFICAÇÃO E JOGOS EDUCACIONAIS NO PROCESSO DE ALFABETIZAÇÃO E LETRAMENTO / GAMIFICATION AND EDUCATIONAL GAMES IN THE PROCESS OF LITERACY AND LITERACY</t>
  </si>
  <si>
    <t>The Effects of Learning Styles and Meaningful Learning on the Learning Achievement of Gamification Health Education Curriculum</t>
  </si>
  <si>
    <t>Scientific and Methodological Support for Teachers in the Context of Gamification in Mathematics Study in the Russian System of Additional Education</t>
  </si>
  <si>
    <t>Designing gamification for geometry in elementary schools: insights from the designers</t>
  </si>
  <si>
    <t>What Do Prospective Teachers Think about Educational Gamification?</t>
  </si>
  <si>
    <t>Impact of Implementing Game Elements in Gamifying Educational Environment: A Study</t>
  </si>
  <si>
    <t>USE OF INNOVATIVE INFORMATION-COMMUNICATION TECHNOLOGIES WHEN TEACHING UNIVERSITY STUDENTS: ELEMENTS OF GAMIFICATION</t>
  </si>
  <si>
    <t>The technology of prospective teachers’ digital competence formation by means of gamification</t>
  </si>
  <si>
    <t>Playfulness in the classroom: Gamification favor the learning of pharmacology</t>
  </si>
  <si>
    <t>Gamification as transformative assessment in higher education</t>
  </si>
  <si>
    <t>GAMIFICATION IN TRAINING OF SOCIAL WORKERS</t>
  </si>
  <si>
    <t>Man’s values and ideologies as a basis of gamification</t>
  </si>
  <si>
    <t>Gamification in Genetics: Effects of Gamified Instructional Materials on the STEM Students’ Intrinsic Motivation</t>
  </si>
  <si>
    <t>Gamification in Higher Education</t>
  </si>
  <si>
    <t>Effects of gender and personality differences on students’ perception of game design elements in educational gamification</t>
  </si>
  <si>
    <t>Gamification in software engineering education: A systematic mapping</t>
  </si>
  <si>
    <t>Παιχνιδοποίηση και εκπαιδευτικά παιχνίδια στη διδασκαλία της Βιολογίας την περίοδο της πανδημίας COVID 19 Gamification and educational games in teaching of biology during the COVID 19 pandemic</t>
  </si>
  <si>
    <t>Game Changer: Gamification of Teachers' Lessons During the COVID-19 Pandemic</t>
  </si>
  <si>
    <t>The Case for Gamification in Radiology Education</t>
  </si>
  <si>
    <t>Possibilities of using gamification in distance education</t>
  </si>
  <si>
    <t>Gamification and The Design of Badges in Relation to Educational Achievement</t>
  </si>
  <si>
    <t>Gamification in LMS Courses</t>
  </si>
  <si>
    <t>Gamifying education: what is known, what is believed and what remains uncertain: a critical review</t>
  </si>
  <si>
    <t>Are we ready for Gamification? An exploratory analysis in a developing country</t>
  </si>
  <si>
    <t>CONCEPT OF GAMIFICATION AND STATISTICAL ANALYSIS OF EXISTING MOBILE APPLICATIONS ON INTERNATIONAL BUSINESS</t>
  </si>
  <si>
    <t>The gamification of philosophy for meaningful learning in higher education</t>
  </si>
  <si>
    <t>Review Psikologis Siswa Ditinjau dari Teknologi Gamification Student Psychological Review in terms of Gamification Technology</t>
  </si>
  <si>
    <t>Implementation of Gamification in Heis in the Republic of Macedonia</t>
  </si>
  <si>
    <t>Gamification of Learning in Early Age Education</t>
  </si>
  <si>
    <t>Education of preschool and elementary teachers on the use of adaptive gamification in science education</t>
  </si>
  <si>
    <t>Gamification in entrepreneurship education: A concrete application of Kahoot!</t>
  </si>
  <si>
    <t>Exploring Gamification Component Framework to Enhance Motivation in Higher Education: Literature Review</t>
  </si>
  <si>
    <t>Teaching Presence in Online Gamified Education for Sustainability Learning</t>
  </si>
  <si>
    <t>Gamification Framework for Programming Course in Higher Education</t>
  </si>
  <si>
    <t>The use of gamification tools in the practice of modern education</t>
  </si>
  <si>
    <t>Game Elements towards More Sustainable Learning in Object-Oriented Programming Course</t>
  </si>
  <si>
    <t>Gamification of Entrepreneurship Education</t>
  </si>
  <si>
    <t>Gamification in the childhood education classroom</t>
  </si>
  <si>
    <t>Gamification in the Informal Learning Space of Higher Education (in the Context of the Digital Transformation of Education)</t>
  </si>
  <si>
    <t>Gamification Reloaded: Current and Future Trends in Gamification Science</t>
  </si>
  <si>
    <t>Gamification and Technology-Based Learning: Uncovering the Potential of Using Games in Language Teaching and Learning</t>
  </si>
  <si>
    <t>Motivation Strategy Using Gamification</t>
  </si>
  <si>
    <t>Gamification of Primary Care in a Baccalaureate Nursing Education Program</t>
  </si>
  <si>
    <t>E-ÖĞRENME ORTAMINDA KULLANILAN OYUNLAŞTIRMA UYGULAMALARI</t>
  </si>
  <si>
    <t>I gamified my courses and I hate that…</t>
  </si>
  <si>
    <t>Gamification Concept for Encouraging Lecture Attendance</t>
  </si>
  <si>
    <t>Does gamification improve student learning outcome? Evidence from a meta-analysis and synthesis of qualitative data in educational contexts</t>
  </si>
  <si>
    <t>Gamification in otolaryngology: A narrative review</t>
  </si>
  <si>
    <t>GAMIFICATION TO IMPROVE STUDENTS’ ENGAGEMENT IN LEARNING ENGLISH</t>
  </si>
  <si>
    <t>The Success Factors of Implementing Web-Based Gamification According to the Viewpoint of Female English Teachers for Public Education Stages</t>
  </si>
  <si>
    <t>Gamification in the Educational Context: A Systematic Mapping of Literature with a Focus on the Evaluation of Gamification</t>
  </si>
  <si>
    <t>Gamification of human being in the context of digital culture</t>
  </si>
  <si>
    <t>Importance of Gamification in Increasing Learning</t>
  </si>
  <si>
    <t>Effectiveness of the Use of Animation and Gamification in Online Distance Education During Pandemic</t>
  </si>
  <si>
    <t>Attitudes and Perceptions of Gamification among English Education Undergraduates in Utar</t>
  </si>
  <si>
    <t>The e-learning persuasion through gamification: an elaboration likelihood model perspective</t>
  </si>
  <si>
    <t>ГЕЈМИФИКАЦИЈА УЧЕЊА: КОРИШЋЕЊЕ ВИДЕО ИГРЕ У ПРОЦЕСУ ОБРАЗОВАЊА, Култура полиса, год. XVIII (2021), бр. 45, стр. 103-118.* GAMIFICATION OF LEARNING: USE OF VIDEO GAME IN EDUCATION PROCESS, Culture of Polis, Year XVIII (2021), No. 45, pp.103-118.</t>
  </si>
  <si>
    <t>Preface for the Special Issue “Trends in Educational Gamification: Challenges and Learning Opportunities”</t>
  </si>
  <si>
    <t>The Implementation of Gamification System in Asian Higher Education Teaching</t>
  </si>
  <si>
    <t>Educational Gamification Vs. Game Based Learning: Comparative Study</t>
  </si>
  <si>
    <t>Play-Based Strategies for Speech Therapy and Vocal Health Face-to-Face and Distance Learning Actions for Children Distance Learning Actions for Children: An Integrative Literature Review</t>
  </si>
  <si>
    <t>Gamification as a Strategy for Visual Literacy Skills-Based Education: A Proposal for Educational Libraries</t>
  </si>
  <si>
    <t>University Students’ Views on the Application of Gamification in Distance Education</t>
  </si>
  <si>
    <t>Gamification as a Promoting Tool of Motivation for Creating Sustainable Higher Education Institutions</t>
  </si>
  <si>
    <t>Impact of Gamification on Learning and Development</t>
  </si>
  <si>
    <t>The Gamification Inventory : an Instrument for the Qualitative Evaluation of Gamification and its Application to Learning Management Systems</t>
  </si>
  <si>
    <t>Gamification in science education: a promising field for Action Research?</t>
  </si>
  <si>
    <t>Drivers and barriers to adopting gamification: Teachers’ perspectives</t>
  </si>
  <si>
    <t>Gamification in Plant Education for Children</t>
  </si>
  <si>
    <t>Smart Contract-based Gamification Scheme for College in Higher Education</t>
  </si>
  <si>
    <t>Effect of a Gamification Model on a Graduate Level Occupational Therapy Course</t>
  </si>
  <si>
    <t>Pros and Cons Gamification and Gaming in Classroom</t>
  </si>
  <si>
    <t>Introduction of gamification technologies in the educational process</t>
  </si>
  <si>
    <t>The applicability of gamification in architectural design education</t>
  </si>
  <si>
    <t>Gamification as a basic tool in distance education</t>
  </si>
  <si>
    <t>Design and Implementation of A Collaborative Educational Gamification Authoring System</t>
  </si>
  <si>
    <t>Gamification of health professions education: a systematic review</t>
  </si>
  <si>
    <t>Gamification of Assessment Test through Multiple Question Paths to Facilitate Participants' Autonomy and Competence</t>
  </si>
  <si>
    <t>The Acceptance of the Online Gamification Learning Platform by Higher Education Students in Hospitality and Tourism</t>
  </si>
  <si>
    <t>Gamification to Enhance Motivation and Engagement in Blended eLearning for Technical and Vocational Education and Training</t>
  </si>
  <si>
    <t>Gamification in English Language Classrooms: The Case of Kahoot!</t>
  </si>
  <si>
    <t>Gamification Model Framework and its Use in E-Learning in Higher Education</t>
  </si>
  <si>
    <t>The Role of Games Through Gamification in Higher Education</t>
  </si>
  <si>
    <t>A gamification strategy in engineering education—A case study on motivation and engagement</t>
  </si>
  <si>
    <t>Gamification for Photonics Students: Labescape</t>
  </si>
  <si>
    <t>Gamification in distance education: experiences in a university educational model</t>
  </si>
  <si>
    <t>Peculiarities of forming high-demanded soft skills in the educational space of the escape room</t>
  </si>
  <si>
    <t>Gamification tools in the learning of shipbuilding in the undergraduate marine engineering education</t>
  </si>
  <si>
    <t>Gamification in Entrepreneurship and Accounting Education</t>
  </si>
  <si>
    <t>OneUp: Supporting Practical and Experimental Gamification of Learning</t>
  </si>
  <si>
    <t>Gaming practices and technologies in education: their educational potential, limitations and problems in the world-of-work and world-of-play context</t>
  </si>
  <si>
    <t>A contribution to educational strategy. Gamification within the current educational space</t>
  </si>
  <si>
    <t>Gamification Framework for E-Learning Systems in Higher Education</t>
  </si>
  <si>
    <t>Gamification in Higher Education (Case Study on a Management Subject)</t>
  </si>
  <si>
    <t>Implementation of gamification in the educational process in these terms and conditions</t>
  </si>
  <si>
    <t>Ordering gamification terms in the adult education thesaurus</t>
  </si>
  <si>
    <t>Gamification Trends in Educational Communications in a Digital Society</t>
  </si>
  <si>
    <t>Gamification and Gen Z in Higher Education: A Systematic Review of Literature</t>
  </si>
  <si>
    <t>Identifying the Characteristics of Virtual Reality Gamification for Complex Educational Topics</t>
  </si>
  <si>
    <t>Gamification and Game-Based Strategies for Dermatology Education: Narrative Review</t>
  </si>
  <si>
    <t>The Role of Creative Communications and Gamification in Student Engagement in Higher Education: A Sentiment Analysis Approach</t>
  </si>
  <si>
    <t>Gamification for Teaching and Learning Java Programming for Beginner Students -A Review</t>
  </si>
  <si>
    <t>Revealing the hotspots of educational gamification: An umbrella review</t>
  </si>
  <si>
    <t>Video games in the context of screen technoculture and media education: new rhetorical strategies and educational potential</t>
  </si>
  <si>
    <t>Challenges of digitalization for higher education in Russia</t>
  </si>
  <si>
    <t>Use of gamification as collaborative learning resources</t>
  </si>
  <si>
    <t>The impact of gamification on students’ learning, engagement and behavior based on their personality traits</t>
  </si>
  <si>
    <t>Insights for medical education: via a mathematical modelling of gamification</t>
  </si>
  <si>
    <t>Gamification in Management Education: A Systematic Literature Review</t>
  </si>
  <si>
    <t>Gamification of General Education Science Courses for Online Delivery</t>
  </si>
  <si>
    <t>Gamification for sustainable consumption</t>
  </si>
  <si>
    <t>Gamification Effect on Higher Education Students' Motivation</t>
  </si>
  <si>
    <t>ПРАКТИКА РАЗВИТИИ МОТИВАЦИИ УЧЕНИКОВ ПРИ ИСПОЛЬЗОВАНИИ ГЕЙМИФИКАЦИИ: ГЕЙМИФИКАЦИЯДАН ФОЙДАЛАНИШ ОРҚАЛИ ЎҚУВЧИЛАР МОТИВАЦИЯСИНИ РИВОЖЛАНТИРИШ АМАЛИЁТИ</t>
  </si>
  <si>
    <t>Gamification in management education - A literature mapping</t>
  </si>
  <si>
    <t>O1: Gamification for Programming Education</t>
  </si>
  <si>
    <t>The effects of gamification on the motivation and basic psychological needs of secondary school physical education students</t>
  </si>
  <si>
    <t>Analysing gamification elements in educational environments using an existing Gamification taxonomy</t>
  </si>
  <si>
    <t>An Exploratory Holistic Analysis of Digital Gamification in Mathematics Education</t>
  </si>
  <si>
    <t>Pre-Service and In-Service Teachers’ Views on Gamification</t>
  </si>
  <si>
    <t>Gamification in Nursing Education: An Integrative Literature Review</t>
  </si>
  <si>
    <t>Motivational Effects of Gamification Apps in Education: A Systematic Literature Review</t>
  </si>
  <si>
    <t>RESUMEN</t>
  </si>
  <si>
    <t>CONCLUSIÓN</t>
  </si>
  <si>
    <t>Sí</t>
  </si>
  <si>
    <t>USEFULL</t>
  </si>
  <si>
    <t>No</t>
  </si>
  <si>
    <t>no</t>
  </si>
  <si>
    <t>Processing Analysis of Swift Playgrounds in a Children’s Computational Thinking Course to Learn Programming</t>
  </si>
  <si>
    <t>An Interactive Serious Mobile Game for Supporting the Learning of Programming in JavaScript in the Context of Eco-Friendly City Management</t>
  </si>
  <si>
    <t>Developing Physics Experiments Using Augmented Reality Game-Based Learning Approach: A Pilot Study in Primary School</t>
  </si>
  <si>
    <t>Ref</t>
  </si>
  <si>
    <t>Pedido -&gt; Pinta Sï</t>
  </si>
  <si>
    <t>Pedido -&gt; Pinta Ref</t>
  </si>
  <si>
    <t>Effects of E-Games on the Development of Saudi Children with Attention Deficit Hyperactivity Disorder Cognitively, Behaviourally and Socially: An Experimental Study</t>
  </si>
  <si>
    <t>Cita</t>
  </si>
  <si>
    <t>ID</t>
  </si>
  <si>
    <t>FECHA</t>
  </si>
  <si>
    <t>Muestra gamificación clásica, sin nuevas tecnologías</t>
  </si>
  <si>
    <t>Leaderboards</t>
  </si>
  <si>
    <t>Técnicas usadas</t>
  </si>
  <si>
    <t>Metodo de validación</t>
  </si>
  <si>
    <t>Entrevistas</t>
  </si>
  <si>
    <t>Animaciones</t>
  </si>
  <si>
    <t>Quizz</t>
  </si>
  <si>
    <t>Interactive games</t>
  </si>
  <si>
    <t>x</t>
  </si>
  <si>
    <t>sí</t>
  </si>
  <si>
    <t>Habla de dos plataformas LIDO y BYJU´s learning app. LIDO</t>
  </si>
  <si>
    <t>(a) online mocks and tests will give better learning results, (b) students will complete online tests with interest when the tests are gamified which will lead to better learning results</t>
  </si>
  <si>
    <t>Posibles citas</t>
  </si>
  <si>
    <t>Games are never obligatory. Obligatory game is an oxymoron.</t>
  </si>
  <si>
    <t>Logros</t>
  </si>
  <si>
    <t>Desafios</t>
  </si>
  <si>
    <t>Puntos</t>
  </si>
  <si>
    <t>Insignias</t>
  </si>
  <si>
    <t>Herramienta software para motivar a los estudiantes a aprender. El contenido es generado por los profesores</t>
  </si>
  <si>
    <t>BYJU: herramienta gigante de clases online, no parece muy gamificada más alla de los quizzes</t>
  </si>
  <si>
    <t>Analisis de los resultados academicos</t>
  </si>
  <si>
    <t>Probado en primario, eso y departamento. Problemas con la aceptación del sistema, no tanto de los alumnos sino de los profesores. Todavía en desarrollo.</t>
  </si>
  <si>
    <t>Cuestionario con 24 participantes 10 preguntas</t>
  </si>
  <si>
    <t>Aplicación sencillita puesta a prueba con resultados resultones</t>
  </si>
  <si>
    <t>Buenos resultados, se espera buen futuro</t>
  </si>
  <si>
    <t>Lo que aprenden es mutable, viva la blockchain</t>
  </si>
  <si>
    <t>Interacción social</t>
  </si>
  <si>
    <t>71% de estudiantes que dicen haber recibido un impacto positivo de la experiencia</t>
  </si>
  <si>
    <t>Examenes antes y despues. Encuesta sobre el juego, evalua: usefulness, easy of use, attitude towards use, intention to use, perceived enjoyment. MUY INTERESANTE EL METODO DE EVALUACION</t>
  </si>
  <si>
    <t>Buenos resultados, muy analizados estadisticamente.</t>
  </si>
  <si>
    <t>TAM Model questionnaire</t>
  </si>
  <si>
    <t>Juego  para enseñar JavaScript en la uni, especialmente para enseñar algoritmos y grafos. Este es un juego de verdad.</t>
  </si>
  <si>
    <t>Juego estilo busquedad del tesoro para la primaria con realidad virtual. Realidad virtual integrada con el mundo real.</t>
  </si>
  <si>
    <t>Entrevistas a alumnos y profesores. También encuestas</t>
  </si>
  <si>
    <t>Resultados satisfactorios por alumnos y profesores.</t>
  </si>
  <si>
    <t>Plataforma para aprender a desarrollar aplicaciones IOS.</t>
  </si>
  <si>
    <t>Encuesta a través de google form</t>
  </si>
  <si>
    <t>Satisfechos con el resultado.</t>
  </si>
  <si>
    <t>Educacion fisica uni con mario bros.</t>
  </si>
  <si>
    <t>Narrativa</t>
  </si>
  <si>
    <t>Niveles</t>
  </si>
  <si>
    <t>Cuestionario, para informacion cuantitativa y cualitativa (preguntas abiertas)</t>
  </si>
  <si>
    <t>Mejora la motivacion y la cooperción.</t>
  </si>
  <si>
    <t xml:space="preserve"> </t>
  </si>
  <si>
    <t>Kaizen-Education para estudiantes de medicina y enfermeria. Permite a docentes crear cuentas y crear sus propios sitemas gamificados</t>
  </si>
  <si>
    <t>Plataforma para enseñar a niños de capacidades especiales.</t>
  </si>
  <si>
    <t>Buen desempeño, esxperiencia intensa pero que gusto a los participantes según afirman los padres.</t>
  </si>
  <si>
    <t>Entrevistas a los padres de los participantes.</t>
  </si>
  <si>
    <t>Muchisimos datos de porcentajes de juegos muchas posibles citas</t>
  </si>
  <si>
    <t>Uso de geocache para una experiencia de gamificación. Zombies run, se vasa en la narrativa</t>
  </si>
  <si>
    <t>Son dos juegos, resultado positivos en general</t>
  </si>
  <si>
    <t>Trello como platamforma de educacion y posible gamificacion</t>
  </si>
  <si>
    <t>La idea no salio muy bien. Trello exigia un control de contraseñas por parte de los alumnos y ademas estos hacias trampas</t>
  </si>
  <si>
    <t>Pedido -&gt; Pinta Sí</t>
  </si>
  <si>
    <t>Juego de trablero en linea con quizes y cuestiones</t>
  </si>
  <si>
    <t>Cuestionario</t>
  </si>
  <si>
    <t>En general gusto</t>
  </si>
  <si>
    <t>Positivas tanto en academica como de motivación.</t>
  </si>
  <si>
    <t>Cuestionario, examen y entrevistas. 48 normal 46 prueba</t>
  </si>
  <si>
    <t>Ejemplo de 96 alumnos Class Dojo enseñando excel.</t>
  </si>
  <si>
    <t>Educación contable a distancia.</t>
  </si>
  <si>
    <t>Encuesta a 117 alumnos</t>
  </si>
  <si>
    <t>Gusto entre los alumnos</t>
  </si>
  <si>
    <t>Muy detallados los elementos de juego</t>
  </si>
  <si>
    <t>Datos financieros sobre e learning</t>
  </si>
  <si>
    <t>Perfil personalizable</t>
  </si>
  <si>
    <t>Sirvio desde el punto de vista educativo al menos.</t>
  </si>
  <si>
    <t>Experiencia usando FrogPlay</t>
  </si>
  <si>
    <t>Proyecto de gamificación que lleva 14 años en activo Cogent</t>
  </si>
  <si>
    <t>Entrevistas a 32 participantes</t>
  </si>
  <si>
    <t>Esta aplicado de forma confusa</t>
  </si>
  <si>
    <t>Estudios sobre demencia con vr.</t>
  </si>
  <si>
    <t>Es un juego que muestra los desafios de la demencia. La actitud hacia la enfermedad ha mejorado.</t>
  </si>
  <si>
    <t>Pre test, post-test</t>
  </si>
  <si>
    <t>Encuestas de satisfaccion y usabilidad 43 participantes</t>
  </si>
  <si>
    <t>Positivas</t>
  </si>
  <si>
    <t>Universidad algoritmos 1º y 2º</t>
  </si>
  <si>
    <t>LMS model nueva plataforma de gamificacion</t>
  </si>
  <si>
    <t>JouleBug app para habitos de sostenibilidad</t>
  </si>
  <si>
    <t>Cuestionario y entrevista</t>
  </si>
  <si>
    <t>Gamification en un curso de programación orientada a objetos</t>
  </si>
  <si>
    <t>Bastantes alumnos no mostraron interes en el curso propuesto.</t>
  </si>
  <si>
    <t>Gamificación para enseñanzas de shopify</t>
  </si>
  <si>
    <t>Buena acogida por parte de los alumnos</t>
  </si>
  <si>
    <t>Un juego de crecimiento de personaje  llamado PetAttendToClass para motivar la atencion en clase</t>
  </si>
  <si>
    <t>Cuestionario con 30 participantes</t>
  </si>
  <si>
    <t>Muy buena acogida</t>
  </si>
  <si>
    <t>Pedido-&gt; Pinta Sí</t>
  </si>
  <si>
    <t>Clsificación de la gente y division en 6 categorias</t>
  </si>
  <si>
    <t>Pros y contras de la gamificación en clase</t>
  </si>
  <si>
    <t>Encuestas sobre la motivación</t>
  </si>
  <si>
    <t>Curso gamificado super nice</t>
  </si>
  <si>
    <t>Diarios reflexivos de los participantes</t>
  </si>
  <si>
    <t>Sirvió como motivación bastante</t>
  </si>
  <si>
    <r>
      <rPr>
        <sz val="11"/>
        <rFont val="Calibri"/>
        <family val="2"/>
        <scheme val="minor"/>
      </rPr>
      <t xml:space="preserve">x </t>
    </r>
    <r>
      <rPr>
        <sz val="11"/>
        <color rgb="FFFF0000"/>
        <rFont val="Calibri"/>
        <family val="2"/>
        <scheme val="minor"/>
      </rPr>
      <t>x</t>
    </r>
  </si>
  <si>
    <r>
      <t xml:space="preserve">x </t>
    </r>
    <r>
      <rPr>
        <sz val="11"/>
        <color rgb="FFFF0000"/>
        <rFont val="Calibri"/>
        <family val="2"/>
        <scheme val="minor"/>
      </rPr>
      <t>x</t>
    </r>
  </si>
  <si>
    <r>
      <t xml:space="preserve">x </t>
    </r>
    <r>
      <rPr>
        <sz val="11"/>
        <color rgb="FF3DE345"/>
        <rFont val="Calibri"/>
        <family val="2"/>
        <scheme val="minor"/>
      </rPr>
      <t>x</t>
    </r>
  </si>
  <si>
    <r>
      <t>Uso de Kahoot,</t>
    </r>
    <r>
      <rPr>
        <sz val="11"/>
        <color rgb="FFFF0000"/>
        <rFont val="Calibri"/>
        <family val="2"/>
        <scheme val="minor"/>
      </rPr>
      <t xml:space="preserve"> Mentimeter</t>
    </r>
    <r>
      <rPr>
        <sz val="11"/>
        <color theme="1"/>
        <rFont val="Calibri"/>
        <family val="2"/>
        <scheme val="minor"/>
      </rPr>
      <t xml:space="preserve"> and </t>
    </r>
    <r>
      <rPr>
        <sz val="11"/>
        <color rgb="FF3DE345"/>
        <rFont val="Calibri"/>
        <family val="2"/>
        <scheme val="minor"/>
      </rPr>
      <t>Socrative</t>
    </r>
  </si>
  <si>
    <t xml:space="preserve">Business game </t>
  </si>
  <si>
    <t>Encuestas y entrevistas</t>
  </si>
  <si>
    <t>Buen resultado academico</t>
  </si>
  <si>
    <t>propuesta de curso gamificado</t>
  </si>
  <si>
    <t>modelo teorico que se implemento con moodle</t>
  </si>
  <si>
    <t>curso gamificado vr de quimica</t>
  </si>
  <si>
    <t>mucho calculo</t>
  </si>
  <si>
    <t>nice</t>
  </si>
  <si>
    <t>Gamificar curso de programacion para analizar el efecto de la gamificación según la personalidad</t>
  </si>
  <si>
    <t>Hay cambios a mejor</t>
  </si>
  <si>
    <t>Seguimiento diario</t>
  </si>
  <si>
    <t>o   Diseño, desarrollo y validación de un juego serio en educación superior. Un caso de estudio</t>
  </si>
  <si>
    <t>o   Validación de juego educativo para la enseñanza de la valoración cardiovascular</t>
  </si>
  <si>
    <t>o   ¿Podrá el uso de Game Based Learning o Aprendizaje Basado en Juegos mejorar el rendimiento académico en los alumnos de curso de Nivelación de Física?</t>
  </si>
  <si>
    <t>o   Fiabilidad de un instrumento de evaluación emocional a través de la concordancia inter-observador para el aprendizaje basado en juegos</t>
  </si>
  <si>
    <t>o   Aplicación de analíticas en la sistematización del diseño y validación de juegos serios para usuarios con discapacidad intelectual</t>
  </si>
  <si>
    <t>o   TESIS DOCTORAL Aplicación de analíticas en la sistematización del diseño y validación de juegos serios para usuarios con discapacidad intelectual</t>
  </si>
  <si>
    <t>o   PROYECTO GAME TO LEARN: APRENDIZAJE BASADO EN JUEGOS PARA POTENCIAR LAS INTELIGENCIAS LÓGICOMATEMÁTICA, NATURALISTA Y LINGÜÍSTICA EN EDUCACIÓN PRIMARIA</t>
  </si>
  <si>
    <t>o   Evaluación de una propuesta de aprendizaje basado en juegos de rol llevada a cabo en la asignatura de Cultura Científica de Bachillerato</t>
  </si>
  <si>
    <t>RESULTADO</t>
  </si>
  <si>
    <t>CIta</t>
  </si>
  <si>
    <t>SOBRE UN SISTEMA DE VALIDACION</t>
  </si>
  <si>
    <t>Uso de mix de plataformas para distintas asignaturas</t>
  </si>
  <si>
    <t>Buenos resultados</t>
  </si>
  <si>
    <t>Encuestas a los docentes</t>
  </si>
  <si>
    <t>Gamificación tradicional</t>
  </si>
  <si>
    <t>Entrevista</t>
  </si>
  <si>
    <t>Examen</t>
  </si>
  <si>
    <t>Encuesta</t>
  </si>
  <si>
    <t>Examen + Encuesta</t>
  </si>
  <si>
    <t>Entrevista + Encuesta</t>
  </si>
  <si>
    <t>Todo</t>
  </si>
  <si>
    <t>Examen + Entrevista</t>
  </si>
  <si>
    <t>Sin especificar</t>
  </si>
  <si>
    <t>Impacto</t>
  </si>
  <si>
    <t>Clarivate JCI</t>
  </si>
  <si>
    <t>Developing Physics Experiments Usng Augmented Reality Game-Based Learning Approach: A Pilot Study in Primary School</t>
  </si>
  <si>
    <t>Revista</t>
  </si>
  <si>
    <t>International Journal of Integrated Engineering</t>
  </si>
  <si>
    <t>Computers</t>
  </si>
  <si>
    <t>Journal of Clinical and Translational Science</t>
  </si>
  <si>
    <t>International Journal of Emerging Technologies in Learning</t>
  </si>
  <si>
    <t>Revista Universidad Empresa</t>
  </si>
  <si>
    <t>International Journal of Information and Communication Technology Education</t>
  </si>
  <si>
    <t>Sustainability</t>
  </si>
  <si>
    <t>Decision Sciences-Journal of Innovative Education</t>
  </si>
  <si>
    <t>COMPUTER APPLICATIONS IN ENGINEERING EDUCATION</t>
  </si>
  <si>
    <t>Multimodal Technologies and Interaction</t>
  </si>
  <si>
    <t>Smart Learning Environments</t>
  </si>
  <si>
    <t>JMIR Serious Games</t>
  </si>
  <si>
    <t>Developing Theory-Driven, Evidence-Based Serious Games for Health: Framework Based on Research Community Insights</t>
  </si>
  <si>
    <t>Effectiveness of Exergaming in Improving Cognitive and Physical Function in People With Mild Cognitive Impairment or Dementia: Systematic Review</t>
  </si>
  <si>
    <t>Teaching Adequate Prehospital Use of Personal Protective Equipment During the COVID-19 Pandemic: Development of a Gamified e-Learning Module</t>
  </si>
  <si>
    <t>Effectiveness of a Behavior Change Technique-Based Smartphone Game to Improve Intrinsic Motivation and Physical Activity Adherence in Patients With Type 2 Diabetes: Randomized Controlled Trial</t>
  </si>
  <si>
    <t>Health Education Serious Games Targeting Health Care Providers, Patients, and Public Health Users: Scoping Review</t>
  </si>
  <si>
    <t>The Effects of Gamification on Computerized Cognitive Training: Systematic Review and Meta-Analysis</t>
  </si>
  <si>
    <t>Quality Criteria for Serious Games: Serious Part, Game Part, and Balance</t>
  </si>
  <si>
    <t>Design Strategies for Virtual Reality Interventions for Managing Pain and Anxiety in Children and Adolescents: Scoping Review</t>
  </si>
  <si>
    <t>Effective Gamification of the Stop-Signal Task: Two Controlled Laboratory Experiments</t>
  </si>
  <si>
    <t>Serious Games in Surgical Medical Education: A Virtual Emergency Department as a Tool for Teaching Clinical Reasoning to Medical Students</t>
  </si>
  <si>
    <t>A Web-Based Serious Game for Health to Reduce Perioperative Anxiety and Pain in Children (CliniPup): Pilot Randomized Controlled Trial</t>
  </si>
  <si>
    <t>A Novel Clinician-Orchestrated Virtual Reality Platform for Distraction During Pediatric Intravenous Procedures in Children With Hemophilia: Randomized Controlled Trial</t>
  </si>
  <si>
    <t>Young People's Knowledge of Antibiotics and Vaccinations and Increasing This Knowledge Through Gaming: Mixed-Methods Study Using e-Bug</t>
  </si>
  <si>
    <t>Active Video Games for Rehabilitation in Respiratory Conditions: Systematic Review and Meta-Analysis</t>
  </si>
  <si>
    <t>Virtual Reality Games and the Role of Body Involvement in Enhancing Positive Emotions and Decreasing Anxiety: Within-Subjects Pilot Study</t>
  </si>
  <si>
    <t>Younger Adolescents' Perceptions of Physical Activity, Exergaming, and Virtual Reality: Qualitative Intervention Study</t>
  </si>
  <si>
    <t>Effect of Brief Biofeedback via a Smartphone App on Stress Recovery: Randomized Experimental Study</t>
  </si>
  <si>
    <t>Investigating Serious Games That Incorporate Medication Use for Patients: Systematic Literature Review</t>
  </si>
  <si>
    <t>Usability, Acceptability, Feasibility, and Effectiveness of a Gamified Mobile Health Intervention (Triumf) for Pediatric Patients: Qualitative Study</t>
  </si>
  <si>
    <t>Comparing the Effects on Learning Outcomes of Tablet-Based and Virtual Reality-Based Serious Gaming Modules for Basic Life Support Training: Randomized Trial</t>
  </si>
  <si>
    <t>FightHPV: Design and Evaluation of a Mobile Game to Raise Awareness About Human Papillomavirus and Nudge People to Take Action Against Cervical Cancer</t>
  </si>
  <si>
    <t>Creating a Theoretically Grounded Gaming App to Increase Adherence to Pre-Exposure Prophylaxis: Lessons From the Development of the Viral Combat Mobile Phone Game</t>
  </si>
  <si>
    <t>A Serious Game Designed to Promote Safe Behaviors Among Health Care Workers During the COVID-19 Pandemic: Development of "Escape COVID-19"</t>
  </si>
  <si>
    <t>Gamification in Rehabilitation of Patients With Musculoskeletal Diseases of the Shoulder: Scoping Review</t>
  </si>
  <si>
    <t>Cognitive Training Using Fully Immersive, Enriched Environment Virtual Reality for Patients With Mild Cognitive Impairment and Mild Dementia: Feasibility and Usability Study</t>
  </si>
  <si>
    <t>Nutritional Education and Promotion of Healthy Eating Behaviors Among Mexican Children Through Video Games: Design and Pilot Test of FoodRateMaster</t>
  </si>
  <si>
    <t>Engaging African American Youth in the Development of a Serious Mobile Game for Sexual Health Education: Mixed Methods Study</t>
  </si>
  <si>
    <t>Development of CliniPup, a Serious Game Aimed at Reducing Perioperative Anxiety and Pain in Children: Mixed Methods Study</t>
  </si>
  <si>
    <t>Biosensor Real-Time Affective Analytics in Virtual and Mixed Reality Medical Education Serious Games: Cohort Study</t>
  </si>
  <si>
    <t>Digital Gamification to Enhance Vaccine Knowledge and Uptake: Scoping Review</t>
  </si>
  <si>
    <t>Virtual Reality-Based Executive Function Rehabilitation System for Children With Traumatic Brain Injury: Design and Usability Study</t>
  </si>
  <si>
    <t>Experiences of Gamified and Automated Virtual Reality Exposure Therapy for Spider Phobia: Qualitative Study</t>
  </si>
  <si>
    <t>An Immersive Multi-User Virtual Reality for Emergency Simulation Training: Usability Study</t>
  </si>
  <si>
    <t>Results and Guidelines From a Repeated-Measures Design Experiment Comparing Standing and Seated Full-Body Gesture-Based Immersive Virtual Reality Exergames: Within-Subjects Evaluation</t>
  </si>
  <si>
    <t>Improving Maximal Strength in the Initial Postoperative Phase After Anterior Cruciate Ligament Reconstruction Surgery: Randomized Controlled Trial of an App-Based Serious Gaming Approach</t>
  </si>
  <si>
    <t>Diagnostic Markers of User Experience, Play, and Learning for Digital Serious Games: A Conceptual Framework Study</t>
  </si>
  <si>
    <t>Interactive Narrative in a Mobile Health Behavioral Intervention (Tumaini): Theoretical Grounding and Structure of a Smartphone Game to Prevent HIV Among Young Africans</t>
  </si>
  <si>
    <t>Relationship Between Children's Enjoyment, User Experience Satisfaction, and Learning in a Serious Video Game for Nutrition Education: Empirical Pilot Study</t>
  </si>
  <si>
    <t>Serious Gaming Technology in Upper Extremity Rehabilitation: Scoping Review</t>
  </si>
  <si>
    <t>A Primer on Usability Assessment Approaches for Health-Related Applications of Virtual Reality</t>
  </si>
  <si>
    <t>Exploring Features of the Pervasive Game Pokemon GO That Enable Behavior Change: Qualitative Study</t>
  </si>
  <si>
    <t>Impact of Using a 3D Visual Metaphor Serious Game to Teach History-Taking Content to Medical Students: Longitudinal Mixed Methods Pilot Study</t>
  </si>
  <si>
    <t>Effects of Social Interaction Mechanics in Pervasive Games on the Physical Activity Levels of Older Adults: Quasi-Experimental Study</t>
  </si>
  <si>
    <t>Search and Match Task: Development of a Taskified Match-3 Puzzle Game to Assess and Practice Visual Search</t>
  </si>
  <si>
    <t>Use of a Low-Cost Portable 3D Virtual Reality Simulator for Psychomotor Skill Training in Minimally Invasive Surgery: Task Metrics and Score Validity</t>
  </si>
  <si>
    <t>Effects of Virtual Reality and Non-Virtual Reality Exercises on the Exercise Capacity and Concentration of Users in a Ski Exergame: Comparative Study</t>
  </si>
  <si>
    <t>A Graded Exposure, Locomotion-Enabled Virtual Reality App During Walking and Reaching for Individuals With Chronic Low Back Pain: Cohort Gaming Design</t>
  </si>
  <si>
    <t>Designing a Virtual Reality Game for Promoting Empathy Toward Patients With Chronic Pain: Feasibility and Usability Study</t>
  </si>
  <si>
    <t>Development and Evaluation of Intelligent Serious Games for Children With Learning Difficulties: Observational Study</t>
  </si>
  <si>
    <t>Controlling for Placebo Effects in Computerized Cognitive Training Studies With Healthy Older Adults From 2016-2018: Systematic Review</t>
  </si>
  <si>
    <t xml:space="preserve">que es un juego serio y que no </t>
  </si>
  <si>
    <t>Intenta definir las diferencias entre un juego de ocio y un juego serio</t>
  </si>
  <si>
    <t>SÍ</t>
  </si>
  <si>
    <t>International Journal of Serious Games</t>
  </si>
  <si>
    <t>Serious Games for education and training</t>
  </si>
  <si>
    <t>escapED: A Framework for Creating Educational Escape Rooms and Interactive Games For Higher/Further Education</t>
  </si>
  <si>
    <t>Best Practices for an Effective Design and Evaluation of Serious Games</t>
  </si>
  <si>
    <t>Training Computational Thinking through board games: The case of Crabs &amp; Turtles</t>
  </si>
  <si>
    <t>Games are motivating, aren't they? Disputing the arguments for digital game-based learning</t>
  </si>
  <si>
    <t>Using video games to combine learning and assessment in mathematics education</t>
  </si>
  <si>
    <t>OneUp: Supporting Practical and Experimental Gamification of Learning</t>
  </si>
  <si>
    <t>Wuzzit Trouble: The Influence of a Digital Math Game on Student Number Sense</t>
  </si>
  <si>
    <t>Teaching pre-service teachers to integrate Serious Games in the primary education curriculum</t>
  </si>
  <si>
    <t>Eye Tracking in Game-based Learning Research and Game Design</t>
  </si>
  <si>
    <t>Prime Example Ingress Reframing the Pervasive Game Design Framework (PGDF)</t>
  </si>
  <si>
    <t>State-of-the-art in Business Games</t>
  </si>
  <si>
    <t>Serious Gaming Analytics: What Students' Log Files Tell Us about Gaming and Learning</t>
  </si>
  <si>
    <t>Design Principles for Serious Video Games in Mathematics Education: From Theory to Practice</t>
  </si>
  <si>
    <t>Acceptance of Game-Based Learning and Intrinsic Motivation as Predictors for Learning Success and Flow Experience</t>
  </si>
  <si>
    <t>Flow Experience as a Quality Measure in Evaluating Physically Activating Collaborative Serious Games</t>
  </si>
  <si>
    <t>Multimodality with Eye tracking and Haptics: A New Horizon for Serious Games?</t>
  </si>
  <si>
    <t>Formative evaluation of an adaptive game for engaging learners of programming concepts in K-12</t>
  </si>
  <si>
    <t>Elements Explaining Learning Clinical Reasoning Using Simulation Games</t>
  </si>
  <si>
    <t>Business Management Simulations - a detailed industry analysis as well as recommendations for the future</t>
  </si>
  <si>
    <t>Green My Place: Evaluation of a Serious Social Online Game Designed to Promote Energy Efficient Behaviour Change</t>
  </si>
  <si>
    <t>Mathematics learning opportunities when playing a Tower Defense Game</t>
  </si>
  <si>
    <t>Exploring Learners Experience of Gamified Practicing: For Learning or for Fun?</t>
  </si>
  <si>
    <t>User experience and learning experience in a 4D virtual reality simulation game</t>
  </si>
  <si>
    <t>How to train your syllable stress awareness - A digital game-based intervention for German dyslexic children</t>
  </si>
  <si>
    <t>Patients' follow-up using biomechanical analysis of rehabilitation exercises</t>
  </si>
  <si>
    <t>Assessing 3D Virtual World Disaster Training Through Adult Learning Theory</t>
  </si>
  <si>
    <t>CySecEscape 2.0-A Virtual Escape Room To Raise Cybersecurity Awareness</t>
  </si>
  <si>
    <t>Connected Gaming: An Inclusive Perspective for Serious Gaming</t>
  </si>
  <si>
    <t>Learning Analytics Architecture to Scaffold Learning Experience through Technology-based Methods</t>
  </si>
  <si>
    <t>Serious Games for Mobile Devices: the InTouch Project Case Study</t>
  </si>
  <si>
    <t>A Fundamental Study for Gamification Design: Exploring Learning Tendencies' Effects</t>
  </si>
  <si>
    <t>Fostering Computational Thinking skills in the Last Years of Primary School</t>
  </si>
  <si>
    <t>Gamification Concepts for Leveraging Knowledge Sharing in Industry 4.0</t>
  </si>
  <si>
    <t>Understanding the Role of Achievements in Game-Based Learning</t>
  </si>
  <si>
    <t>Digital Games and Learning Mathematics: Student, Teacher and Parent Perspectives</t>
  </si>
  <si>
    <t>Natural Language Processing in Serious Games: A state of the art.</t>
  </si>
  <si>
    <t>Effect of Game-based Learning using Live Streaming on Learners' Interest, Immersion, Satisfaction, and Instructors' Perception</t>
  </si>
  <si>
    <t>Flow Experience and Situational Interest in Game-Based Learning: Cousins or Identical Twins</t>
  </si>
  <si>
    <t>Comparing Bayesian Statistics and Frequentist Statistics in Serious Games Research</t>
  </si>
  <si>
    <t>Interactive Ant Colony Optimization to Support Adaptation in Serious Games</t>
  </si>
  <si>
    <t>Set-theoretical and Combinatorial Instruments for Problem Space Analysis in Adaptive Serious Games</t>
  </si>
  <si>
    <t>Teacher assessment of simulation-based serious games for science education</t>
  </si>
  <si>
    <t>Using Digital Games to Learn Mathematics - What students think?</t>
  </si>
  <si>
    <t>A Technique for Mapping Mathematics Content to Game Design</t>
  </si>
  <si>
    <t>A Framework for Research in Gamified Mobile Guide Applications using Embodied Conversational Agents (ECAs)</t>
  </si>
  <si>
    <t>An Agent Based Approach to designing Serious Game: the PNPV case study</t>
  </si>
  <si>
    <t>Effects of a videogame in math performance and anxiety in primary school</t>
  </si>
  <si>
    <t>Gamified Learning Theory: The Moderating role of learners' tendencies</t>
  </si>
  <si>
    <t>Constructive alignment of learning mechanics and game mechanics in Serious Game design in Higher Education</t>
  </si>
  <si>
    <t>Patterns in Mainstream Programming Games</t>
  </si>
  <si>
    <t>Realizing a Mobile Multimodal Platform for Serious Games Analytics</t>
  </si>
  <si>
    <t>The role of disposition to critical thinking in digital game-based learning</t>
  </si>
  <si>
    <t>A Tutorial on Machine Learning for Interactive Pedagogical Systems</t>
  </si>
  <si>
    <t>Experience, Experiment, Evaluate: A Framework for Assessing Experiential Games</t>
  </si>
  <si>
    <t>Development and Validation of a Questionnaire to Measure Perceptions of Freedom of Choice in Digital Games</t>
  </si>
  <si>
    <t>Kinesthetic Elementary Mathematics - Creating Flow with Gesture Modality</t>
  </si>
  <si>
    <t>Video Game Self-efficacy and its Effect on Training Performance</t>
  </si>
  <si>
    <t>Investigating the Potential market of a Serious Game for Training of Alzheimer's Caregivers in a Northern Spain region</t>
  </si>
  <si>
    <t>Understanding students? engagement with a Serious Game to learn English: A sociocultural perspective</t>
  </si>
  <si>
    <t>Attention and Motor skill improvements in Mild Cognitive Impairment patients using COSMA Application</t>
  </si>
  <si>
    <t>ISPO: A Serious Game to train the Interview Skills of Police Officers</t>
  </si>
  <si>
    <t>Examining Students? Behavior in a Digital Simulation Game for Nurse Training</t>
  </si>
  <si>
    <t>Empirical Study of Adaptive Serious Games in Enhancing Learning Outcome</t>
  </si>
  <si>
    <t>The effect of a serious game on aviation vocabulary acquisition</t>
  </si>
  <si>
    <t>A Serious Game to learn English: The case of Bethe1Challenge</t>
  </si>
  <si>
    <t>Evaluation of HackLearn COFELET Game User Experience for Cybersecurity Education</t>
  </si>
  <si>
    <t>Using Greenfoot as a Tool for Serious Games Programming Education and Development</t>
  </si>
  <si>
    <t>Scenario smells: signalling potential problems in dialogue scenarios in a serious game</t>
  </si>
  <si>
    <t>Battlespace Next (TM): Developing a Serious Game to Explore Multi-Domain Operations</t>
  </si>
  <si>
    <t>From Design to Management of Digital Epistemic Games</t>
  </si>
  <si>
    <t>Computational thinking development and assessment through tabletop escape games</t>
  </si>
  <si>
    <t>ALF - a Framework for Evaluating Accelerated Learning in Industry</t>
  </si>
  <si>
    <t>Capacity Building on Heat Balance in Electrolysis of Aluminium</t>
  </si>
  <si>
    <t>Data Analytics of Mobile Serious Games: Applying Bayesian Data Analysis Methods</t>
  </si>
  <si>
    <t>Learning Impact Evaluation of the serious game "Cultural Awareness - Afghanistan Pre-deployment"</t>
  </si>
  <si>
    <t>Collaborative Language Learning in Immersive Virtual Worlds: Competence-based Formative Feedback and Open Learner Modeling</t>
  </si>
  <si>
    <t>Gamification and Smart, Competence-Centered Feedback: Promising Experiences in the Classroom</t>
  </si>
  <si>
    <t>Serious Games to support Reflection in the HealthCare Sector</t>
  </si>
  <si>
    <t>Toward a Digital Companion to Monitor a Mixed Reality Game</t>
  </si>
  <si>
    <t>Towards Transforming Game Premise: Validating an Approach for Developing Cooperative Serious Games</t>
  </si>
  <si>
    <t>Design Principles for Integrating Gamification into Distance Learning Programs in Higher Education: A Mixed Method Study</t>
  </si>
  <si>
    <t>Reflections on Ludification: Approaching a Conceptual Framework - And Discussing Inherent Challenges</t>
  </si>
  <si>
    <t>Educational Board Game and Flashcard: Which one is better for learners at beginner level of Chinese language?</t>
  </si>
  <si>
    <t>Exploring the use of participatory design in game design: a Brazilian perspective</t>
  </si>
  <si>
    <t>Nano-Games for Cultural Venues: the HEAL game</t>
  </si>
  <si>
    <t>Playing to Investigate the Relationship Between Achievement and the Perception of learning</t>
  </si>
  <si>
    <t>Comparing Voluntary and Mandatory Gameplay</t>
  </si>
  <si>
    <t>Different performance, full experience: a learning game applied throughout adulthood</t>
  </si>
  <si>
    <t>Observation and analysis of a classroom teaching and learning practice based on augmented reality and serious games on mobile platforms</t>
  </si>
  <si>
    <t>Assessing and Improving listening skills: a test of two theories</t>
  </si>
  <si>
    <t>Individual and collaborative Performance and Level of Certainty in MetaVals</t>
  </si>
  <si>
    <t>Juego de mesa normal para el aprendizaje</t>
  </si>
  <si>
    <t>Estudia concretamente el efecto de los logros en la educación</t>
  </si>
  <si>
    <t>Analisis estadistico de resultados desde varias aproximaciones distintas.</t>
  </si>
  <si>
    <t>Juego de cartas no digital</t>
  </si>
  <si>
    <t>Juegos de mesa</t>
  </si>
  <si>
    <t xml:space="preserve">Awereness uso en afganistas, human factor </t>
  </si>
  <si>
    <t>Otro de tablero</t>
  </si>
  <si>
    <t>Minijuegos en museos educativos, en desarrollo</t>
  </si>
  <si>
    <t>Discusion interesante comparando gameplay obligatory o voluntario</t>
  </si>
  <si>
    <t>Simulation &amp; Gaming</t>
  </si>
  <si>
    <t>An Evaluation of Gamified Training: Using Narrative to Improve Reactions and Learning</t>
  </si>
  <si>
    <t>From Games to Gamification: A Classification of Rewards in World of Warcraft for the Design of Gamified Systems</t>
  </si>
  <si>
    <t>Practicing CPR: A Qualitative Analysis of Resident Motivation</t>
  </si>
  <si>
    <t>Do Badges Affect Intrinsic Motivation in Introductory Programming Students?</t>
  </si>
  <si>
    <t>A Study of Cognitive Results in Marketing and Finance Students</t>
  </si>
  <si>
    <t>Enabling Players to Develop Theories of Change for Sustainable Development: A Serious Game</t>
  </si>
  <si>
    <t>Comparing Serious Games and Educational Simulations: Effects on Enjoyment, Deep Thinking, Interest and Cognitive Learning Gains</t>
  </si>
  <si>
    <t>The Effect of Serious Games on Medical Students' Motivation, Flow and Learning</t>
  </si>
  <si>
    <t>On the Architecture of Game Science: A Rebuttal</t>
  </si>
  <si>
    <t>Building Better Digital Badges: Pairing Completion Logic With Psychological Factors</t>
  </si>
  <si>
    <t>An Empirical Test of the Theory of Gamified Learning: The Effect of Leaderboards on Time-on-Task and Academic Performance</t>
  </si>
  <si>
    <t>Roles of Serious Game in Diabetes Patient Education</t>
  </si>
  <si>
    <t>An Examination and Extension of the Theory of Gamified Learning: The Moderating Role of Goal Orientation</t>
  </si>
  <si>
    <t>Governments Should Play Games: Towards a Framework for the Gamification of Civic Engagement Platforms</t>
  </si>
  <si>
    <t>The Gamification of Meditation: A Randomized-Controlled Study of a Prescribed Mobile Mindfulness Meditation Application in Reducing College Students' Depression</t>
  </si>
  <si>
    <t>Gamification Science, Its History and Future: Definitions and a Research Agenda</t>
  </si>
  <si>
    <t>Developing a Theory of Gamified Learning: Linking Serious Games and Gamification of Learning</t>
  </si>
  <si>
    <t>Battling With Books: The Gamification of an EFL Extensive Reading Class</t>
  </si>
  <si>
    <t>Validity Threats in Quantitative Data Collection With Games: A Narrative Survey</t>
  </si>
  <si>
    <t>Virtual Reality Simulation Technology for Cardiopulmonary Resuscitation Training: An Innovative Hybrid System With Haptic Feedback</t>
  </si>
  <si>
    <t>Machine learning and Serious Game for the Early Diagnosis of Alzheimer's Disease</t>
  </si>
  <si>
    <t>A Playful Approach to Household Sustainability: Results From a Pilot Study on Resource Consumption</t>
  </si>
  <si>
    <t>A Serious Game Employed to Introduce Principles of Interprofessional Collaboration to Students of Multiple Health Professions</t>
  </si>
  <si>
    <t>Why Students Should Be Taught Differently: Learner Characteristics, Learning Styles and Simulation Performance</t>
  </si>
  <si>
    <t>From Game Design to Service Design: A Framework to Gamify Services</t>
  </si>
  <si>
    <t>A 'KAHOOT!' Approach: The Effectiveness of Game-Based Learning for an Advanced Placement Biology Class</t>
  </si>
  <si>
    <t>A Prediction Market-Based Gamified Approach to Enhance Knowledge Sharing in Organizations</t>
  </si>
  <si>
    <t>Gamified Modules for an Introductory Statistics Course and Their Impact on Attitudes and Learning</t>
  </si>
  <si>
    <t>Adaptation of Gaming Features for Motivating Learners</t>
  </si>
  <si>
    <t>GREENIFY: A Real-World Action Game for Climate Change Education</t>
  </si>
  <si>
    <t>Improving Environmental Outcomes With Games: An Exploration of Behavioural and Technological Design and Evaluation Approaches</t>
  </si>
  <si>
    <t>Modern Technologies and Gamification in Historical Education</t>
  </si>
  <si>
    <t>Sistema mejorado de insignias</t>
  </si>
  <si>
    <t>Otras aplicaciones de la gamificación (en plataformas de participacion ciudadana)</t>
  </si>
  <si>
    <t>Otra aplicación de la gamificación</t>
  </si>
  <si>
    <t>Para promover la lectura</t>
  </si>
  <si>
    <t>Para el diagnostico de alzheimer</t>
  </si>
  <si>
    <t>Sobre el cambio de enfoque en las clases</t>
  </si>
  <si>
    <t>IDR</t>
  </si>
  <si>
    <t>Gamifying requirement elicitation: Practical implications and outcomes in improving stakeholders collaboration</t>
  </si>
  <si>
    <t>Office Madness: Investigating the impact of a game using a real life job and programming scenario on player experience and perceived short-term learning</t>
  </si>
  <si>
    <t>Can we predict the Oscar winner? A machine learning approach with social network services</t>
  </si>
  <si>
    <t>Deploying learning materials to game content for serious education game development: A case study</t>
  </si>
  <si>
    <t>Serious games and the development of an entrepreneurial mindset in higher education engineering students</t>
  </si>
  <si>
    <t>How to play a MOOC: Practices and simulation</t>
  </si>
  <si>
    <t>Predicting learning effects of computer games using the Gamified Knowledge Encoding Model</t>
  </si>
  <si>
    <t>Analysis of the college underachievers? transformation via gamified learning experience</t>
  </si>
  <si>
    <t>Evolving action pre-selection parameters for MCTS in real-time strategy games</t>
  </si>
  <si>
    <t>Developing two game-based interventions for dyslexia therapeutic interventions using gamification and serious games approaches entertainment computing journal</t>
  </si>
  <si>
    <t>A case study on Service-Oriented Architecture for Serious Games</t>
  </si>
  <si>
    <t>3D Gesture classification with linear acceleration and angular velocity sensing devices for video games</t>
  </si>
  <si>
    <t>PMG-Net: Persian music genre classification using deep neural networks</t>
  </si>
  <si>
    <t>Specification and evaluation of an assessment engine for educational games: Empowering educators with an assessment editor and a learning analytics dashboard</t>
  </si>
  <si>
    <t>Transposing freemium business model from casual games to serious games</t>
  </si>
  <si>
    <t>Flow framework for analyzing the quality of educational games</t>
  </si>
  <si>
    <t>Eliciting and modelling expertise for serious games in project management</t>
  </si>
  <si>
    <t>Design methodology for educational games based on graphical notations: Designing Urano</t>
  </si>
  <si>
    <t>Application of Learning Analytics in educational videogames</t>
  </si>
  <si>
    <t>Serious games for health</t>
  </si>
  <si>
    <t>Development of a mechanical maintenance training simulator in OpenSimulator for F-16 aircraft engines</t>
  </si>
  <si>
    <t>Looking for archetypes: Applying game data mining to hearthstone decks</t>
  </si>
  <si>
    <t>A modeling environment for reinforcement learning in games</t>
  </si>
  <si>
    <t>Learning through play: Gamification model in university-level distance learning</t>
  </si>
  <si>
    <t>Digital storytelling for good with Tappetina game</t>
  </si>
  <si>
    <t>Metrics for desired structural features for narrative renderings of game logs</t>
  </si>
  <si>
    <t>Schoolchildren's user experiences on a physical exercise game utilizing lighting and audio</t>
  </si>
  <si>
    <t>The impact of video games on Students' educational outcomes</t>
  </si>
  <si>
    <t>A novel hybrid bidirectional unidirectional LSTM network for dynamic hand gesture recognition with Leap Motion</t>
  </si>
  <si>
    <t>GAINE - A portable framework for the development of edutainment applications based on multitouch and tangible interaction</t>
  </si>
  <si>
    <t>Imitating human playing styles in Super Mario Bros</t>
  </si>
  <si>
    <t>An emotional student model for game-play adaptation</t>
  </si>
  <si>
    <t>A game engine plug-in for efficient development of investigation mechanics in serious games</t>
  </si>
  <si>
    <t>Technology-enhanced role-play for social and emotional learning context - Intercultural empathy</t>
  </si>
  <si>
    <t>Dynamic difficulty adjustment technique-based mobile vocabulary learning game for children with autism spectrum disorder</t>
  </si>
  <si>
    <t>Teachers' experience with digital games in Czech primary schools</t>
  </si>
  <si>
    <t>Enhancing the learning process of folk dances using augmented reality and non-invasive brain stimulation</t>
  </si>
  <si>
    <t>A novel UML-based methodology for modeling adventure-based educational games</t>
  </si>
  <si>
    <t>Smart Reckoning: Reducing the traffic of online multiplayer games using machine learning for movement prediction</t>
  </si>
  <si>
    <t>On gamifying the transcription of digital video lectures</t>
  </si>
  <si>
    <t>Adaptive virtual reality horror games based on Machine learning and player modeling</t>
  </si>
  <si>
    <t>Human and machine collaboration for painting game assets with deep learning</t>
  </si>
  <si>
    <t>Detecting long-range cause-effect relationships in game provenance graphs with graph-based representation learning</t>
  </si>
  <si>
    <t>Generating background NPCs motion and grouping behavior based on real video sequences</t>
  </si>
  <si>
    <t>On exploiting transformers for detecting explicit song lyrics</t>
  </si>
  <si>
    <t>Identifying cybersickness causes in virtual reality games using symbolic machine learning algorithms</t>
  </si>
  <si>
    <t>Exergames in formal school teaching: A pre-post longitudinal field study on the effects of a dance game on motor learning, physical enjoyment, and learning motivation</t>
  </si>
  <si>
    <t>Gamification of Apollo lunar exploration missions for learning engagement</t>
  </si>
  <si>
    <t>Fun in Making: Understanding the experience of fun and learning through curriculum-based Making in the elementary school classroom</t>
  </si>
  <si>
    <t>Entertaining listening by means of the Stanza Logo-Motoria: an Interactive Multimodal Environment</t>
  </si>
  <si>
    <t>ACA game for individuals with Autism Spectrum Disorder</t>
  </si>
  <si>
    <t>I-Ulysses: A technical report</t>
  </si>
  <si>
    <t>Learning principles and interaction design for 'Green My Place': A massively multiplayer serious game</t>
  </si>
  <si>
    <t>Robot magic show as testbed for humanoid robot interaction</t>
  </si>
  <si>
    <t>A comparative analysis of tools for developing location based games</t>
  </si>
  <si>
    <t>Haptic forces and gamification on epidural anesthesia skill gain</t>
  </si>
  <si>
    <t>Understanding dance semantics using spatio-temporal features coupled GRU networks</t>
  </si>
  <si>
    <t>Researchers' commercial video game knowledge associated with differences in beliefs about the impact of gaming on human behavior</t>
  </si>
  <si>
    <t>Specification and evaluation of an assessment engine for educational games: Integrating learning analytics and providing an assessment authoring tool</t>
  </si>
  <si>
    <t>Proteingo: Motivation, user experience, and learning of molecular interactions in biological complexes</t>
  </si>
  <si>
    <t>Learning through interactive artifacts: Personal fabrication using electrochromic displays to remember Atari women programmers</t>
  </si>
  <si>
    <t>Training disaster communication by means of serious games in virtual environments</t>
  </si>
  <si>
    <t>Temporal multimodal data synchronisation for the analysis of a game driving task using EEG</t>
  </si>
  <si>
    <t>Exploring reinforcement learning approaches for drafting in collectible card games</t>
  </si>
  <si>
    <t>Measuring the level of difficulty in single player video games</t>
  </si>
  <si>
    <t>New methods of analysis of narrative and semantics in support of interactivity</t>
  </si>
  <si>
    <t>An interactive simulation-based game of a manufacturing process in heavy industry</t>
  </si>
  <si>
    <t>Game refinement theory: Paradigm shift from performance optimization to comfort in mind</t>
  </si>
  <si>
    <t>Videogame-based tool for learning in the motor, cognitive and socio-emotional domains for children with Intellectual Disability</t>
  </si>
  <si>
    <t>Human motion data editing based on a convolutional automatic encoder and manifold learning</t>
  </si>
  <si>
    <t>An interactive greeting system using convolutional neural networks for emotion recognition</t>
  </si>
  <si>
    <t>Playing first-person shooter games with machine learning techniques and methods using the VizDoom Game-AI research platform</t>
  </si>
  <si>
    <t>A VR-based the emergency rescue training system of railway accident</t>
  </si>
  <si>
    <t>Use of virtual reality technologies as an Action-Cue Exposure Therapy for truck drivers suffering from Post-Traumatic Stress Disorder</t>
  </si>
  <si>
    <t>Using a serious game to promote community-based awareness and prevention of neglected tropical diseases</t>
  </si>
  <si>
    <t>A comparative analysis of programming games, looking through the lens of an instructional design model and a game attributes taxonomy</t>
  </si>
  <si>
    <t>The role of psychology in understanding the impact of computer games</t>
  </si>
  <si>
    <t>The mediating effect of fantasy on engagement in an AR game for learning</t>
  </si>
  <si>
    <t>User experience in a kinect-based conducting system for visualization of musical structure</t>
  </si>
  <si>
    <t>Using gestural emotions recognised through a neural network as input for an adaptive music system in virtual reality</t>
  </si>
  <si>
    <t>A serious game to practice stretches and exercises for a correct and healthy posture</t>
  </si>
  <si>
    <t>Opponent modelling for case-based adaptive game AI</t>
  </si>
  <si>
    <t>The relationship among gameplay self-efficacy, competition anxiety, and the performance of eSports players</t>
  </si>
  <si>
    <t>A close look into the storytelling process: The procedural nature of interactive digital narratives as learning opportunity</t>
  </si>
  <si>
    <t>Reinforcement learning with optimized reward function for stealth applications</t>
  </si>
  <si>
    <t>Coping with COVID-19 pandemic stressors: Comparisons between non-players and players, and levels of Game Transfer Phenomena</t>
  </si>
  <si>
    <t>The key elements of gamification in corporate training - The Delphi method</t>
  </si>
  <si>
    <t>Slow serious games, interactions and play: Designing for positive and serious experience and reflection</t>
  </si>
  <si>
    <t>Stimulating children's engagement with an educational serious videogame using Lean UX co-design</t>
  </si>
  <si>
    <t>Entertainment, engagement, and education: Foundations and developments in digital and physical spaces to support learning through making</t>
  </si>
  <si>
    <t>Entertainment computing</t>
  </si>
  <si>
    <t>Who trains the trainers? Gamification of flight instructor learning in evidence-based training scenarios</t>
  </si>
  <si>
    <t>Playing educational math games at home: The Monkey Tales case</t>
  </si>
  <si>
    <t>A machine learning approach to predict the winner in StarCraft based on influence maps</t>
  </si>
  <si>
    <t>Interesante plataforma online, no gamificada creo</t>
  </si>
  <si>
    <t>gamificacion en deporte</t>
  </si>
  <si>
    <t>Computers &amp; Education</t>
  </si>
  <si>
    <t>To gamify or not to gamify? An experimental field study of the influence of badges on motivation, activity, and performance in an online learning course</t>
  </si>
  <si>
    <t>Examining competitive, collaborative and adaptive gamification in young learners' math learning</t>
  </si>
  <si>
    <t>Applying game mechanics and student-generated questions to an online puzzle-based game learning system to promote algorithmic thinking skills</t>
  </si>
  <si>
    <t>A web-based collaborative reading annotation system with gamification mechanisms to improve reading performance</t>
  </si>
  <si>
    <t>The impact of multimodal collaborative virtual environments on learning: A gamified online debate</t>
  </si>
  <si>
    <t>On the effectiveness of game-like and social approaches in learning: Comparing educational gaming, gamification &amp; social networking</t>
  </si>
  <si>
    <t>Digital badges in afterschool learning: Documenting the perspectives and experiences of students and educators</t>
  </si>
  <si>
    <t>Evaluating a tactile and a tangible multi-tablet gamified quiz system for collaborative learning in primary education</t>
  </si>
  <si>
    <t>Gamifying learning experiences: Practical implications and outcomes</t>
  </si>
  <si>
    <t>Gamification in higher education: The ECOn plus star battles</t>
  </si>
  <si>
    <t>Encouraging gameful experience in digital game-based learning: A double-mediation model of perceived instructional support, group engagement, and flow</t>
  </si>
  <si>
    <t>Digital badges affect need satisfaction but not frustration in males in higher education</t>
  </si>
  <si>
    <t>From top to bottom: How positions on different types of leaderboard may affect fully online student learning performance, intrinsic motivation, and course engagement</t>
  </si>
  <si>
    <t>The Co-Creative approach to digital simulation games in social science education</t>
  </si>
  <si>
    <t>The role of gamified e-quizzes on student learning and engagement: An interactive gamification solution for a formative assessment system</t>
  </si>
  <si>
    <t>Implementing a theory-driven gamification model in higher education flipped courses: Effects on out-of-class activity completion and quality of artifacts</t>
  </si>
  <si>
    <t>Engaging Asian students through game mechanics: Findings from two experiment studies</t>
  </si>
  <si>
    <t>Assessing the effects of gamification in the classroom: A longitudinal study on intrinsic motivation, social comparison, satisfaction, effort, and academic performance</t>
  </si>
  <si>
    <t>Enhancing EFL pre-service teachers? affordance noticing and utilizing with the Synthesis of Qualitative Evidence strategies: An exploratory study of a customizable virtual environment platform</t>
  </si>
  <si>
    <t>Employing intergroup competition in multitouch design-based learning to foster student engagement, learning achievement, and creativity</t>
  </si>
  <si>
    <t>Enhancing student learning experience with technology-mediated gamification: An empirical study</t>
  </si>
  <si>
    <t>Two decades of game concepts in digital learning environments - A bibliometric study and research agenda</t>
  </si>
  <si>
    <t>Individualising gamification: An investigation of the impact of learning styles and personality traits on the efficacy of gamification using a prediction market</t>
  </si>
  <si>
    <t>A multilevel analysis of the effects of external rewards on elementary students' motivation, engagement and learning in an educational game</t>
  </si>
  <si>
    <t>EmoFindAR: Evaluation of a mobile multiplayer augmented reality game for primary school children</t>
  </si>
  <si>
    <t>Leaderboards in a virtual classroom: A test of stereotype threat and social comparison explanations for women's math performance</t>
  </si>
  <si>
    <t>Students' learning performance and perceived motivation in gamified flipped-class instruction</t>
  </si>
  <si>
    <t>Teacher perceptions on the use of digital gamified learning in tourism education: The case of South African secondary schools</t>
  </si>
  <si>
    <t>Need-supporting gamification in education: An assessment of motivational effects over time</t>
  </si>
  <si>
    <t>Gamification in assessment: Do points affect test performance?</t>
  </si>
  <si>
    <t>The effect of using Kahoot! for learning - A literature review</t>
  </si>
  <si>
    <t>Leaderboards within educational videogames: The impact of difficulty, effort and gameplay</t>
  </si>
  <si>
    <t>An empirical study comparing gamification and social networking on e-learning</t>
  </si>
  <si>
    <t>Psychological effects of gamified didactics with exergames in Physical Education at primary schools: Results from a natural experiment</t>
  </si>
  <si>
    <t>Gamification in the classroom: Examining the impact of gamified quizzes on student learning</t>
  </si>
  <si>
    <t>Student acceptance of virtual laboratory and practical work: An extension of the technology acceptance model</t>
  </si>
  <si>
    <t>Does gender stereotype threat in gamified educational environments cause anxiety? An experimental study</t>
  </si>
  <si>
    <t>Can an online educational game contribute to developing information literate citizens?</t>
  </si>
  <si>
    <t>GAMESIT: A gamified system for information technology training</t>
  </si>
  <si>
    <t>Comparing success and engagement in gamified learning experiences via Kahoot and Quizizz</t>
  </si>
  <si>
    <t>N/A</t>
  </si>
  <si>
    <t>La aplicación esta disponible, no se aplico a ningun grupo en especifico</t>
  </si>
  <si>
    <t>Desarrollo de una app para entender mejor de ppe con el framework SERES</t>
  </si>
  <si>
    <t>Aplicación para fomentar deporte en pacientes de diabetes tipo II</t>
  </si>
  <si>
    <t>Aplicación para hacer un test médico más agradable</t>
  </si>
  <si>
    <t>Aplicación para enseñar como funciona emergencias</t>
  </si>
  <si>
    <t>Test antes y despues, encuesta</t>
  </si>
  <si>
    <t>Resultados positivos en conocimiento</t>
  </si>
  <si>
    <t>Aplicación para enseñar sobre virus bacterias y contagios</t>
  </si>
  <si>
    <t>Test antes y despues, y encuesta</t>
  </si>
  <si>
    <t>Incremeto significativo de conocimiento</t>
  </si>
  <si>
    <t>Aplicación vr y de movil para enseñar primeros auxilios</t>
  </si>
  <si>
    <t>Impacto positivo</t>
  </si>
  <si>
    <t>Pre test y postest</t>
  </si>
  <si>
    <t>Aplicación para educar sobre el vih</t>
  </si>
  <si>
    <t>Dicen que divertido y tal, disponible pero no probado en entorno controlado</t>
  </si>
  <si>
    <t>Juego para motivar el uso de proteccion</t>
  </si>
  <si>
    <t>Desarrollo de una app para educar respecto al covid con el framework SERES</t>
  </si>
  <si>
    <t>Juego para educación de nutrición de niños entre 8 y 10 años</t>
  </si>
  <si>
    <t>Pre test postest, cuestionarios a padres y participante</t>
  </si>
  <si>
    <t>Identificar mejor alimentos sanos e insanos</t>
  </si>
  <si>
    <t>Juego para la educación sexual</t>
  </si>
  <si>
    <t>Juego vr para el entrenamiento de emergencia</t>
  </si>
  <si>
    <t>Test de conocimeinto</t>
  </si>
  <si>
    <t>Sin incrementos significativos</t>
  </si>
  <si>
    <t>Refiere a la misma aplicación que el 26</t>
  </si>
  <si>
    <t>Enseñar historia de la medicina</t>
  </si>
  <si>
    <t>Sin mejoras significativas de rendimiento academico</t>
  </si>
  <si>
    <t>Gamificación como una herramienta más de la gamificación</t>
  </si>
  <si>
    <t>Test de conocimiento</t>
  </si>
  <si>
    <t>Minecraft educational edition</t>
  </si>
  <si>
    <t>Juego de coches para la coordinación</t>
  </si>
  <si>
    <t>Mejoras en todos los aspectos</t>
  </si>
  <si>
    <t>Test de conocimiento y cuestionario</t>
  </si>
  <si>
    <t>Muchos serious games y capturas y como evaluarlos</t>
  </si>
  <si>
    <t>Desarrollo de un framework para escaperooms educativas</t>
  </si>
  <si>
    <t>Reviews positivas</t>
  </si>
  <si>
    <t>Se usan dos juegos uno para evaluar y otro para enseñar mates</t>
  </si>
  <si>
    <r>
      <t xml:space="preserve">Test </t>
    </r>
    <r>
      <rPr>
        <sz val="11"/>
        <color rgb="FFFF0000"/>
        <rFont val="Calibri"/>
        <family val="2"/>
        <scheme val="minor"/>
      </rPr>
      <t>a traves de un juego</t>
    </r>
    <r>
      <rPr>
        <sz val="11"/>
        <rFont val="Calibri"/>
        <family val="2"/>
        <scheme val="minor"/>
      </rPr>
      <t>, cuestionario de flow experience</t>
    </r>
  </si>
  <si>
    <t>Resultados positvos</t>
  </si>
  <si>
    <t>Cuestionario dentro de la plataforma</t>
  </si>
  <si>
    <t>Plataforma gamificada con problemas programables por los docentes</t>
  </si>
  <si>
    <t>Resultados positivos de la prueba piloto</t>
  </si>
  <si>
    <t>Uso de wuzzit trouble</t>
  </si>
  <si>
    <t>Test de evaluación</t>
  </si>
  <si>
    <t>Resultados positivos</t>
  </si>
  <si>
    <t>Varios ejemplos de juegos matemáticos</t>
  </si>
  <si>
    <t>Programa minerva para enseñar programacion</t>
  </si>
  <si>
    <t>Entrevista y cuestionario</t>
  </si>
  <si>
    <t>Interesante la forma en que analiza el estudio</t>
  </si>
  <si>
    <t>CareMe para entrenameinto de enfermeras</t>
  </si>
  <si>
    <t>Encuestas</t>
  </si>
  <si>
    <t>App para educacion medioambiental por equipos</t>
  </si>
  <si>
    <t>Test, pre y post. Preguntas abiertas</t>
  </si>
  <si>
    <t>Juego tower defense para estudio de mate aticas</t>
  </si>
  <si>
    <t>Muchas ventanas de aprendizaje durante la experiencia</t>
  </si>
  <si>
    <t>CareMe para entrenameinto de enfermeras, ahora en vr</t>
  </si>
  <si>
    <t>Escape room para enseñar ciberseguridad</t>
  </si>
  <si>
    <t>Sin resultados significativos</t>
  </si>
  <si>
    <t>Motivador, sin impacto significativo en el aprendizaje</t>
  </si>
  <si>
    <t>InTouch, simulador de oficina</t>
  </si>
  <si>
    <t>Force and motion, para enseñar ciencias. Análisis de los profesores</t>
  </si>
  <si>
    <t>Evaluacion por parte del profesorado</t>
  </si>
  <si>
    <t>Opinion de alumnos ante distintos videogames</t>
  </si>
  <si>
    <t>PNPVillage juego de gestion de recursos. Enseñanzas de economia</t>
  </si>
  <si>
    <t>Once upon a math, juego para enseñar mates</t>
  </si>
  <si>
    <t>Examenes pre y post, entrevistas</t>
  </si>
  <si>
    <t>Resultados academicos positivos</t>
  </si>
  <si>
    <t>App para matematicas</t>
  </si>
  <si>
    <t>Enseñar a interrogar a policias, vr</t>
  </si>
  <si>
    <t>encuesta, test</t>
  </si>
  <si>
    <t>SG para ciberseguridad</t>
  </si>
  <si>
    <t>Se centran en la descripción del juego, no en su aplicación</t>
  </si>
  <si>
    <t>Simulador de vuelo para instrucción de lenguaje técnic o</t>
  </si>
  <si>
    <t>examen</t>
  </si>
  <si>
    <t>Diferencia notable en el resultado final</t>
  </si>
  <si>
    <t>Entrevistas, examenes</t>
  </si>
  <si>
    <t>Aplicación para merjorar el ingles</t>
  </si>
  <si>
    <t>Percepción positiva or parte de los estudiantes, creen que les sirvio para mejorar un 70%</t>
  </si>
  <si>
    <t>Aplicación para aprender hackeo etico</t>
  </si>
  <si>
    <t>encuesta</t>
  </si>
  <si>
    <t>Resutados satisfactorios para esta actividad concreta</t>
  </si>
  <si>
    <t>Aplicación para enseñar los principios del mercado</t>
  </si>
  <si>
    <t>Fue interesante y aprendieron algo</t>
  </si>
  <si>
    <t>aplicación de realidad aumentada Parallel, tipo scape room, enseñanzas de física</t>
  </si>
  <si>
    <t>Encuesta y analisis de gameplay (entrevista)</t>
  </si>
  <si>
    <t>Ayudo a la comprension de la materia</t>
  </si>
  <si>
    <t xml:space="preserve">Juego serio colaborativo </t>
  </si>
  <si>
    <t>Pre and postest</t>
  </si>
  <si>
    <t>sin diferencias notables</t>
  </si>
  <si>
    <t>Analisis de el sistema de badges en un entorno gbl de programación</t>
  </si>
  <si>
    <t>Cita de importacia del sistema de badges</t>
  </si>
  <si>
    <t>Aumenta la motivación de los estudiantes</t>
  </si>
  <si>
    <t>Motivador e interesante para los alumnos</t>
  </si>
  <si>
    <t>SG + simulación</t>
  </si>
  <si>
    <t>Niveau 1 sutie de entrenamiento medico</t>
  </si>
  <si>
    <t>Gran impacto positivo en motivación y resultados académicos</t>
  </si>
  <si>
    <t>Wiki web gamificada</t>
  </si>
  <si>
    <t>Test y cuestionario</t>
  </si>
  <si>
    <t>Los leaderbords aumentan el time-on-task del estudiante</t>
  </si>
  <si>
    <t>Análisis del gameplay</t>
  </si>
  <si>
    <t>Varias aps para la educaciónde pacientes de diabetes</t>
  </si>
  <si>
    <t>Gustó a los participantes y hubo una mejora en su conocimiento</t>
  </si>
  <si>
    <t>Eduacación en resurrección cardio pulmonar con gafas de vr</t>
  </si>
  <si>
    <t>Test</t>
  </si>
  <si>
    <t>No alcanza actualmente a sustituir el moñeco, pero quizas en un futuro si</t>
  </si>
  <si>
    <t>Kahoot en enseñanzas de biología</t>
  </si>
  <si>
    <t>Mejora la atencion de los alumnos</t>
  </si>
  <si>
    <t>Modulos gamificados en un curso</t>
  </si>
  <si>
    <t>Encuestas de actitud</t>
  </si>
  <si>
    <t>Ha mostrado claros beneficios</t>
  </si>
  <si>
    <t>Plataforma gamificada aplicada en clases de francés Projet Voltaire</t>
  </si>
  <si>
    <t>Cuestionarios</t>
  </si>
  <si>
    <t>Muy bien analizada la aplicación</t>
  </si>
  <si>
    <t>Un juego adaptado mejora la motivación de los estudiantes</t>
  </si>
  <si>
    <t>Office madness para enseñar programación</t>
  </si>
  <si>
    <t>Chem Dungeon para enseñanzas de quimica</t>
  </si>
  <si>
    <t>Simulador de vuelo para instrucción</t>
  </si>
  <si>
    <t>Plataforma gamificada estilo juego de rol</t>
  </si>
  <si>
    <t>Cuestionario previo para clasificarlos como jugador</t>
  </si>
  <si>
    <t>Entrevistas, encuestas,</t>
  </si>
  <si>
    <t>Gustó a los alumnos</t>
  </si>
  <si>
    <t>Varios ejemplos de aplicaciones siguiendo un método</t>
  </si>
  <si>
    <t>Gamificación de educacion física con luces y audio</t>
  </si>
  <si>
    <t>Monkey Tales para jugar en casa, matemático</t>
  </si>
  <si>
    <t>Entrevista, en forma de cuaderno de notas</t>
  </si>
  <si>
    <t>Estudio a largo plazo (6 meses)</t>
  </si>
  <si>
    <t>Consiguieron darle la vuelta al sistema</t>
  </si>
  <si>
    <t>JustDance 2017 para desarrollo de cooperacion, coordinacion, etc</t>
  </si>
  <si>
    <t>Pre, postext, entrevista</t>
  </si>
  <si>
    <t>Gustó pero no hubo un gran salto en el conocimiento sobre baile (solo 4 semanas)</t>
  </si>
  <si>
    <t>Gamificación de la mision del apollo para objetivos educativos</t>
  </si>
  <si>
    <t>Cuestionario,</t>
  </si>
  <si>
    <t>Se disfruto de la experiencia y aprendieron sobre el tema</t>
  </si>
  <si>
    <t>Juego para educación de niños en el espectro autista</t>
  </si>
  <si>
    <t>Pre test, post test</t>
  </si>
  <si>
    <t>Todos los participantes ganaron en vocabulario</t>
  </si>
  <si>
    <t>Green my place un mmo sobre ecología y ahorrar energía</t>
  </si>
  <si>
    <t xml:space="preserve">Lanzado pero no aplicado </t>
  </si>
  <si>
    <t>Proteingo, aprendizaje de interacciones moleculares</t>
  </si>
  <si>
    <t>Cuestionario, test</t>
  </si>
  <si>
    <t>Gusto en general y a la gente le sirvio para aprender</t>
  </si>
  <si>
    <t>Programa para aprender programación</t>
  </si>
  <si>
    <t>un math widget para aprender matemáticas</t>
  </si>
  <si>
    <t>La gamificación dio resultados positivos</t>
  </si>
  <si>
    <t>Logs del juego</t>
  </si>
  <si>
    <t>Juego de puzles dinamico para el pensamiento lógico</t>
  </si>
  <si>
    <t>Quizbot, un sistema de quiz colaborativo</t>
  </si>
  <si>
    <t>Disfrutaron de la experiencia</t>
  </si>
  <si>
    <t>Gamificación en bachillerato-universidad, framework</t>
  </si>
  <si>
    <t>cuestionarios</t>
  </si>
  <si>
    <t>Ensayo de introducir insignias a una plataforma educativa</t>
  </si>
  <si>
    <t>Diferencias despreciables entre grupo de control y gamificado</t>
  </si>
  <si>
    <t>Excel con clasificacion de la gente con medallas y puntos</t>
  </si>
  <si>
    <t>Seguimiento de los alumnos por cuestionarios</t>
  </si>
  <si>
    <t>Entorno virtual gamificado</t>
  </si>
  <si>
    <t>Hubo una caída de la motivacion a la largo del tiempo ncon respecto al grupo de control</t>
  </si>
  <si>
    <t>Entrevistas y cuestionarios</t>
  </si>
  <si>
    <t>Gustó a alumnos y profesores</t>
  </si>
  <si>
    <t>Multitouch platform para trabajo colaborativo de geometría</t>
  </si>
  <si>
    <t>Pretest and postest</t>
  </si>
  <si>
    <t>Gamificación de un curso</t>
  </si>
  <si>
    <t>Mejoras ligeras solo para ciertos estudiantes</t>
  </si>
  <si>
    <t>Juego de realidad virtual para primaria, multijugador</t>
  </si>
  <si>
    <t>Impacto positivo, sobre todo en la version colaborativa</t>
  </si>
  <si>
    <t>test</t>
  </si>
  <si>
    <t>Plataforma gamificada, vs control, vs redes sociales</t>
  </si>
  <si>
    <t>Ganaron los del grupo de control en el examen fina escrito</t>
  </si>
  <si>
    <t>Usar just dance para clases de baile</t>
  </si>
  <si>
    <t>Usa el metodo anova test</t>
  </si>
  <si>
    <t>Cambios en motivacion para bien</t>
  </si>
  <si>
    <t>Analisis de los participantes</t>
  </si>
  <si>
    <t>Quizes gamificados</t>
  </si>
  <si>
    <t>Examenes</t>
  </si>
  <si>
    <t>A mas quizes mejor resultado en los examenes</t>
  </si>
  <si>
    <t xml:space="preserve">App para enseñar sobre la veracidad de la información </t>
  </si>
  <si>
    <t>El juego cumple su objetivo</t>
  </si>
  <si>
    <t>GAMESIT para entrenamiento sobre tecnologías de la información</t>
  </si>
  <si>
    <t>Cuestionario y test, pre y post</t>
  </si>
  <si>
    <t>General sobre la investigación</t>
  </si>
  <si>
    <t>Resultados generales de las experiencias</t>
  </si>
  <si>
    <t>Positivo</t>
  </si>
  <si>
    <t>Negativo</t>
  </si>
  <si>
    <t>Neutro</t>
  </si>
  <si>
    <t>TOTAL</t>
  </si>
  <si>
    <t>PORCENTUAL</t>
  </si>
  <si>
    <t>No descrito</t>
  </si>
  <si>
    <t>Número de artículos</t>
  </si>
  <si>
    <t>Número de experiencias</t>
  </si>
  <si>
    <t>PORCENTAJE</t>
  </si>
  <si>
    <t>Técnicas de gamificación empleadas</t>
  </si>
  <si>
    <t>Juegos Interactivos</t>
  </si>
  <si>
    <t>Correlación entre resultados de la gamificación y técnicas usadas</t>
  </si>
  <si>
    <t>CASOS TOTALES</t>
  </si>
  <si>
    <t>PORCENTUALES</t>
  </si>
  <si>
    <t>Sistemas de validación</t>
  </si>
  <si>
    <t>Veces usado</t>
  </si>
  <si>
    <t>% de estudios</t>
  </si>
  <si>
    <t>ANALISIS INDIVIDUAL</t>
  </si>
  <si>
    <t>ANALISIS COLABORATIVO</t>
  </si>
  <si>
    <t>Calidad de las fuentes</t>
  </si>
  <si>
    <t>Índice de impacto</t>
  </si>
  <si>
    <t>Media</t>
  </si>
  <si>
    <t>Max</t>
  </si>
  <si>
    <t>Min</t>
  </si>
  <si>
    <t>TOTALES</t>
  </si>
  <si>
    <t>Cita APA</t>
  </si>
  <si>
    <r>
      <t>Suppan, M., Gartner, B., Golay, E., Stuby, L., White, M., Cottet, P., ... &amp; Suppan, L. (2020). Teaching adequate prehospital use of personal protective equipment during the COVID-19 pandemic: development of a gamified e-learning module.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e20173.</t>
    </r>
  </si>
  <si>
    <r>
      <t>Chon, S. H., Timmermann, F., Dratsch, T., Schuelper, N., Plum, P., Berlth, F., ... &amp; Kleinert, R. (2019). Serious games in surgical medical education: a virtual emergency department as a tool for teaching clinical reasoning to medical students.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e13028.</t>
    </r>
  </si>
  <si>
    <r>
      <t>Eley, C. V., Young, V. L., Hayes, C. V., Verlander, N. Q., &amp; McNulty, C. A. M. (2019). Young people’s knowledge of antibiotics and vaccinations and increasing this knowledge through gaming: mixed-methods study using e-Bug.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(1), e10915.</t>
    </r>
  </si>
  <si>
    <r>
      <t>Ruiz-López, T., Sen, S., Jakobsen, E., Tropé, A., Castle, P. E., Hansen, B. T., &amp; Nygård, M. (2019). FightHPV: design and evaluation of a mobile game to raise awareness about human papillomavirus and nudge people to take action against cervical cancer.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(2), e8540.</t>
    </r>
  </si>
  <si>
    <r>
      <t>Suppan, M., Catho, G., Nunes, T. R., Sauvan, V., Perez, M., Graf, C., ... &amp; Suppan, L. (2020). A serious game designed to promote safe behaviors among health care workers during the COVID-19 pandemic: Development of “Escape COVID-19”.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(4), e24986.</t>
    </r>
  </si>
  <si>
    <r>
      <t>Espinosa-Curiel, I. E., Pozas-Bogarin, E. E., Lozano-Salas, J. L., Martínez-Miranda, J., Delgado-Pérez, E. E., &amp; Estrada-Zamarron, L. S. (2020). Nutritional education and promotion of healthy eating behaviors among Mexican children through video games: design and pilot test of FoodRateMaster.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e16431.</t>
    </r>
  </si>
  <si>
    <r>
      <t>Patchen, L., Ellis, L., Ma, T. X., Ott, C., Chang, K. H., Araya, B., ... &amp; Lanzi, R. G. (2020). Engaging African American youth in the development of a serious mobile game for sexual health education: mixed methods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(1), e16254.</t>
    </r>
  </si>
  <si>
    <r>
      <t>Lerner, D., Mohr, S., Schild, J., Göring, M., &amp; Luiz, T. (2020). An immersive multi-user virtual reality for emergency simulation training: usability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(3), e18822.</t>
    </r>
  </si>
  <si>
    <r>
      <t>Alyami, H., Alawami, M., Lyndon, M., Alyami, M., Coomarasamy, C., Henning, M., ... &amp; Sundram, F. (2019). Impact of using a 3D visual metaphor serious game to teach history-taking content to medical students: Longitudinal mixed methods pilot study. </t>
    </r>
    <r>
      <rPr>
        <i/>
        <sz val="10"/>
        <color rgb="FF222222"/>
        <rFont val="Arial"/>
        <family val="2"/>
      </rPr>
      <t>JMIR serious games</t>
    </r>
    <r>
      <rPr>
        <sz val="10"/>
        <color rgb="FF222222"/>
        <rFont val="Arial"/>
        <family val="2"/>
      </rPr>
      <t>, </t>
    </r>
    <r>
      <rPr>
        <i/>
        <sz val="10"/>
        <color rgb="FF222222"/>
        <rFont val="Arial"/>
        <family val="2"/>
      </rPr>
      <t>7</t>
    </r>
    <r>
      <rPr>
        <sz val="10"/>
        <color rgb="FF222222"/>
        <rFont val="Arial"/>
        <family val="2"/>
      </rPr>
      <t>(3), e13748.</t>
    </r>
  </si>
  <si>
    <r>
      <t>Flogie, A., Aberšek, B., Kordigel Aberšek, M., Sik Lanyi, C., &amp; Pesek, I. (2020). Development and evaluation of intelligent serious games for children with learning difficulties: observational study. </t>
    </r>
    <r>
      <rPr>
        <i/>
        <sz val="10"/>
        <color rgb="FF222222"/>
        <rFont val="Arial"/>
        <family val="2"/>
      </rPr>
      <t>JMIR Serious Games</t>
    </r>
    <r>
      <rPr>
        <sz val="10"/>
        <color rgb="FF222222"/>
        <rFont val="Arial"/>
        <family val="2"/>
      </rPr>
      <t>, </t>
    </r>
    <r>
      <rPr>
        <i/>
        <sz val="10"/>
        <color rgb="FF222222"/>
        <rFont val="Arial"/>
        <family val="2"/>
      </rPr>
      <t>8</t>
    </r>
    <r>
      <rPr>
        <sz val="10"/>
        <color rgb="FF222222"/>
        <rFont val="Arial"/>
        <family val="2"/>
      </rPr>
      <t>(2), e13190.</t>
    </r>
  </si>
  <si>
    <r>
      <t>Clarke, S. J., Peel, D. J., Arnab, S., Morini, L., Keegan, H., &amp; Wood, O. (2017). EscapED: A Framework for Creating Educational Escape Rooms and Interactive Games to For Higher/Further Education.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(3). https://doi.org/10.17083/ijsg.v4i3.180</t>
    </r>
  </si>
  <si>
    <r>
      <t>Kiili, K. J. M., Devlin, K., Perttula, A., Tuomi, P., &amp; Lindstedt, A. (2015). Using video games to combine learning and assessment in mathematics education.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https://doi.org/10.17083/ijsg.v2i4.98</t>
    </r>
  </si>
  <si>
    <r>
      <t>Dicheva, D., Irwin, K., &amp; Dichev, C. (2018). OneUp: Supporting Practical and Experimental Gamification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(3), 5–21. https://doi.org/10.17083/ijsg.v5i3.236</t>
    </r>
  </si>
  <si>
    <r>
      <t>Pope, H., &amp; Mangram, C. (2015). Wuzzit Trouble: The Influence of a Digital Math Game on Student Number Sense.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https://doi.org/10.17083/ijsg.v2i4.88</t>
    </r>
  </si>
  <si>
    <r>
      <t>Lindberg, R. S. N., &amp; Laine, T. H. (2018). Formative evaluation of an adaptive game for engaging learners of programming concepts in K-12.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(2), 3–24. https://doi.org/10.17083/ijsg.v5i2.220</t>
    </r>
  </si>
  <si>
    <r>
      <t>Koivisto, J.-M., Haavisto, E., Niemi, H., Katajisto, J., &amp; Multisilta, J. (2016). Elements Explaining Learning Clinical Reasoning Using Simulation Games.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(4). https://doi.org/10.17083/ijsg.v3i4.136</t>
    </r>
  </si>
  <si>
    <r>
      <t>Cowley, B. U., &amp; Bateman, C. (2017). Green My Place: Evaluation of a Serious Social Online Game Designed to Promote Energy Efficient Behaviour Change. </t>
    </r>
    <r>
      <rPr>
        <i/>
        <sz val="8"/>
        <color theme="1"/>
        <rFont val="Noto Sans"/>
        <family val="2"/>
      </rPr>
      <t>International Journal of Serious Games</t>
    </r>
    <r>
      <rPr>
        <sz val="8"/>
        <color theme="1"/>
        <rFont val="Noto Sans"/>
        <family val="2"/>
      </rPr>
      <t>, </t>
    </r>
    <r>
      <rPr>
        <i/>
        <sz val="8"/>
        <color theme="1"/>
        <rFont val="Noto Sans"/>
        <family val="2"/>
      </rPr>
      <t>4</t>
    </r>
    <r>
      <rPr>
        <sz val="8"/>
        <color theme="1"/>
        <rFont val="Noto Sans"/>
        <family val="2"/>
      </rPr>
      <t>(4). https://doi.org/10.17083/ijsg.v4i4.152</t>
    </r>
  </si>
  <si>
    <r>
      <t>Hernàndez-Sabaté, A., Joanpere, M., Gorgorió, N., &amp; Albarracín, L. (2015). Mathematics learning opportunities when playing a Tower Defense Game.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(4). https://doi.org/10.17083/ijsg.v2i4.82</t>
    </r>
  </si>
  <si>
    <r>
      <t>Salovaara-Hiltunen, M., Heikkinen, K., &amp; Koivisto, J.-M. (2019). User experience and learning experience in a 4D virtual reality simulation game. </t>
    </r>
    <r>
      <rPr>
        <i/>
        <sz val="8"/>
        <color theme="1"/>
        <rFont val="Noto Sans"/>
        <family val="2"/>
      </rPr>
      <t>International Journal of Serious Games</t>
    </r>
    <r>
      <rPr>
        <sz val="8"/>
        <color theme="1"/>
        <rFont val="Noto Sans"/>
        <family val="2"/>
      </rPr>
      <t>, </t>
    </r>
    <r>
      <rPr>
        <i/>
        <sz val="8"/>
        <color theme="1"/>
        <rFont val="Noto Sans"/>
        <family val="2"/>
      </rPr>
      <t>6</t>
    </r>
    <r>
      <rPr>
        <sz val="8"/>
        <color theme="1"/>
        <rFont val="Noto Sans"/>
        <family val="2"/>
      </rPr>
      <t>(4), 49–66. https://doi.org/10.17083/ijsg.v6i4.305</t>
    </r>
  </si>
  <si>
    <r>
      <t>Löffler, E., Schneider, B., Zanwar, T., &amp; Asprion, P. M. (2021). CySecEscape 2.0—A Virtual Escape Room To Raise Cybersecurity Awareness.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(1), 59–70. https://doi.org/10.17083/ijsg.v8i1.413</t>
    </r>
  </si>
  <si>
    <r>
      <t>Imbellone, A., Botte, B., &amp; Medaglia, C. M. (2015). Serious Games for Mobile Devices: the InTouch Project Case Study.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(1). https://doi.org/10.17083/ijsg.v2i1.41</t>
    </r>
  </si>
  <si>
    <r>
      <t>Gentile, M., La Guardia, D., Dal Grande, V., Ottaviano, S., &amp; Allegra, M. (2014). An Agent Based approach to design Serious Game.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(2). https://doi.org/10.17083/ijsg.v1i2.17</t>
    </r>
  </si>
  <si>
    <r>
      <t>Rocha, M., &amp; Dondio, P. (2021). Effects of a videogame in math performance and anxiety in primary school.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45–70. https://doi.org/10.17083/ijsg.v8i3.434</t>
    </r>
  </si>
  <si>
    <r>
      <t>Okkonen, J., Sharma, S., Raisamo, R., &amp; Turunen, M. (2016). Kinesthetic Elementary Mathematics - Creating Flow with Gesture Modality. </t>
    </r>
    <r>
      <rPr>
        <i/>
        <sz val="8"/>
        <color theme="1"/>
        <rFont val="Noto Sans"/>
        <family val="2"/>
      </rPr>
      <t>International Journal of Serious Games</t>
    </r>
    <r>
      <rPr>
        <sz val="8"/>
        <color theme="1"/>
        <rFont val="Noto Sans"/>
        <family val="2"/>
      </rPr>
      <t>, </t>
    </r>
    <r>
      <rPr>
        <i/>
        <sz val="8"/>
        <color theme="1"/>
        <rFont val="Noto Sans"/>
        <family val="2"/>
      </rPr>
      <t>3</t>
    </r>
    <r>
      <rPr>
        <sz val="8"/>
        <color theme="1"/>
        <rFont val="Noto Sans"/>
        <family val="2"/>
      </rPr>
      <t>(2). https://doi.org/10.17083/ijsg.v3i2.80</t>
    </r>
  </si>
  <si>
    <r>
      <t>Guimarães, M., Prada, R., Santos, P. A., Dias, J., Soeiro, C. ., Guerra, R., Steiner-Stanitznig, C. ., &amp; Molinari, A. (2022). ISPO: A Serious Game to train the Interview Skills of Police Officers: ISPO: A Serious Game to train the Interview Skills of Police Officers.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(4), 43–61. https://doi.org/10.17083/ijsg.v9i4.514</t>
    </r>
  </si>
  <si>
    <r>
      <t>Devottam Gaurav, Yash Kaushik, Santhoshi Supraja, Manav Yadav, M P Gupta, &amp; Manmohan Chaturvedi. (2022). Empirical Study of Adaptive Serious Games in Enhancing Learning Outcome. </t>
    </r>
    <r>
      <rPr>
        <i/>
        <sz val="8"/>
        <color theme="1"/>
        <rFont val="Noto Sans"/>
        <family val="2"/>
      </rPr>
      <t>International Journal of Serious Games</t>
    </r>
    <r>
      <rPr>
        <sz val="8"/>
        <color theme="1"/>
        <rFont val="Noto Sans"/>
        <family val="2"/>
      </rPr>
      <t>, </t>
    </r>
    <r>
      <rPr>
        <i/>
        <sz val="8"/>
        <color theme="1"/>
        <rFont val="Noto Sans"/>
        <family val="2"/>
      </rPr>
      <t>9</t>
    </r>
    <r>
      <rPr>
        <sz val="8"/>
        <color theme="1"/>
        <rFont val="Noto Sans"/>
        <family val="2"/>
      </rPr>
      <t>(2), 27–42. https://doi.org/10.17083/ijsg.v9i2.486</t>
    </r>
  </si>
  <si>
    <r>
      <t>Dinçer, N., &amp; Dinçer, R. (2021). The effect of a serious game on aviation vocabulary acquisition .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49–63. https://doi.org/10.17083/ijsg.v8i4.464</t>
    </r>
  </si>
  <si>
    <r>
      <t>Aguilar Cruz, P. J., &amp; Álvarez Guayara , H. A. . (2021). A Serious Game to learn English: The case of Bethe1Challenge.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(4), 65–80. https://doi.org/10.17083/ijsg.v8i4.448 (Original work published December 1, 2021)</t>
    </r>
  </si>
  <si>
    <r>
      <t>Katsantonis, M., &amp; Mavridis, I. (2021). Evaluation of HackLearn COFELET Game User Experience for Cybersecurity Education. </t>
    </r>
    <r>
      <rPr>
        <i/>
        <sz val="8"/>
        <color theme="1"/>
        <rFont val="Noto Sans"/>
        <family val="2"/>
      </rPr>
      <t>International Journal of Serious Games</t>
    </r>
    <r>
      <rPr>
        <sz val="8"/>
        <color theme="1"/>
        <rFont val="Noto Sans"/>
        <family val="2"/>
      </rPr>
      <t>, </t>
    </r>
    <r>
      <rPr>
        <i/>
        <sz val="8"/>
        <color theme="1"/>
        <rFont val="Noto Sans"/>
        <family val="2"/>
      </rPr>
      <t>8</t>
    </r>
    <r>
      <rPr>
        <sz val="8"/>
        <color theme="1"/>
        <rFont val="Noto Sans"/>
        <family val="2"/>
      </rPr>
      <t>(3), 3–24. https://doi.org/10.17083/ijsg.v8i3.437</t>
    </r>
  </si>
  <si>
    <r>
      <t>Boyd, S. (2018). Playing to Investigate the Relationship Between Achievement and the Perception of learning. </t>
    </r>
    <r>
      <rPr>
        <i/>
        <sz val="8"/>
        <color theme="1"/>
        <rFont val="Noto Sans"/>
        <family val="2"/>
      </rPr>
      <t>International Journal of Serious Games</t>
    </r>
    <r>
      <rPr>
        <sz val="8"/>
        <color theme="1"/>
        <rFont val="Noto Sans"/>
        <family val="2"/>
      </rPr>
      <t>, </t>
    </r>
    <r>
      <rPr>
        <i/>
        <sz val="8"/>
        <color theme="1"/>
        <rFont val="Noto Sans"/>
        <family val="2"/>
      </rPr>
      <t>5</t>
    </r>
    <r>
      <rPr>
        <sz val="8"/>
        <color theme="1"/>
        <rFont val="Noto Sans"/>
        <family val="2"/>
      </rPr>
      <t>(1). https://doi.org/10.17083/ijsg.v5i1.214</t>
    </r>
  </si>
  <si>
    <r>
      <t>Barma, S., Daniel, S., Bacon, N., Gingras, M.-A., &amp; Fortin, M. (2015). Observation and analysis of a classroom teaching and learning practice based on augmented reality and serious games on mobile platforms. </t>
    </r>
    <r>
      <rPr>
        <i/>
        <sz val="8"/>
        <color theme="1"/>
        <rFont val="Noto Sans"/>
        <family val="2"/>
      </rPr>
      <t>International Journal of Serious Games</t>
    </r>
    <r>
      <rPr>
        <sz val="8"/>
        <color theme="1"/>
        <rFont val="Noto Sans"/>
        <family val="2"/>
      </rPr>
      <t>, </t>
    </r>
    <r>
      <rPr>
        <i/>
        <sz val="8"/>
        <color theme="1"/>
        <rFont val="Noto Sans"/>
        <family val="2"/>
      </rPr>
      <t>2</t>
    </r>
    <r>
      <rPr>
        <sz val="8"/>
        <color theme="1"/>
        <rFont val="Noto Sans"/>
        <family val="2"/>
      </rPr>
      <t>(2). https://doi.org/10.17083/ijsg.v2i2.66</t>
    </r>
  </si>
  <si>
    <r>
      <t>Usart, M., &amp; Romero, M. (2014). Individual and collaborative Performance and Level of Certainty in MetaVals. </t>
    </r>
    <r>
      <rPr>
        <i/>
        <sz val="8"/>
        <color theme="1"/>
        <rFont val="Noto Sans"/>
        <family val="2"/>
      </rPr>
      <t>International Journal of Serious Games</t>
    </r>
    <r>
      <rPr>
        <sz val="8"/>
        <color theme="1"/>
        <rFont val="Noto Sans"/>
        <family val="2"/>
      </rPr>
      <t>, </t>
    </r>
    <r>
      <rPr>
        <i/>
        <sz val="8"/>
        <color theme="1"/>
        <rFont val="Noto Sans"/>
        <family val="2"/>
      </rPr>
      <t>1</t>
    </r>
    <r>
      <rPr>
        <sz val="8"/>
        <color theme="1"/>
        <rFont val="Noto Sans"/>
        <family val="2"/>
      </rPr>
      <t>(1). https://doi.org/10.17083/ijsg.v1i1.3</t>
    </r>
  </si>
  <si>
    <r>
      <t>Imlig-Iten, N., &amp; Petko, D. (2018). Comparing serious games and educational simulations: Effects on enjoyment, deep thinking, interest and cognitive learning gains. </t>
    </r>
    <r>
      <rPr>
        <i/>
        <sz val="10"/>
        <color rgb="FF222222"/>
        <rFont val="Arial"/>
        <family val="2"/>
      </rPr>
      <t>Simulation &amp; Gaming</t>
    </r>
    <r>
      <rPr>
        <sz val="10"/>
        <color rgb="FF222222"/>
        <rFont val="Arial"/>
        <family val="2"/>
      </rPr>
      <t>, </t>
    </r>
    <r>
      <rPr>
        <i/>
        <sz val="10"/>
        <color rgb="FF222222"/>
        <rFont val="Arial"/>
        <family val="2"/>
      </rPr>
      <t>49</t>
    </r>
    <r>
      <rPr>
        <sz val="10"/>
        <color rgb="FF222222"/>
        <rFont val="Arial"/>
        <family val="2"/>
      </rPr>
      <t>(4), 401-422.</t>
    </r>
  </si>
  <si>
    <r>
      <t>Facey-Shaw, L., Specht, M., van Rosmalen, P., &amp; Bartley-Bryan, J. (2020). Do badges affect intrinsic motivation in introductory programming students?. </t>
    </r>
    <r>
      <rPr>
        <i/>
        <sz val="10"/>
        <color rgb="FF222222"/>
        <rFont val="Arial"/>
        <family val="2"/>
      </rPr>
      <t>Simulation &amp; Gaming</t>
    </r>
    <r>
      <rPr>
        <sz val="10"/>
        <color rgb="FF222222"/>
        <rFont val="Arial"/>
        <family val="2"/>
      </rPr>
      <t>, </t>
    </r>
    <r>
      <rPr>
        <i/>
        <sz val="10"/>
        <color rgb="FF222222"/>
        <rFont val="Arial"/>
        <family val="2"/>
      </rPr>
      <t>51</t>
    </r>
    <r>
      <rPr>
        <sz val="10"/>
        <color rgb="FF222222"/>
        <rFont val="Arial"/>
        <family val="2"/>
      </rPr>
      <t>(1), 33-54.</t>
    </r>
  </si>
  <si>
    <r>
      <t>Zairi, I., Ben Dhiab, M., Mzoughi, K., &amp; Ben Mrad, I. (2022). The Effect of Serious Games on Medical Students’ Motivation, Flow and Learning.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(6), 581-601.</t>
    </r>
  </si>
  <si>
    <r>
      <t>Landers, R. N., &amp; Landers, A. K. (2014). An empirical test of the theory of gamified learning: The effect of leaderboards on time-on-task and academic performance. </t>
    </r>
    <r>
      <rPr>
        <i/>
        <sz val="10"/>
        <color rgb="FF222222"/>
        <rFont val="Arial"/>
        <family val="2"/>
      </rPr>
      <t>Simulation &amp; Gaming</t>
    </r>
    <r>
      <rPr>
        <sz val="10"/>
        <color rgb="FF222222"/>
        <rFont val="Arial"/>
        <family val="2"/>
      </rPr>
      <t>, </t>
    </r>
    <r>
      <rPr>
        <i/>
        <sz val="10"/>
        <color rgb="FF222222"/>
        <rFont val="Arial"/>
        <family val="2"/>
      </rPr>
      <t>45</t>
    </r>
    <r>
      <rPr>
        <sz val="10"/>
        <color rgb="FF222222"/>
        <rFont val="Arial"/>
        <family val="2"/>
      </rPr>
      <t>(6), 769-785.</t>
    </r>
  </si>
  <si>
    <r>
      <t>Ling, C., Seetharaman, S., &amp; Mirza, L. (2022). Roles of Serious Game in Diabetes Patient Education. </t>
    </r>
    <r>
      <rPr>
        <i/>
        <sz val="10"/>
        <color rgb="FF222222"/>
        <rFont val="Arial"/>
        <family val="2"/>
      </rPr>
      <t>Simulation &amp; Gaming</t>
    </r>
    <r>
      <rPr>
        <sz val="10"/>
        <color rgb="FF222222"/>
        <rFont val="Arial"/>
        <family val="2"/>
      </rPr>
      <t>, </t>
    </r>
    <r>
      <rPr>
        <i/>
        <sz val="10"/>
        <color rgb="FF222222"/>
        <rFont val="Arial"/>
        <family val="2"/>
      </rPr>
      <t>53</t>
    </r>
    <r>
      <rPr>
        <sz val="10"/>
        <color rgb="FF222222"/>
        <rFont val="Arial"/>
        <family val="2"/>
      </rPr>
      <t>(5), 513-537.</t>
    </r>
  </si>
  <si>
    <r>
      <t>Almousa, O., Prates, J., Yeslam, N., Mac Gregor, D., Zhang, J., Phan, V., ... &amp; Qayumi, K. (2019). Virtual reality simulation technology for cardiopulmonary resuscitation training: An innovative hybrid system with haptic feedback.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(1), 6-22.</t>
    </r>
  </si>
  <si>
    <r>
      <t>Jones, S. M., Katyal, P., Xie, X., Nicolas, M. P., Leung, E. M., Noland, D. M., &amp; Montclare, J. K. (2019). A ‘KAHOOT!’approach: the effectiveness of game-based learning for an advanced placement biology class. </t>
    </r>
    <r>
      <rPr>
        <i/>
        <sz val="10"/>
        <color rgb="FF222222"/>
        <rFont val="Arial"/>
        <family val="2"/>
      </rPr>
      <t>Simulation &amp; Gaming</t>
    </r>
    <r>
      <rPr>
        <sz val="10"/>
        <color rgb="FF222222"/>
        <rFont val="Arial"/>
        <family val="2"/>
      </rPr>
      <t>, </t>
    </r>
    <r>
      <rPr>
        <i/>
        <sz val="10"/>
        <color rgb="FF222222"/>
        <rFont val="Arial"/>
        <family val="2"/>
      </rPr>
      <t>50</t>
    </r>
    <r>
      <rPr>
        <sz val="10"/>
        <color rgb="FF222222"/>
        <rFont val="Arial"/>
        <family val="2"/>
      </rPr>
      <t>(6), 832-847.</t>
    </r>
  </si>
  <si>
    <r>
      <t>Smith, T. (2017). Gamified modules for an introductory statistics course and their impact on attitudes and learning.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(6), 832-854.</t>
    </r>
  </si>
  <si>
    <r>
      <t>Monterrat, B., Lavoué, É., &amp; George, S. (2017). Adaptation of gaming features for motivating learners. </t>
    </r>
    <r>
      <rPr>
        <i/>
        <sz val="10"/>
        <color rgb="FF222222"/>
        <rFont val="Arial"/>
        <family val="2"/>
      </rPr>
      <t>Simulation &amp; Gaming</t>
    </r>
    <r>
      <rPr>
        <sz val="10"/>
        <color rgb="FF222222"/>
        <rFont val="Arial"/>
        <family val="2"/>
      </rPr>
      <t>, </t>
    </r>
    <r>
      <rPr>
        <i/>
        <sz val="10"/>
        <color rgb="FF222222"/>
        <rFont val="Arial"/>
        <family val="2"/>
      </rPr>
      <t>48</t>
    </r>
    <r>
      <rPr>
        <sz val="10"/>
        <color rgb="FF222222"/>
        <rFont val="Arial"/>
        <family val="2"/>
      </rPr>
      <t>(5), 625-656.</t>
    </r>
  </si>
  <si>
    <r>
      <t>Xinogalos, S., &amp; Eleftheriadis, S. (2023). Office Madness: Investigating the impact of a game using a real life job and programming scenario on player experience and perceived short-term learning.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100521.</t>
    </r>
  </si>
  <si>
    <r>
      <t>Rosyid, H. A., Palmerlee, M., &amp; Chen, K. (2018). Deploying learning materials to game content for serious education game development: A case study. </t>
    </r>
    <r>
      <rPr>
        <i/>
        <sz val="10"/>
        <color rgb="FF222222"/>
        <rFont val="Arial"/>
        <family val="2"/>
      </rPr>
      <t>Entertainment computing</t>
    </r>
    <r>
      <rPr>
        <sz val="10"/>
        <color rgb="FF222222"/>
        <rFont val="Arial"/>
        <family val="2"/>
      </rPr>
      <t>, </t>
    </r>
    <r>
      <rPr>
        <i/>
        <sz val="10"/>
        <color rgb="FF222222"/>
        <rFont val="Arial"/>
        <family val="2"/>
      </rPr>
      <t>26</t>
    </r>
    <r>
      <rPr>
        <sz val="10"/>
        <color rgb="FF222222"/>
        <rFont val="Arial"/>
        <family val="2"/>
      </rPr>
      <t>, 1-9.</t>
    </r>
  </si>
  <si>
    <r>
      <t>Dapica, R., Hernández, A., &amp; Peinado, F. (2022). Who trains the trainers? Gamification of flight instructor learning in evidence-based training scenarios. </t>
    </r>
    <r>
      <rPr>
        <i/>
        <sz val="10"/>
        <color rgb="FF222222"/>
        <rFont val="Arial"/>
        <family val="2"/>
      </rPr>
      <t>Entertainment Computing</t>
    </r>
    <r>
      <rPr>
        <sz val="10"/>
        <color rgb="FF222222"/>
        <rFont val="Arial"/>
        <family val="2"/>
      </rPr>
      <t>, </t>
    </r>
    <r>
      <rPr>
        <i/>
        <sz val="10"/>
        <color rgb="FF222222"/>
        <rFont val="Arial"/>
        <family val="2"/>
      </rPr>
      <t>43</t>
    </r>
    <r>
      <rPr>
        <sz val="10"/>
        <color rgb="FF222222"/>
        <rFont val="Arial"/>
        <family val="2"/>
      </rPr>
      <t>, 100510.</t>
    </r>
  </si>
  <si>
    <r>
      <t>Tan, W. K., Sunar, M. S., &amp; Goh, E. S. (2023). Analysis of the college underachievers’ transformation via gamified learning experience. </t>
    </r>
    <r>
      <rPr>
        <i/>
        <sz val="10"/>
        <color rgb="FF222222"/>
        <rFont val="Arial"/>
        <family val="2"/>
      </rPr>
      <t>Entertainment Computing</t>
    </r>
    <r>
      <rPr>
        <sz val="10"/>
        <color rgb="FF222222"/>
        <rFont val="Arial"/>
        <family val="2"/>
      </rPr>
      <t>, </t>
    </r>
    <r>
      <rPr>
        <i/>
        <sz val="10"/>
        <color rgb="FF222222"/>
        <rFont val="Arial"/>
        <family val="2"/>
      </rPr>
      <t>44</t>
    </r>
    <r>
      <rPr>
        <sz val="10"/>
        <color rgb="FF222222"/>
        <rFont val="Arial"/>
        <family val="2"/>
      </rPr>
      <t>, 100524.</t>
    </r>
  </si>
  <si>
    <r>
      <t>Derboven, J., Zaman, B., Geerts, D., &amp; De Grooff, D. (2016). Playing educational math games at home: The Monkey Tales case. </t>
    </r>
    <r>
      <rPr>
        <i/>
        <sz val="10"/>
        <color rgb="FF222222"/>
        <rFont val="Arial"/>
        <family val="2"/>
      </rPr>
      <t>Entertainment Computing</t>
    </r>
    <r>
      <rPr>
        <sz val="10"/>
        <color rgb="FF222222"/>
        <rFont val="Arial"/>
        <family val="2"/>
      </rPr>
      <t>, </t>
    </r>
    <r>
      <rPr>
        <i/>
        <sz val="10"/>
        <color rgb="FF222222"/>
        <rFont val="Arial"/>
        <family val="2"/>
      </rPr>
      <t>16</t>
    </r>
    <r>
      <rPr>
        <sz val="10"/>
        <color rgb="FF222222"/>
        <rFont val="Arial"/>
        <family val="2"/>
      </rPr>
      <t>, 1-14.</t>
    </r>
  </si>
  <si>
    <r>
      <t xml:space="preserve">Rüth, Marco &amp; Kaspar, Kai. (2020). Exergames in formal school teaching: A pre-post longitudinal field study on the effects of a dance game on motor learning, physical enjoyment, and learning motivation. </t>
    </r>
    <r>
      <rPr>
        <i/>
        <sz val="11"/>
        <color theme="1"/>
        <rFont val="Calibri"/>
        <family val="2"/>
        <scheme val="minor"/>
      </rPr>
      <t>Entertainment Computing</t>
    </r>
    <r>
      <rPr>
        <sz val="11"/>
        <color theme="1"/>
        <rFont val="Calibri"/>
        <family val="2"/>
        <scheme val="minor"/>
      </rPr>
      <t xml:space="preserve">. 35. 100372. 10.1016/j.entcom.2020.100372. </t>
    </r>
  </si>
  <si>
    <r>
      <t>Peng, C., Cao, L., &amp; Timalsena, S. (2017). Gamification of Apollo lunar exploration missions for learning engagement. </t>
    </r>
    <r>
      <rPr>
        <i/>
        <sz val="10"/>
        <color rgb="FF222222"/>
        <rFont val="Arial"/>
        <family val="2"/>
      </rPr>
      <t>Entertainment Computing</t>
    </r>
    <r>
      <rPr>
        <sz val="10"/>
        <color rgb="FF222222"/>
        <rFont val="Arial"/>
        <family val="2"/>
      </rPr>
      <t>, </t>
    </r>
    <r>
      <rPr>
        <i/>
        <sz val="10"/>
        <color rgb="FF222222"/>
        <rFont val="Arial"/>
        <family val="2"/>
      </rPr>
      <t>19</t>
    </r>
    <r>
      <rPr>
        <sz val="10"/>
        <color rgb="FF222222"/>
        <rFont val="Arial"/>
        <family val="2"/>
      </rPr>
      <t>, 53-64.</t>
    </r>
  </si>
  <si>
    <r>
      <t>de Mira Gobbo, M. R., de Barbosa, C. R. S. C., Morandini, M., Mafort, F., &amp; Mioni, J. L. V. M. (2021). ACA game for individuals with Autism Spectrum Disorder.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100409.</t>
    </r>
  </si>
  <si>
    <r>
      <t>Cowley, B., Moutinho, J. L., Bateman, C., &amp; Oliveira, A. (2011). Learning principles and interaction design for ‘Green My Place’: A massively multiplayer serious game. </t>
    </r>
    <r>
      <rPr>
        <i/>
        <sz val="10"/>
        <color rgb="FF222222"/>
        <rFont val="Arial"/>
        <family val="2"/>
      </rPr>
      <t>Entertainment Computing</t>
    </r>
    <r>
      <rPr>
        <sz val="10"/>
        <color rgb="FF222222"/>
        <rFont val="Arial"/>
        <family val="2"/>
      </rPr>
      <t>, </t>
    </r>
    <r>
      <rPr>
        <i/>
        <sz val="10"/>
        <color rgb="FF222222"/>
        <rFont val="Arial"/>
        <family val="2"/>
      </rPr>
      <t>2</t>
    </r>
    <r>
      <rPr>
        <sz val="10"/>
        <color rgb="FF222222"/>
        <rFont val="Arial"/>
        <family val="2"/>
      </rPr>
      <t>(2), 103-113.</t>
    </r>
  </si>
  <si>
    <r>
      <t>Silva, M. F., Martins, P. M., Mariano, D. C., Santos, L. H., Pastorini, I., Pantuza, N., ... &amp; de Melo-Minardi, R. C. (2019). Proteingo: motivation, user experience, and learning of molecular interactions in biological complexes. </t>
    </r>
    <r>
      <rPr>
        <i/>
        <sz val="10"/>
        <color rgb="FF222222"/>
        <rFont val="Arial"/>
        <family val="2"/>
      </rPr>
      <t>Entertainment Computing</t>
    </r>
    <r>
      <rPr>
        <sz val="10"/>
        <color rgb="FF222222"/>
        <rFont val="Arial"/>
        <family val="2"/>
      </rPr>
      <t>, </t>
    </r>
    <r>
      <rPr>
        <i/>
        <sz val="10"/>
        <color rgb="FF222222"/>
        <rFont val="Arial"/>
        <family val="2"/>
      </rPr>
      <t>29</t>
    </r>
    <r>
      <rPr>
        <sz val="10"/>
        <color rgb="FF222222"/>
        <rFont val="Arial"/>
        <family val="2"/>
      </rPr>
      <t>, 31-42.</t>
    </r>
  </si>
  <si>
    <r>
      <t>Ramos-Vega, M. C., Palma-Morales, V. M., Pérez-Marín, D., &amp; Moguerza, J. M. (2021). Stimulating children’s engagement with an educational serious videogame using Lean UX co-design. </t>
    </r>
    <r>
      <rPr>
        <i/>
        <sz val="10"/>
        <color rgb="FF222222"/>
        <rFont val="Arial"/>
        <family val="2"/>
      </rPr>
      <t>Entertainment Computing</t>
    </r>
    <r>
      <rPr>
        <sz val="10"/>
        <color rgb="FF222222"/>
        <rFont val="Arial"/>
        <family val="2"/>
      </rPr>
      <t>, </t>
    </r>
    <r>
      <rPr>
        <i/>
        <sz val="10"/>
        <color rgb="FF222222"/>
        <rFont val="Arial"/>
        <family val="2"/>
      </rPr>
      <t>38</t>
    </r>
    <r>
      <rPr>
        <sz val="10"/>
        <color rgb="FF222222"/>
        <rFont val="Arial"/>
        <family val="2"/>
      </rPr>
      <t>, 100405.</t>
    </r>
  </si>
  <si>
    <t xml:space="preserve">Jagušt, Tomislav &amp; Boticki, Ivica &amp; So, Hyo-Jeong. (2018). Examining competitive, collaborative and adaptive gamification in young learners' math learning. Computers &amp; Education. 125. 10.1016/j.compedu.2018.06.022. </t>
  </si>
  <si>
    <t xml:space="preserve">Hsu, Chih-Chao &amp; Wang, Tzone-I. (2018). Applying game mechanics and student-generated questions to an online puzzle-based game learning system to promote algorithmic thinking skills. Computers &amp; Education. 121. 10.1016/j.compedu.2018.02.002. </t>
  </si>
  <si>
    <t xml:space="preserve">Garcia-Sanjuan, Fernando &amp; El Jurdi, Sandra &amp; Jaen, Javier &amp; Nacher, Vicente. (2018). Evaluating a tactile and a tangible multi-tablet gamified quiz system for collaborative learning in primary education. Computers &amp; Education. 123. 10.1016/j.compedu.2018.04.011. </t>
  </si>
  <si>
    <t xml:space="preserve">Murillo Zamorano, Luis R. &amp; López Sánchez, José Ángel &amp; Rey, María &amp; Muñoz, Carmen. (2022). Gamification in higher education: The ECOn+ star battles. Computers &amp; Education. 194. 104699. 10.1016/j.compedu.2022.104699. </t>
  </si>
  <si>
    <t xml:space="preserve">Hew, Khe &amp; Huang, Biyun &amp; Chu, Kai &amp; Chiu, Dickson. (2015). Engaging Asian students through game mechanics: Findings from two experiment studies. Computers &amp; Education. 92. 10.1016/j.compedu.2015.10.010. </t>
  </si>
  <si>
    <t xml:space="preserve">Hanus, Michael &amp; Fox, Jesse. (2015). Assessing the effects of gamification in the classroom: A longitudinal study on intrinsic motivation, social comparison, satisfaction, effort, and academic performance. Computers &amp; Education. 80. 10.1016/j.compedu.2014.08.019. </t>
  </si>
  <si>
    <t xml:space="preserve">Jeon, Jaeho &amp; Lee, Seongyong &amp; Choe, Hohsung. (2022). Enhancing EFL pre-service teachers’ affordance noticing and utilizing with the Synthesis of Qualitative Evidence strategies: An exploratory study of a customizable virtual environment platform. Computers &amp; Education. 109. 104620. 10.1016/j.compedu.2022.104620. </t>
  </si>
  <si>
    <t xml:space="preserve">Chen, Cheng-Huan &amp; Chiu, Chiung-hui. (2016). Employing intergroup competition in multitouch design-based learning to foster student engagement, learning achievement, and creativity. Computers &amp; Education. 103. 99-113. 10.1016/j.compedu.2016.09.007. </t>
  </si>
  <si>
    <t xml:space="preserve">Tsay, Crystal &amp; Kofinas, Alexander K &amp; Luo, Jing. (2018). Enhancing student learning experience with technology-mediated gamification: An empirical study. Computers &amp; Education. 121. 10.1016/j.compedu.2018.01.009. </t>
  </si>
  <si>
    <t xml:space="preserve">López-Faican, Lissette &amp; Jaen, Javier. (2020). EmoFindAR: Evaluation of a mobile multiplayer augmented reality game for primary school children. Computers &amp; Education. 149. 103814. 10.1016/j.compedu.2020.103814. </t>
  </si>
  <si>
    <t xml:space="preserve">de-Marcos, Luis &amp; Domínguez, Adrián &amp; Saenz-de-Navarrete, Joseba &amp; Pagés, Carmen. (2014). An empirical study comparing gamification and social networking on e-learning. Computers &amp; Education. 75. 82–91. 10.1016/j.compedu.2014.01.012. </t>
  </si>
  <si>
    <t xml:space="preserve">Hijós, Alejandro &amp; Bustamante, Juan Carlos &amp; De la Fuente, Francisco &amp; Castellar, Carlos. (2020). Psychological effects of gamified didactics with exergames in Physical Education at primary schools: Results from a natural experiment. Computers &amp; Education. 152. 103874. 10.1016/j.compedu.2020.103874. </t>
  </si>
  <si>
    <t xml:space="preserve">Sanchez, Diana &amp; Langer, Markus &amp; Kaur, Rupinder. (2019). Gamification in the classroom: Examining the impact of gamified quizzes on student learning. Computers &amp; Education. 144. 10.1016/j.compedu.2019.103666. </t>
  </si>
  <si>
    <t xml:space="preserve">Yang, Soeun &amp; Lee, Jae &amp; Kim, Hyoung-Jee &amp; Kang, Minji &amp; Chong, EunRyung &amp; Kim, Eun-mee. (2021). Can an online educational game contribute to developing information literate citizens?. Computers &amp; Education. 161. 104057. 10.1016/j.compedu.2020.104057. </t>
  </si>
  <si>
    <t xml:space="preserve">Park, Juneyoung &amp; Liu, De &amp; Yi, Mun &amp; Santhanam, Radhika. (2019). GAMESIT: A gamified system for information technology training. Computers &amp; Education. 142. 103643. 10.1016/j.compedu.2019.103643. </t>
  </si>
  <si>
    <t xml:space="preserve">Vyas, Martand. (2020). Gamification in education. </t>
  </si>
  <si>
    <t xml:space="preserve">Khasianov, Airat &amp; Shakhova, Irina &amp; Ganiev, Bulat. (2016). GAMIFICATION FOR EDUCATION. IFTE 2016 – II International Forum on Teacher Education. </t>
  </si>
  <si>
    <t xml:space="preserve">Kasinathan, Vinothini &amp; Mustapha, Aida &amp; Fauzi, Rahmat &amp; Che Abdul Rani, Mohamad Firdaus. (2018). Questionify: Gamification in Education. International Journal of Integrated Engineering. 10. 10.30880/ijie.2018.10.06.019. </t>
  </si>
  <si>
    <t xml:space="preserve">Aini, Qurotul &amp; Rahardja, Untung &amp; Khoirunisa, Alfiah. (2020). Blockchain Technology into Gamification on Education. IJCCS (Indonesian Journal of Computing and Cybernetics Systems). 14. 147. 10.22146/ijccs.53221. </t>
  </si>
  <si>
    <r>
      <t>Maskeliūnas, R., Kulikajevas, A., Blažauskas, T., Damaševičius, R., &amp; Swacha, J. (2020). An Interactive Serious Mobile Game for Supporting the Learning of Programming in JavaScript in the Context of Eco-Friendly City Management. </t>
    </r>
    <r>
      <rPr>
        <i/>
        <sz val="9"/>
        <color rgb="FF222222"/>
        <rFont val="Roboto"/>
      </rPr>
      <t>Computers</t>
    </r>
    <r>
      <rPr>
        <sz val="9"/>
        <color rgb="FF222222"/>
        <rFont val="Roboto"/>
      </rPr>
      <t>, </t>
    </r>
    <r>
      <rPr>
        <i/>
        <sz val="9"/>
        <color rgb="FF222222"/>
        <rFont val="Roboto"/>
      </rPr>
      <t>9</t>
    </r>
    <r>
      <rPr>
        <sz val="9"/>
        <color rgb="FF222222"/>
        <rFont val="Roboto"/>
      </rPr>
      <t>(4), 102. https://doi.org/10.3390/computers9040102</t>
    </r>
  </si>
  <si>
    <r>
      <t>Zafeiropoulou, M., Volioti, C., Keramopoulos, E., &amp; Sapounidis, T. (2021). Developing Physics Experiments Using Augmented Reality Game-Based Learning Approach: A Pilot Study in Primary School. </t>
    </r>
    <r>
      <rPr>
        <i/>
        <sz val="9"/>
        <color rgb="FF222222"/>
        <rFont val="Roboto"/>
      </rPr>
      <t>Computers</t>
    </r>
    <r>
      <rPr>
        <sz val="9"/>
        <color rgb="FF222222"/>
        <rFont val="Roboto"/>
      </rPr>
      <t>, </t>
    </r>
    <r>
      <rPr>
        <i/>
        <sz val="9"/>
        <color rgb="FF222222"/>
        <rFont val="Roboto"/>
      </rPr>
      <t>10</t>
    </r>
    <r>
      <rPr>
        <sz val="9"/>
        <color rgb="FF222222"/>
        <rFont val="Roboto"/>
      </rPr>
      <t>(10), 126. https://doi.org/10.3390/computers10100126</t>
    </r>
  </si>
  <si>
    <r>
      <t>Cheng, G.-M., &amp; Chen, C.-P. (2021). Processing Analysis of Swift Playgrounds in a Children’s Computational Thinking Course to Learn Programming. </t>
    </r>
    <r>
      <rPr>
        <i/>
        <sz val="9"/>
        <color rgb="FF222222"/>
        <rFont val="Roboto"/>
      </rPr>
      <t>Computers</t>
    </r>
    <r>
      <rPr>
        <sz val="9"/>
        <color rgb="FF222222"/>
        <rFont val="Roboto"/>
      </rPr>
      <t>, </t>
    </r>
    <r>
      <rPr>
        <i/>
        <sz val="9"/>
        <color rgb="FF222222"/>
        <rFont val="Roboto"/>
      </rPr>
      <t>10</t>
    </r>
    <r>
      <rPr>
        <sz val="9"/>
        <color rgb="FF222222"/>
        <rFont val="Roboto"/>
      </rPr>
      <t>(5), 68. https://doi.org/10.3390/computers10050068</t>
    </r>
  </si>
  <si>
    <t xml:space="preserve">Willig, James &amp; Croker, Jennifer &amp; McCormick, Lisa &amp; Nabavi, Meena &amp; Walker, Jeremey &amp; Wingo, Nancy &amp; Roche, Cathy &amp; Jones, Carolyn &amp; Hartmann, Katherine &amp; Redden, David. (2021). Gamification and education: A pragmatic approach with two examples of implementation. Journal of Clinical and Translational Science. 5. 1-20. 10.1017/cts.2021.806. </t>
  </si>
  <si>
    <t xml:space="preserve">Shaltout, Eman &amp; Amin, Khalid &amp; Afifi, Ahmed. (2021). Gamification in education: Serious Game Prototype for Children with Special Needs. IJCI. International Journal of Computers and Information. 8. 131-136. 10.21608/ijci.2021.207857. </t>
  </si>
  <si>
    <t xml:space="preserve">Erenli, Kai. (2013). The Impact of Gamification - Recommending Education Scenarios. International Journal of Emerging Technologies in Learning (iJET). 8. 10.3991/ijet.v8iS1.2320. </t>
  </si>
  <si>
    <t xml:space="preserve">Калижанова, Анна &amp; Kalizhanova, Anna &amp; Ибраева, Баян &amp; Ibrayeva, Bayan. (2017). Gamification of Educational Process for Building Learners’ Autonomy. Scientific Research and Development. Socio-Humanitarian Research and Technology. 6. 10.12737/article_59d7860b667174.84726065. </t>
  </si>
  <si>
    <t xml:space="preserve">Kutun, Bahar &amp; Schmidt, Werner &amp; Schuhbauer, Heidi. (2016). Gamification in Education: A Board Game Approach to Knowledge Acquisition. Procedia Computer Science. 99. 10.1016/j.procs.2016.09.104. </t>
  </si>
  <si>
    <t xml:space="preserve">Turan, Zeynep &amp; avinç, Zeynep &amp; Kara, Kadir &amp; Goktas, Yuksel. (2016). Gamification and Education: Achievements, Cognitive Loads, and Views of Students. International Journal of Emerging Technologies in Learning (iJET). 11. 64-69. 10.3991/ijet.v11i07.5455. </t>
  </si>
  <si>
    <t xml:space="preserve">Gómez Contreras, Jennifer. (2020). Gamification in Educational Contexts: Analysis of Its Application in a Distance Public Accounting Program. Universidad &amp; Empresa. 22. 8-39. 10.12804/revistas.urosario.edu.co/empresa7a.6939. </t>
  </si>
  <si>
    <t xml:space="preserve">Teh, Kamarul &amp; Md Hanafiah, Shariful Hafizi &amp; Abdul Kadir, Mohd Fadzil. (2019). Accustoms gamification in education improves student motivation, engagement and academic performance. 10.35940/ijrte.B1062.0782S319. </t>
  </si>
  <si>
    <t xml:space="preserve">Chen, Yang &amp; Burton, Terry &amp; Vorvoreanu, Mihaela &amp; Whittinghill, David. (2015). Cogent：A Case Study of Meaningful Gamification in Education with Virtual Currency. International Journal of Emerging Technologies in Learning (iJET). 10. 10.3991/ijet.v10i1.4247. </t>
  </si>
  <si>
    <t xml:space="preserve">Kollár, János. (2020). GAMIFICATION IN EDUCATION: CHANGING THE ATTITUDE OF MEDICAL STUDENTS TOWARDS DEMENTIA BY USING VIRTUAL REALITY (PILOT STUDY). PUPIL: International Journal of Teaching, Education and Learning. 4. 57-67. 10.20319/pijtel.2020.42.5767. </t>
  </si>
  <si>
    <t xml:space="preserve">Kovácsné Pusztai, Kinga. (2021). Gamification in Higher Education. Teaching Mathematics and Computer Science. 18. 87-106. 10.5485/TMCS.2020.0510. </t>
  </si>
  <si>
    <t xml:space="preserve">Klubal, Libor &amp; Kostolányová, Kateřina &amp; Gybas, Vojtěch. (2018). Gamification in LMS Courses. International Journal of Information and Communication Technologies in Education. 7. 46-50. 10.1515/ijicte-2018-0009. </t>
  </si>
  <si>
    <t xml:space="preserve">Mahmud, siti nur diyana &amp; Husnin, Hazrati &amp; Tuan Soh, Tuan Mastura. (2020). Teaching Presence in Online Gamified Education for Sustainability Learning. Sustainability. 12. 3801. 10.3390/su12093801. </t>
  </si>
  <si>
    <t xml:space="preserve">Jusas, Vacius &amp; Barisas, Dominykas &amp; Jančiukas, Mindaugas. (2022). Game Elements towards More Sustainable Learning in Object-Oriented Programming Course. Sustainability. 14. 2325. 10.3390/su14042325. </t>
  </si>
  <si>
    <t xml:space="preserve">Isabelle, Diane. (2020). Gamification of Entrepreneurship Education. Decision Sciences Journal of Innovative Education. 18. 10.1111/dsji.12203. </t>
  </si>
  <si>
    <t xml:space="preserve">Kasinathan, Vinothini &amp; Mustapha, Aida &amp; Fu, Chan &amp; Manikam, Sadesh &amp; Che Abdul Rani, Mohamad Firdaus. (2019). Gamification Concept for Encouraging Lecture Attendance. Indonesian Journal of Electrical Engineering and Computer Science. 16. 482-490. 10.11591/ijeecs.v16.i1.pp482-490. </t>
  </si>
  <si>
    <t xml:space="preserve">Kanani, Pratik &amp; Nagda, Mudra &amp; Mehta, Parth &amp; Lamba, Simranjeet. (2020). Gamification in Plant Education for Children. 2020. </t>
  </si>
  <si>
    <t xml:space="preserve">Furdu, Iulian &amp; Tomozei, Cosmin &amp; Köse, Utku. (2017). Pros and Cons Gamification and Gaming in Classroom. Broad Research in Artificial Intelligence and Neuroscience. 8. 56-62. </t>
  </si>
  <si>
    <t xml:space="preserve">Reyes, William &amp; Pech, Sergio. (2020). Gamification in distance education: experiences in a university educational model. Apertura. 12. 6-19. 10.32870/Ap.v12n2.1849. </t>
  </si>
  <si>
    <t xml:space="preserve">Leon, Alejandro &amp; Peña, Marta. (2021). Gamification tools in the learning of shipbuilding in the undergraduate marine engineering education. Computer Applications in Engineering Education. 30. 10.1002/cae.22465. </t>
  </si>
  <si>
    <t xml:space="preserve">Rosli, Khairina &amp; Malaysia, Universiti &amp; Khairudin, Norhaiza. (2019). Gamification in Entrepreneurship and Accounting Education. Academy of Entrepreneurship Journal. 25. </t>
  </si>
  <si>
    <t xml:space="preserve">Bernik, Andrija. (2021). Gamification Framework for E-Learning Systems in Higher Education. Tehnički glasnik. 15. 184-190. 10.31803/tg-20201008090615. </t>
  </si>
  <si>
    <t xml:space="preserve">Falah, Jannat &amp; Wedyan, Mohammad &amp; Alfalah, Salsabeel &amp; Abu-Tarboush, Muhannad &amp; Al-Jakheem, Ahmad &amp; Al-Faraneh, Muath &amp; Abuhammad, Areej &amp; Charissis, Vassilis. (2021). Identifying the Characteristics of Virtual Reality Gamification for Complex Educational Topics. Multimodal Technologies and Interaction. 5. 53. 10.3390/mti5090053. </t>
  </si>
  <si>
    <t xml:space="preserve">Smiderle, Rodrigo &amp; Rigo, Sandro &amp; Marques, Leonardo &amp; Coelho, Jorge &amp; Jaques, Patricia. (2020). The impact of gamification on students’ learning, engagement and behavior based on their personality traits. Smart Learning Environments. 7. 10.1186/s40561-019-0098-x. </t>
  </si>
  <si>
    <t>Gráficos llamativos</t>
  </si>
  <si>
    <t>Referencia</t>
  </si>
  <si>
    <t>Correlación entre sistemas de validación colaborativos y resultados de la gamificación</t>
  </si>
  <si>
    <t>Correlacion entre sistemas de validación y resultados de la gamificación</t>
  </si>
  <si>
    <t>Examenes antes y despues. Encuesta sobre el juego. MUY INTERESANTE EL METODO DE EVALUACION</t>
  </si>
  <si>
    <t>RESULTADO GRANULADO</t>
  </si>
  <si>
    <t>Impacto positivo, mejores resultados de vr que de tablet</t>
  </si>
  <si>
    <t>Ojo, requiere de expertos para analizar las respuestas libres</t>
  </si>
  <si>
    <t>Total</t>
  </si>
  <si>
    <t>Porcentaje</t>
  </si>
  <si>
    <t>Muy negativo</t>
  </si>
  <si>
    <t>Resultados granulados</t>
  </si>
  <si>
    <t>Algo negativo</t>
  </si>
  <si>
    <t>Algo positivo</t>
  </si>
  <si>
    <t xml:space="preserve">Positivo </t>
  </si>
  <si>
    <t>Muy positivo</t>
  </si>
  <si>
    <t>Asignaturas</t>
  </si>
  <si>
    <t>Participantes</t>
  </si>
  <si>
    <t>Grupos</t>
  </si>
  <si>
    <t>Emergencias</t>
  </si>
  <si>
    <t>Numero de sesiones/alumno</t>
  </si>
  <si>
    <t>Salud</t>
  </si>
  <si>
    <t>Criterio de grupos</t>
  </si>
  <si>
    <t>Edad</t>
  </si>
  <si>
    <t>Random</t>
  </si>
  <si>
    <t>Nutrición</t>
  </si>
  <si>
    <t>Grupo de control</t>
  </si>
  <si>
    <t>Historia</t>
  </si>
  <si>
    <t>General</t>
  </si>
  <si>
    <t>Matemáticas</t>
  </si>
  <si>
    <t>Aleatorio</t>
  </si>
  <si>
    <t>Programación</t>
  </si>
  <si>
    <t>Ciberseguridad</t>
  </si>
  <si>
    <t>Numero total de sesiones</t>
  </si>
  <si>
    <t>Necesidades educativas</t>
  </si>
  <si>
    <t>Interrogación</t>
  </si>
  <si>
    <t>Aviación</t>
  </si>
  <si>
    <t>Inglés</t>
  </si>
  <si>
    <t>Economía</t>
  </si>
  <si>
    <t>Biología</t>
  </si>
  <si>
    <t>Física</t>
  </si>
  <si>
    <t>Open beta</t>
  </si>
  <si>
    <t>Química</t>
  </si>
  <si>
    <t>Veracidad de la información</t>
  </si>
  <si>
    <t>Informática</t>
  </si>
  <si>
    <t>Psicología</t>
  </si>
  <si>
    <t>Conocimiento del medio</t>
  </si>
  <si>
    <t>Emprendimiento</t>
  </si>
  <si>
    <t>Ingeniería</t>
  </si>
  <si>
    <t>Francés</t>
  </si>
  <si>
    <t>Duración/alumno (en minutos)</t>
  </si>
  <si>
    <t>Duración de las sesiones (en minutos)</t>
  </si>
  <si>
    <t>Duración total (en días)</t>
  </si>
  <si>
    <t>Tamaño de los grupos</t>
  </si>
  <si>
    <t>Frecuencia (veces por semana)</t>
  </si>
  <si>
    <t>Libre uso</t>
  </si>
  <si>
    <t>Analisis de metodologías</t>
  </si>
  <si>
    <t>Count</t>
  </si>
  <si>
    <t>Máximo</t>
  </si>
  <si>
    <t>Mínimo</t>
  </si>
  <si>
    <t xml:space="preserve">Total </t>
  </si>
  <si>
    <t>Educación física</t>
  </si>
  <si>
    <t>Educacion Física uni con mario bros.</t>
  </si>
  <si>
    <t>Revista Internacional de Medicina y Ciencias de la Actividad Física y del Deporte</t>
  </si>
  <si>
    <t xml:space="preserve">Flores-Aguilar, Gonzalo &amp; Fernandez-Rio, Javier &amp; Grau, Prat. (2021). GAMIFICATING PHYSICAL EDUCATION PEDAGOGY. COLLEGE STUDENTS' FEELINGS. Revista Internacional de Medicina y Ciencias de la Actividad Física y del Deporte. 21. 515-533. </t>
  </si>
  <si>
    <t>Hasta</t>
  </si>
  <si>
    <t>Número</t>
  </si>
  <si>
    <t>Total:</t>
  </si>
  <si>
    <t>Otros</t>
  </si>
  <si>
    <t>Título</t>
  </si>
  <si>
    <t>De 6-10</t>
  </si>
  <si>
    <t>De 11-15</t>
  </si>
  <si>
    <t>De 15-20</t>
  </si>
  <si>
    <t>De 20-30</t>
  </si>
  <si>
    <t>Tamaño de los grupos experimentales</t>
  </si>
  <si>
    <t>Tamaño de los grupos de control</t>
  </si>
  <si>
    <t>Criterios de grupos</t>
  </si>
  <si>
    <t>Género</t>
  </si>
  <si>
    <t>Comparing the Effects on Learning Outcomes of Tablet-Based and Virtual Reality-Based Serious Gaming Modules for Basic Life Support Training: Aleatorioized Trial</t>
  </si>
  <si>
    <t>Aksoy, E. (2019). Comparing the effects on learning outcomes of tablet-based and virtual reality–based serious gaming modules for basic life support training: Aleatorioized trial. JMIR serious games, 7(2), e13442.</t>
  </si>
  <si>
    <t>Duración de la experiencia</t>
  </si>
  <si>
    <t>Frecuencia de aplicación</t>
  </si>
  <si>
    <t>&lt; 1</t>
  </si>
  <si>
    <t>&gt; 10</t>
  </si>
  <si>
    <t>Número total de sesiones</t>
  </si>
  <si>
    <t>3-5</t>
  </si>
  <si>
    <t>6-10</t>
  </si>
  <si>
    <t>11-20</t>
  </si>
  <si>
    <t>21-50</t>
  </si>
  <si>
    <t>&gt; 50</t>
  </si>
  <si>
    <t>Duración de las sesiones</t>
  </si>
  <si>
    <t>&lt; 15'</t>
  </si>
  <si>
    <t>16'-30'</t>
  </si>
  <si>
    <t>31'-60'</t>
  </si>
  <si>
    <t>61'-90'</t>
  </si>
  <si>
    <t>91'-120'</t>
  </si>
  <si>
    <t>121'-180'</t>
  </si>
  <si>
    <t>&gt; 180'</t>
  </si>
  <si>
    <t>0-7</t>
  </si>
  <si>
    <t>8-14</t>
  </si>
  <si>
    <t>15-30</t>
  </si>
  <si>
    <t>31-60</t>
  </si>
  <si>
    <t>61-120</t>
  </si>
  <si>
    <t>&gt;365</t>
  </si>
  <si>
    <t>121-365</t>
  </si>
  <si>
    <t>0-10</t>
  </si>
  <si>
    <t>21-40</t>
  </si>
  <si>
    <t>41-80</t>
  </si>
  <si>
    <t>81-160</t>
  </si>
  <si>
    <t>161-320</t>
  </si>
  <si>
    <t>321-640</t>
  </si>
  <si>
    <t>0-5</t>
  </si>
  <si>
    <t>8-10</t>
  </si>
  <si>
    <t>Chem Dungeon para enseñanzas de Química</t>
  </si>
  <si>
    <t>curso gamificado vr de Química</t>
  </si>
  <si>
    <t>Horario</t>
  </si>
  <si>
    <t>Nombre revista</t>
  </si>
  <si>
    <t>Indexación 2022</t>
  </si>
  <si>
    <t>JCR</t>
  </si>
  <si>
    <t>Telecommunications</t>
  </si>
  <si>
    <t>Computer Science</t>
  </si>
  <si>
    <t>Education</t>
  </si>
  <si>
    <t xml:space="preserve">Otra relación con Telemática </t>
  </si>
  <si>
    <t>Área</t>
  </si>
  <si>
    <t>Q2</t>
  </si>
  <si>
    <t>Q4</t>
  </si>
  <si>
    <t>Health care sciences &amp; services</t>
  </si>
  <si>
    <t>Medical informatics</t>
  </si>
  <si>
    <t>Public, environmental &amp; occupational health</t>
  </si>
  <si>
    <t>Education and educational research</t>
  </si>
  <si>
    <t>Q1</t>
  </si>
  <si>
    <t>Q3</t>
  </si>
  <si>
    <t>Engineering, multidisciplinary</t>
  </si>
  <si>
    <t>No (JCI)</t>
  </si>
  <si>
    <t>ISSN</t>
  </si>
  <si>
    <t>2291-9279</t>
  </si>
  <si>
    <t>2229-838X</t>
  </si>
  <si>
    <t>1875-9521</t>
  </si>
  <si>
    <t>2384-8766</t>
  </si>
  <si>
    <t>1046-8781</t>
  </si>
  <si>
    <t>0360-1315</t>
  </si>
  <si>
    <t>2073-431X</t>
  </si>
  <si>
    <t>1577-0354</t>
  </si>
  <si>
    <t>2059-8661</t>
  </si>
  <si>
    <t>1863-0383</t>
  </si>
  <si>
    <t>0124-4639</t>
  </si>
  <si>
    <t>1550-1876</t>
  </si>
  <si>
    <t>2071-1050</t>
  </si>
  <si>
    <t>1540-4609</t>
  </si>
  <si>
    <t>1099-0542</t>
  </si>
  <si>
    <t>2414-4088</t>
  </si>
  <si>
    <t>2196-7091</t>
  </si>
  <si>
    <t>Cuartil (Qx) Mejor</t>
  </si>
  <si>
    <t>Computer science, cybernetics</t>
  </si>
  <si>
    <t>Computer science, interdisciplinary applications</t>
  </si>
  <si>
    <t>Computer science, software engineering</t>
  </si>
  <si>
    <t>Sport sciences</t>
  </si>
  <si>
    <t>Medicine, research &amp; experimental</t>
  </si>
  <si>
    <t>Business</t>
  </si>
  <si>
    <t>Environmental sciences</t>
  </si>
  <si>
    <t>Environmental studies</t>
  </si>
  <si>
    <t>Green &amp; sustainable science &amp; technology</t>
  </si>
  <si>
    <t>Education, scientific disciplines</t>
  </si>
  <si>
    <t>Computer science, artificial intelligence</t>
  </si>
  <si>
    <t>Computer science, information systems</t>
  </si>
  <si>
    <t>CATEGORÍAS OFICIALES</t>
  </si>
  <si>
    <t>Engineering</t>
  </si>
  <si>
    <t>Technology</t>
  </si>
  <si>
    <t>Indexación en año de publicación</t>
  </si>
  <si>
    <t>Cuartil (Qx)</t>
  </si>
  <si>
    <t>Telecomunication</t>
  </si>
  <si>
    <t>si</t>
  </si>
  <si>
    <t>Indexación de revistas</t>
  </si>
  <si>
    <t>Nº articulos / año</t>
  </si>
  <si>
    <t>Total con JCR</t>
  </si>
  <si>
    <t>Total en computer science</t>
  </si>
  <si>
    <t>Total en computer science con JCR</t>
  </si>
  <si>
    <t>Total en telecomunications</t>
  </si>
  <si>
    <t>Total en telecomunications con JCR</t>
  </si>
  <si>
    <t>Total en computer science o telecommunications</t>
  </si>
  <si>
    <t>Total en computer science o telecommunications con JCR</t>
  </si>
  <si>
    <t>Total en educación</t>
  </si>
  <si>
    <t>Total en educación con JCR</t>
  </si>
  <si>
    <t>Revistas</t>
  </si>
  <si>
    <t>Revistas de telecomunicación</t>
  </si>
  <si>
    <t>Revistas de computer science</t>
  </si>
  <si>
    <t>Revistas de educación</t>
  </si>
  <si>
    <t>Con JCR</t>
  </si>
  <si>
    <t>Cuartil Q1</t>
  </si>
  <si>
    <t>Cuartil Q2</t>
  </si>
  <si>
    <t>Cuartil Q3</t>
  </si>
  <si>
    <t>Cuartil Q4</t>
  </si>
  <si>
    <t>&lt;= 2017</t>
  </si>
  <si>
    <t>Comentarios</t>
  </si>
  <si>
    <t>Metodología aplicada</t>
  </si>
  <si>
    <t>En</t>
  </si>
  <si>
    <t>Uso de Kahoot, Mentimeter and Socrative</t>
  </si>
  <si>
    <t>Concerning the student group size in DBL, it is found that students typically work in groups made of two to four persons (e.g., Doppelt, 2009, Ellefson et al., 2008, Fortus et al., 2005, Mehalik et al., 2008, Perrenet and Adan, 2002). Apedoe, Ellefson, and Schunn (2012) have suggested that the optimal group size for DBL is three or four persons, and no significant differences between the two group sizes were found on student learning and performance.</t>
  </si>
  <si>
    <t>JCI</t>
  </si>
  <si>
    <t>JCR Value in publication year</t>
  </si>
  <si>
    <t>Año de publicación</t>
  </si>
  <si>
    <t>[37]</t>
  </si>
  <si>
    <t>[38]</t>
  </si>
  <si>
    <t>[39]</t>
  </si>
  <si>
    <t>[40]</t>
  </si>
  <si>
    <t>[41]</t>
  </si>
  <si>
    <t>[42]</t>
  </si>
  <si>
    <t>[43]</t>
  </si>
  <si>
    <t>[44]</t>
  </si>
  <si>
    <t>[45]</t>
  </si>
  <si>
    <t>[46]</t>
  </si>
  <si>
    <t>[47]</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</si>
  <si>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</si>
  <si>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</si>
  <si>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</si>
  <si>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</si>
  <si>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</si>
  <si>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</si>
  <si>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</si>
  <si>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</si>
  <si>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</si>
  <si>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</si>
  <si>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</si>
  <si>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</si>
  <si>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</si>
  <si>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</si>
  <si>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</si>
  <si>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</si>
  <si>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</si>
  <si>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</si>
  <si>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</si>
  <si>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</si>
  <si>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</si>
  <si>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</si>
  <si>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</si>
  <si>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</si>
  <si>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</si>
  <si>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</si>
  <si>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[112]</t>
  </si>
  <si>
    <t>[125]</t>
  </si>
  <si>
    <t>[132]</t>
  </si>
  <si>
    <t>Nº de revistas</t>
  </si>
  <si>
    <t>Este excel ha se ha usado para recoger y procesar toda la información referente al Bloque I del trabajo. Como se puede observar cuenta con una serie de hosjas dedicadas cada una a un propósito determinado. Las hojas de mayor interés para el lector serán probablemente "Datos finales" y "Análisis de revistas"</t>
  </si>
  <si>
    <t>Cada hoja tiene el siguiente contenido:</t>
  </si>
  <si>
    <t>- Datos generales</t>
  </si>
  <si>
    <t>Contiene el conjunto de articulos de diversas fuentes de los que se ha leido el abstract, algunos datos sobre los mismos y, en especial, la decisión de si pasarán a formar parte del estudio final o no (Columna "usefull")</t>
  </si>
  <si>
    <t>- Datos periódicos</t>
  </si>
  <si>
    <t>Muy similar a datos generales, pero con artículos provenientes de algunas revistas de renombre en el campo de la gamificación.</t>
  </si>
  <si>
    <t>- Datos finales</t>
  </si>
  <si>
    <t>Recoge todos los artículos que se han considerado finalmete aptos para el estudio. Añade más columnas que albergan los distintos datos de los mísmos.</t>
  </si>
  <si>
    <t>- Análisis de revistas</t>
  </si>
  <si>
    <t>LISTA ARTÍCULOS - README</t>
  </si>
  <si>
    <t>Test a traves de un juego, cuestionario de flow experience</t>
  </si>
  <si>
    <t>Recoge las distintas revistas a las que pertenecen los artículos del estudios y un conjunto de datos sobre las mismas y sus JCR.</t>
  </si>
  <si>
    <t>- Resumen artículos JCR</t>
  </si>
  <si>
    <t>Recoge aquellos artículos que pertenecen a revistas con JCR y un resumen de sus características.</t>
  </si>
  <si>
    <t>- Cálculos</t>
  </si>
  <si>
    <t>- Apoyo</t>
  </si>
  <si>
    <t>Hoja en la que se han calculado y realizado todas las tablas y figuras que se usan en el estudio a partir de los datos del resto de hojas.</t>
  </si>
  <si>
    <t>Hoja de apoyo a la hoja de cálculos.</t>
  </si>
  <si>
    <t>Nº</t>
  </si>
  <si>
    <t>Total en otros</t>
  </si>
  <si>
    <t>Total en otros con JCR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</si>
</sst>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u/>
      <sz val="11"/>
      <color theme="10"/>
      <name val="Calibri"/>
      <family val="2"/>
      <scheme val="minor"/>
    </font>
    <font>
      <b/>
      <sz val="11"/>
      <color theme="1"/>
      <name val="Calibri"/>
      <family val="2"/>
      <scheme val="minor"/>
    </font>
    <font>
      <sz val="11"/>
      <name val="Calibri"/>
      <family val="2"/>
      <scheme val="minor"/>
    </font>
    <font>
      <u/>
      <sz val="11"/>
      <color theme="1"/>
      <name val="Calibri"/>
      <family val="2"/>
      <scheme val="minor"/>
    </font>
    <font>
      <sz val="11"/>
      <color rgb="FFFF0000"/>
      <name val="Calibri"/>
      <family val="2"/>
      <scheme val="minor"/>
    </font>
    <font>
      <sz val="11"/>
      <color rgb="FF3DE345"/>
      <name val="Calibri"/>
      <family val="2"/>
      <scheme val="minor"/>
    </font>
    <font>
      <sz val="11"/>
      <color theme="1"/>
      <name val="Calibri"/>
      <family val="2"/>
      <scheme val="minor"/>
    </font>
    <font>
      <b/>
      <sz val="24"/>
      <color theme="1"/>
      <name val="Calibri"/>
      <family val="2"/>
      <scheme val="minor"/>
    </font>
    <font>
      <b/>
      <u/>
      <sz val="11"/>
      <color theme="1"/>
      <name val="Calibri"/>
      <family val="2"/>
      <scheme val="minor"/>
    </font>
    <font>
      <b/>
      <u/>
      <sz val="16"/>
      <color theme="1"/>
      <name val="Calibri"/>
      <family val="2"/>
      <scheme val="minor"/>
    </font>
    <font>
      <sz val="10"/>
      <color rgb="FF222222"/>
      <name val="Arial"/>
      <family val="2"/>
    </font>
    <font>
      <i/>
      <sz val="10"/>
      <color rgb="FF222222"/>
      <name val="Arial"/>
      <family val="2"/>
    </font>
    <font>
      <sz val="8"/>
      <color theme="1"/>
      <name val="Noto Sans"/>
      <family val="2"/>
    </font>
    <font>
      <i/>
      <sz val="8"/>
      <color theme="1"/>
      <name val="Noto Sans"/>
      <family val="2"/>
    </font>
    <font>
      <i/>
      <sz val="11"/>
      <color theme="1"/>
      <name val="Calibri"/>
      <family val="2"/>
      <scheme val="minor"/>
    </font>
    <font>
      <sz val="9"/>
      <color rgb="FF222222"/>
      <name val="Roboto"/>
    </font>
    <font>
      <i/>
      <sz val="9"/>
      <color rgb="FF222222"/>
      <name val="Roboto"/>
    </font>
    <font>
      <b/>
      <sz val="11"/>
      <color theme="0"/>
      <name val="Calibri"/>
      <family val="2"/>
      <scheme val="minor"/>
    </font>
    <font>
      <sz val="11"/>
      <color theme="0"/>
      <name val="Calibri"/>
      <family val="2"/>
      <scheme val="minor"/>
    </font>
    <font>
      <sz val="8"/>
      <name val="Calibri"/>
      <family val="2"/>
      <scheme val="minor"/>
    </font>
    <font>
      <b/>
      <sz val="12"/>
      <name val="Roboto"/>
    </font>
    <font>
      <b/>
      <sz val="12"/>
      <color theme="1"/>
      <name val="Calibri"/>
      <family val="2"/>
      <scheme val="minor"/>
    </font>
    <font>
      <b/>
      <sz val="11"/>
      <color theme="9" tint="0.39997558519241921"/>
      <name val="Calibri"/>
      <family val="2"/>
      <scheme val="minor"/>
    </font>
    <font>
      <sz val="11"/>
      <color theme="9" tint="0.39997558519241921"/>
      <name val="Calibri"/>
      <family val="2"/>
      <scheme val="minor"/>
    </font>
    <font>
      <u/>
      <sz val="11"/>
      <color theme="4"/>
      <name val="Calibri"/>
      <family val="2"/>
      <scheme val="minor"/>
    </font>
    <font>
      <b/>
      <u/>
      <sz val="18"/>
      <color theme="1"/>
      <name val="Calibri"/>
      <family val="2"/>
      <scheme val="minor"/>
    </font>
  </fonts>
  <fills count="11">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rgb="FF148A1A"/>
        <bgColor indexed="64"/>
      </patternFill>
    </fill>
    <fill>
      <patternFill patternType="solid">
        <fgColor theme="6" tint="0.79998168889431442"/>
        <bgColor indexed="65"/>
      </patternFill>
    </fill>
    <fill>
      <patternFill patternType="solid">
        <fgColor theme="8"/>
      </patternFill>
    </fill>
    <fill>
      <patternFill patternType="solid">
        <fgColor theme="8"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9" tint="0.79998168889431442"/>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0" fontId="1" fillId="0" borderId="0" applyNumberFormat="0" applyFill="0" applyBorder="0" applyAlignment="0" applyProtection="0"/>
    <xf numFmtId="9" fontId="7" fillId="0" borderId="0" applyFont="0" applyFill="0" applyBorder="0" applyAlignment="0" applyProtection="0"/>
    <xf numFmtId="0" fontId="7" fillId="5" borderId="0" applyNumberFormat="0" applyBorder="0" applyAlignment="0" applyProtection="0"/>
    <xf numFmtId="0" fontId="19"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cellStyleXfs>
  <cellXfs count="128">
    <xf numFmtId="0" fontId="0" fillId="0" borderId="0" xfId="0"/>
    <xf numFmtId="0" fontId="4" fillId="0" borderId="0" xfId="0" applyFont="1"/>
    <xf numFmtId="0" fontId="2" fillId="2" borderId="5" xfId="0" applyFont="1" applyFill="1" applyBorder="1" applyAlignment="1">
      <alignment horizontal="left" vertical="center" textRotation="90"/>
    </xf>
    <xf numFmtId="0" fontId="2" fillId="2" borderId="5" xfId="0" applyFont="1" applyFill="1" applyBorder="1" applyAlignment="1">
      <alignment horizontal="left" vertical="center" textRotation="90" wrapText="1"/>
    </xf>
    <xf numFmtId="0" fontId="0" fillId="0" borderId="0" xfId="0" applyAlignment="1">
      <alignment horizontal="center" vertical="center"/>
    </xf>
    <xf numFmtId="0" fontId="2" fillId="2" borderId="4" xfId="0" applyFont="1" applyFill="1" applyBorder="1" applyAlignment="1">
      <alignment horizontal="center" vertical="center" wrapText="1"/>
    </xf>
    <xf numFmtId="0" fontId="0" fillId="0" borderId="0" xfId="0" applyAlignment="1">
      <alignment wrapText="1"/>
    </xf>
    <xf numFmtId="0" fontId="2" fillId="0" borderId="0" xfId="0" applyFont="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center"/>
    </xf>
    <xf numFmtId="0" fontId="2" fillId="0" borderId="1" xfId="0" applyFont="1" applyBorder="1" applyAlignment="1">
      <alignment horizontal="center" vertical="center" wrapText="1"/>
    </xf>
    <xf numFmtId="0" fontId="9" fillId="0" borderId="0" xfId="0" applyFont="1" applyAlignment="1">
      <alignment horizontal="center" vertical="center"/>
    </xf>
    <xf numFmtId="0" fontId="2" fillId="0" borderId="0" xfId="0" applyFont="1" applyAlignment="1">
      <alignment vertical="center"/>
    </xf>
    <xf numFmtId="0" fontId="0" fillId="0" borderId="1" xfId="0" applyBorder="1"/>
    <xf numFmtId="0" fontId="9" fillId="0" borderId="0" xfId="0" applyFont="1" applyAlignment="1">
      <alignment horizontal="center"/>
    </xf>
    <xf numFmtId="0" fontId="2" fillId="0" borderId="0" xfId="0" applyFont="1" applyAlignment="1">
      <alignment horizontal="center"/>
    </xf>
    <xf numFmtId="0" fontId="2" fillId="0" borderId="1" xfId="0" applyFont="1" applyBorder="1"/>
    <xf numFmtId="10" fontId="0" fillId="0" borderId="1" xfId="2" applyNumberFormat="1" applyFont="1" applyFill="1" applyBorder="1" applyAlignment="1">
      <alignment horizontal="center"/>
    </xf>
    <xf numFmtId="0" fontId="2" fillId="0" borderId="2" xfId="0" applyFont="1" applyBorder="1"/>
    <xf numFmtId="0" fontId="0" fillId="0" borderId="0" xfId="0" applyAlignment="1">
      <alignment vertical="center"/>
    </xf>
    <xf numFmtId="0" fontId="9" fillId="0" borderId="0" xfId="0" applyFont="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10" fontId="0" fillId="0" borderId="1" xfId="2" applyNumberFormat="1" applyFont="1" applyBorder="1" applyAlignment="1">
      <alignment horizontal="center" vertical="center"/>
    </xf>
    <xf numFmtId="10" fontId="0" fillId="0" borderId="0" xfId="0" applyNumberFormat="1"/>
    <xf numFmtId="0" fontId="10" fillId="0" borderId="0" xfId="0" applyFont="1"/>
    <xf numFmtId="0" fontId="10" fillId="0" borderId="0" xfId="0" applyFont="1" applyAlignment="1">
      <alignment vertical="center"/>
    </xf>
    <xf numFmtId="0" fontId="0" fillId="0" borderId="2" xfId="0" applyBorder="1"/>
    <xf numFmtId="0" fontId="0" fillId="0" borderId="3" xfId="0" applyBorder="1"/>
    <xf numFmtId="2" fontId="0" fillId="0" borderId="1" xfId="0" applyNumberFormat="1" applyBorder="1" applyAlignment="1">
      <alignment horizontal="center"/>
    </xf>
    <xf numFmtId="0" fontId="2" fillId="0" borderId="2" xfId="0" applyFont="1" applyBorder="1" applyAlignment="1">
      <alignment horizontal="left"/>
    </xf>
    <xf numFmtId="0" fontId="2" fillId="0" borderId="0" xfId="0" applyFont="1" applyAlignment="1">
      <alignment horizontal="center" vertical="center" wrapText="1"/>
    </xf>
    <xf numFmtId="10" fontId="0" fillId="0" borderId="0" xfId="2" applyNumberFormat="1" applyFont="1" applyBorder="1" applyAlignment="1">
      <alignment horizontal="center"/>
    </xf>
    <xf numFmtId="0" fontId="0" fillId="0" borderId="1" xfId="2" applyNumberFormat="1" applyFont="1" applyBorder="1" applyAlignment="1">
      <alignment horizontal="center"/>
    </xf>
    <xf numFmtId="0" fontId="2" fillId="0" borderId="0" xfId="0" applyFont="1"/>
    <xf numFmtId="10" fontId="0" fillId="0" borderId="0" xfId="2" applyNumberFormat="1" applyFont="1" applyBorder="1" applyAlignment="1">
      <alignment horizontal="center" vertical="center"/>
    </xf>
    <xf numFmtId="0" fontId="0" fillId="0" borderId="1" xfId="0" applyBorder="1" applyAlignment="1">
      <alignment horizontal="center" vertical="center" textRotation="90"/>
    </xf>
    <xf numFmtId="0" fontId="0" fillId="0" borderId="1" xfId="0" applyBorder="1" applyAlignment="1">
      <alignment horizontal="center" vertical="center" wrapText="1"/>
    </xf>
    <xf numFmtId="0" fontId="0" fillId="0" borderId="1" xfId="0" applyBorder="1" applyAlignment="1">
      <alignment wrapText="1"/>
    </xf>
    <xf numFmtId="0" fontId="11" fillId="0" borderId="1" xfId="0" applyFont="1" applyBorder="1" applyAlignment="1">
      <alignment wrapText="1"/>
    </xf>
    <xf numFmtId="0" fontId="13" fillId="0" borderId="1" xfId="0" applyFont="1" applyBorder="1" applyAlignment="1">
      <alignment wrapText="1"/>
    </xf>
    <xf numFmtId="0" fontId="16" fillId="0" borderId="1" xfId="0" applyFont="1" applyBorder="1" applyAlignment="1">
      <alignment wrapText="1"/>
    </xf>
    <xf numFmtId="0" fontId="18" fillId="6" borderId="1" xfId="4" applyFont="1" applyBorder="1" applyAlignment="1">
      <alignment horizontal="center" vertical="center" textRotation="90" wrapText="1"/>
    </xf>
    <xf numFmtId="10" fontId="7" fillId="7" borderId="1" xfId="5" applyNumberFormat="1" applyBorder="1" applyAlignment="1">
      <alignment horizontal="right" vertical="center"/>
    </xf>
    <xf numFmtId="10" fontId="7" fillId="5" borderId="1" xfId="3" applyNumberFormat="1" applyBorder="1" applyAlignment="1">
      <alignment horizontal="right" vertical="center"/>
    </xf>
    <xf numFmtId="0" fontId="18" fillId="6" borderId="1" xfId="4" applyFont="1" applyBorder="1" applyAlignment="1">
      <alignment horizontal="left" vertical="center"/>
    </xf>
    <xf numFmtId="0" fontId="18" fillId="6" borderId="1" xfId="4" applyFont="1" applyBorder="1" applyAlignment="1">
      <alignment horizontal="center" vertical="center"/>
    </xf>
    <xf numFmtId="0" fontId="18" fillId="6" borderId="0" xfId="4" applyFont="1" applyBorder="1" applyAlignment="1">
      <alignment horizontal="left" vertical="center"/>
    </xf>
    <xf numFmtId="10" fontId="7" fillId="5" borderId="0" xfId="3" applyNumberFormat="1" applyBorder="1" applyAlignment="1">
      <alignment horizontal="right" vertical="center"/>
    </xf>
    <xf numFmtId="0" fontId="0" fillId="0" borderId="0" xfId="0" applyAlignment="1">
      <alignment horizontal="center"/>
    </xf>
    <xf numFmtId="10" fontId="0" fillId="0" borderId="0" xfId="2" applyNumberFormat="1" applyFont="1" applyFill="1" applyBorder="1" applyAlignment="1">
      <alignment horizontal="center"/>
    </xf>
    <xf numFmtId="10" fontId="0" fillId="0" borderId="2" xfId="2" applyNumberFormat="1" applyFont="1" applyBorder="1" applyAlignment="1">
      <alignment horizontal="center"/>
    </xf>
    <xf numFmtId="0" fontId="0" fillId="0" borderId="6" xfId="0" applyBorder="1" applyAlignment="1">
      <alignment horizontal="center"/>
    </xf>
    <xf numFmtId="0" fontId="2" fillId="2" borderId="1" xfId="0" applyFont="1" applyFill="1" applyBorder="1" applyAlignment="1">
      <alignment horizontal="center" vertical="center" textRotation="90"/>
    </xf>
    <xf numFmtId="0" fontId="2" fillId="2" borderId="1" xfId="0" applyFont="1" applyFill="1" applyBorder="1" applyAlignment="1">
      <alignment horizontal="center" vertical="center" wrapText="1"/>
    </xf>
    <xf numFmtId="16" fontId="0" fillId="0" borderId="1" xfId="0" quotePrefix="1" applyNumberFormat="1" applyBorder="1"/>
    <xf numFmtId="0" fontId="0" fillId="0" borderId="1" xfId="0" quotePrefix="1" applyBorder="1"/>
    <xf numFmtId="17" fontId="0" fillId="0" borderId="1" xfId="0" quotePrefix="1" applyNumberFormat="1" applyBorder="1"/>
    <xf numFmtId="0" fontId="2" fillId="0" borderId="6" xfId="0" applyFont="1" applyBorder="1"/>
    <xf numFmtId="0" fontId="0" fillId="0" borderId="6" xfId="0" applyBorder="1"/>
    <xf numFmtId="10" fontId="0" fillId="0" borderId="6" xfId="2" applyNumberFormat="1" applyFont="1" applyBorder="1" applyAlignment="1">
      <alignment horizontal="center"/>
    </xf>
    <xf numFmtId="164" fontId="0" fillId="0" borderId="1" xfId="2" applyNumberFormat="1" applyFont="1" applyBorder="1" applyAlignment="1">
      <alignment horizontal="center"/>
    </xf>
    <xf numFmtId="0" fontId="2" fillId="2" borderId="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2" fillId="0" borderId="1" xfId="0" applyFont="1" applyBorder="1" applyAlignment="1">
      <alignment horizontal="center" wrapText="1"/>
    </xf>
    <xf numFmtId="0" fontId="2" fillId="0" borderId="1" xfId="0" applyFont="1" applyBorder="1" applyAlignment="1">
      <alignment horizontal="center" wrapText="1"/>
    </xf>
    <xf numFmtId="0" fontId="2" fillId="0" borderId="4" xfId="0" applyFont="1" applyBorder="1" applyAlignment="1">
      <alignment horizontal="center" wrapText="1"/>
    </xf>
    <xf numFmtId="0" fontId="2" fillId="2" borderId="5" xfId="0" applyFont="1" applyFill="1" applyBorder="1" applyAlignment="1">
      <alignment horizontal="center" vertical="center"/>
    </xf>
    <xf numFmtId="0" fontId="2" fillId="2" borderId="5" xfId="0" applyFont="1" applyFill="1" applyBorder="1" applyAlignment="1">
      <alignment horizontal="center" vertical="center" textRotation="90"/>
    </xf>
    <xf numFmtId="0" fontId="2" fillId="2" borderId="1" xfId="0" applyFont="1" applyFill="1" applyBorder="1" applyAlignment="1">
      <alignment horizontal="center" vertical="center" textRotation="90" wrapText="1"/>
    </xf>
    <xf numFmtId="0" fontId="4" fillId="0" borderId="1" xfId="0" applyFont="1" applyBorder="1"/>
    <xf numFmtId="0" fontId="2" fillId="3" borderId="1" xfId="0" applyFont="1" applyFill="1" applyBorder="1"/>
    <xf numFmtId="0" fontId="1" fillId="3" borderId="1" xfId="1" applyFill="1" applyBorder="1" applyAlignment="1">
      <alignment vertical="center"/>
    </xf>
    <xf numFmtId="0" fontId="3" fillId="0" borderId="1" xfId="1" applyFont="1" applyFill="1" applyBorder="1" applyAlignment="1">
      <alignment horizontal="center" vertical="center"/>
    </xf>
    <xf numFmtId="0" fontId="5" fillId="0" borderId="1" xfId="0" applyFont="1" applyBorder="1" applyAlignment="1">
      <alignment horizontal="center" vertical="center"/>
    </xf>
    <xf numFmtId="0" fontId="0" fillId="0" borderId="5" xfId="0" applyBorder="1" applyAlignment="1">
      <alignment horizontal="center" vertical="center" textRotation="90"/>
    </xf>
    <xf numFmtId="0" fontId="0" fillId="0" borderId="5" xfId="0" applyBorder="1"/>
    <xf numFmtId="0" fontId="0" fillId="0" borderId="5" xfId="0" applyBorder="1" applyAlignment="1">
      <alignment horizontal="center" vertical="center"/>
    </xf>
    <xf numFmtId="0" fontId="0" fillId="0" borderId="5" xfId="0" applyBorder="1" applyAlignment="1">
      <alignment wrapText="1"/>
    </xf>
    <xf numFmtId="0" fontId="11" fillId="0" borderId="5" xfId="0" applyFont="1" applyBorder="1" applyAlignment="1">
      <alignment wrapText="1"/>
    </xf>
    <xf numFmtId="0" fontId="24" fillId="2" borderId="0" xfId="0" applyFont="1" applyFill="1"/>
    <xf numFmtId="0" fontId="23" fillId="2" borderId="7" xfId="0" applyFont="1" applyFill="1" applyBorder="1" applyAlignment="1">
      <alignment horizontal="center" vertical="center"/>
    </xf>
    <xf numFmtId="0" fontId="24" fillId="2" borderId="6" xfId="0" applyFont="1" applyFill="1" applyBorder="1"/>
    <xf numFmtId="0" fontId="24" fillId="2" borderId="7" xfId="0" applyFont="1" applyFill="1" applyBorder="1"/>
    <xf numFmtId="0" fontId="2" fillId="2" borderId="10" xfId="0" applyFont="1" applyFill="1" applyBorder="1" applyAlignment="1">
      <alignment horizontal="center" vertical="center" textRotation="90"/>
    </xf>
    <xf numFmtId="0" fontId="7" fillId="10" borderId="1" xfId="8" applyBorder="1" applyAlignment="1">
      <alignment horizontal="center" vertical="center"/>
    </xf>
    <xf numFmtId="0" fontId="7" fillId="10" borderId="1" xfId="8" applyBorder="1"/>
    <xf numFmtId="0" fontId="24" fillId="2" borderId="9" xfId="0" applyFont="1" applyFill="1" applyBorder="1"/>
    <xf numFmtId="0" fontId="24" fillId="2" borderId="4" xfId="0" applyFont="1" applyFill="1" applyBorder="1"/>
    <xf numFmtId="0" fontId="2" fillId="2" borderId="5" xfId="0" applyFont="1" applyFill="1" applyBorder="1" applyAlignment="1">
      <alignment horizontal="center" vertical="center" textRotation="90" wrapText="1"/>
    </xf>
    <xf numFmtId="0" fontId="2" fillId="2" borderId="11" xfId="0" applyFont="1" applyFill="1" applyBorder="1" applyAlignment="1">
      <alignment horizontal="center" vertical="center" textRotation="90"/>
    </xf>
    <xf numFmtId="0" fontId="7" fillId="9" borderId="5" xfId="7" applyBorder="1" applyAlignment="1">
      <alignment horizontal="center" vertical="center"/>
    </xf>
    <xf numFmtId="0" fontId="7" fillId="9" borderId="1" xfId="7" applyBorder="1" applyAlignment="1">
      <alignment horizontal="center" vertical="center"/>
    </xf>
    <xf numFmtId="0" fontId="25" fillId="8" borderId="5" xfId="6" applyFont="1" applyBorder="1" applyAlignment="1">
      <alignment vertical="center" wrapText="1"/>
    </xf>
    <xf numFmtId="0" fontId="25" fillId="8" borderId="1" xfId="6" applyFont="1" applyBorder="1" applyAlignment="1">
      <alignment vertical="center" wrapText="1"/>
    </xf>
    <xf numFmtId="0" fontId="7" fillId="10" borderId="5" xfId="8" applyBorder="1" applyAlignment="1">
      <alignment horizontal="center" vertical="center"/>
    </xf>
    <xf numFmtId="0" fontId="7" fillId="10" borderId="5" xfId="8" applyBorder="1" applyAlignment="1">
      <alignment horizontal="center" vertical="center" wrapText="1"/>
    </xf>
    <xf numFmtId="0" fontId="7" fillId="10" borderId="1" xfId="8" applyBorder="1" applyAlignment="1">
      <alignment horizontal="center" vertical="center" wrapText="1"/>
    </xf>
    <xf numFmtId="0" fontId="7" fillId="10" borderId="5" xfId="8" applyBorder="1"/>
    <xf numFmtId="0" fontId="7" fillId="10" borderId="1" xfId="8" applyBorder="1" applyAlignment="1">
      <alignment wrapText="1"/>
    </xf>
    <xf numFmtId="0" fontId="21" fillId="0" borderId="1" xfId="0" applyFont="1" applyBorder="1" applyAlignment="1">
      <alignment horizontal="center" vertical="center" wrapText="1"/>
    </xf>
    <xf numFmtId="0" fontId="2" fillId="2" borderId="7" xfId="0" applyFont="1" applyFill="1" applyBorder="1" applyAlignment="1">
      <alignment horizontal="left" vertical="center" textRotation="90"/>
    </xf>
    <xf numFmtId="0" fontId="2" fillId="2" borderId="7" xfId="0" applyFont="1" applyFill="1" applyBorder="1" applyAlignment="1">
      <alignment horizontal="left" vertical="center" textRotation="90" wrapText="1"/>
    </xf>
    <xf numFmtId="0" fontId="1" fillId="0" borderId="1" xfId="1" applyBorder="1" applyAlignment="1">
      <alignment vertical="center"/>
    </xf>
    <xf numFmtId="0" fontId="0" fillId="4" borderId="1" xfId="0" applyFill="1" applyBorder="1" applyAlignment="1">
      <alignment horizontal="center" vertical="center" wrapText="1"/>
    </xf>
    <xf numFmtId="0" fontId="8" fillId="0" borderId="1" xfId="0" applyFont="1" applyBorder="1"/>
    <xf numFmtId="0" fontId="1" fillId="0" borderId="1" xfId="1" applyBorder="1" applyAlignment="1">
      <alignment vertical="center" wrapText="1"/>
    </xf>
    <xf numFmtId="0" fontId="2" fillId="0" borderId="0" xfId="0" quotePrefix="1" applyFont="1"/>
    <xf numFmtId="0" fontId="26" fillId="0" borderId="0" xfId="0" applyFont="1"/>
    <xf numFmtId="0" fontId="3" fillId="0" borderId="1" xfId="0" applyFont="1"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textRotation="90"/>
    </xf>
    <xf numFmtId="0" fontId="2" fillId="2" borderId="7" xfId="0" applyFont="1" applyFill="1" applyBorder="1" applyAlignment="1">
      <alignment horizontal="center" vertical="center" textRotation="90"/>
    </xf>
    <xf numFmtId="0" fontId="2" fillId="2" borderId="4" xfId="0" applyFont="1" applyFill="1" applyBorder="1" applyAlignment="1">
      <alignment horizontal="center" vertical="center" textRotation="90"/>
    </xf>
    <xf numFmtId="0" fontId="2" fillId="2" borderId="1" xfId="0" applyFont="1" applyFill="1" applyBorder="1" applyAlignment="1">
      <alignment horizontal="center" vertical="center" textRotation="90"/>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2" fillId="2" borderId="1" xfId="0" applyFont="1" applyFill="1" applyBorder="1" applyAlignment="1">
      <alignment horizontal="center" wrapText="1"/>
    </xf>
    <xf numFmtId="0" fontId="7" fillId="10" borderId="1" xfId="8" applyBorder="1" applyAlignment="1">
      <alignment horizontal="center"/>
    </xf>
  </cellXfs>
  <cellStyles count="9">
    <cellStyle name="20% - Énfasis3" xfId="3" builtinId="38"/>
    <cellStyle name="20% - Énfasis5" xfId="5" builtinId="46"/>
    <cellStyle name="20% - Énfasis6" xfId="8" builtinId="50"/>
    <cellStyle name="40% - Énfasis3" xfId="6" builtinId="39"/>
    <cellStyle name="60% - Énfasis3" xfId="7" builtinId="40"/>
    <cellStyle name="Énfasis5" xfId="4" builtinId="45"/>
    <cellStyle name="Hipervínculo" xfId="1" builtinId="8"/>
    <cellStyle name="Normal" xfId="0" builtinId="0"/>
    <cellStyle name="Porcentaje" xfId="2" builtinId="5"/>
  </cellStyles>
  <dxfs count="43">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theme="4" tint="-0.499984740745262"/>
      </font>
      <fill>
        <patternFill patternType="solid">
          <bgColor theme="4"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7030A0"/>
      </font>
      <fill>
        <patternFill>
          <bgColor rgb="FFCC99FF"/>
        </patternFill>
      </fill>
    </dxf>
  </dxfs>
  <tableStyles count="0" defaultTableStyle="TableStyleMedium2" defaultPivotStyle="PivotStyleLight16"/>
  <colors>
    <mruColors>
      <color rgb="FF148A1A"/>
      <color rgb="FF87CA66"/>
      <color rgb="FFEBDDFF"/>
      <color rgb="FFDFF5DF"/>
      <color rgb="FFFEF0F0"/>
      <color rgb="FF3DE345"/>
      <color rgb="FF9DF1A1"/>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Generales</a:t>
            </a:r>
          </a:p>
        </c:rich>
      </c:tx>
      <c:layout>
        <c:manualLayout>
          <c:xMode val="edge"/>
          <c:yMode val="edge"/>
          <c:x val="0.38126262894258212"/>
          <c:y val="6.843653578207586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7.4914314719728911E-2"/>
          <c:y val="9.2733395127930607E-2"/>
          <c:w val="0.8718558063267523"/>
          <c:h val="0.83085076171183647"/>
        </c:manualLayout>
      </c:layout>
      <c:barChart>
        <c:barDir val="col"/>
        <c:grouping val="clustered"/>
        <c:varyColors val="0"/>
        <c:ser>
          <c:idx val="0"/>
          <c:order val="0"/>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0D64-4589-B813-235FE120CF63}"/>
              </c:ext>
            </c:extLst>
          </c:dPt>
          <c:dPt>
            <c:idx val="2"/>
            <c:invertIfNegative val="0"/>
            <c:bubble3D val="0"/>
            <c:spPr>
              <a:solidFill>
                <a:schemeClr val="bg1">
                  <a:lumMod val="65000"/>
                </a:schemeClr>
              </a:solidFill>
              <a:ln>
                <a:noFill/>
              </a:ln>
              <a:effectLst/>
            </c:spPr>
            <c:extLst>
              <c:ext xmlns:c16="http://schemas.microsoft.com/office/drawing/2014/chart" uri="{C3380CC4-5D6E-409C-BE32-E72D297353CC}">
                <c16:uniqueId val="{00000002-0D64-4589-B813-235FE120CF63}"/>
              </c:ext>
            </c:extLst>
          </c:dPt>
          <c:dPt>
            <c:idx val="3"/>
            <c:invertIfNegative val="0"/>
            <c:bubble3D val="0"/>
            <c:spPr>
              <a:solidFill>
                <a:srgbClr val="FFC000"/>
              </a:solidFill>
              <a:ln>
                <a:noFill/>
              </a:ln>
              <a:effectLst/>
            </c:spPr>
            <c:extLst>
              <c:ext xmlns:c16="http://schemas.microsoft.com/office/drawing/2014/chart" uri="{C3380CC4-5D6E-409C-BE32-E72D297353CC}">
                <c16:uniqueId val="{00000003-0D64-4589-B813-235FE120CF63}"/>
              </c:ext>
            </c:extLst>
          </c:dPt>
          <c:cat>
            <c:strRef>
              <c:f>Cálculos!$B$18:$B$21</c:f>
              <c:strCache>
                <c:ptCount val="4"/>
                <c:pt idx="0">
                  <c:v>Positivo</c:v>
                </c:pt>
                <c:pt idx="1">
                  <c:v>Negativo</c:v>
                </c:pt>
                <c:pt idx="2">
                  <c:v>Neutro</c:v>
                </c:pt>
                <c:pt idx="3">
                  <c:v>No descrito</c:v>
                </c:pt>
              </c:strCache>
            </c:strRef>
          </c:cat>
          <c:val>
            <c:numRef>
              <c:f>Cálculos!$C$18:$C$21</c:f>
              <c:numCache>
                <c:formatCode>General</c:formatCode>
                <c:ptCount val="4"/>
                <c:pt idx="0">
                  <c:v>78</c:v>
                </c:pt>
                <c:pt idx="1">
                  <c:v>5</c:v>
                </c:pt>
                <c:pt idx="2">
                  <c:v>15</c:v>
                </c:pt>
                <c:pt idx="3">
                  <c:v>7</c:v>
                </c:pt>
              </c:numCache>
            </c:numRef>
          </c:val>
          <c:extLst>
            <c:ext xmlns:c16="http://schemas.microsoft.com/office/drawing/2014/chart" uri="{C3380CC4-5D6E-409C-BE32-E72D297353CC}">
              <c16:uniqueId val="{00000000-0D64-4589-B813-235FE120CF63}"/>
            </c:ext>
          </c:extLst>
        </c:ser>
        <c:dLbls>
          <c:showLegendKey val="0"/>
          <c:showVal val="0"/>
          <c:showCatName val="0"/>
          <c:showSerName val="0"/>
          <c:showPercent val="0"/>
          <c:showBubbleSize val="0"/>
        </c:dLbls>
        <c:gapWidth val="219"/>
        <c:overlap val="-27"/>
        <c:axId val="482585504"/>
        <c:axId val="64689664"/>
      </c:barChart>
      <c:catAx>
        <c:axId val="48258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4689664"/>
        <c:crosses val="autoZero"/>
        <c:auto val="1"/>
        <c:lblAlgn val="ctr"/>
        <c:lblOffset val="100"/>
        <c:noMultiLvlLbl val="0"/>
      </c:catAx>
      <c:valAx>
        <c:axId val="6468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258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participantes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Cálculos!$B$175:$B$181</c:f>
              <c:strCache>
                <c:ptCount val="7"/>
                <c:pt idx="0">
                  <c:v>0-10</c:v>
                </c:pt>
                <c:pt idx="1">
                  <c:v>11-20</c:v>
                </c:pt>
                <c:pt idx="2">
                  <c:v>21-40</c:v>
                </c:pt>
                <c:pt idx="3">
                  <c:v>41-80</c:v>
                </c:pt>
                <c:pt idx="4">
                  <c:v>81-160</c:v>
                </c:pt>
                <c:pt idx="5">
                  <c:v>161-320</c:v>
                </c:pt>
                <c:pt idx="6">
                  <c:v>321-640</c:v>
                </c:pt>
              </c:strCache>
            </c:strRef>
          </c:cat>
          <c:val>
            <c:numRef>
              <c:f>Cálculos!$D$175:$D$181</c:f>
              <c:numCache>
                <c:formatCode>General</c:formatCode>
                <c:ptCount val="7"/>
                <c:pt idx="0">
                  <c:v>3</c:v>
                </c:pt>
                <c:pt idx="1">
                  <c:v>13</c:v>
                </c:pt>
                <c:pt idx="2">
                  <c:v>13</c:v>
                </c:pt>
                <c:pt idx="3">
                  <c:v>28</c:v>
                </c:pt>
                <c:pt idx="4">
                  <c:v>13</c:v>
                </c:pt>
                <c:pt idx="5">
                  <c:v>8</c:v>
                </c:pt>
                <c:pt idx="6">
                  <c:v>7</c:v>
                </c:pt>
              </c:numCache>
            </c:numRef>
          </c:val>
          <c:extLst>
            <c:ext xmlns:c16="http://schemas.microsoft.com/office/drawing/2014/chart" uri="{C3380CC4-5D6E-409C-BE32-E72D297353CC}">
              <c16:uniqueId val="{00000000-FAC2-41E9-B540-1F4AE8129F1C}"/>
            </c:ext>
          </c:extLst>
        </c:ser>
        <c:dLbls>
          <c:dLblPos val="outEnd"/>
          <c:showLegendKey val="0"/>
          <c:showVal val="1"/>
          <c:showCatName val="0"/>
          <c:showSerName val="0"/>
          <c:showPercent val="0"/>
          <c:showBubbleSize val="0"/>
        </c:dLbls>
        <c:gapWidth val="219"/>
        <c:overlap val="-27"/>
        <c:axId val="2061626831"/>
        <c:axId val="2061628079"/>
      </c:barChart>
      <c:catAx>
        <c:axId val="206162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participantes</a:t>
                </a:r>
              </a:p>
            </c:rich>
          </c:tx>
          <c:layout>
            <c:manualLayout>
              <c:xMode val="edge"/>
              <c:yMode val="edge"/>
              <c:x val="0.4215404636920385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8079"/>
        <c:crosses val="autoZero"/>
        <c:auto val="1"/>
        <c:lblAlgn val="ctr"/>
        <c:lblOffset val="100"/>
        <c:noMultiLvlLbl val="0"/>
      </c:catAx>
      <c:valAx>
        <c:axId val="2061628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a:t>
                </a:r>
                <a:r>
                  <a:rPr lang="en-GB" baseline="0"/>
                  <a:t> experiencias</a:t>
                </a:r>
                <a:endParaRPr lang="en-GB"/>
              </a:p>
            </c:rich>
          </c:tx>
          <c:layout>
            <c:manualLayout>
              <c:xMode val="edge"/>
              <c:yMode val="edge"/>
              <c:x val="2.7777777777777776E-2"/>
              <c:y val="0.333221420239136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61626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Distribución</a:t>
            </a:r>
            <a:r>
              <a:rPr lang="en-US" baseline="0"/>
              <a:t> por grupos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Cálculos!$B$189:$B$196</c:f>
              <c:strCache>
                <c:ptCount val="8"/>
                <c:pt idx="0">
                  <c:v>2</c:v>
                </c:pt>
                <c:pt idx="1">
                  <c:v>3</c:v>
                </c:pt>
                <c:pt idx="2">
                  <c:v>4</c:v>
                </c:pt>
                <c:pt idx="3">
                  <c:v>5</c:v>
                </c:pt>
                <c:pt idx="4">
                  <c:v>De 6-10</c:v>
                </c:pt>
                <c:pt idx="5">
                  <c:v>De 11-15</c:v>
                </c:pt>
                <c:pt idx="6">
                  <c:v>De 15-20</c:v>
                </c:pt>
                <c:pt idx="7">
                  <c:v>De 20-30</c:v>
                </c:pt>
              </c:strCache>
            </c:strRef>
          </c:cat>
          <c:val>
            <c:numRef>
              <c:f>Cálculos!$D$189:$D$196</c:f>
              <c:numCache>
                <c:formatCode>General</c:formatCode>
                <c:ptCount val="8"/>
                <c:pt idx="0">
                  <c:v>18</c:v>
                </c:pt>
                <c:pt idx="1">
                  <c:v>6</c:v>
                </c:pt>
                <c:pt idx="2">
                  <c:v>0</c:v>
                </c:pt>
                <c:pt idx="3">
                  <c:v>1</c:v>
                </c:pt>
                <c:pt idx="4">
                  <c:v>4</c:v>
                </c:pt>
                <c:pt idx="5">
                  <c:v>0</c:v>
                </c:pt>
                <c:pt idx="6">
                  <c:v>1</c:v>
                </c:pt>
                <c:pt idx="7">
                  <c:v>1</c:v>
                </c:pt>
              </c:numCache>
            </c:numRef>
          </c:val>
          <c:extLst>
            <c:ext xmlns:c16="http://schemas.microsoft.com/office/drawing/2014/chart" uri="{C3380CC4-5D6E-409C-BE32-E72D297353CC}">
              <c16:uniqueId val="{00000000-7251-41D5-88D4-B30714C6E200}"/>
            </c:ext>
          </c:extLst>
        </c:ser>
        <c:dLbls>
          <c:dLblPos val="outEnd"/>
          <c:showLegendKey val="0"/>
          <c:showVal val="1"/>
          <c:showCatName val="0"/>
          <c:showSerName val="0"/>
          <c:showPercent val="0"/>
          <c:showBubbleSize val="0"/>
        </c:dLbls>
        <c:gapWidth val="219"/>
        <c:overlap val="-27"/>
        <c:axId val="1974833231"/>
        <c:axId val="1974833647"/>
      </c:barChart>
      <c:catAx>
        <c:axId val="197483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grupos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647"/>
        <c:crosses val="autoZero"/>
        <c:auto val="1"/>
        <c:lblAlgn val="ctr"/>
        <c:lblOffset val="100"/>
        <c:noMultiLvlLbl val="0"/>
      </c:catAx>
      <c:valAx>
        <c:axId val="197483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4833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Tamaño de los grupos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v>Grupos experimentales</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Cálculos!$B$202:$B$208</c:f>
              <c:strCache>
                <c:ptCount val="7"/>
                <c:pt idx="0">
                  <c:v>0-5</c:v>
                </c:pt>
                <c:pt idx="1">
                  <c:v>6-10</c:v>
                </c:pt>
                <c:pt idx="2">
                  <c:v>11-20</c:v>
                </c:pt>
                <c:pt idx="3">
                  <c:v>21-40</c:v>
                </c:pt>
                <c:pt idx="4">
                  <c:v>41-80</c:v>
                </c:pt>
                <c:pt idx="5">
                  <c:v>81-160</c:v>
                </c:pt>
                <c:pt idx="6">
                  <c:v>161-320</c:v>
                </c:pt>
              </c:strCache>
            </c:strRef>
          </c:cat>
          <c:val>
            <c:numRef>
              <c:f>Cálculos!$D$202:$D$208</c:f>
              <c:numCache>
                <c:formatCode>General</c:formatCode>
                <c:ptCount val="7"/>
                <c:pt idx="0">
                  <c:v>7</c:v>
                </c:pt>
                <c:pt idx="1">
                  <c:v>1</c:v>
                </c:pt>
                <c:pt idx="2">
                  <c:v>6</c:v>
                </c:pt>
                <c:pt idx="3">
                  <c:v>9</c:v>
                </c:pt>
                <c:pt idx="4">
                  <c:v>5</c:v>
                </c:pt>
                <c:pt idx="5">
                  <c:v>4</c:v>
                </c:pt>
                <c:pt idx="6">
                  <c:v>1</c:v>
                </c:pt>
              </c:numCache>
            </c:numRef>
          </c:val>
          <c:extLst>
            <c:ext xmlns:c16="http://schemas.microsoft.com/office/drawing/2014/chart" uri="{C3380CC4-5D6E-409C-BE32-E72D297353CC}">
              <c16:uniqueId val="{00000000-5F39-4C77-8BDD-AAE680434910}"/>
            </c:ext>
          </c:extLst>
        </c:ser>
        <c:ser>
          <c:idx val="1"/>
          <c:order val="1"/>
          <c:tx>
            <c:v>Grupos de control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Cálculos!$D$215:$D$221</c:f>
              <c:numCache>
                <c:formatCode>General</c:formatCode>
                <c:ptCount val="7"/>
                <c:pt idx="0">
                  <c:v>0</c:v>
                </c:pt>
                <c:pt idx="1">
                  <c:v>1</c:v>
                </c:pt>
                <c:pt idx="2">
                  <c:v>2</c:v>
                </c:pt>
                <c:pt idx="3">
                  <c:v>8</c:v>
                </c:pt>
                <c:pt idx="4">
                  <c:v>6</c:v>
                </c:pt>
                <c:pt idx="5">
                  <c:v>0</c:v>
                </c:pt>
                <c:pt idx="6">
                  <c:v>2</c:v>
                </c:pt>
              </c:numCache>
            </c:numRef>
          </c:val>
          <c:extLst>
            <c:ext xmlns:c16="http://schemas.microsoft.com/office/drawing/2014/chart" uri="{C3380CC4-5D6E-409C-BE32-E72D297353CC}">
              <c16:uniqueId val="{00000004-3283-4C31-A574-C9154B43E31B}"/>
            </c:ext>
          </c:extLst>
        </c:ser>
        <c:dLbls>
          <c:dLblPos val="outEnd"/>
          <c:showLegendKey val="0"/>
          <c:showVal val="1"/>
          <c:showCatName val="0"/>
          <c:showSerName val="0"/>
          <c:showPercent val="0"/>
          <c:showBubbleSize val="0"/>
        </c:dLbls>
        <c:gapWidth val="219"/>
        <c:overlap val="-27"/>
        <c:axId val="1971543647"/>
        <c:axId val="1971541983"/>
      </c:barChart>
      <c:catAx>
        <c:axId val="1971543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Participantes/grupo</a:t>
                </a:r>
              </a:p>
            </c:rich>
          </c:tx>
          <c:layout>
            <c:manualLayout>
              <c:xMode val="edge"/>
              <c:yMode val="edge"/>
              <c:x val="0.42679250123251444"/>
              <c:y val="0.825541748491757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1983"/>
        <c:crosses val="autoZero"/>
        <c:auto val="1"/>
        <c:lblAlgn val="ctr"/>
        <c:lblOffset val="100"/>
        <c:noMultiLvlLbl val="0"/>
      </c:catAx>
      <c:valAx>
        <c:axId val="1971541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7154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Criterios</a:t>
            </a:r>
            <a:r>
              <a:rPr lang="es-ES" baseline="0"/>
              <a:t> de agrupación</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Cálculos!$B$227:$B$231</c:f>
              <c:strCache>
                <c:ptCount val="5"/>
                <c:pt idx="0">
                  <c:v>Edad</c:v>
                </c:pt>
                <c:pt idx="1">
                  <c:v>Aleatorio</c:v>
                </c:pt>
                <c:pt idx="2">
                  <c:v>Horario</c:v>
                </c:pt>
                <c:pt idx="3">
                  <c:v>Género</c:v>
                </c:pt>
                <c:pt idx="4">
                  <c:v>Necesidades educativas</c:v>
                </c:pt>
              </c:strCache>
            </c:strRef>
          </c:cat>
          <c:val>
            <c:numRef>
              <c:f>Cálculos!$C$227:$C$231</c:f>
              <c:numCache>
                <c:formatCode>General</c:formatCode>
                <c:ptCount val="5"/>
                <c:pt idx="0">
                  <c:v>2</c:v>
                </c:pt>
                <c:pt idx="1">
                  <c:v>24</c:v>
                </c:pt>
                <c:pt idx="2">
                  <c:v>1</c:v>
                </c:pt>
                <c:pt idx="3">
                  <c:v>1</c:v>
                </c:pt>
                <c:pt idx="4">
                  <c:v>2</c:v>
                </c:pt>
              </c:numCache>
            </c:numRef>
          </c:val>
          <c:extLst>
            <c:ext xmlns:c16="http://schemas.microsoft.com/office/drawing/2014/chart" uri="{C3380CC4-5D6E-409C-BE32-E72D297353CC}">
              <c16:uniqueId val="{00000000-A339-42F6-9DAC-0A2F685CE380}"/>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Número</a:t>
            </a:r>
            <a:r>
              <a:rPr lang="es-ES" baseline="0"/>
              <a:t> de sesiones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Cálculos!$B$273:$B$279</c:f>
              <c:strCache>
                <c:ptCount val="7"/>
                <c:pt idx="0">
                  <c:v>1</c:v>
                </c:pt>
                <c:pt idx="1">
                  <c:v>2</c:v>
                </c:pt>
                <c:pt idx="2">
                  <c:v>3-5</c:v>
                </c:pt>
                <c:pt idx="3">
                  <c:v>6-10</c:v>
                </c:pt>
                <c:pt idx="4">
                  <c:v>11-20</c:v>
                </c:pt>
                <c:pt idx="5">
                  <c:v>21-50</c:v>
                </c:pt>
                <c:pt idx="6">
                  <c:v>&gt; 50</c:v>
                </c:pt>
              </c:strCache>
            </c:strRef>
          </c:cat>
          <c:val>
            <c:numRef>
              <c:f>Cálculos!$D$273:$D$279</c:f>
              <c:numCache>
                <c:formatCode>General</c:formatCode>
                <c:ptCount val="7"/>
                <c:pt idx="0">
                  <c:v>27</c:v>
                </c:pt>
                <c:pt idx="1">
                  <c:v>2</c:v>
                </c:pt>
                <c:pt idx="2">
                  <c:v>8</c:v>
                </c:pt>
                <c:pt idx="3">
                  <c:v>4</c:v>
                </c:pt>
                <c:pt idx="4">
                  <c:v>7</c:v>
                </c:pt>
                <c:pt idx="5">
                  <c:v>4</c:v>
                </c:pt>
                <c:pt idx="6">
                  <c:v>3</c:v>
                </c:pt>
              </c:numCache>
            </c:numRef>
          </c:val>
          <c:extLst>
            <c:ext xmlns:c16="http://schemas.microsoft.com/office/drawing/2014/chart" uri="{C3380CC4-5D6E-409C-BE32-E72D297353CC}">
              <c16:uniqueId val="{00000000-8DC0-43CF-9CA2-80CA07E6BC74}"/>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Frecuencia de aplicación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Cálculos!$B$257:$B$266</c:f>
              <c:strCache>
                <c:ptCount val="10"/>
                <c:pt idx="0">
                  <c:v>&lt; 1</c:v>
                </c:pt>
                <c:pt idx="1">
                  <c:v>1</c:v>
                </c:pt>
                <c:pt idx="2">
                  <c:v>2</c:v>
                </c:pt>
                <c:pt idx="3">
                  <c:v>3</c:v>
                </c:pt>
                <c:pt idx="4">
                  <c:v>4</c:v>
                </c:pt>
                <c:pt idx="5">
                  <c:v>5</c:v>
                </c:pt>
                <c:pt idx="6">
                  <c:v>6</c:v>
                </c:pt>
                <c:pt idx="7">
                  <c:v>7</c:v>
                </c:pt>
                <c:pt idx="8">
                  <c:v>8-10</c:v>
                </c:pt>
                <c:pt idx="9">
                  <c:v>&gt; 10</c:v>
                </c:pt>
              </c:strCache>
            </c:strRef>
          </c:cat>
          <c:val>
            <c:numRef>
              <c:f>Cálculos!$D$257:$D$266</c:f>
              <c:numCache>
                <c:formatCode>General</c:formatCode>
                <c:ptCount val="10"/>
                <c:pt idx="0">
                  <c:v>6</c:v>
                </c:pt>
                <c:pt idx="1">
                  <c:v>5</c:v>
                </c:pt>
                <c:pt idx="2">
                  <c:v>7</c:v>
                </c:pt>
                <c:pt idx="3">
                  <c:v>3</c:v>
                </c:pt>
                <c:pt idx="4">
                  <c:v>0</c:v>
                </c:pt>
                <c:pt idx="5">
                  <c:v>0</c:v>
                </c:pt>
                <c:pt idx="6">
                  <c:v>0</c:v>
                </c:pt>
                <c:pt idx="7">
                  <c:v>2</c:v>
                </c:pt>
                <c:pt idx="8">
                  <c:v>0</c:v>
                </c:pt>
                <c:pt idx="9">
                  <c:v>1</c:v>
                </c:pt>
              </c:numCache>
            </c:numRef>
          </c:val>
          <c:extLst>
            <c:ext xmlns:c16="http://schemas.microsoft.com/office/drawing/2014/chart" uri="{C3380CC4-5D6E-409C-BE32-E72D297353CC}">
              <c16:uniqueId val="{00000000-B934-4FA1-A204-358671C01740}"/>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Sesiones/Semana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 de las experiencias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Cálculos!$B$244:$B$250</c:f>
              <c:strCache>
                <c:ptCount val="7"/>
                <c:pt idx="0">
                  <c:v>0-7</c:v>
                </c:pt>
                <c:pt idx="1">
                  <c:v>8-14</c:v>
                </c:pt>
                <c:pt idx="2">
                  <c:v>15-30</c:v>
                </c:pt>
                <c:pt idx="3">
                  <c:v>31-60</c:v>
                </c:pt>
                <c:pt idx="4">
                  <c:v>61-120</c:v>
                </c:pt>
                <c:pt idx="5">
                  <c:v>121-365</c:v>
                </c:pt>
                <c:pt idx="6">
                  <c:v>&gt;365</c:v>
                </c:pt>
              </c:strCache>
            </c:strRef>
          </c:cat>
          <c:val>
            <c:numRef>
              <c:f>Cálculos!$D$244:$D$250</c:f>
              <c:numCache>
                <c:formatCode>General</c:formatCode>
                <c:ptCount val="7"/>
                <c:pt idx="0">
                  <c:v>29</c:v>
                </c:pt>
                <c:pt idx="1">
                  <c:v>1</c:v>
                </c:pt>
                <c:pt idx="2">
                  <c:v>9</c:v>
                </c:pt>
                <c:pt idx="3">
                  <c:v>4</c:v>
                </c:pt>
                <c:pt idx="4">
                  <c:v>10</c:v>
                </c:pt>
                <c:pt idx="5">
                  <c:v>13</c:v>
                </c:pt>
                <c:pt idx="6">
                  <c:v>3</c:v>
                </c:pt>
              </c:numCache>
            </c:numRef>
          </c:val>
          <c:extLst>
            <c:ext xmlns:c16="http://schemas.microsoft.com/office/drawing/2014/chart" uri="{C3380CC4-5D6E-409C-BE32-E72D297353CC}">
              <c16:uniqueId val="{00000000-907B-4CE9-ADC9-D8EEE3E37DA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Duración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Cálculos!$B$286:$B$292</c:f>
              <c:strCache>
                <c:ptCount val="7"/>
                <c:pt idx="0">
                  <c:v>&lt; 15'</c:v>
                </c:pt>
                <c:pt idx="1">
                  <c:v>16'-30'</c:v>
                </c:pt>
                <c:pt idx="2">
                  <c:v>31'-60'</c:v>
                </c:pt>
                <c:pt idx="3">
                  <c:v>61'-90'</c:v>
                </c:pt>
                <c:pt idx="4">
                  <c:v>91'-120'</c:v>
                </c:pt>
                <c:pt idx="5">
                  <c:v>121'-180'</c:v>
                </c:pt>
                <c:pt idx="6">
                  <c:v>&gt; 180'</c:v>
                </c:pt>
              </c:strCache>
            </c:strRef>
          </c:cat>
          <c:val>
            <c:numRef>
              <c:f>Cálculos!$D$286:$D$292</c:f>
              <c:numCache>
                <c:formatCode>General</c:formatCode>
                <c:ptCount val="7"/>
                <c:pt idx="0">
                  <c:v>4</c:v>
                </c:pt>
                <c:pt idx="1">
                  <c:v>5</c:v>
                </c:pt>
                <c:pt idx="2">
                  <c:v>15</c:v>
                </c:pt>
                <c:pt idx="3">
                  <c:v>5</c:v>
                </c:pt>
                <c:pt idx="4">
                  <c:v>3</c:v>
                </c:pt>
                <c:pt idx="5">
                  <c:v>2</c:v>
                </c:pt>
                <c:pt idx="6">
                  <c:v>0</c:v>
                </c:pt>
              </c:numCache>
            </c:numRef>
          </c:val>
          <c:extLst>
            <c:ext xmlns:c16="http://schemas.microsoft.com/office/drawing/2014/chart" uri="{C3380CC4-5D6E-409C-BE32-E72D297353CC}">
              <c16:uniqueId val="{00000000-0B78-4542-89A9-08E9824D3385}"/>
            </c:ext>
          </c:extLst>
        </c:ser>
        <c:dLbls>
          <c:dLblPos val="outEnd"/>
          <c:showLegendKey val="0"/>
          <c:showVal val="1"/>
          <c:showCatName val="0"/>
          <c:showSerName val="0"/>
          <c:showPercent val="0"/>
          <c:showBubbleSize val="0"/>
        </c:dLbls>
        <c:gapWidth val="219"/>
        <c:overlap val="-27"/>
        <c:axId val="533883583"/>
        <c:axId val="533882751"/>
      </c:barChart>
      <c:catAx>
        <c:axId val="53388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Minutos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2751"/>
        <c:crosses val="autoZero"/>
        <c:auto val="1"/>
        <c:lblAlgn val="ctr"/>
        <c:lblOffset val="100"/>
        <c:noMultiLvlLbl val="0"/>
      </c:catAx>
      <c:valAx>
        <c:axId val="533882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38835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Artículos y JCR</a:t>
            </a:r>
          </a:p>
        </c:rich>
      </c:tx>
      <c:layout>
        <c:manualLayout>
          <c:xMode val="edge"/>
          <c:yMode val="edge"/>
          <c:x val="0.42451857579661917"/>
          <c:y val="3.0648742783141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35301795993468521"/>
          <c:y val="9.0718602048315833E-2"/>
          <c:w val="0.61996242104331989"/>
          <c:h val="0.51981303828406844"/>
        </c:manualLayout>
      </c:layout>
      <c:barChart>
        <c:barDir val="col"/>
        <c:grouping val="clustered"/>
        <c:varyColors val="0"/>
        <c:ser>
          <c:idx val="1"/>
          <c:order val="0"/>
          <c:tx>
            <c:strRef>
              <c:f>Cálculos!$B$302</c:f>
              <c:strCache>
                <c:ptCount val="1"/>
                <c:pt idx="0">
                  <c:v>Total</c:v>
                </c:pt>
              </c:strCache>
            </c:strRef>
          </c:tx>
          <c:spPr>
            <a:solidFill>
              <a:schemeClr val="accent2"/>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Cálculos!$C$302:$I$302</c:f>
              <c:numCache>
                <c:formatCode>General</c:formatCode>
                <c:ptCount val="7"/>
                <c:pt idx="0">
                  <c:v>28</c:v>
                </c:pt>
                <c:pt idx="1">
                  <c:v>11</c:v>
                </c:pt>
                <c:pt idx="2">
                  <c:v>13</c:v>
                </c:pt>
                <c:pt idx="3">
                  <c:v>20</c:v>
                </c:pt>
                <c:pt idx="4">
                  <c:v>18</c:v>
                </c:pt>
                <c:pt idx="5">
                  <c:v>7</c:v>
                </c:pt>
                <c:pt idx="6">
                  <c:v>3</c:v>
                </c:pt>
              </c:numCache>
            </c:numRef>
          </c:val>
          <c:extLst>
            <c:ext xmlns:c16="http://schemas.microsoft.com/office/drawing/2014/chart" uri="{C3380CC4-5D6E-409C-BE32-E72D297353CC}">
              <c16:uniqueId val="{00000001-3164-4145-A2F1-7696473B8514}"/>
            </c:ext>
          </c:extLst>
        </c:ser>
        <c:ser>
          <c:idx val="2"/>
          <c:order val="1"/>
          <c:tx>
            <c:strRef>
              <c:f>Cálculos!$B$303</c:f>
              <c:strCache>
                <c:ptCount val="1"/>
                <c:pt idx="0">
                  <c:v>Total con JCR</c:v>
                </c:pt>
              </c:strCache>
            </c:strRef>
          </c:tx>
          <c:spPr>
            <a:solidFill>
              <a:schemeClr val="accent3"/>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Cálculos!$C$303:$I$303</c:f>
              <c:numCache>
                <c:formatCode>General</c:formatCode>
                <c:ptCount val="7"/>
                <c:pt idx="0">
                  <c:v>7</c:v>
                </c:pt>
                <c:pt idx="1">
                  <c:v>5</c:v>
                </c:pt>
                <c:pt idx="2">
                  <c:v>7</c:v>
                </c:pt>
                <c:pt idx="3">
                  <c:v>10</c:v>
                </c:pt>
                <c:pt idx="4">
                  <c:v>6</c:v>
                </c:pt>
                <c:pt idx="5">
                  <c:v>2</c:v>
                </c:pt>
                <c:pt idx="6">
                  <c:v>3</c:v>
                </c:pt>
              </c:numCache>
            </c:numRef>
          </c:val>
          <c:extLst>
            <c:ext xmlns:c16="http://schemas.microsoft.com/office/drawing/2014/chart" uri="{C3380CC4-5D6E-409C-BE32-E72D297353CC}">
              <c16:uniqueId val="{00000002-3164-4145-A2F1-7696473B8514}"/>
            </c:ext>
          </c:extLst>
        </c:ser>
        <c:ser>
          <c:idx val="3"/>
          <c:order val="2"/>
          <c:tx>
            <c:strRef>
              <c:f>Cálculos!$B$304</c:f>
              <c:strCache>
                <c:ptCount val="1"/>
                <c:pt idx="0">
                  <c:v>Total en computer science</c:v>
                </c:pt>
              </c:strCache>
            </c:strRef>
          </c:tx>
          <c:spPr>
            <a:solidFill>
              <a:schemeClr val="accent4"/>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Cálculos!$C$304:$I$304</c:f>
              <c:numCache>
                <c:formatCode>General</c:formatCode>
                <c:ptCount val="7"/>
                <c:pt idx="0">
                  <c:v>21</c:v>
                </c:pt>
                <c:pt idx="1">
                  <c:v>9</c:v>
                </c:pt>
                <c:pt idx="2">
                  <c:v>5</c:v>
                </c:pt>
                <c:pt idx="3">
                  <c:v>7</c:v>
                </c:pt>
                <c:pt idx="4">
                  <c:v>12</c:v>
                </c:pt>
                <c:pt idx="5">
                  <c:v>6</c:v>
                </c:pt>
                <c:pt idx="6">
                  <c:v>3</c:v>
                </c:pt>
              </c:numCache>
            </c:numRef>
          </c:val>
          <c:extLst>
            <c:ext xmlns:c16="http://schemas.microsoft.com/office/drawing/2014/chart" uri="{C3380CC4-5D6E-409C-BE32-E72D297353CC}">
              <c16:uniqueId val="{00000003-3164-4145-A2F1-7696473B8514}"/>
            </c:ext>
          </c:extLst>
        </c:ser>
        <c:ser>
          <c:idx val="4"/>
          <c:order val="3"/>
          <c:tx>
            <c:strRef>
              <c:f>Cálculos!$B$305</c:f>
              <c:strCache>
                <c:ptCount val="1"/>
                <c:pt idx="0">
                  <c:v>Total en computer science con JCR</c:v>
                </c:pt>
              </c:strCache>
            </c:strRef>
          </c:tx>
          <c:spPr>
            <a:solidFill>
              <a:schemeClr val="accent5"/>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Cálculos!$C$305:$I$305</c:f>
              <c:numCache>
                <c:formatCode>General</c:formatCode>
                <c:ptCount val="7"/>
                <c:pt idx="0">
                  <c:v>7</c:v>
                </c:pt>
                <c:pt idx="1">
                  <c:v>5</c:v>
                </c:pt>
                <c:pt idx="2">
                  <c:v>2</c:v>
                </c:pt>
                <c:pt idx="3">
                  <c:v>4</c:v>
                </c:pt>
                <c:pt idx="4">
                  <c:v>4</c:v>
                </c:pt>
                <c:pt idx="5">
                  <c:v>2</c:v>
                </c:pt>
                <c:pt idx="6">
                  <c:v>3</c:v>
                </c:pt>
              </c:numCache>
            </c:numRef>
          </c:val>
          <c:extLst>
            <c:ext xmlns:c16="http://schemas.microsoft.com/office/drawing/2014/chart" uri="{C3380CC4-5D6E-409C-BE32-E72D297353CC}">
              <c16:uniqueId val="{00000004-3164-4145-A2F1-7696473B8514}"/>
            </c:ext>
          </c:extLst>
        </c:ser>
        <c:ser>
          <c:idx val="5"/>
          <c:order val="4"/>
          <c:tx>
            <c:strRef>
              <c:f>Cálculos!$B$306</c:f>
              <c:strCache>
                <c:ptCount val="1"/>
                <c:pt idx="0">
                  <c:v>Total en telecomunications</c:v>
                </c:pt>
              </c:strCache>
            </c:strRef>
          </c:tx>
          <c:spPr>
            <a:solidFill>
              <a:schemeClr val="accent6"/>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Cálculos!$C$306:$I$306</c:f>
              <c:numCache>
                <c:formatCode>General</c:formatCode>
                <c:ptCount val="7"/>
                <c:pt idx="0">
                  <c:v>3</c:v>
                </c:pt>
                <c:pt idx="1">
                  <c:v>2</c:v>
                </c:pt>
                <c:pt idx="2">
                  <c:v>2</c:v>
                </c:pt>
                <c:pt idx="3">
                  <c:v>1</c:v>
                </c:pt>
                <c:pt idx="4">
                  <c:v>2</c:v>
                </c:pt>
                <c:pt idx="5">
                  <c:v>2</c:v>
                </c:pt>
                <c:pt idx="6">
                  <c:v>0</c:v>
                </c:pt>
              </c:numCache>
            </c:numRef>
          </c:val>
          <c:extLst>
            <c:ext xmlns:c16="http://schemas.microsoft.com/office/drawing/2014/chart" uri="{C3380CC4-5D6E-409C-BE32-E72D297353CC}">
              <c16:uniqueId val="{00000005-3164-4145-A2F1-7696473B8514}"/>
            </c:ext>
          </c:extLst>
        </c:ser>
        <c:ser>
          <c:idx val="6"/>
          <c:order val="5"/>
          <c:tx>
            <c:strRef>
              <c:f>Cálculos!$B$307</c:f>
              <c:strCache>
                <c:ptCount val="1"/>
                <c:pt idx="0">
                  <c:v>Total en telecomunications con JCR</c:v>
                </c:pt>
              </c:strCache>
            </c:strRef>
          </c:tx>
          <c:spPr>
            <a:solidFill>
              <a:schemeClr val="accent1">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Cálculos!$C$307:$I$307</c:f>
              <c:numCache>
                <c:formatCode>General</c:formatCode>
                <c:ptCount val="7"/>
                <c:pt idx="0">
                  <c:v>0</c:v>
                </c:pt>
                <c:pt idx="1">
                  <c:v>0</c:v>
                </c:pt>
                <c:pt idx="2">
                  <c:v>0</c:v>
                </c:pt>
                <c:pt idx="3">
                  <c:v>0</c:v>
                </c:pt>
                <c:pt idx="4">
                  <c:v>1</c:v>
                </c:pt>
                <c:pt idx="5">
                  <c:v>0</c:v>
                </c:pt>
                <c:pt idx="6">
                  <c:v>0</c:v>
                </c:pt>
              </c:numCache>
            </c:numRef>
          </c:val>
          <c:extLst>
            <c:ext xmlns:c16="http://schemas.microsoft.com/office/drawing/2014/chart" uri="{C3380CC4-5D6E-409C-BE32-E72D297353CC}">
              <c16:uniqueId val="{00000015-3164-4145-A2F1-7696473B8514}"/>
            </c:ext>
          </c:extLst>
        </c:ser>
        <c:ser>
          <c:idx val="7"/>
          <c:order val="6"/>
          <c:tx>
            <c:strRef>
              <c:f>Cálculos!$B$308</c:f>
              <c:strCache>
                <c:ptCount val="1"/>
                <c:pt idx="0">
                  <c:v>Total en computer science o telecommunications</c:v>
                </c:pt>
              </c:strCache>
            </c:strRef>
          </c:tx>
          <c:spPr>
            <a:solidFill>
              <a:schemeClr val="accent2">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Cálculos!$C$308:$I$308</c:f>
              <c:numCache>
                <c:formatCode>General</c:formatCode>
                <c:ptCount val="7"/>
                <c:pt idx="0">
                  <c:v>21</c:v>
                </c:pt>
                <c:pt idx="1">
                  <c:v>10</c:v>
                </c:pt>
                <c:pt idx="2">
                  <c:v>5</c:v>
                </c:pt>
                <c:pt idx="3">
                  <c:v>7</c:v>
                </c:pt>
                <c:pt idx="4">
                  <c:v>12</c:v>
                </c:pt>
                <c:pt idx="5">
                  <c:v>6</c:v>
                </c:pt>
                <c:pt idx="6">
                  <c:v>3</c:v>
                </c:pt>
              </c:numCache>
            </c:numRef>
          </c:val>
          <c:extLst>
            <c:ext xmlns:c16="http://schemas.microsoft.com/office/drawing/2014/chart" uri="{C3380CC4-5D6E-409C-BE32-E72D297353CC}">
              <c16:uniqueId val="{00000016-3164-4145-A2F1-7696473B8514}"/>
            </c:ext>
          </c:extLst>
        </c:ser>
        <c:ser>
          <c:idx val="8"/>
          <c:order val="7"/>
          <c:tx>
            <c:strRef>
              <c:f>Cálculos!$B$309</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Cálculos!$C$309:$I$309</c:f>
              <c:numCache>
                <c:formatCode>General</c:formatCode>
                <c:ptCount val="7"/>
                <c:pt idx="0">
                  <c:v>7</c:v>
                </c:pt>
                <c:pt idx="1">
                  <c:v>5</c:v>
                </c:pt>
                <c:pt idx="2">
                  <c:v>2</c:v>
                </c:pt>
                <c:pt idx="3">
                  <c:v>4</c:v>
                </c:pt>
                <c:pt idx="4">
                  <c:v>5</c:v>
                </c:pt>
                <c:pt idx="5">
                  <c:v>2</c:v>
                </c:pt>
                <c:pt idx="6">
                  <c:v>3</c:v>
                </c:pt>
              </c:numCache>
            </c:numRef>
          </c:val>
          <c:extLst>
            <c:ext xmlns:c16="http://schemas.microsoft.com/office/drawing/2014/chart" uri="{C3380CC4-5D6E-409C-BE32-E72D297353CC}">
              <c16:uniqueId val="{00000017-3164-4145-A2F1-7696473B8514}"/>
            </c:ext>
          </c:extLst>
        </c:ser>
        <c:ser>
          <c:idx val="9"/>
          <c:order val="8"/>
          <c:tx>
            <c:strRef>
              <c:f>Cálculos!$B$310</c:f>
              <c:strCache>
                <c:ptCount val="1"/>
                <c:pt idx="0">
                  <c:v>Total en educación</c:v>
                </c:pt>
              </c:strCache>
            </c:strRef>
          </c:tx>
          <c:spPr>
            <a:solidFill>
              <a:schemeClr val="accent4">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Cálculos!$C$310:$I$310</c:f>
              <c:numCache>
                <c:formatCode>General</c:formatCode>
                <c:ptCount val="7"/>
                <c:pt idx="0">
                  <c:v>21</c:v>
                </c:pt>
                <c:pt idx="1">
                  <c:v>9</c:v>
                </c:pt>
                <c:pt idx="2">
                  <c:v>9</c:v>
                </c:pt>
                <c:pt idx="3">
                  <c:v>11</c:v>
                </c:pt>
                <c:pt idx="4">
                  <c:v>9</c:v>
                </c:pt>
                <c:pt idx="5">
                  <c:v>6</c:v>
                </c:pt>
                <c:pt idx="6">
                  <c:v>6</c:v>
                </c:pt>
              </c:numCache>
            </c:numRef>
          </c:val>
          <c:extLst>
            <c:ext xmlns:c16="http://schemas.microsoft.com/office/drawing/2014/chart" uri="{C3380CC4-5D6E-409C-BE32-E72D297353CC}">
              <c16:uniqueId val="{00000018-3164-4145-A2F1-7696473B8514}"/>
            </c:ext>
          </c:extLst>
        </c:ser>
        <c:ser>
          <c:idx val="10"/>
          <c:order val="9"/>
          <c:tx>
            <c:strRef>
              <c:f>Cálculos!$B$311</c:f>
              <c:strCache>
                <c:ptCount val="1"/>
                <c:pt idx="0">
                  <c:v>Total en educación con JCR</c:v>
                </c:pt>
              </c:strCache>
            </c:strRef>
          </c:tx>
          <c:spPr>
            <a:solidFill>
              <a:schemeClr val="accent5">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Cálculos!$C$311:$I$311</c:f>
              <c:numCache>
                <c:formatCode>General</c:formatCode>
                <c:ptCount val="7"/>
                <c:pt idx="0">
                  <c:v>4</c:v>
                </c:pt>
                <c:pt idx="1">
                  <c:v>4</c:v>
                </c:pt>
                <c:pt idx="2">
                  <c:v>6</c:v>
                </c:pt>
                <c:pt idx="3">
                  <c:v>8</c:v>
                </c:pt>
                <c:pt idx="4">
                  <c:v>3</c:v>
                </c:pt>
                <c:pt idx="5">
                  <c:v>1</c:v>
                </c:pt>
                <c:pt idx="6">
                  <c:v>1</c:v>
                </c:pt>
              </c:numCache>
            </c:numRef>
          </c:val>
          <c:extLst>
            <c:ext xmlns:c16="http://schemas.microsoft.com/office/drawing/2014/chart" uri="{C3380CC4-5D6E-409C-BE32-E72D297353CC}">
              <c16:uniqueId val="{00000019-3164-4145-A2F1-7696473B8514}"/>
            </c:ext>
          </c:extLst>
        </c:ser>
        <c:ser>
          <c:idx val="0"/>
          <c:order val="10"/>
          <c:tx>
            <c:strRef>
              <c:f>Cálculos!$B$312</c:f>
              <c:strCache>
                <c:ptCount val="1"/>
                <c:pt idx="0">
                  <c:v>Total en otros</c:v>
                </c:pt>
              </c:strCache>
            </c:strRef>
          </c:tx>
          <c:spPr>
            <a:solidFill>
              <a:schemeClr val="accent1"/>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Cálculos!$C$312:$I$312</c:f>
              <c:numCache>
                <c:formatCode>General</c:formatCode>
                <c:ptCount val="7"/>
                <c:pt idx="0">
                  <c:v>4</c:v>
                </c:pt>
                <c:pt idx="1">
                  <c:v>1</c:v>
                </c:pt>
                <c:pt idx="2">
                  <c:v>3</c:v>
                </c:pt>
                <c:pt idx="3">
                  <c:v>7</c:v>
                </c:pt>
                <c:pt idx="4">
                  <c:v>5</c:v>
                </c:pt>
                <c:pt idx="5">
                  <c:v>0</c:v>
                </c:pt>
                <c:pt idx="6">
                  <c:v>0</c:v>
                </c:pt>
              </c:numCache>
            </c:numRef>
          </c:val>
          <c:extLst>
            <c:ext xmlns:c16="http://schemas.microsoft.com/office/drawing/2014/chart" uri="{C3380CC4-5D6E-409C-BE32-E72D297353CC}">
              <c16:uniqueId val="{00000000-EB85-45BB-9E41-A49002BA35DC}"/>
            </c:ext>
          </c:extLst>
        </c:ser>
        <c:ser>
          <c:idx val="11"/>
          <c:order val="11"/>
          <c:tx>
            <c:strRef>
              <c:f>Cálculos!$B$313</c:f>
              <c:strCache>
                <c:ptCount val="1"/>
                <c:pt idx="0">
                  <c:v>Total en otros con JCR</c:v>
                </c:pt>
              </c:strCache>
            </c:strRef>
          </c:tx>
          <c:spPr>
            <a:solidFill>
              <a:schemeClr val="accent6">
                <a:lumMod val="60000"/>
              </a:schemeClr>
            </a:solidFill>
            <a:ln>
              <a:noFill/>
            </a:ln>
            <a:effectLst/>
          </c:spPr>
          <c:invertIfNegative val="0"/>
          <c:cat>
            <c:strRef>
              <c:f>Cálculos!$C$301:$I$301</c:f>
              <c:strCache>
                <c:ptCount val="7"/>
                <c:pt idx="0">
                  <c:v>&lt;= 2017</c:v>
                </c:pt>
                <c:pt idx="1">
                  <c:v>2018</c:v>
                </c:pt>
                <c:pt idx="2">
                  <c:v>2019</c:v>
                </c:pt>
                <c:pt idx="3">
                  <c:v>2020</c:v>
                </c:pt>
                <c:pt idx="4">
                  <c:v>2021</c:v>
                </c:pt>
                <c:pt idx="5">
                  <c:v>2022</c:v>
                </c:pt>
                <c:pt idx="6">
                  <c:v>2023</c:v>
                </c:pt>
              </c:strCache>
            </c:strRef>
          </c:cat>
          <c:val>
            <c:numRef>
              <c:f>Cálculos!$C$313:$I$313</c:f>
              <c:numCache>
                <c:formatCode>General</c:formatCode>
                <c:ptCount val="7"/>
                <c:pt idx="0">
                  <c:v>0</c:v>
                </c:pt>
                <c:pt idx="1">
                  <c:v>0</c:v>
                </c:pt>
                <c:pt idx="2">
                  <c:v>0</c:v>
                </c:pt>
                <c:pt idx="3">
                  <c:v>1</c:v>
                </c:pt>
                <c:pt idx="4">
                  <c:v>1</c:v>
                </c:pt>
                <c:pt idx="5">
                  <c:v>0</c:v>
                </c:pt>
                <c:pt idx="6">
                  <c:v>0</c:v>
                </c:pt>
              </c:numCache>
            </c:numRef>
          </c:val>
          <c:extLst>
            <c:ext xmlns:c16="http://schemas.microsoft.com/office/drawing/2014/chart" uri="{C3380CC4-5D6E-409C-BE32-E72D297353CC}">
              <c16:uniqueId val="{00000001-EB85-45BB-9E41-A49002BA35DC}"/>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25007467825293606"/>
          <c:y val="9.9546144311644255E-2"/>
          <c:w val="0.70943673869888768"/>
          <c:h val="0.7706125129687792"/>
        </c:manualLayout>
      </c:layout>
      <c:barChart>
        <c:barDir val="bar"/>
        <c:grouping val="clustered"/>
        <c:varyColors val="0"/>
        <c:ser>
          <c:idx val="0"/>
          <c:order val="0"/>
          <c:tx>
            <c:strRef>
              <c:f>Cálculos!$N$301</c:f>
              <c:strCache>
                <c:ptCount val="1"/>
                <c:pt idx="0">
                  <c:v>Total</c:v>
                </c:pt>
              </c:strCache>
            </c:strRef>
          </c:tx>
          <c:spPr>
            <a:solidFill>
              <a:schemeClr val="accent1"/>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Cálculos!$N$302:$N$309</c:f>
              <c:numCache>
                <c:formatCode>General</c:formatCode>
                <c:ptCount val="8"/>
                <c:pt idx="0">
                  <c:v>17</c:v>
                </c:pt>
                <c:pt idx="1">
                  <c:v>4</c:v>
                </c:pt>
                <c:pt idx="2">
                  <c:v>8</c:v>
                </c:pt>
                <c:pt idx="3">
                  <c:v>11</c:v>
                </c:pt>
                <c:pt idx="4">
                  <c:v>2</c:v>
                </c:pt>
                <c:pt idx="5">
                  <c:v>9</c:v>
                </c:pt>
                <c:pt idx="6">
                  <c:v>4</c:v>
                </c:pt>
                <c:pt idx="7">
                  <c:v>2</c:v>
                </c:pt>
              </c:numCache>
            </c:numRef>
          </c:val>
          <c:extLst>
            <c:ext xmlns:c16="http://schemas.microsoft.com/office/drawing/2014/chart" uri="{C3380CC4-5D6E-409C-BE32-E72D297353CC}">
              <c16:uniqueId val="{00000000-4B5A-436F-9308-D106127BCD7D}"/>
            </c:ext>
          </c:extLst>
        </c:ser>
        <c:ser>
          <c:idx val="1"/>
          <c:order val="1"/>
          <c:tx>
            <c:strRef>
              <c:f>Cálculos!$O$301</c:f>
              <c:strCache>
                <c:ptCount val="1"/>
                <c:pt idx="0">
                  <c:v>Con JCR</c:v>
                </c:pt>
              </c:strCache>
            </c:strRef>
          </c:tx>
          <c:spPr>
            <a:solidFill>
              <a:schemeClr val="accent2"/>
            </a:solidFill>
            <a:ln>
              <a:noFill/>
            </a:ln>
            <a:effectLst/>
          </c:spPr>
          <c:invertIfNegative val="0"/>
          <c:cat>
            <c:strRef>
              <c:f>Cálculos!$M$302:$M$309</c:f>
              <c:strCache>
                <c:ptCount val="8"/>
                <c:pt idx="0">
                  <c:v>Revistas</c:v>
                </c:pt>
                <c:pt idx="1">
                  <c:v>Revistas de telecomunicación</c:v>
                </c:pt>
                <c:pt idx="2">
                  <c:v>Revistas de computer science</c:v>
                </c:pt>
                <c:pt idx="3">
                  <c:v>Revistas de educación</c:v>
                </c:pt>
                <c:pt idx="4">
                  <c:v>Cuartil Q1</c:v>
                </c:pt>
                <c:pt idx="5">
                  <c:v>Cuartil Q2</c:v>
                </c:pt>
                <c:pt idx="6">
                  <c:v>Cuartil Q3</c:v>
                </c:pt>
                <c:pt idx="7">
                  <c:v>Cuartil Q4</c:v>
                </c:pt>
              </c:strCache>
            </c:strRef>
          </c:cat>
          <c:val>
            <c:numRef>
              <c:f>Cálculos!$O$302:$O$309</c:f>
              <c:numCache>
                <c:formatCode>General</c:formatCode>
                <c:ptCount val="8"/>
                <c:pt idx="0">
                  <c:v>6</c:v>
                </c:pt>
                <c:pt idx="1">
                  <c:v>1</c:v>
                </c:pt>
                <c:pt idx="2">
                  <c:v>3</c:v>
                </c:pt>
                <c:pt idx="3">
                  <c:v>4</c:v>
                </c:pt>
                <c:pt idx="4">
                  <c:v>1</c:v>
                </c:pt>
                <c:pt idx="5">
                  <c:v>4</c:v>
                </c:pt>
                <c:pt idx="6">
                  <c:v>0</c:v>
                </c:pt>
                <c:pt idx="7">
                  <c:v>1</c:v>
                </c:pt>
              </c:numCache>
            </c:numRef>
          </c:val>
          <c:extLst>
            <c:ext xmlns:c16="http://schemas.microsoft.com/office/drawing/2014/chart" uri="{C3380CC4-5D6E-409C-BE32-E72D297353CC}">
              <c16:uniqueId val="{00000001-4B5A-436F-9308-D106127BCD7D}"/>
            </c:ext>
          </c:extLst>
        </c:ser>
        <c:dLbls>
          <c:showLegendKey val="0"/>
          <c:showVal val="0"/>
          <c:showCatName val="0"/>
          <c:showSerName val="0"/>
          <c:showPercent val="0"/>
          <c:showBubbleSize val="0"/>
        </c:dLbls>
        <c:gapWidth val="182"/>
        <c:axId val="1103125711"/>
        <c:axId val="1294117087"/>
      </c:barChart>
      <c:catAx>
        <c:axId val="1103125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94117087"/>
        <c:crosses val="autoZero"/>
        <c:auto val="1"/>
        <c:lblAlgn val="ctr"/>
        <c:lblOffset val="100"/>
        <c:noMultiLvlLbl val="0"/>
      </c:catAx>
      <c:valAx>
        <c:axId val="129411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03125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Resultados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A1D-49AA-A710-5ADF9F3BCE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CA1D-49AA-A710-5ADF9F3BCE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CA1D-49AA-A710-5ADF9F3BCE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CA1D-49AA-A710-5ADF9F3BCE2E}"/>
              </c:ext>
            </c:extLst>
          </c:dPt>
          <c:dLbls>
            <c:dLbl>
              <c:idx val="0"/>
              <c:layout>
                <c:manualLayout>
                  <c:x val="-0.12312696642306604"/>
                  <c:y val="-0.1288390311342997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1D-49AA-A710-5ADF9F3BCE2E}"/>
                </c:ext>
              </c:extLst>
            </c:dLbl>
            <c:dLbl>
              <c:idx val="1"/>
              <c:layout>
                <c:manualLayout>
                  <c:x val="-1.7884170398361963E-2"/>
                  <c:y val="1.209224261043250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1D-49AA-A710-5ADF9F3BCE2E}"/>
                </c:ext>
              </c:extLst>
            </c:dLbl>
            <c:dLbl>
              <c:idx val="2"/>
              <c:layout>
                <c:manualLayout>
                  <c:x val="-8.6007113804220554E-3"/>
                  <c:y val="-1.321221927846160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1D-49AA-A710-5ADF9F3BCE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Cálculos!$B$18:$B$21</c:f>
              <c:strCache>
                <c:ptCount val="4"/>
                <c:pt idx="0">
                  <c:v>Positivo</c:v>
                </c:pt>
                <c:pt idx="1">
                  <c:v>Negativo</c:v>
                </c:pt>
                <c:pt idx="2">
                  <c:v>Neutro</c:v>
                </c:pt>
                <c:pt idx="3">
                  <c:v>No descrito</c:v>
                </c:pt>
              </c:strCache>
            </c:strRef>
          </c:cat>
          <c:val>
            <c:numRef>
              <c:f>Cálculos!$D$18:$D$21</c:f>
              <c:numCache>
                <c:formatCode>0.00%</c:formatCode>
                <c:ptCount val="4"/>
                <c:pt idx="0">
                  <c:v>0.74285714285714288</c:v>
                </c:pt>
                <c:pt idx="1">
                  <c:v>4.7619047619047616E-2</c:v>
                </c:pt>
                <c:pt idx="2">
                  <c:v>0.14285714285714285</c:v>
                </c:pt>
                <c:pt idx="3">
                  <c:v>6.6666666666666666E-2</c:v>
                </c:pt>
              </c:numCache>
            </c:numRef>
          </c:val>
          <c:extLst>
            <c:ext xmlns:c16="http://schemas.microsoft.com/office/drawing/2014/chart" uri="{C3380CC4-5D6E-409C-BE32-E72D297353CC}">
              <c16:uniqueId val="{00000000-CA1D-49AA-A710-5ADF9F3BCE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Revistas y JCR</a:t>
            </a:r>
          </a:p>
        </c:rich>
      </c:tx>
      <c:layout>
        <c:manualLayout>
          <c:xMode val="edge"/>
          <c:yMode val="edge"/>
          <c:x val="0.47295786866882283"/>
          <c:y val="1.681528752376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Cálculos!$B$350</c:f>
              <c:strCache>
                <c:ptCount val="1"/>
                <c:pt idx="0">
                  <c:v>Total</c:v>
                </c:pt>
              </c:strCache>
            </c:strRef>
          </c:tx>
          <c:spPr>
            <a:solidFill>
              <a:schemeClr val="accent2"/>
            </a:solidFill>
            <a:ln>
              <a:noFill/>
            </a:ln>
            <a:effectLst/>
          </c:spPr>
          <c:invertIfNegative val="0"/>
          <c:cat>
            <c:strRef>
              <c:f>Cálculos!$C$349</c:f>
              <c:strCache>
                <c:ptCount val="1"/>
                <c:pt idx="0">
                  <c:v>Nº de revistas</c:v>
                </c:pt>
              </c:strCache>
            </c:strRef>
          </c:cat>
          <c:val>
            <c:numRef>
              <c:f>Cálculos!$C$350</c:f>
              <c:numCache>
                <c:formatCode>General</c:formatCode>
                <c:ptCount val="1"/>
                <c:pt idx="0">
                  <c:v>17</c:v>
                </c:pt>
              </c:numCache>
            </c:numRef>
          </c:val>
          <c:extLst>
            <c:ext xmlns:c16="http://schemas.microsoft.com/office/drawing/2014/chart" uri="{C3380CC4-5D6E-409C-BE32-E72D297353CC}">
              <c16:uniqueId val="{00000000-FF07-491B-9780-3CEF0D064250}"/>
            </c:ext>
          </c:extLst>
        </c:ser>
        <c:ser>
          <c:idx val="2"/>
          <c:order val="1"/>
          <c:tx>
            <c:strRef>
              <c:f>Cálculos!$B$351</c:f>
              <c:strCache>
                <c:ptCount val="1"/>
                <c:pt idx="0">
                  <c:v>Total con JCR</c:v>
                </c:pt>
              </c:strCache>
            </c:strRef>
          </c:tx>
          <c:spPr>
            <a:solidFill>
              <a:schemeClr val="accent3"/>
            </a:solidFill>
            <a:ln>
              <a:noFill/>
            </a:ln>
            <a:effectLst/>
          </c:spPr>
          <c:invertIfNegative val="0"/>
          <c:cat>
            <c:strRef>
              <c:f>Cálculos!$C$349</c:f>
              <c:strCache>
                <c:ptCount val="1"/>
                <c:pt idx="0">
                  <c:v>Nº de revistas</c:v>
                </c:pt>
              </c:strCache>
            </c:strRef>
          </c:cat>
          <c:val>
            <c:numRef>
              <c:f>Cálculos!$C$351</c:f>
              <c:numCache>
                <c:formatCode>General</c:formatCode>
                <c:ptCount val="1"/>
                <c:pt idx="0">
                  <c:v>6</c:v>
                </c:pt>
              </c:numCache>
            </c:numRef>
          </c:val>
          <c:extLst>
            <c:ext xmlns:c16="http://schemas.microsoft.com/office/drawing/2014/chart" uri="{C3380CC4-5D6E-409C-BE32-E72D297353CC}">
              <c16:uniqueId val="{00000001-FF07-491B-9780-3CEF0D064250}"/>
            </c:ext>
          </c:extLst>
        </c:ser>
        <c:ser>
          <c:idx val="3"/>
          <c:order val="2"/>
          <c:tx>
            <c:strRef>
              <c:f>Cálculos!$B$352</c:f>
              <c:strCache>
                <c:ptCount val="1"/>
                <c:pt idx="0">
                  <c:v>Total en computer science</c:v>
                </c:pt>
              </c:strCache>
            </c:strRef>
          </c:tx>
          <c:spPr>
            <a:solidFill>
              <a:schemeClr val="accent4"/>
            </a:solidFill>
            <a:ln>
              <a:noFill/>
            </a:ln>
            <a:effectLst/>
          </c:spPr>
          <c:invertIfNegative val="0"/>
          <c:cat>
            <c:strRef>
              <c:f>Cálculos!$C$349</c:f>
              <c:strCache>
                <c:ptCount val="1"/>
                <c:pt idx="0">
                  <c:v>Nº de revistas</c:v>
                </c:pt>
              </c:strCache>
            </c:strRef>
          </c:cat>
          <c:val>
            <c:numRef>
              <c:f>Cálculos!$C$352</c:f>
              <c:numCache>
                <c:formatCode>General</c:formatCode>
                <c:ptCount val="1"/>
                <c:pt idx="0">
                  <c:v>8</c:v>
                </c:pt>
              </c:numCache>
            </c:numRef>
          </c:val>
          <c:extLst>
            <c:ext xmlns:c16="http://schemas.microsoft.com/office/drawing/2014/chart" uri="{C3380CC4-5D6E-409C-BE32-E72D297353CC}">
              <c16:uniqueId val="{00000002-FF07-491B-9780-3CEF0D064250}"/>
            </c:ext>
          </c:extLst>
        </c:ser>
        <c:ser>
          <c:idx val="4"/>
          <c:order val="3"/>
          <c:tx>
            <c:strRef>
              <c:f>Cálculos!$B$353</c:f>
              <c:strCache>
                <c:ptCount val="1"/>
                <c:pt idx="0">
                  <c:v>Total en computer science con JCR</c:v>
                </c:pt>
              </c:strCache>
            </c:strRef>
          </c:tx>
          <c:spPr>
            <a:solidFill>
              <a:schemeClr val="accent5"/>
            </a:solidFill>
            <a:ln>
              <a:noFill/>
            </a:ln>
            <a:effectLst/>
          </c:spPr>
          <c:invertIfNegative val="0"/>
          <c:cat>
            <c:strRef>
              <c:f>Cálculos!$C$349</c:f>
              <c:strCache>
                <c:ptCount val="1"/>
                <c:pt idx="0">
                  <c:v>Nº de revistas</c:v>
                </c:pt>
              </c:strCache>
            </c:strRef>
          </c:cat>
          <c:val>
            <c:numRef>
              <c:f>Cálculos!$C$353</c:f>
              <c:numCache>
                <c:formatCode>General</c:formatCode>
                <c:ptCount val="1"/>
                <c:pt idx="0">
                  <c:v>3</c:v>
                </c:pt>
              </c:numCache>
            </c:numRef>
          </c:val>
          <c:extLst>
            <c:ext xmlns:c16="http://schemas.microsoft.com/office/drawing/2014/chart" uri="{C3380CC4-5D6E-409C-BE32-E72D297353CC}">
              <c16:uniqueId val="{00000003-FF07-491B-9780-3CEF0D064250}"/>
            </c:ext>
          </c:extLst>
        </c:ser>
        <c:ser>
          <c:idx val="5"/>
          <c:order val="4"/>
          <c:tx>
            <c:strRef>
              <c:f>Cálculos!$B$354</c:f>
              <c:strCache>
                <c:ptCount val="1"/>
                <c:pt idx="0">
                  <c:v>Total en telecomunications</c:v>
                </c:pt>
              </c:strCache>
            </c:strRef>
          </c:tx>
          <c:spPr>
            <a:solidFill>
              <a:schemeClr val="accent6"/>
            </a:solidFill>
            <a:ln>
              <a:noFill/>
            </a:ln>
            <a:effectLst/>
          </c:spPr>
          <c:invertIfNegative val="0"/>
          <c:cat>
            <c:strRef>
              <c:f>Cálculos!$C$349</c:f>
              <c:strCache>
                <c:ptCount val="1"/>
                <c:pt idx="0">
                  <c:v>Nº de revistas</c:v>
                </c:pt>
              </c:strCache>
            </c:strRef>
          </c:cat>
          <c:val>
            <c:numRef>
              <c:f>Cálculos!$C$354</c:f>
              <c:numCache>
                <c:formatCode>General</c:formatCode>
                <c:ptCount val="1"/>
                <c:pt idx="0">
                  <c:v>4</c:v>
                </c:pt>
              </c:numCache>
            </c:numRef>
          </c:val>
          <c:extLst>
            <c:ext xmlns:c16="http://schemas.microsoft.com/office/drawing/2014/chart" uri="{C3380CC4-5D6E-409C-BE32-E72D297353CC}">
              <c16:uniqueId val="{00000004-FF07-491B-9780-3CEF0D064250}"/>
            </c:ext>
          </c:extLst>
        </c:ser>
        <c:ser>
          <c:idx val="6"/>
          <c:order val="5"/>
          <c:tx>
            <c:strRef>
              <c:f>Cálculos!$B$355</c:f>
              <c:strCache>
                <c:ptCount val="1"/>
                <c:pt idx="0">
                  <c:v>Total en telecomunications con JCR</c:v>
                </c:pt>
              </c:strCache>
            </c:strRef>
          </c:tx>
          <c:spPr>
            <a:solidFill>
              <a:schemeClr val="accent1">
                <a:lumMod val="60000"/>
              </a:schemeClr>
            </a:solidFill>
            <a:ln>
              <a:noFill/>
            </a:ln>
            <a:effectLst/>
          </c:spPr>
          <c:invertIfNegative val="0"/>
          <c:cat>
            <c:strRef>
              <c:f>Cálculos!$C$349</c:f>
              <c:strCache>
                <c:ptCount val="1"/>
                <c:pt idx="0">
                  <c:v>Nº de revistas</c:v>
                </c:pt>
              </c:strCache>
            </c:strRef>
          </c:cat>
          <c:val>
            <c:numRef>
              <c:f>Cálculos!$C$355</c:f>
              <c:numCache>
                <c:formatCode>General</c:formatCode>
                <c:ptCount val="1"/>
                <c:pt idx="0">
                  <c:v>1</c:v>
                </c:pt>
              </c:numCache>
            </c:numRef>
          </c:val>
          <c:extLst>
            <c:ext xmlns:c16="http://schemas.microsoft.com/office/drawing/2014/chart" uri="{C3380CC4-5D6E-409C-BE32-E72D297353CC}">
              <c16:uniqueId val="{00000005-FF07-491B-9780-3CEF0D064250}"/>
            </c:ext>
          </c:extLst>
        </c:ser>
        <c:ser>
          <c:idx val="7"/>
          <c:order val="6"/>
          <c:tx>
            <c:strRef>
              <c:f>Cálculos!$B$356</c:f>
              <c:strCache>
                <c:ptCount val="1"/>
                <c:pt idx="0">
                  <c:v>Total en computer science o telecommunications</c:v>
                </c:pt>
              </c:strCache>
            </c:strRef>
          </c:tx>
          <c:spPr>
            <a:solidFill>
              <a:schemeClr val="accent2">
                <a:lumMod val="60000"/>
              </a:schemeClr>
            </a:solidFill>
            <a:ln>
              <a:noFill/>
            </a:ln>
            <a:effectLst/>
          </c:spPr>
          <c:invertIfNegative val="0"/>
          <c:cat>
            <c:strRef>
              <c:f>Cálculos!$C$349</c:f>
              <c:strCache>
                <c:ptCount val="1"/>
                <c:pt idx="0">
                  <c:v>Nº de revistas</c:v>
                </c:pt>
              </c:strCache>
            </c:strRef>
          </c:cat>
          <c:val>
            <c:numRef>
              <c:f>Cálculos!$C$356</c:f>
              <c:numCache>
                <c:formatCode>General</c:formatCode>
                <c:ptCount val="1"/>
                <c:pt idx="0">
                  <c:v>9</c:v>
                </c:pt>
              </c:numCache>
            </c:numRef>
          </c:val>
          <c:extLst>
            <c:ext xmlns:c16="http://schemas.microsoft.com/office/drawing/2014/chart" uri="{C3380CC4-5D6E-409C-BE32-E72D297353CC}">
              <c16:uniqueId val="{00000006-FF07-491B-9780-3CEF0D064250}"/>
            </c:ext>
          </c:extLst>
        </c:ser>
        <c:ser>
          <c:idx val="8"/>
          <c:order val="7"/>
          <c:tx>
            <c:strRef>
              <c:f>Cálculos!$B$357</c:f>
              <c:strCache>
                <c:ptCount val="1"/>
                <c:pt idx="0">
                  <c:v>Total en computer science o telecommunications con JCR</c:v>
                </c:pt>
              </c:strCache>
            </c:strRef>
          </c:tx>
          <c:spPr>
            <a:solidFill>
              <a:schemeClr val="accent3">
                <a:lumMod val="60000"/>
              </a:schemeClr>
            </a:solidFill>
            <a:ln>
              <a:noFill/>
            </a:ln>
            <a:effectLst/>
          </c:spPr>
          <c:invertIfNegative val="0"/>
          <c:cat>
            <c:strRef>
              <c:f>Cálculos!$C$349</c:f>
              <c:strCache>
                <c:ptCount val="1"/>
                <c:pt idx="0">
                  <c:v>Nº de revistas</c:v>
                </c:pt>
              </c:strCache>
            </c:strRef>
          </c:cat>
          <c:val>
            <c:numRef>
              <c:f>Cálculos!$C$357</c:f>
              <c:numCache>
                <c:formatCode>General</c:formatCode>
                <c:ptCount val="1"/>
                <c:pt idx="0">
                  <c:v>3</c:v>
                </c:pt>
              </c:numCache>
            </c:numRef>
          </c:val>
          <c:extLst>
            <c:ext xmlns:c16="http://schemas.microsoft.com/office/drawing/2014/chart" uri="{C3380CC4-5D6E-409C-BE32-E72D297353CC}">
              <c16:uniqueId val="{00000007-FF07-491B-9780-3CEF0D064250}"/>
            </c:ext>
          </c:extLst>
        </c:ser>
        <c:ser>
          <c:idx val="9"/>
          <c:order val="8"/>
          <c:tx>
            <c:strRef>
              <c:f>Cálculos!$B$358</c:f>
              <c:strCache>
                <c:ptCount val="1"/>
                <c:pt idx="0">
                  <c:v>Total en educación</c:v>
                </c:pt>
              </c:strCache>
            </c:strRef>
          </c:tx>
          <c:spPr>
            <a:solidFill>
              <a:schemeClr val="accent4">
                <a:lumMod val="60000"/>
              </a:schemeClr>
            </a:solidFill>
            <a:ln>
              <a:noFill/>
            </a:ln>
            <a:effectLst/>
          </c:spPr>
          <c:invertIfNegative val="0"/>
          <c:cat>
            <c:strRef>
              <c:f>Cálculos!$C$349</c:f>
              <c:strCache>
                <c:ptCount val="1"/>
                <c:pt idx="0">
                  <c:v>Nº de revistas</c:v>
                </c:pt>
              </c:strCache>
            </c:strRef>
          </c:cat>
          <c:val>
            <c:numRef>
              <c:f>Cálculos!$C$358</c:f>
              <c:numCache>
                <c:formatCode>General</c:formatCode>
                <c:ptCount val="1"/>
                <c:pt idx="0">
                  <c:v>11</c:v>
                </c:pt>
              </c:numCache>
            </c:numRef>
          </c:val>
          <c:extLst>
            <c:ext xmlns:c16="http://schemas.microsoft.com/office/drawing/2014/chart" uri="{C3380CC4-5D6E-409C-BE32-E72D297353CC}">
              <c16:uniqueId val="{00000008-FF07-491B-9780-3CEF0D064250}"/>
            </c:ext>
          </c:extLst>
        </c:ser>
        <c:ser>
          <c:idx val="10"/>
          <c:order val="9"/>
          <c:tx>
            <c:strRef>
              <c:f>Cálculos!$B$359</c:f>
              <c:strCache>
                <c:ptCount val="1"/>
                <c:pt idx="0">
                  <c:v>Total en educación con JCR</c:v>
                </c:pt>
              </c:strCache>
            </c:strRef>
          </c:tx>
          <c:spPr>
            <a:solidFill>
              <a:schemeClr val="accent5">
                <a:lumMod val="60000"/>
              </a:schemeClr>
            </a:solidFill>
            <a:ln>
              <a:noFill/>
            </a:ln>
            <a:effectLst/>
          </c:spPr>
          <c:invertIfNegative val="0"/>
          <c:cat>
            <c:strRef>
              <c:f>Cálculos!$C$349</c:f>
              <c:strCache>
                <c:ptCount val="1"/>
                <c:pt idx="0">
                  <c:v>Nº de revistas</c:v>
                </c:pt>
              </c:strCache>
            </c:strRef>
          </c:cat>
          <c:val>
            <c:numRef>
              <c:f>Cálculos!$C$359</c:f>
              <c:numCache>
                <c:formatCode>General</c:formatCode>
                <c:ptCount val="1"/>
                <c:pt idx="0">
                  <c:v>4</c:v>
                </c:pt>
              </c:numCache>
            </c:numRef>
          </c:val>
          <c:extLst>
            <c:ext xmlns:c16="http://schemas.microsoft.com/office/drawing/2014/chart" uri="{C3380CC4-5D6E-409C-BE32-E72D297353CC}">
              <c16:uniqueId val="{00000009-FF07-491B-9780-3CEF0D064250}"/>
            </c:ext>
          </c:extLst>
        </c:ser>
        <c:dLbls>
          <c:showLegendKey val="0"/>
          <c:showVal val="0"/>
          <c:showCatName val="0"/>
          <c:showSerName val="0"/>
          <c:showPercent val="0"/>
          <c:showBubbleSize val="0"/>
        </c:dLbls>
        <c:gapWidth val="219"/>
        <c:overlap val="-27"/>
        <c:axId val="1301190528"/>
        <c:axId val="1896170352"/>
      </c:barChart>
      <c:catAx>
        <c:axId val="130119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96170352"/>
        <c:crosses val="autoZero"/>
        <c:auto val="1"/>
        <c:lblAlgn val="ctr"/>
        <c:lblOffset val="100"/>
        <c:noMultiLvlLbl val="0"/>
      </c:catAx>
      <c:valAx>
        <c:axId val="189617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01190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Uso de técnicas de gamificación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tx>
            <c:strRef>
              <c:f>Cálculos!$B$41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Cálculos!$C$41:$M$41</c:f>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4A4E-4C67-B43D-C578B5E8F12E}"/>
            </c:ext>
          </c:extLst>
        </c:ser>
        <c:dLbls>
          <c:dLblPos val="outEnd"/>
          <c:showLegendKey val="0"/>
          <c:showVal val="1"/>
          <c:showCatName val="0"/>
          <c:showSerName val="0"/>
          <c:showPercent val="0"/>
          <c:showBubbleSize val="0"/>
        </c:dLbls>
        <c:gapWidth val="182"/>
        <c:axId val="849623456"/>
        <c:axId val="382747552"/>
      </c:barChart>
      <c:catAx>
        <c:axId val="84962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82747552"/>
        <c:crosses val="autoZero"/>
        <c:auto val="1"/>
        <c:lblAlgn val="ctr"/>
        <c:lblOffset val="100"/>
        <c:noMultiLvlLbl val="0"/>
      </c:catAx>
      <c:valAx>
        <c:axId val="38274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234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1"/>
          <c:order val="1"/>
          <c:tx>
            <c:strRef>
              <c:f>Cálculos!$B$42</c:f>
              <c:strCache>
                <c:ptCount val="1"/>
                <c:pt idx="0">
                  <c:v>PORCENTUAL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Cálculos!$C$40:$M$40</c:f>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f>Cálculos!$C$42:$M$42</c:f>
              <c:numCache>
                <c:formatCode>0.00%</c:formatCode>
                <c:ptCount val="11"/>
                <c:pt idx="0">
                  <c:v>0.32380952380952382</c:v>
                </c:pt>
                <c:pt idx="1">
                  <c:v>0.23809523809523808</c:v>
                </c:pt>
                <c:pt idx="2">
                  <c:v>0.68571428571428572</c:v>
                </c:pt>
                <c:pt idx="3">
                  <c:v>0.61904761904761907</c:v>
                </c:pt>
                <c:pt idx="4">
                  <c:v>0.26666666666666666</c:v>
                </c:pt>
                <c:pt idx="5">
                  <c:v>0.12380952380952381</c:v>
                </c:pt>
                <c:pt idx="6">
                  <c:v>0.23809523809523808</c:v>
                </c:pt>
                <c:pt idx="7">
                  <c:v>0.56190476190476191</c:v>
                </c:pt>
                <c:pt idx="8">
                  <c:v>0.31428571428571428</c:v>
                </c:pt>
                <c:pt idx="9">
                  <c:v>0.14285714285714285</c:v>
                </c:pt>
                <c:pt idx="10">
                  <c:v>0.21904761904761905</c:v>
                </c:pt>
              </c:numCache>
            </c:numRef>
          </c:val>
          <c:extLst>
            <c:ext xmlns:c16="http://schemas.microsoft.com/office/drawing/2014/chart" uri="{C3380CC4-5D6E-409C-BE32-E72D297353CC}">
              <c16:uniqueId val="{00000001-C09C-4CEE-846B-70F42F8B8A39}"/>
            </c:ext>
          </c:extLst>
        </c:ser>
        <c:dLbls>
          <c:dLblPos val="outEnd"/>
          <c:showLegendKey val="0"/>
          <c:showVal val="1"/>
          <c:showCatName val="0"/>
          <c:showSerName val="0"/>
          <c:showPercent val="0"/>
          <c:showBubbleSize val="0"/>
        </c:dLbls>
        <c:gapWidth val="182"/>
        <c:axId val="851395312"/>
        <c:axId val="633964240"/>
        <c:extLst>
          <c:ext xmlns:c15="http://schemas.microsoft.com/office/drawing/2012/chart" uri="{02D57815-91ED-43cb-92C2-25804820EDAC}">
            <c15:filteredBarSeries>
              <c15:ser>
                <c:idx val="0"/>
                <c:order val="0"/>
                <c:tx>
                  <c:strRef>
                    <c:extLst>
                      <c:ext uri="{02D57815-91ED-43cb-92C2-25804820EDAC}">
                        <c15:formulaRef>
                          <c15:sqref>Cálculos!$B$41</c15:sqref>
                        </c15:formulaRef>
                      </c:ext>
                    </c:extLst>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Cálculos!$C$40:$M$40</c15:sqref>
                        </c15:formulaRef>
                      </c:ext>
                    </c:extLst>
                    <c:strCache>
                      <c:ptCount val="11"/>
                      <c:pt idx="0">
                        <c:v>Leaderboards</c:v>
                      </c:pt>
                      <c:pt idx="1">
                        <c:v>Perfil personalizable</c:v>
                      </c:pt>
                      <c:pt idx="2">
                        <c:v>Juegos Interactivos</c:v>
                      </c:pt>
                      <c:pt idx="3">
                        <c:v>Gráficos llamativos</c:v>
                      </c:pt>
                      <c:pt idx="4">
                        <c:v>Quizz</c:v>
                      </c:pt>
                      <c:pt idx="5">
                        <c:v>Logros</c:v>
                      </c:pt>
                      <c:pt idx="6">
                        <c:v>Desafios</c:v>
                      </c:pt>
                      <c:pt idx="7">
                        <c:v>Puntos</c:v>
                      </c:pt>
                      <c:pt idx="8">
                        <c:v>Niveles</c:v>
                      </c:pt>
                      <c:pt idx="9">
                        <c:v>Narrativa</c:v>
                      </c:pt>
                      <c:pt idx="10">
                        <c:v>Interacción social</c:v>
                      </c:pt>
                    </c:strCache>
                  </c:strRef>
                </c:cat>
                <c:val>
                  <c:numRef>
                    <c:extLst>
                      <c:ext uri="{02D57815-91ED-43cb-92C2-25804820EDAC}">
                        <c15:formulaRef>
                          <c15:sqref>Cálculos!$C$41:$M$41</c15:sqref>
                        </c15:formulaRef>
                      </c:ext>
                    </c:extLst>
                    <c:numCache>
                      <c:formatCode>General</c:formatCode>
                      <c:ptCount val="11"/>
                      <c:pt idx="0">
                        <c:v>34</c:v>
                      </c:pt>
                      <c:pt idx="1">
                        <c:v>25</c:v>
                      </c:pt>
                      <c:pt idx="2">
                        <c:v>72</c:v>
                      </c:pt>
                      <c:pt idx="3">
                        <c:v>65</c:v>
                      </c:pt>
                      <c:pt idx="4">
                        <c:v>28</c:v>
                      </c:pt>
                      <c:pt idx="5">
                        <c:v>13</c:v>
                      </c:pt>
                      <c:pt idx="6">
                        <c:v>25</c:v>
                      </c:pt>
                      <c:pt idx="7">
                        <c:v>59</c:v>
                      </c:pt>
                      <c:pt idx="8">
                        <c:v>33</c:v>
                      </c:pt>
                      <c:pt idx="9">
                        <c:v>15</c:v>
                      </c:pt>
                      <c:pt idx="10">
                        <c:v>23</c:v>
                      </c:pt>
                    </c:numCache>
                  </c:numRef>
                </c:val>
                <c:extLst>
                  <c:ext xmlns:c16="http://schemas.microsoft.com/office/drawing/2014/chart" uri="{C3380CC4-5D6E-409C-BE32-E72D297353CC}">
                    <c16:uniqueId val="{00000000-C09C-4CEE-846B-70F42F8B8A39}"/>
                  </c:ext>
                </c:extLst>
              </c15:ser>
            </c15:filteredBarSeries>
          </c:ext>
        </c:extLst>
      </c:barChart>
      <c:catAx>
        <c:axId val="8513953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33964240"/>
        <c:crossesAt val="0"/>
        <c:auto val="1"/>
        <c:lblAlgn val="ctr"/>
        <c:lblOffset val="100"/>
        <c:noMultiLvlLbl val="0"/>
      </c:catAx>
      <c:valAx>
        <c:axId val="63396424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low"/>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139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Uso de métodos</a:t>
            </a:r>
            <a:r>
              <a:rPr lang="en-GB" baseline="0"/>
              <a:t> de validación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Cálculos!$C$78</c:f>
              <c:strCache>
                <c:ptCount val="1"/>
                <c:pt idx="0">
                  <c:v>Veces usado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Cálculos!$B$79:$B$81</c:f>
              <c:strCache>
                <c:ptCount val="3"/>
                <c:pt idx="0">
                  <c:v>Entrevista</c:v>
                </c:pt>
                <c:pt idx="1">
                  <c:v>Examen</c:v>
                </c:pt>
                <c:pt idx="2">
                  <c:v>Encuesta</c:v>
                </c:pt>
              </c:strCache>
            </c:strRef>
          </c:cat>
          <c:val>
            <c:numRef>
              <c:f>Cálculos!$C$79:$C$81</c:f>
              <c:numCache>
                <c:formatCode>General</c:formatCode>
                <c:ptCount val="3"/>
                <c:pt idx="0">
                  <c:v>23</c:v>
                </c:pt>
                <c:pt idx="1">
                  <c:v>36</c:v>
                </c:pt>
                <c:pt idx="2">
                  <c:v>56</c:v>
                </c:pt>
              </c:numCache>
            </c:numRef>
          </c:val>
          <c:extLst>
            <c:ext xmlns:c16="http://schemas.microsoft.com/office/drawing/2014/chart" uri="{C3380CC4-5D6E-409C-BE32-E72D297353CC}">
              <c16:uniqueId val="{00000000-CE39-4138-8DE3-3E91138182AE}"/>
            </c:ext>
          </c:extLst>
        </c:ser>
        <c:dLbls>
          <c:dLblPos val="outEnd"/>
          <c:showLegendKey val="0"/>
          <c:showVal val="1"/>
          <c:showCatName val="0"/>
          <c:showSerName val="0"/>
          <c:showPercent val="0"/>
          <c:showBubbleSize val="0"/>
        </c:dLbls>
        <c:gapWidth val="219"/>
        <c:overlap val="-27"/>
        <c:axId val="822270432"/>
        <c:axId val="856622208"/>
        <c:extLst>
          <c:ext xmlns:c15="http://schemas.microsoft.com/office/drawing/2012/chart" uri="{02D57815-91ED-43cb-92C2-25804820EDAC}">
            <c15:filteredBarSeries>
              <c15:ser>
                <c:idx val="1"/>
                <c:order val="1"/>
                <c:tx>
                  <c:strRef>
                    <c:extLst>
                      <c:ext uri="{02D57815-91ED-43cb-92C2-25804820EDAC}">
                        <c15:formulaRef>
                          <c15:sqref>Cálculos!$D$78</c15:sqref>
                        </c15:formulaRef>
                      </c:ext>
                    </c:extLst>
                    <c:strCache>
                      <c:ptCount val="1"/>
                      <c:pt idx="0">
                        <c:v>% de estudios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Cálculos!$B$79:$B$81</c15:sqref>
                        </c15:formulaRef>
                      </c:ext>
                    </c:extLst>
                    <c:strCache>
                      <c:ptCount val="3"/>
                      <c:pt idx="0">
                        <c:v>Entrevista</c:v>
                      </c:pt>
                      <c:pt idx="1">
                        <c:v>Examen</c:v>
                      </c:pt>
                      <c:pt idx="2">
                        <c:v>Encuesta</c:v>
                      </c:pt>
                    </c:strCache>
                  </c:strRef>
                </c:cat>
                <c:val>
                  <c:numRef>
                    <c:extLst>
                      <c:ext uri="{02D57815-91ED-43cb-92C2-25804820EDAC}">
                        <c15:formulaRef>
                          <c15:sqref>Cálculos!$D$79:$D$81</c15:sqref>
                        </c15:formulaRef>
                      </c:ext>
                    </c:extLst>
                    <c:numCache>
                      <c:formatCode>0.00%</c:formatCode>
                      <c:ptCount val="3"/>
                      <c:pt idx="0">
                        <c:v>0.21904761904761905</c:v>
                      </c:pt>
                      <c:pt idx="1">
                        <c:v>0.34285714285714286</c:v>
                      </c:pt>
                      <c:pt idx="2">
                        <c:v>0.53333333333333333</c:v>
                      </c:pt>
                    </c:numCache>
                  </c:numRef>
                </c:val>
                <c:extLst>
                  <c:ext xmlns:c16="http://schemas.microsoft.com/office/drawing/2014/chart" uri="{C3380CC4-5D6E-409C-BE32-E72D297353CC}">
                    <c16:uniqueId val="{00000001-CE39-4138-8DE3-3E91138182AE}"/>
                  </c:ext>
                </c:extLst>
              </c15:ser>
            </c15:filteredBarSeries>
          </c:ext>
        </c:extLst>
      </c:barChart>
      <c:catAx>
        <c:axId val="82227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56622208"/>
        <c:crosses val="autoZero"/>
        <c:auto val="1"/>
        <c:lblAlgn val="ctr"/>
        <c:lblOffset val="100"/>
        <c:noMultiLvlLbl val="0"/>
      </c:catAx>
      <c:valAx>
        <c:axId val="85662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22270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Sistemas de validación</a:t>
            </a:r>
            <a:r>
              <a:rPr lang="en-GB" baseline="0"/>
              <a:t>: combinaciones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0"/>
          <c:order val="0"/>
          <c:tx>
            <c:strRef>
              <c:f>Cálculos!$F$79</c:f>
              <c:strCache>
                <c:ptCount val="1"/>
                <c:pt idx="0">
                  <c:v>Veces usado</c:v>
                </c:pt>
              </c:strCache>
              <c:extLst xmlns:c15="http://schemas.microsoft.com/office/drawing/2012/chart"/>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1-35F4-43C3-9CC4-B324748C5D41}"/>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35F4-43C3-9CC4-B324748C5D41}"/>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5-35F4-43C3-9CC4-B324748C5D41}"/>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7-35F4-43C3-9CC4-B324748C5D41}"/>
              </c:ext>
            </c:extLst>
          </c:dPt>
          <c:dPt>
            <c:idx val="4"/>
            <c:bubble3D val="0"/>
            <c:spPr>
              <a:solidFill>
                <a:schemeClr val="accent5"/>
              </a:solidFill>
              <a:ln w="19050">
                <a:solidFill>
                  <a:schemeClr val="lt1"/>
                </a:solidFill>
              </a:ln>
              <a:effectLst/>
            </c:spPr>
            <c:extLst xmlns:c15="http://schemas.microsoft.com/office/drawing/2012/chart">
              <c:ext xmlns:c16="http://schemas.microsoft.com/office/drawing/2014/chart" uri="{C3380CC4-5D6E-409C-BE32-E72D297353CC}">
                <c16:uniqueId val="{00000019-35F4-43C3-9CC4-B324748C5D41}"/>
              </c:ext>
            </c:extLst>
          </c:dPt>
          <c:dPt>
            <c:idx val="5"/>
            <c:bubble3D val="0"/>
            <c:spPr>
              <a:solidFill>
                <a:schemeClr val="accent6"/>
              </a:solidFill>
              <a:ln w="19050">
                <a:solidFill>
                  <a:schemeClr val="lt1"/>
                </a:solidFill>
              </a:ln>
              <a:effectLst/>
            </c:spPr>
            <c:extLst xmlns:c15="http://schemas.microsoft.com/office/drawing/2012/chart">
              <c:ext xmlns:c16="http://schemas.microsoft.com/office/drawing/2014/chart" uri="{C3380CC4-5D6E-409C-BE32-E72D297353CC}">
                <c16:uniqueId val="{0000001B-35F4-43C3-9CC4-B324748C5D41}"/>
              </c:ext>
            </c:extLst>
          </c:dPt>
          <c:dPt>
            <c:idx val="6"/>
            <c:bubble3D val="0"/>
            <c:spPr>
              <a:solidFill>
                <a:schemeClr val="accent1">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D-35F4-43C3-9CC4-B324748C5D41}"/>
              </c:ext>
            </c:extLst>
          </c:dPt>
          <c:dPt>
            <c:idx val="7"/>
            <c:bubble3D val="0"/>
            <c:spPr>
              <a:solidFill>
                <a:schemeClr val="accent2">
                  <a:lumMod val="60000"/>
                </a:schemeClr>
              </a:solidFill>
              <a:ln w="19050">
                <a:solidFill>
                  <a:schemeClr val="lt1"/>
                </a:solidFill>
              </a:ln>
              <a:effectLst/>
            </c:spPr>
            <c:extLst xmlns:c15="http://schemas.microsoft.com/office/drawing/2012/chart">
              <c:ext xmlns:c16="http://schemas.microsoft.com/office/drawing/2014/chart" uri="{C3380CC4-5D6E-409C-BE32-E72D297353CC}">
                <c16:uniqueId val="{0000001F-35F4-43C3-9CC4-B324748C5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5="http://schemas.microsoft.com/office/drawing/2012/chart">
              <c:ext xmlns:c15="http://schemas.microsoft.com/office/drawing/2012/chart" uri="{CE6537A1-D6FC-4f65-9D91-7224C49458BB}"/>
            </c:extLst>
          </c:dLbls>
          <c:cat>
            <c:strRef>
              <c:f>Cálculos!$G$78:$N$78</c:f>
              <c:strCache>
                <c:ptCount val="8"/>
                <c:pt idx="0">
                  <c:v>Sin especificar</c:v>
                </c:pt>
                <c:pt idx="1">
                  <c:v>Examen</c:v>
                </c:pt>
                <c:pt idx="2">
                  <c:v>Encuesta</c:v>
                </c:pt>
                <c:pt idx="3">
                  <c:v>Entrevista</c:v>
                </c:pt>
                <c:pt idx="4">
                  <c:v>Examen + Encuesta</c:v>
                </c:pt>
                <c:pt idx="5">
                  <c:v>Examen + Entrevista</c:v>
                </c:pt>
                <c:pt idx="6">
                  <c:v>Entrevista + Encuesta</c:v>
                </c:pt>
                <c:pt idx="7">
                  <c:v>Todo</c:v>
                </c:pt>
              </c:strCache>
              <c:extLst xmlns:c15="http://schemas.microsoft.com/office/drawing/2012/chart"/>
            </c:strRef>
          </c:cat>
          <c:val>
            <c:numRef>
              <c:f>Cálculos!$G$79:$N$79</c:f>
              <c:numCache>
                <c:formatCode>General</c:formatCode>
                <c:ptCount val="8"/>
                <c:pt idx="0">
                  <c:v>15</c:v>
                </c:pt>
                <c:pt idx="1">
                  <c:v>20</c:v>
                </c:pt>
                <c:pt idx="2">
                  <c:v>34</c:v>
                </c:pt>
                <c:pt idx="3">
                  <c:v>12</c:v>
                </c:pt>
                <c:pt idx="4">
                  <c:v>13</c:v>
                </c:pt>
                <c:pt idx="5">
                  <c:v>2</c:v>
                </c:pt>
                <c:pt idx="6">
                  <c:v>8</c:v>
                </c:pt>
                <c:pt idx="7">
                  <c:v>1</c:v>
                </c:pt>
              </c:numCache>
              <c:extLst xmlns:c15="http://schemas.microsoft.com/office/drawing/2012/chart"/>
            </c:numRef>
          </c:val>
          <c:extLst xmlns:c15="http://schemas.microsoft.com/office/drawing/2012/chart">
            <c:ext xmlns:c16="http://schemas.microsoft.com/office/drawing/2014/chart" uri="{C3380CC4-5D6E-409C-BE32-E72D297353CC}">
              <c16:uniqueId val="{00000000-B5B6-4AA7-B3BF-E6F77DEFD156}"/>
            </c:ext>
          </c:extLst>
        </c:ser>
        <c:dLbls>
          <c:dLblPos val="outEnd"/>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strRef>
                    <c:extLst>
                      <c:ext uri="{02D57815-91ED-43cb-92C2-25804820EDAC}">
                        <c15:formulaRef>
                          <c15:sqref>Cálculos!$F$80</c15:sqref>
                        </c15:formulaRef>
                      </c:ext>
                    </c:extLst>
                    <c:strCache>
                      <c:ptCount val="1"/>
                      <c:pt idx="0">
                        <c:v>% de estudios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F4-43C3-9CC4-B324748C5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F4-43C3-9CC4-B324748C5D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F4-43C3-9CC4-B324748C5D4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5F4-43C3-9CC4-B324748C5D4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5F4-43C3-9CC4-B324748C5D4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2-B5B6-4AA7-B3BF-E6F77DEFD15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3-B5B6-4AA7-B3BF-E6F77DEFD15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4-B5B6-4AA7-B3BF-E6F77DEFD156}"/>
                    </c:ext>
                  </c:extLst>
                </c:dPt>
                <c:dLbls>
                  <c:dLbl>
                    <c:idx val="5"/>
                    <c:layout>
                      <c:manualLayout>
                        <c:x val="-3.3333333333333381E-2"/>
                        <c:y val="-1.3888888888888911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2-B5B6-4AA7-B3BF-E6F77DEFD156}"/>
                      </c:ext>
                    </c:extLst>
                  </c:dLbl>
                  <c:dLbl>
                    <c:idx val="6"/>
                    <c:layout>
                      <c:manualLayout>
                        <c:x val="-2.7777777777777779E-3"/>
                        <c:y val="-2.3148148148148147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3-B5B6-4AA7-B3BF-E6F77DEFD156}"/>
                      </c:ext>
                    </c:extLst>
                  </c:dLbl>
                  <c:dLbl>
                    <c:idx val="7"/>
                    <c:layout>
                      <c:manualLayout>
                        <c:x val="1.6666666666666566E-2"/>
                        <c:y val="-1.3888888888888888E-2"/>
                      </c:manualLayout>
                    </c:layout>
                    <c:dLblPos val="bestFit"/>
                    <c:showLegendKey val="0"/>
                    <c:showVal val="1"/>
                    <c:showCatName val="0"/>
                    <c:showSerName val="0"/>
                    <c:showPercent val="0"/>
                    <c:showBubbleSize val="0"/>
                    <c:extLst>
                      <c:ext uri="{CE6537A1-D6FC-4f65-9D91-7224C49458BB}"/>
                      <c:ext xmlns:c16="http://schemas.microsoft.com/office/drawing/2014/chart" uri="{C3380CC4-5D6E-409C-BE32-E72D297353CC}">
                        <c16:uniqueId val="{00000004-B5B6-4AA7-B3BF-E6F77DEFD15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Cálculos!$G$78:$N$78</c15:sqref>
                        </c15:formulaRef>
                      </c:ext>
                    </c:extLst>
                    <c:strCache>
                      <c:ptCount val="8"/>
                      <c:pt idx="0">
                        <c:v>Sin especificar</c:v>
                      </c:pt>
                      <c:pt idx="1">
                        <c:v>Examen</c:v>
                      </c:pt>
                      <c:pt idx="2">
                        <c:v>Encuesta</c:v>
                      </c:pt>
                      <c:pt idx="3">
                        <c:v>Entrevista</c:v>
                      </c:pt>
                      <c:pt idx="4">
                        <c:v>Examen + Encuesta</c:v>
                      </c:pt>
                      <c:pt idx="5">
                        <c:v>Examen + Entrevista</c:v>
                      </c:pt>
                      <c:pt idx="6">
                        <c:v>Entrevista + Encuesta</c:v>
                      </c:pt>
                      <c:pt idx="7">
                        <c:v>Todo</c:v>
                      </c:pt>
                    </c:strCache>
                  </c:strRef>
                </c:cat>
                <c:val>
                  <c:numRef>
                    <c:extLst>
                      <c:ext uri="{02D57815-91ED-43cb-92C2-25804820EDAC}">
                        <c15:formulaRef>
                          <c15:sqref>Cálculos!$G$80:$N$80</c15:sqref>
                        </c15:formulaRef>
                      </c:ext>
                    </c:extLst>
                    <c:numCache>
                      <c:formatCode>0.00%</c:formatCode>
                      <c:ptCount val="8"/>
                      <c:pt idx="0">
                        <c:v>0.14285714285714285</c:v>
                      </c:pt>
                      <c:pt idx="1">
                        <c:v>0.19047619047619047</c:v>
                      </c:pt>
                      <c:pt idx="2">
                        <c:v>0.32380952380952382</c:v>
                      </c:pt>
                      <c:pt idx="3">
                        <c:v>0.11428571428571428</c:v>
                      </c:pt>
                      <c:pt idx="4">
                        <c:v>0.12380952380952381</c:v>
                      </c:pt>
                      <c:pt idx="5">
                        <c:v>1.9047619047619049E-2</c:v>
                      </c:pt>
                      <c:pt idx="6">
                        <c:v>7.6190476190476197E-2</c:v>
                      </c:pt>
                      <c:pt idx="7">
                        <c:v>9.5238095238095247E-3</c:v>
                      </c:pt>
                    </c:numCache>
                  </c:numRef>
                </c:val>
                <c:extLst>
                  <c:ext xmlns:c16="http://schemas.microsoft.com/office/drawing/2014/chart" uri="{C3380CC4-5D6E-409C-BE32-E72D297353CC}">
                    <c16:uniqueId val="{00000001-B5B6-4AA7-B3BF-E6F77DEFD156}"/>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Resultados</a:t>
            </a:r>
            <a:r>
              <a:rPr lang="es-ES" baseline="0"/>
              <a:t> Granulados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6.6580927384076991E-2"/>
          <c:y val="0.17171296296296298"/>
          <c:w val="0.90286351706036749"/>
          <c:h val="0.67003098571011954"/>
        </c:manualLayout>
      </c:layout>
      <c:barChart>
        <c:barDir val="col"/>
        <c:grouping val="clustered"/>
        <c:varyColors val="0"/>
        <c:ser>
          <c:idx val="0"/>
          <c:order val="0"/>
          <c:tx>
            <c:strRef>
              <c:f>Cálculos!$F$18</c:f>
              <c:strCache>
                <c:ptCount val="1"/>
                <c:pt idx="0">
                  <c:v>Total</c:v>
                </c:pt>
              </c:strCache>
            </c:strRef>
          </c:tx>
          <c:spPr>
            <a:solidFill>
              <a:schemeClr val="accent1"/>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E60E-4536-8F2A-9C716156C713}"/>
              </c:ext>
            </c:extLst>
          </c:dPt>
          <c:dPt>
            <c:idx val="2"/>
            <c:invertIfNegative val="0"/>
            <c:bubble3D val="0"/>
            <c:spPr>
              <a:solidFill>
                <a:srgbClr val="C00000"/>
              </a:solidFill>
              <a:ln>
                <a:noFill/>
              </a:ln>
              <a:effectLst/>
            </c:spPr>
            <c:extLst>
              <c:ext xmlns:c16="http://schemas.microsoft.com/office/drawing/2014/chart" uri="{C3380CC4-5D6E-409C-BE32-E72D297353CC}">
                <c16:uniqueId val="{00000003-E60E-4536-8F2A-9C716156C713}"/>
              </c:ext>
            </c:extLst>
          </c:dPt>
          <c:dPt>
            <c:idx val="3"/>
            <c:invertIfNegative val="0"/>
            <c:bubble3D val="0"/>
            <c:spPr>
              <a:solidFill>
                <a:srgbClr val="FFC000"/>
              </a:solidFill>
              <a:ln>
                <a:noFill/>
              </a:ln>
              <a:effectLst/>
            </c:spPr>
            <c:extLst>
              <c:ext xmlns:c16="http://schemas.microsoft.com/office/drawing/2014/chart" uri="{C3380CC4-5D6E-409C-BE32-E72D297353CC}">
                <c16:uniqueId val="{00000004-E60E-4536-8F2A-9C716156C713}"/>
              </c:ext>
            </c:extLst>
          </c:dPt>
          <c:dPt>
            <c:idx val="4"/>
            <c:invertIfNegative val="0"/>
            <c:bubble3D val="0"/>
            <c:spPr>
              <a:solidFill>
                <a:srgbClr val="92D050"/>
              </a:solidFill>
              <a:ln>
                <a:noFill/>
              </a:ln>
              <a:effectLst/>
            </c:spPr>
            <c:extLst>
              <c:ext xmlns:c16="http://schemas.microsoft.com/office/drawing/2014/chart" uri="{C3380CC4-5D6E-409C-BE32-E72D297353CC}">
                <c16:uniqueId val="{00000005-E60E-4536-8F2A-9C716156C713}"/>
              </c:ext>
            </c:extLst>
          </c:dPt>
          <c:dPt>
            <c:idx val="5"/>
            <c:invertIfNegative val="0"/>
            <c:bubble3D val="0"/>
            <c:spPr>
              <a:solidFill>
                <a:srgbClr val="00B050"/>
              </a:solidFill>
              <a:ln>
                <a:noFill/>
              </a:ln>
              <a:effectLst/>
            </c:spPr>
            <c:extLst>
              <c:ext xmlns:c16="http://schemas.microsoft.com/office/drawing/2014/chart" uri="{C3380CC4-5D6E-409C-BE32-E72D297353CC}">
                <c16:uniqueId val="{00000006-E60E-4536-8F2A-9C716156C713}"/>
              </c:ext>
            </c:extLst>
          </c:dPt>
          <c:dPt>
            <c:idx val="6"/>
            <c:invertIfNegative val="0"/>
            <c:bubble3D val="0"/>
            <c:spPr>
              <a:solidFill>
                <a:srgbClr val="148A1A"/>
              </a:solidFill>
              <a:ln>
                <a:noFill/>
              </a:ln>
              <a:effectLst/>
            </c:spPr>
            <c:extLst>
              <c:ext xmlns:c16="http://schemas.microsoft.com/office/drawing/2014/chart" uri="{C3380CC4-5D6E-409C-BE32-E72D297353CC}">
                <c16:uniqueId val="{00000007-E60E-4536-8F2A-9C716156C713}"/>
              </c:ext>
            </c:extLst>
          </c:dPt>
          <c:dPt>
            <c:idx val="7"/>
            <c:invertIfNegative val="0"/>
            <c:bubble3D val="0"/>
            <c:spPr>
              <a:solidFill>
                <a:schemeClr val="bg2">
                  <a:lumMod val="75000"/>
                </a:schemeClr>
              </a:solidFill>
              <a:ln>
                <a:noFill/>
              </a:ln>
              <a:effectLst/>
            </c:spPr>
            <c:extLst>
              <c:ext xmlns:c16="http://schemas.microsoft.com/office/drawing/2014/chart" uri="{C3380CC4-5D6E-409C-BE32-E72D297353CC}">
                <c16:uniqueId val="{00000008-E60E-4536-8F2A-9C716156C713}"/>
              </c:ext>
            </c:extLst>
          </c:dPt>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Cálculos!$G$18:$N$18</c:f>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E60E-4536-8F2A-9C716156C713}"/>
            </c:ext>
          </c:extLst>
        </c:ser>
        <c:dLbls>
          <c:showLegendKey val="0"/>
          <c:showVal val="0"/>
          <c:showCatName val="0"/>
          <c:showSerName val="0"/>
          <c:showPercent val="0"/>
          <c:showBubbleSize val="0"/>
        </c:dLbls>
        <c:gapWidth val="219"/>
        <c:overlap val="-27"/>
        <c:axId val="1527048815"/>
        <c:axId val="1527047151"/>
      </c:barChart>
      <c:catAx>
        <c:axId val="152704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7151"/>
        <c:crosses val="autoZero"/>
        <c:auto val="1"/>
        <c:lblAlgn val="ctr"/>
        <c:lblOffset val="100"/>
        <c:noMultiLvlLbl val="0"/>
      </c:catAx>
      <c:valAx>
        <c:axId val="152704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7048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Resultados Granulados Porcentuales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pieChart>
        <c:varyColors val="1"/>
        <c:ser>
          <c:idx val="1"/>
          <c:order val="1"/>
          <c:tx>
            <c:strRef>
              <c:f>Cálculos!$F$19</c:f>
              <c:strCache>
                <c:ptCount val="1"/>
                <c:pt idx="0">
                  <c:v>Porcentaje</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8-C532-47E4-9A5B-F62A009D405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7-C532-47E4-9A5B-F62A009D4055}"/>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8E-4C2A-9C47-EC044FCF7D53}"/>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4-C532-47E4-9A5B-F62A009D4055}"/>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3-C532-47E4-9A5B-F62A009D4055}"/>
              </c:ext>
            </c:extLst>
          </c:dPt>
          <c:dPt>
            <c:idx val="6"/>
            <c:bubble3D val="0"/>
            <c:spPr>
              <a:solidFill>
                <a:srgbClr val="148A1A"/>
              </a:solidFill>
              <a:ln w="19050">
                <a:solidFill>
                  <a:schemeClr val="lt1"/>
                </a:solidFill>
              </a:ln>
              <a:effectLst/>
            </c:spPr>
            <c:extLst>
              <c:ext xmlns:c16="http://schemas.microsoft.com/office/drawing/2014/chart" uri="{C3380CC4-5D6E-409C-BE32-E72D297353CC}">
                <c16:uniqueId val="{00000005-C532-47E4-9A5B-F62A009D4055}"/>
              </c:ext>
            </c:extLst>
          </c:dPt>
          <c:dPt>
            <c:idx val="7"/>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6-C532-47E4-9A5B-F62A009D4055}"/>
              </c:ext>
            </c:extLst>
          </c:dPt>
          <c:dLbls>
            <c:dLbl>
              <c:idx val="1"/>
              <c:layout>
                <c:manualLayout>
                  <c:x val="9.2608356828830854E-2"/>
                  <c:y val="-2.062111337771686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532-47E4-9A5B-F62A009D40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Cálculos!$G$17:$N$17</c:f>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f>Cálculos!$G$19:$N$19</c:f>
              <c:numCache>
                <c:formatCode>0.00%</c:formatCode>
                <c:ptCount val="8"/>
                <c:pt idx="0">
                  <c:v>0</c:v>
                </c:pt>
                <c:pt idx="1">
                  <c:v>1.9047619047619049E-2</c:v>
                </c:pt>
                <c:pt idx="2">
                  <c:v>2.8571428571428571E-2</c:v>
                </c:pt>
                <c:pt idx="3">
                  <c:v>0.14285714285714285</c:v>
                </c:pt>
                <c:pt idx="4">
                  <c:v>0.17142857142857143</c:v>
                </c:pt>
                <c:pt idx="5">
                  <c:v>0.50476190476190474</c:v>
                </c:pt>
                <c:pt idx="6">
                  <c:v>6.6666666666666666E-2</c:v>
                </c:pt>
                <c:pt idx="7">
                  <c:v>6.6666666666666666E-2</c:v>
                </c:pt>
              </c:numCache>
            </c:numRef>
          </c:val>
          <c:extLst>
            <c:ext xmlns:c16="http://schemas.microsoft.com/office/drawing/2014/chart" uri="{C3380CC4-5D6E-409C-BE32-E72D297353CC}">
              <c16:uniqueId val="{00000001-C532-47E4-9A5B-F62A009D4055}"/>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Cálculos!$F$18</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D18E-4C2A-9C47-EC044FCF7D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D18E-4C2A-9C47-EC044FCF7D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D18E-4C2A-9C47-EC044FCF7D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D18E-4C2A-9C47-EC044FCF7D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9-D18E-4C2A-9C47-EC044FCF7D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B-D18E-4C2A-9C47-EC044FCF7D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D-D18E-4C2A-9C47-EC044FCF7D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F-D18E-4C2A-9C47-EC044FCF7D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Cálculos!$G$17:$N$17</c15:sqref>
                        </c15:formulaRef>
                      </c:ext>
                    </c:extLst>
                    <c:strCache>
                      <c:ptCount val="8"/>
                      <c:pt idx="0">
                        <c:v>Muy negativo</c:v>
                      </c:pt>
                      <c:pt idx="1">
                        <c:v>Negativo</c:v>
                      </c:pt>
                      <c:pt idx="2">
                        <c:v>Algo negativo</c:v>
                      </c:pt>
                      <c:pt idx="3">
                        <c:v>Neutro</c:v>
                      </c:pt>
                      <c:pt idx="4">
                        <c:v>Algo positivo</c:v>
                      </c:pt>
                      <c:pt idx="5">
                        <c:v>Positivo </c:v>
                      </c:pt>
                      <c:pt idx="6">
                        <c:v>Muy positivo</c:v>
                      </c:pt>
                      <c:pt idx="7">
                        <c:v>No descrito</c:v>
                      </c:pt>
                    </c:strCache>
                  </c:strRef>
                </c:cat>
                <c:val>
                  <c:numRef>
                    <c:extLst>
                      <c:ext uri="{02D57815-91ED-43cb-92C2-25804820EDAC}">
                        <c15:formulaRef>
                          <c15:sqref>Cálculos!$G$18:$N$18</c15:sqref>
                        </c15:formulaRef>
                      </c:ext>
                    </c:extLst>
                    <c:numCache>
                      <c:formatCode>General</c:formatCode>
                      <c:ptCount val="8"/>
                      <c:pt idx="0">
                        <c:v>0</c:v>
                      </c:pt>
                      <c:pt idx="1">
                        <c:v>2</c:v>
                      </c:pt>
                      <c:pt idx="2">
                        <c:v>3</c:v>
                      </c:pt>
                      <c:pt idx="3">
                        <c:v>15</c:v>
                      </c:pt>
                      <c:pt idx="4">
                        <c:v>18</c:v>
                      </c:pt>
                      <c:pt idx="5">
                        <c:v>53</c:v>
                      </c:pt>
                      <c:pt idx="6">
                        <c:v>7</c:v>
                      </c:pt>
                      <c:pt idx="7">
                        <c:v>7</c:v>
                      </c:pt>
                    </c:numCache>
                  </c:numRef>
                </c:val>
                <c:extLst>
                  <c:ext xmlns:c16="http://schemas.microsoft.com/office/drawing/2014/chart" uri="{C3380CC4-5D6E-409C-BE32-E72D297353CC}">
                    <c16:uniqueId val="{00000000-C532-47E4-9A5B-F62A009D4055}"/>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Distribución</a:t>
            </a:r>
            <a:r>
              <a:rPr lang="es-ES" baseline="0"/>
              <a:t> de asignaturas</a:t>
            </a:r>
            <a:endParaRPr lang="es-ES"/>
          </a:p>
        </c:rich>
      </c:tx>
      <c:layout>
        <c:manualLayout>
          <c:xMode val="edge"/>
          <c:yMode val="edge"/>
          <c:x val="0.3333204373075413"/>
          <c:y val="2.0486455519397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Cálculos!$B$148:$B$170</c:f>
              <c:strCache>
                <c:ptCount val="23"/>
                <c:pt idx="0">
                  <c:v>Aviación</c:v>
                </c:pt>
                <c:pt idx="1">
                  <c:v>Biología</c:v>
                </c:pt>
                <c:pt idx="2">
                  <c:v>Ciberseguridad</c:v>
                </c:pt>
                <c:pt idx="3">
                  <c:v>Conocimiento del medio</c:v>
                </c:pt>
                <c:pt idx="4">
                  <c:v>Economía</c:v>
                </c:pt>
                <c:pt idx="5">
                  <c:v>Educación física</c:v>
                </c:pt>
                <c:pt idx="6">
                  <c:v>Emergencias</c:v>
                </c:pt>
                <c:pt idx="7">
                  <c:v>Emprendimiento</c:v>
                </c:pt>
                <c:pt idx="8">
                  <c:v>Física</c:v>
                </c:pt>
                <c:pt idx="9">
                  <c:v>Francés</c:v>
                </c:pt>
                <c:pt idx="10">
                  <c:v>General</c:v>
                </c:pt>
                <c:pt idx="11">
                  <c:v>Historia</c:v>
                </c:pt>
                <c:pt idx="12">
                  <c:v>Informática</c:v>
                </c:pt>
                <c:pt idx="13">
                  <c:v>Ingeniería</c:v>
                </c:pt>
                <c:pt idx="14">
                  <c:v>Inglés</c:v>
                </c:pt>
                <c:pt idx="15">
                  <c:v>Interrogación</c:v>
                </c:pt>
                <c:pt idx="16">
                  <c:v>Matemáticas</c:v>
                </c:pt>
                <c:pt idx="17">
                  <c:v>Nutrición</c:v>
                </c:pt>
                <c:pt idx="18">
                  <c:v>Programación</c:v>
                </c:pt>
                <c:pt idx="19">
                  <c:v>Psicología</c:v>
                </c:pt>
                <c:pt idx="20">
                  <c:v>Química</c:v>
                </c:pt>
                <c:pt idx="21">
                  <c:v>Salud</c:v>
                </c:pt>
                <c:pt idx="22">
                  <c:v>Veracidad de la información</c:v>
                </c:pt>
              </c:strCache>
            </c:strRef>
          </c:cat>
          <c:val>
            <c:numRef>
              <c:f>Cálculos!$C$148:$C$170</c:f>
              <c:numCache>
                <c:formatCode>General</c:formatCode>
                <c:ptCount val="23"/>
                <c:pt idx="0">
                  <c:v>2</c:v>
                </c:pt>
                <c:pt idx="1">
                  <c:v>2</c:v>
                </c:pt>
                <c:pt idx="2">
                  <c:v>3</c:v>
                </c:pt>
                <c:pt idx="3">
                  <c:v>2</c:v>
                </c:pt>
                <c:pt idx="4">
                  <c:v>3</c:v>
                </c:pt>
                <c:pt idx="5">
                  <c:v>4</c:v>
                </c:pt>
                <c:pt idx="6">
                  <c:v>3</c:v>
                </c:pt>
                <c:pt idx="7">
                  <c:v>2</c:v>
                </c:pt>
                <c:pt idx="8">
                  <c:v>4</c:v>
                </c:pt>
                <c:pt idx="9">
                  <c:v>1</c:v>
                </c:pt>
                <c:pt idx="10">
                  <c:v>32</c:v>
                </c:pt>
                <c:pt idx="11">
                  <c:v>1</c:v>
                </c:pt>
                <c:pt idx="12">
                  <c:v>4</c:v>
                </c:pt>
                <c:pt idx="13">
                  <c:v>1</c:v>
                </c:pt>
                <c:pt idx="14">
                  <c:v>1</c:v>
                </c:pt>
                <c:pt idx="15">
                  <c:v>1</c:v>
                </c:pt>
                <c:pt idx="16">
                  <c:v>9</c:v>
                </c:pt>
                <c:pt idx="17">
                  <c:v>1</c:v>
                </c:pt>
                <c:pt idx="18">
                  <c:v>8</c:v>
                </c:pt>
                <c:pt idx="19">
                  <c:v>1</c:v>
                </c:pt>
                <c:pt idx="20">
                  <c:v>3</c:v>
                </c:pt>
                <c:pt idx="21">
                  <c:v>11</c:v>
                </c:pt>
                <c:pt idx="22">
                  <c:v>1</c:v>
                </c:pt>
              </c:numCache>
            </c:numRef>
          </c:val>
          <c:extLst>
            <c:ext xmlns:c16="http://schemas.microsoft.com/office/drawing/2014/chart" uri="{C3380CC4-5D6E-409C-BE32-E72D297353CC}">
              <c16:uniqueId val="{00000000-1DCE-4AE8-97A7-7897F20D7B1B}"/>
            </c:ext>
          </c:extLst>
        </c:ser>
        <c:dLbls>
          <c:dLblPos val="outEnd"/>
          <c:showLegendKey val="0"/>
          <c:showVal val="1"/>
          <c:showCatName val="0"/>
          <c:showSerName val="0"/>
          <c:showPercent val="0"/>
          <c:showBubbleSize val="0"/>
        </c:dLbls>
        <c:gapWidth val="219"/>
        <c:overlap val="-27"/>
        <c:axId val="1981206047"/>
        <c:axId val="1981207711"/>
      </c:barChart>
      <c:catAx>
        <c:axId val="198120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7711"/>
        <c:crosses val="autoZero"/>
        <c:auto val="1"/>
        <c:lblAlgn val="ctr"/>
        <c:lblOffset val="100"/>
        <c:noMultiLvlLbl val="0"/>
      </c:catAx>
      <c:valAx>
        <c:axId val="198120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Nº de experiencias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8120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514349</xdr:colOff>
      <xdr:row>21</xdr:row>
      <xdr:rowOff>95250</xdr:rowOff>
    </xdr:from>
    <xdr:to>
      <xdr:col>5</xdr:col>
      <xdr:colOff>819150</xdr:colOff>
      <xdr:row>36</xdr:row>
      <xdr:rowOff>19050</xdr:rowOff>
    </xdr:to>
    <xdr:graphicFrame macro="">
      <xdr:nvGraphicFramePr>
        <xdr:cNvPr id="2" name="Gráfico 1">
          <a:extLst>
            <a:ext uri="{FF2B5EF4-FFF2-40B4-BE49-F238E27FC236}">
              <a16:creationId xmlns:a16="http://schemas.microsoft.com/office/drawing/2014/main" id="{2671AF52-075A-5DEA-027D-C0ECEC5FE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1066800</xdr:colOff>
      <xdr:row>21</xdr:row>
      <xdr:rowOff>119062</xdr:rowOff>
    </xdr:from>
    <xdr:to>
      <xdr:col>10</xdr:col>
      <xdr:colOff>38100</xdr:colOff>
      <xdr:row>35</xdr:row>
      <xdr:rowOff>171450</xdr:rowOff>
    </xdr:to>
    <xdr:graphicFrame macro="">
      <xdr:nvGraphicFramePr>
        <xdr:cNvPr id="3" name="Gráfico 2">
          <a:extLst>
            <a:ext uri="{FF2B5EF4-FFF2-40B4-BE49-F238E27FC236}">
              <a16:creationId xmlns:a16="http://schemas.microsoft.com/office/drawing/2014/main" id="{715B39DE-61F4-6250-FC52-E1CAAC6C8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461962</xdr:colOff>
      <xdr:row>43</xdr:row>
      <xdr:rowOff>52387</xdr:rowOff>
    </xdr:from>
    <xdr:to>
      <xdr:col>5</xdr:col>
      <xdr:colOff>842962</xdr:colOff>
      <xdr:row>57</xdr:row>
      <xdr:rowOff>128587</xdr:rowOff>
    </xdr:to>
    <xdr:graphicFrame macro="">
      <xdr:nvGraphicFramePr>
        <xdr:cNvPr id="5" name="Gráfico 4">
          <a:extLst>
            <a:ext uri="{FF2B5EF4-FFF2-40B4-BE49-F238E27FC236}">
              <a16:creationId xmlns:a16="http://schemas.microsoft.com/office/drawing/2014/main" id="{2E636DB4-3EFA-C5FC-E820-3E2CA538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23811</xdr:colOff>
      <xdr:row>43</xdr:row>
      <xdr:rowOff>33336</xdr:rowOff>
    </xdr:from>
    <xdr:to>
      <xdr:col>10</xdr:col>
      <xdr:colOff>581024</xdr:colOff>
      <xdr:row>57</xdr:row>
      <xdr:rowOff>152399</xdr:rowOff>
    </xdr:to>
    <xdr:graphicFrame macro="">
      <xdr:nvGraphicFramePr>
        <xdr:cNvPr id="6" name="Gráfico 5">
          <a:extLst>
            <a:ext uri="{FF2B5EF4-FFF2-40B4-BE49-F238E27FC236}">
              <a16:creationId xmlns:a16="http://schemas.microsoft.com/office/drawing/2014/main" id="{E764B9BE-956E-5B70-9994-74987AB73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371475</xdr:colOff>
      <xdr:row>81</xdr:row>
      <xdr:rowOff>176212</xdr:rowOff>
    </xdr:from>
    <xdr:to>
      <xdr:col>5</xdr:col>
      <xdr:colOff>552450</xdr:colOff>
      <xdr:row>96</xdr:row>
      <xdr:rowOff>61912</xdr:rowOff>
    </xdr:to>
    <xdr:graphicFrame macro="">
      <xdr:nvGraphicFramePr>
        <xdr:cNvPr id="7" name="Gráfico 6">
          <a:extLst>
            <a:ext uri="{FF2B5EF4-FFF2-40B4-BE49-F238E27FC236}">
              <a16:creationId xmlns:a16="http://schemas.microsoft.com/office/drawing/2014/main" id="{45ADA530-D2D4-89FF-B716-81BBA917C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81</xdr:row>
      <xdr:rowOff>176212</xdr:rowOff>
    </xdr:from>
    <xdr:to>
      <xdr:col>10</xdr:col>
      <xdr:colOff>590550</xdr:colOff>
      <xdr:row>96</xdr:row>
      <xdr:rowOff>61912</xdr:rowOff>
    </xdr:to>
    <xdr:graphicFrame macro="">
      <xdr:nvGraphicFramePr>
        <xdr:cNvPr id="8" name="Gráfico 7">
          <a:extLst>
            <a:ext uri="{FF2B5EF4-FFF2-40B4-BE49-F238E27FC236}">
              <a16:creationId xmlns:a16="http://schemas.microsoft.com/office/drawing/2014/main" id="{0A11840D-AA9D-6E7E-C1E5-FB8E51C46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333375</xdr:colOff>
      <xdr:row>21</xdr:row>
      <xdr:rowOff>157162</xdr:rowOff>
    </xdr:from>
    <xdr:to>
      <xdr:col>15</xdr:col>
      <xdr:colOff>200025</xdr:colOff>
      <xdr:row>35</xdr:row>
      <xdr:rowOff>100012</xdr:rowOff>
    </xdr:to>
    <xdr:graphicFrame macro="">
      <xdr:nvGraphicFramePr>
        <xdr:cNvPr id="4" name="Gráfico 3">
          <a:extLst>
            <a:ext uri="{FF2B5EF4-FFF2-40B4-BE49-F238E27FC236}">
              <a16:creationId xmlns:a16="http://schemas.microsoft.com/office/drawing/2014/main" id="{36E1FA64-430A-43D9-8E13-B5C0F7251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481012</xdr:colOff>
      <xdr:row>21</xdr:row>
      <xdr:rowOff>195262</xdr:rowOff>
    </xdr:from>
    <xdr:to>
      <xdr:col>22</xdr:col>
      <xdr:colOff>52387</xdr:colOff>
      <xdr:row>35</xdr:row>
      <xdr:rowOff>138112</xdr:rowOff>
    </xdr:to>
    <xdr:graphicFrame macro="">
      <xdr:nvGraphicFramePr>
        <xdr:cNvPr id="10" name="Gráfico 9">
          <a:extLst>
            <a:ext uri="{FF2B5EF4-FFF2-40B4-BE49-F238E27FC236}">
              <a16:creationId xmlns:a16="http://schemas.microsoft.com/office/drawing/2014/main" id="{DB808DB9-7E93-479A-B3AD-E605774CF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904874</xdr:colOff>
      <xdr:row>144</xdr:row>
      <xdr:rowOff>185736</xdr:rowOff>
    </xdr:from>
    <xdr:to>
      <xdr:col>9</xdr:col>
      <xdr:colOff>371474</xdr:colOff>
      <xdr:row>166</xdr:row>
      <xdr:rowOff>161925</xdr:rowOff>
    </xdr:to>
    <xdr:graphicFrame macro="">
      <xdr:nvGraphicFramePr>
        <xdr:cNvPr id="9" name="Gráfico 8">
          <a:extLst>
            <a:ext uri="{FF2B5EF4-FFF2-40B4-BE49-F238E27FC236}">
              <a16:creationId xmlns:a16="http://schemas.microsoft.com/office/drawing/2014/main" id="{5E8DA395-B8EF-4E0F-AD19-95D8CF1125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871537</xdr:colOff>
      <xdr:row>167</xdr:row>
      <xdr:rowOff>128587</xdr:rowOff>
    </xdr:from>
    <xdr:to>
      <xdr:col>8</xdr:col>
      <xdr:colOff>957262</xdr:colOff>
      <xdr:row>181</xdr:row>
      <xdr:rowOff>128587</xdr:rowOff>
    </xdr:to>
    <xdr:graphicFrame macro="">
      <xdr:nvGraphicFramePr>
        <xdr:cNvPr id="11" name="Gráfico 10">
          <a:extLst>
            <a:ext uri="{FF2B5EF4-FFF2-40B4-BE49-F238E27FC236}">
              <a16:creationId xmlns:a16="http://schemas.microsoft.com/office/drawing/2014/main" id="{F9D64577-C702-4892-905F-985FDD8B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833437</xdr:colOff>
      <xdr:row>183</xdr:row>
      <xdr:rowOff>23812</xdr:rowOff>
    </xdr:from>
    <xdr:to>
      <xdr:col>8</xdr:col>
      <xdr:colOff>919162</xdr:colOff>
      <xdr:row>197</xdr:row>
      <xdr:rowOff>23812</xdr:rowOff>
    </xdr:to>
    <xdr:graphicFrame macro="">
      <xdr:nvGraphicFramePr>
        <xdr:cNvPr id="12" name="Gráfico 11">
          <a:extLst>
            <a:ext uri="{FF2B5EF4-FFF2-40B4-BE49-F238E27FC236}">
              <a16:creationId xmlns:a16="http://schemas.microsoft.com/office/drawing/2014/main" id="{01DD3588-6418-40C9-B02B-1290BCF9A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71436</xdr:colOff>
      <xdr:row>202</xdr:row>
      <xdr:rowOff>33336</xdr:rowOff>
    </xdr:from>
    <xdr:to>
      <xdr:col>8</xdr:col>
      <xdr:colOff>1019174</xdr:colOff>
      <xdr:row>219</xdr:row>
      <xdr:rowOff>95249</xdr:rowOff>
    </xdr:to>
    <xdr:graphicFrame macro="">
      <xdr:nvGraphicFramePr>
        <xdr:cNvPr id="13" name="Gráfico 12">
          <a:extLst>
            <a:ext uri="{FF2B5EF4-FFF2-40B4-BE49-F238E27FC236}">
              <a16:creationId xmlns:a16="http://schemas.microsoft.com/office/drawing/2014/main" id="{CB587A07-6015-44CA-8603-4D13F5DCAF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28575</xdr:colOff>
      <xdr:row>224</xdr:row>
      <xdr:rowOff>57150</xdr:rowOff>
    </xdr:from>
    <xdr:to>
      <xdr:col>9</xdr:col>
      <xdr:colOff>200025</xdr:colOff>
      <xdr:row>239</xdr:row>
      <xdr:rowOff>33339</xdr:rowOff>
    </xdr:to>
    <xdr:graphicFrame macro="">
      <xdr:nvGraphicFramePr>
        <xdr:cNvPr id="15" name="Gráfico 14">
          <a:extLst>
            <a:ext uri="{FF2B5EF4-FFF2-40B4-BE49-F238E27FC236}">
              <a16:creationId xmlns:a16="http://schemas.microsoft.com/office/drawing/2014/main" id="{A9FFE30D-75CA-4C83-B8BD-727EB874C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571500</xdr:colOff>
      <xdr:row>269</xdr:row>
      <xdr:rowOff>4762</xdr:rowOff>
    </xdr:from>
    <xdr:to>
      <xdr:col>8</xdr:col>
      <xdr:colOff>657225</xdr:colOff>
      <xdr:row>282</xdr:row>
      <xdr:rowOff>195262</xdr:rowOff>
    </xdr:to>
    <xdr:graphicFrame macro="">
      <xdr:nvGraphicFramePr>
        <xdr:cNvPr id="14" name="Gráfico 13">
          <a:extLst>
            <a:ext uri="{FF2B5EF4-FFF2-40B4-BE49-F238E27FC236}">
              <a16:creationId xmlns:a16="http://schemas.microsoft.com/office/drawing/2014/main" id="{2AAE718C-B457-45BE-8F4B-06FBEE56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371475</xdr:colOff>
      <xdr:row>253</xdr:row>
      <xdr:rowOff>171450</xdr:rowOff>
    </xdr:from>
    <xdr:to>
      <xdr:col>8</xdr:col>
      <xdr:colOff>457200</xdr:colOff>
      <xdr:row>267</xdr:row>
      <xdr:rowOff>171450</xdr:rowOff>
    </xdr:to>
    <xdr:graphicFrame macro="">
      <xdr:nvGraphicFramePr>
        <xdr:cNvPr id="16" name="Gráfico 15">
          <a:extLst>
            <a:ext uri="{FF2B5EF4-FFF2-40B4-BE49-F238E27FC236}">
              <a16:creationId xmlns:a16="http://schemas.microsoft.com/office/drawing/2014/main" id="{A5EEA224-1C1C-4BD4-8914-4E716D103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314325</xdr:colOff>
      <xdr:row>239</xdr:row>
      <xdr:rowOff>123825</xdr:rowOff>
    </xdr:from>
    <xdr:to>
      <xdr:col>8</xdr:col>
      <xdr:colOff>400050</xdr:colOff>
      <xdr:row>253</xdr:row>
      <xdr:rowOff>123825</xdr:rowOff>
    </xdr:to>
    <xdr:graphicFrame macro="">
      <xdr:nvGraphicFramePr>
        <xdr:cNvPr id="17" name="Gráfico 16">
          <a:extLst>
            <a:ext uri="{FF2B5EF4-FFF2-40B4-BE49-F238E27FC236}">
              <a16:creationId xmlns:a16="http://schemas.microsoft.com/office/drawing/2014/main" id="{2B72336B-E2BF-4400-A315-D27A3F18C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561975</xdr:colOff>
      <xdr:row>283</xdr:row>
      <xdr:rowOff>19050</xdr:rowOff>
    </xdr:from>
    <xdr:to>
      <xdr:col>8</xdr:col>
      <xdr:colOff>647700</xdr:colOff>
      <xdr:row>297</xdr:row>
      <xdr:rowOff>95250</xdr:rowOff>
    </xdr:to>
    <xdr:graphicFrame macro="">
      <xdr:nvGraphicFramePr>
        <xdr:cNvPr id="18" name="Gráfico 17">
          <a:extLst>
            <a:ext uri="{FF2B5EF4-FFF2-40B4-BE49-F238E27FC236}">
              <a16:creationId xmlns:a16="http://schemas.microsoft.com/office/drawing/2014/main" id="{5742A009-B930-4334-AE7B-7987A9FB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885824</xdr:colOff>
      <xdr:row>313</xdr:row>
      <xdr:rowOff>183216</xdr:rowOff>
    </xdr:from>
    <xdr:to>
      <xdr:col>9</xdr:col>
      <xdr:colOff>257734</xdr:colOff>
      <xdr:row>348</xdr:row>
      <xdr:rowOff>145678</xdr:rowOff>
    </xdr:to>
    <xdr:graphicFrame macro="">
      <xdr:nvGraphicFramePr>
        <xdr:cNvPr id="19" name="Gráfico 18">
          <a:extLst>
            <a:ext uri="{FF2B5EF4-FFF2-40B4-BE49-F238E27FC236}">
              <a16:creationId xmlns:a16="http://schemas.microsoft.com/office/drawing/2014/main" id="{3B482187-E284-B4D0-78CE-8E4189C9A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751897</xdr:colOff>
      <xdr:row>311</xdr:row>
      <xdr:rowOff>57149</xdr:rowOff>
    </xdr:from>
    <xdr:to>
      <xdr:col>18</xdr:col>
      <xdr:colOff>375227</xdr:colOff>
      <xdr:row>335</xdr:row>
      <xdr:rowOff>158748</xdr:rowOff>
    </xdr:to>
    <xdr:graphicFrame macro="">
      <xdr:nvGraphicFramePr>
        <xdr:cNvPr id="20" name="Gráfico 19">
          <a:extLst>
            <a:ext uri="{FF2B5EF4-FFF2-40B4-BE49-F238E27FC236}">
              <a16:creationId xmlns:a16="http://schemas.microsoft.com/office/drawing/2014/main" id="{31F7EDA5-9E37-98F8-7CBD-FA6BA3B6C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652998</xdr:colOff>
      <xdr:row>350</xdr:row>
      <xdr:rowOff>139394</xdr:rowOff>
    </xdr:from>
    <xdr:to>
      <xdr:col>14</xdr:col>
      <xdr:colOff>652998</xdr:colOff>
      <xdr:row>368</xdr:row>
      <xdr:rowOff>147374</xdr:rowOff>
    </xdr:to>
    <xdr:graphicFrame macro="">
      <xdr:nvGraphicFramePr>
        <xdr:cNvPr id="21" name="Gráfico 20">
          <a:extLst>
            <a:ext uri="{FF2B5EF4-FFF2-40B4-BE49-F238E27FC236}">
              <a16:creationId xmlns:a16="http://schemas.microsoft.com/office/drawing/2014/main" id="{08F22F3B-4AEB-4422-B981-511C066A6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17" Type="http://schemas.openxmlformats.org/officeDocument/2006/relationships/hyperlink" Target="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TargetMode="External"/><Relationship Id="rId21" Type="http://schemas.openxmlformats.org/officeDocument/2006/relationships/hyperlink" Target="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TargetMode="External"/><Relationship Id="rId42" Type="http://schemas.openxmlformats.org/officeDocument/2006/relationships/hyperlink" Target="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TargetMode="External"/><Relationship Id="rId63" Type="http://schemas.openxmlformats.org/officeDocument/2006/relationships/hyperlink" Target="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TargetMode="External"/><Relationship Id="rId84" Type="http://schemas.openxmlformats.org/officeDocument/2006/relationships/hyperlink" Target="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TargetMode="External"/><Relationship Id="rId138" Type="http://schemas.openxmlformats.org/officeDocument/2006/relationships/hyperlink" Target="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TargetMode="External"/><Relationship Id="rId159" Type="http://schemas.openxmlformats.org/officeDocument/2006/relationships/hyperlink" Target="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TargetMode="External"/><Relationship Id="rId17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191" Type="http://schemas.openxmlformats.org/officeDocument/2006/relationships/hyperlink" Target="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TargetMode="External"/><Relationship Id="rId205" Type="http://schemas.openxmlformats.org/officeDocument/2006/relationships/hyperlink" Target="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TargetMode="External"/><Relationship Id="rId107" Type="http://schemas.openxmlformats.org/officeDocument/2006/relationships/hyperlink" Target="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TargetMode="External"/><Relationship Id="rId11"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2" Type="http://schemas.openxmlformats.org/officeDocument/2006/relationships/hyperlink" Target="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TargetMode="External"/><Relationship Id="rId5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74" Type="http://schemas.openxmlformats.org/officeDocument/2006/relationships/hyperlink" Target="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TargetMode="External"/><Relationship Id="rId128"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49" Type="http://schemas.openxmlformats.org/officeDocument/2006/relationships/hyperlink" Target="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TargetMode="External"/><Relationship Id="rId5" Type="http://schemas.openxmlformats.org/officeDocument/2006/relationships/hyperlink" Target="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TargetMode="External"/><Relationship Id="rId95" Type="http://schemas.openxmlformats.org/officeDocument/2006/relationships/hyperlink" Target="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TargetMode="External"/><Relationship Id="rId160" Type="http://schemas.openxmlformats.org/officeDocument/2006/relationships/hyperlink" Target="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TargetMode="External"/><Relationship Id="rId181" Type="http://schemas.openxmlformats.org/officeDocument/2006/relationships/hyperlink" Target="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TargetMode="External"/><Relationship Id="rId216" Type="http://schemas.openxmlformats.org/officeDocument/2006/relationships/hyperlink" Target="https://www.redalyc.org/pdf/368/36846509013.pdf" TargetMode="External"/><Relationship Id="rId22" Type="http://schemas.openxmlformats.org/officeDocument/2006/relationships/hyperlink" Target="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TargetMode="External"/><Relationship Id="rId43" Type="http://schemas.openxmlformats.org/officeDocument/2006/relationships/hyperlink" Target="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TargetMode="External"/><Relationship Id="rId64" Type="http://schemas.openxmlformats.org/officeDocument/2006/relationships/hyperlink" Target="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TargetMode="External"/><Relationship Id="rId118"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139" Type="http://schemas.openxmlformats.org/officeDocument/2006/relationships/hyperlink" Target="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TargetMode="External"/><Relationship Id="rId85" Type="http://schemas.openxmlformats.org/officeDocument/2006/relationships/hyperlink" Target="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TargetMode="External"/><Relationship Id="rId150" Type="http://schemas.openxmlformats.org/officeDocument/2006/relationships/hyperlink" Target="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TargetMode="External"/><Relationship Id="rId171"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192" Type="http://schemas.openxmlformats.org/officeDocument/2006/relationships/hyperlink" Target="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TargetMode="External"/><Relationship Id="rId206" Type="http://schemas.openxmlformats.org/officeDocument/2006/relationships/hyperlink" Target="https://www.mdpi.com/2073-431X/10/5/68" TargetMode="External"/><Relationship Id="rId12"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33" Type="http://schemas.openxmlformats.org/officeDocument/2006/relationships/hyperlink" Target="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TargetMode="External"/><Relationship Id="rId108" Type="http://schemas.openxmlformats.org/officeDocument/2006/relationships/hyperlink" Target="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TargetMode="External"/><Relationship Id="rId129" Type="http://schemas.openxmlformats.org/officeDocument/2006/relationships/hyperlink" Target="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TargetMode="External"/><Relationship Id="rId54"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75" Type="http://schemas.openxmlformats.org/officeDocument/2006/relationships/hyperlink" Target="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TargetMode="External"/><Relationship Id="rId96"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140" Type="http://schemas.openxmlformats.org/officeDocument/2006/relationships/hyperlink" Target="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TargetMode="External"/><Relationship Id="rId161" Type="http://schemas.openxmlformats.org/officeDocument/2006/relationships/hyperlink" Target="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TargetMode="External"/><Relationship Id="rId182"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217" Type="http://schemas.openxmlformats.org/officeDocument/2006/relationships/hyperlink" Target="https://scielo.conicyt.cl/scielo.php?pid=S0718-51622020000100123&amp;script=sci_arttext&amp;tlng=p" TargetMode="External"/><Relationship Id="rId6" Type="http://schemas.openxmlformats.org/officeDocument/2006/relationships/hyperlink" Target="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TargetMode="External"/><Relationship Id="rId23"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119"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44" Type="http://schemas.openxmlformats.org/officeDocument/2006/relationships/hyperlink" Target="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TargetMode="External"/><Relationship Id="rId65" Type="http://schemas.openxmlformats.org/officeDocument/2006/relationships/hyperlink" Target="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TargetMode="External"/><Relationship Id="rId86" Type="http://schemas.openxmlformats.org/officeDocument/2006/relationships/hyperlink" Target="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TargetMode="External"/><Relationship Id="rId130" Type="http://schemas.openxmlformats.org/officeDocument/2006/relationships/hyperlink" Target="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TargetMode="External"/><Relationship Id="rId15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172" Type="http://schemas.openxmlformats.org/officeDocument/2006/relationships/hyperlink" Target="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TargetMode="External"/><Relationship Id="rId193" Type="http://schemas.openxmlformats.org/officeDocument/2006/relationships/hyperlink" Target="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TargetMode="External"/><Relationship Id="rId207" Type="http://schemas.openxmlformats.org/officeDocument/2006/relationships/hyperlink" Target="https://www.mdpi.com/2073-431X/9/4/102" TargetMode="External"/><Relationship Id="rId13" Type="http://schemas.openxmlformats.org/officeDocument/2006/relationships/hyperlink" Target="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TargetMode="External"/><Relationship Id="rId109" Type="http://schemas.openxmlformats.org/officeDocument/2006/relationships/hyperlink" Target="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TargetMode="External"/><Relationship Id="rId34" Type="http://schemas.openxmlformats.org/officeDocument/2006/relationships/hyperlink" Target="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TargetMode="External"/><Relationship Id="rId55" Type="http://schemas.openxmlformats.org/officeDocument/2006/relationships/hyperlink" Target="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TargetMode="External"/><Relationship Id="rId76" Type="http://schemas.openxmlformats.org/officeDocument/2006/relationships/hyperlink" Target="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TargetMode="External"/><Relationship Id="rId97" Type="http://schemas.openxmlformats.org/officeDocument/2006/relationships/hyperlink" Target="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TargetMode="External"/><Relationship Id="rId120" Type="http://schemas.openxmlformats.org/officeDocument/2006/relationships/hyperlink" Target="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TargetMode="External"/><Relationship Id="rId141" Type="http://schemas.openxmlformats.org/officeDocument/2006/relationships/hyperlink" Target="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TargetMode="External"/><Relationship Id="rId7"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162" Type="http://schemas.openxmlformats.org/officeDocument/2006/relationships/hyperlink" Target="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TargetMode="External"/><Relationship Id="rId183" Type="http://schemas.openxmlformats.org/officeDocument/2006/relationships/hyperlink" Target="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TargetMode="External"/><Relationship Id="rId218" Type="http://schemas.openxmlformats.org/officeDocument/2006/relationships/printerSettings" Target="../printerSettings/printerSettings1.bin"/><Relationship Id="rId24" Type="http://schemas.openxmlformats.org/officeDocument/2006/relationships/hyperlink" Target="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TargetMode="External"/><Relationship Id="rId45" Type="http://schemas.openxmlformats.org/officeDocument/2006/relationships/hyperlink" Target="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TargetMode="External"/><Relationship Id="rId66"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87" Type="http://schemas.openxmlformats.org/officeDocument/2006/relationships/hyperlink" Target="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TargetMode="External"/><Relationship Id="rId110" Type="http://schemas.openxmlformats.org/officeDocument/2006/relationships/hyperlink" Target="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TargetMode="External"/><Relationship Id="rId131" Type="http://schemas.openxmlformats.org/officeDocument/2006/relationships/hyperlink" Target="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TargetMode="External"/><Relationship Id="rId152" Type="http://schemas.openxmlformats.org/officeDocument/2006/relationships/hyperlink" Target="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TargetMode="External"/><Relationship Id="rId173" Type="http://schemas.openxmlformats.org/officeDocument/2006/relationships/hyperlink" Target="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TargetMode="External"/><Relationship Id="rId194" Type="http://schemas.openxmlformats.org/officeDocument/2006/relationships/hyperlink" Target="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TargetMode="External"/><Relationship Id="rId208" Type="http://schemas.openxmlformats.org/officeDocument/2006/relationships/hyperlink" Target="https://www.mdpi.com/2073-431X/10/10/126" TargetMode="External"/><Relationship Id="rId14" Type="http://schemas.openxmlformats.org/officeDocument/2006/relationships/hyperlink" Target="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TargetMode="External"/><Relationship Id="rId30" Type="http://schemas.openxmlformats.org/officeDocument/2006/relationships/hyperlink" Target="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TargetMode="External"/><Relationship Id="rId35" Type="http://schemas.openxmlformats.org/officeDocument/2006/relationships/hyperlink" Target="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TargetMode="External"/><Relationship Id="rId56" Type="http://schemas.openxmlformats.org/officeDocument/2006/relationships/hyperlink" Target="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TargetMode="External"/><Relationship Id="rId77" Type="http://schemas.openxmlformats.org/officeDocument/2006/relationships/hyperlink" Target="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TargetMode="External"/><Relationship Id="rId100" Type="http://schemas.openxmlformats.org/officeDocument/2006/relationships/hyperlink" Target="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TargetMode="External"/><Relationship Id="rId105" Type="http://schemas.openxmlformats.org/officeDocument/2006/relationships/hyperlink" Target="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TargetMode="External"/><Relationship Id="rId126" Type="http://schemas.openxmlformats.org/officeDocument/2006/relationships/hyperlink" Target="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TargetMode="External"/><Relationship Id="rId147" Type="http://schemas.openxmlformats.org/officeDocument/2006/relationships/hyperlink" Target="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TargetMode="External"/><Relationship Id="rId168"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8" Type="http://schemas.openxmlformats.org/officeDocument/2006/relationships/hyperlink" Target="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TargetMode="External"/><Relationship Id="rId51" Type="http://schemas.openxmlformats.org/officeDocument/2006/relationships/hyperlink" Target="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TargetMode="External"/><Relationship Id="rId72" Type="http://schemas.openxmlformats.org/officeDocument/2006/relationships/hyperlink" Target="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TargetMode="External"/><Relationship Id="rId93" Type="http://schemas.openxmlformats.org/officeDocument/2006/relationships/hyperlink" Target="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TargetMode="External"/><Relationship Id="rId98" Type="http://schemas.openxmlformats.org/officeDocument/2006/relationships/hyperlink" Target="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TargetMode="External"/><Relationship Id="rId121" Type="http://schemas.openxmlformats.org/officeDocument/2006/relationships/hyperlink" Target="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TargetMode="External"/><Relationship Id="rId142" Type="http://schemas.openxmlformats.org/officeDocument/2006/relationships/hyperlink" Target="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TargetMode="External"/><Relationship Id="rId163" Type="http://schemas.openxmlformats.org/officeDocument/2006/relationships/hyperlink" Target="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TargetMode="External"/><Relationship Id="rId184" Type="http://schemas.openxmlformats.org/officeDocument/2006/relationships/hyperlink" Target="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TargetMode="External"/><Relationship Id="rId189" Type="http://schemas.openxmlformats.org/officeDocument/2006/relationships/hyperlink" Target="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TargetMode="External"/><Relationship Id="rId3" Type="http://schemas.openxmlformats.org/officeDocument/2006/relationships/hyperlink" Target="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TargetMode="External"/><Relationship Id="rId214" Type="http://schemas.openxmlformats.org/officeDocument/2006/relationships/hyperlink" Target="https://eprints.ucm.es/id/eprint/59348/" TargetMode="External"/><Relationship Id="rId25" Type="http://schemas.openxmlformats.org/officeDocument/2006/relationships/hyperlink" Target="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TargetMode="External"/><Relationship Id="rId46" Type="http://schemas.openxmlformats.org/officeDocument/2006/relationships/hyperlink" Target="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TargetMode="External"/><Relationship Id="rId67"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16" Type="http://schemas.openxmlformats.org/officeDocument/2006/relationships/hyperlink" Target="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TargetMode="External"/><Relationship Id="rId137" Type="http://schemas.openxmlformats.org/officeDocument/2006/relationships/hyperlink" Target="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TargetMode="External"/><Relationship Id="rId158" Type="http://schemas.openxmlformats.org/officeDocument/2006/relationships/hyperlink" Target="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TargetMode="External"/><Relationship Id="rId20" Type="http://schemas.openxmlformats.org/officeDocument/2006/relationships/hyperlink" Target="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TargetMode="External"/><Relationship Id="rId41"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62" Type="http://schemas.openxmlformats.org/officeDocument/2006/relationships/hyperlink" Target="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TargetMode="External"/><Relationship Id="rId83" Type="http://schemas.openxmlformats.org/officeDocument/2006/relationships/hyperlink" Target="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TargetMode="External"/><Relationship Id="rId88" Type="http://schemas.openxmlformats.org/officeDocument/2006/relationships/hyperlink" Target="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TargetMode="External"/><Relationship Id="rId111" Type="http://schemas.openxmlformats.org/officeDocument/2006/relationships/hyperlink" Target="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TargetMode="External"/><Relationship Id="rId132" Type="http://schemas.openxmlformats.org/officeDocument/2006/relationships/hyperlink" Target="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TargetMode="External"/><Relationship Id="rId153" Type="http://schemas.openxmlformats.org/officeDocument/2006/relationships/hyperlink" Target="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TargetMode="External"/><Relationship Id="rId174" Type="http://schemas.openxmlformats.org/officeDocument/2006/relationships/hyperlink" Target="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TargetMode="External"/><Relationship Id="rId179" Type="http://schemas.openxmlformats.org/officeDocument/2006/relationships/hyperlink" Target="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TargetMode="External"/><Relationship Id="rId195" Type="http://schemas.openxmlformats.org/officeDocument/2006/relationships/hyperlink" Target="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TargetMode="External"/><Relationship Id="rId209" Type="http://schemas.openxmlformats.org/officeDocument/2006/relationships/hyperlink" Target="https://www.researchgate.net/publication/325622180_Effects_of_E-Games_on_the_Development_of_Saudi_Children_with_Attention_Deficit_Hyperactivity_Disorder_Cognitively_Behaviourally_and_Socially_An_Experimental_Study" TargetMode="External"/><Relationship Id="rId190"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204" Type="http://schemas.openxmlformats.org/officeDocument/2006/relationships/hyperlink" Target="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TargetMode="External"/><Relationship Id="rId15" Type="http://schemas.openxmlformats.org/officeDocument/2006/relationships/hyperlink" Target="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TargetMode="External"/><Relationship Id="rId36" Type="http://schemas.openxmlformats.org/officeDocument/2006/relationships/hyperlink" Target="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TargetMode="External"/><Relationship Id="rId57" Type="http://schemas.openxmlformats.org/officeDocument/2006/relationships/hyperlink" Target="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TargetMode="External"/><Relationship Id="rId106" Type="http://schemas.openxmlformats.org/officeDocument/2006/relationships/hyperlink" Target="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TargetMode="External"/><Relationship Id="rId127" Type="http://schemas.openxmlformats.org/officeDocument/2006/relationships/hyperlink" Target="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TargetMode="External"/><Relationship Id="rId10" Type="http://schemas.openxmlformats.org/officeDocument/2006/relationships/hyperlink" Target="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TargetMode="External"/><Relationship Id="rId31" Type="http://schemas.openxmlformats.org/officeDocument/2006/relationships/hyperlink" Target="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TargetMode="External"/><Relationship Id="rId52" Type="http://schemas.openxmlformats.org/officeDocument/2006/relationships/hyperlink" Target="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TargetMode="External"/><Relationship Id="rId73" Type="http://schemas.openxmlformats.org/officeDocument/2006/relationships/hyperlink" Target="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TargetMode="External"/><Relationship Id="rId7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94" Type="http://schemas.openxmlformats.org/officeDocument/2006/relationships/hyperlink" Target="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TargetMode="External"/><Relationship Id="rId99" Type="http://schemas.openxmlformats.org/officeDocument/2006/relationships/hyperlink" Target="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TargetMode="External"/><Relationship Id="rId101" Type="http://schemas.openxmlformats.org/officeDocument/2006/relationships/hyperlink" Target="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TargetMode="External"/><Relationship Id="rId122" Type="http://schemas.openxmlformats.org/officeDocument/2006/relationships/hyperlink" Target="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TargetMode="External"/><Relationship Id="rId143" Type="http://schemas.openxmlformats.org/officeDocument/2006/relationships/hyperlink" Target="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TargetMode="External"/><Relationship Id="rId148" Type="http://schemas.openxmlformats.org/officeDocument/2006/relationships/hyperlink" Target="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TargetMode="External"/><Relationship Id="rId164" Type="http://schemas.openxmlformats.org/officeDocument/2006/relationships/hyperlink" Target="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TargetMode="External"/><Relationship Id="rId169" Type="http://schemas.openxmlformats.org/officeDocument/2006/relationships/hyperlink" Target="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TargetMode="External"/><Relationship Id="rId185" Type="http://schemas.openxmlformats.org/officeDocument/2006/relationships/hyperlink" Target="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TargetMode="External"/><Relationship Id="rId4" Type="http://schemas.openxmlformats.org/officeDocument/2006/relationships/hyperlink" Target="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TargetMode="External"/><Relationship Id="rId9" Type="http://schemas.openxmlformats.org/officeDocument/2006/relationships/hyperlink" Target="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TargetMode="External"/><Relationship Id="rId180" Type="http://schemas.openxmlformats.org/officeDocument/2006/relationships/hyperlink" Target="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TargetMode="External"/><Relationship Id="rId210" Type="http://schemas.openxmlformats.org/officeDocument/2006/relationships/hyperlink" Target="http://investigacion.utmachala.edu.ec/proceedings/index.php/utmach/article/view/231" TargetMode="External"/><Relationship Id="rId215" Type="http://schemas.openxmlformats.org/officeDocument/2006/relationships/hyperlink" Target="https://core.ac.uk/download/pdf/288477489.pdf" TargetMode="External"/><Relationship Id="rId26" Type="http://schemas.openxmlformats.org/officeDocument/2006/relationships/hyperlink" Target="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TargetMode="External"/><Relationship Id="rId47" Type="http://schemas.openxmlformats.org/officeDocument/2006/relationships/hyperlink" Target="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TargetMode="External"/><Relationship Id="rId68" Type="http://schemas.openxmlformats.org/officeDocument/2006/relationships/hyperlink" Target="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TargetMode="External"/><Relationship Id="rId89" Type="http://schemas.openxmlformats.org/officeDocument/2006/relationships/hyperlink" Target="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TargetMode="External"/><Relationship Id="rId112" Type="http://schemas.openxmlformats.org/officeDocument/2006/relationships/hyperlink" Target="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TargetMode="External"/><Relationship Id="rId133" Type="http://schemas.openxmlformats.org/officeDocument/2006/relationships/hyperlink" Target="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TargetMode="External"/><Relationship Id="rId154"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175" Type="http://schemas.openxmlformats.org/officeDocument/2006/relationships/hyperlink" Target="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TargetMode="External"/><Relationship Id="rId196" Type="http://schemas.openxmlformats.org/officeDocument/2006/relationships/hyperlink" Target="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TargetMode="External"/><Relationship Id="rId200" Type="http://schemas.openxmlformats.org/officeDocument/2006/relationships/hyperlink" Target="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TargetMode="External"/><Relationship Id="rId16" Type="http://schemas.openxmlformats.org/officeDocument/2006/relationships/hyperlink" Target="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TargetMode="External"/><Relationship Id="rId37" Type="http://schemas.openxmlformats.org/officeDocument/2006/relationships/hyperlink" Target="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TargetMode="External"/><Relationship Id="rId58"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79" Type="http://schemas.openxmlformats.org/officeDocument/2006/relationships/hyperlink" Target="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TargetMode="External"/><Relationship Id="rId102" Type="http://schemas.openxmlformats.org/officeDocument/2006/relationships/hyperlink" Target="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TargetMode="External"/><Relationship Id="rId123" Type="http://schemas.openxmlformats.org/officeDocument/2006/relationships/hyperlink" Target="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TargetMode="External"/><Relationship Id="rId144" Type="http://schemas.openxmlformats.org/officeDocument/2006/relationships/hyperlink" Target="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TargetMode="External"/><Relationship Id="rId90" Type="http://schemas.openxmlformats.org/officeDocument/2006/relationships/hyperlink" Target="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TargetMode="External"/><Relationship Id="rId165" Type="http://schemas.openxmlformats.org/officeDocument/2006/relationships/hyperlink" Target="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TargetMode="External"/><Relationship Id="rId186" Type="http://schemas.openxmlformats.org/officeDocument/2006/relationships/hyperlink" Target="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TargetMode="External"/><Relationship Id="rId211" Type="http://schemas.openxmlformats.org/officeDocument/2006/relationships/hyperlink" Target="https://www.redalyc.org/pdf/1052/105215294011.pdf"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8" Type="http://schemas.openxmlformats.org/officeDocument/2006/relationships/hyperlink" Target="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TargetMode="External"/><Relationship Id="rId69" Type="http://schemas.openxmlformats.org/officeDocument/2006/relationships/hyperlink" Target="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TargetMode="External"/><Relationship Id="rId113" Type="http://schemas.openxmlformats.org/officeDocument/2006/relationships/hyperlink" Target="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TargetMode="External"/><Relationship Id="rId134" Type="http://schemas.openxmlformats.org/officeDocument/2006/relationships/hyperlink" Target="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TargetMode="External"/><Relationship Id="rId80" Type="http://schemas.openxmlformats.org/officeDocument/2006/relationships/hyperlink" Target="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TargetMode="External"/><Relationship Id="rId155" Type="http://schemas.openxmlformats.org/officeDocument/2006/relationships/hyperlink" Target="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TargetMode="External"/><Relationship Id="rId17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97" Type="http://schemas.openxmlformats.org/officeDocument/2006/relationships/hyperlink" Target="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TargetMode="External"/><Relationship Id="rId201" Type="http://schemas.openxmlformats.org/officeDocument/2006/relationships/hyperlink" Target="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TargetMode="External"/><Relationship Id="rId17" Type="http://schemas.openxmlformats.org/officeDocument/2006/relationships/hyperlink" Target="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TargetMode="External"/><Relationship Id="rId38"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59" Type="http://schemas.openxmlformats.org/officeDocument/2006/relationships/hyperlink" Target="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TargetMode="External"/><Relationship Id="rId103" Type="http://schemas.openxmlformats.org/officeDocument/2006/relationships/hyperlink" Target="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TargetMode="External"/><Relationship Id="rId124" Type="http://schemas.openxmlformats.org/officeDocument/2006/relationships/hyperlink" Target="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TargetMode="External"/><Relationship Id="rId70" Type="http://schemas.openxmlformats.org/officeDocument/2006/relationships/hyperlink" Target="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TargetMode="External"/><Relationship Id="rId91" Type="http://schemas.openxmlformats.org/officeDocument/2006/relationships/hyperlink" Target="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TargetMode="External"/><Relationship Id="rId145" Type="http://schemas.openxmlformats.org/officeDocument/2006/relationships/hyperlink" Target="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TargetMode="External"/><Relationship Id="rId166" Type="http://schemas.openxmlformats.org/officeDocument/2006/relationships/hyperlink" Target="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TargetMode="External"/><Relationship Id="rId187" Type="http://schemas.openxmlformats.org/officeDocument/2006/relationships/hyperlink" Target="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TargetMode="External"/><Relationship Id="rId1"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212" Type="http://schemas.openxmlformats.org/officeDocument/2006/relationships/hyperlink" Target="https://repositorioacademico.upc.edu.pe/handle/10757/274473" TargetMode="External"/><Relationship Id="rId28"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49" Type="http://schemas.openxmlformats.org/officeDocument/2006/relationships/hyperlink" Target="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TargetMode="External"/><Relationship Id="rId114" Type="http://schemas.openxmlformats.org/officeDocument/2006/relationships/hyperlink" Target="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TargetMode="External"/><Relationship Id="rId60" Type="http://schemas.openxmlformats.org/officeDocument/2006/relationships/hyperlink" Target="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TargetMode="External"/><Relationship Id="rId81" Type="http://schemas.openxmlformats.org/officeDocument/2006/relationships/hyperlink" Target="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TargetMode="External"/><Relationship Id="rId135" Type="http://schemas.openxmlformats.org/officeDocument/2006/relationships/hyperlink" Target="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TargetMode="External"/><Relationship Id="rId156" Type="http://schemas.openxmlformats.org/officeDocument/2006/relationships/hyperlink" Target="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TargetMode="External"/><Relationship Id="rId177" Type="http://schemas.openxmlformats.org/officeDocument/2006/relationships/hyperlink" Target="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TargetMode="External"/><Relationship Id="rId198" Type="http://schemas.openxmlformats.org/officeDocument/2006/relationships/hyperlink" Target="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TargetMode="External"/><Relationship Id="rId202" Type="http://schemas.openxmlformats.org/officeDocument/2006/relationships/hyperlink" Target="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TargetMode="External"/><Relationship Id="rId18" Type="http://schemas.openxmlformats.org/officeDocument/2006/relationships/hyperlink" Target="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TargetMode="External"/><Relationship Id="rId39" Type="http://schemas.openxmlformats.org/officeDocument/2006/relationships/hyperlink" Target="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TargetMode="External"/><Relationship Id="rId50" Type="http://schemas.openxmlformats.org/officeDocument/2006/relationships/hyperlink" Target="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TargetMode="External"/><Relationship Id="rId104"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25" Type="http://schemas.openxmlformats.org/officeDocument/2006/relationships/hyperlink" Target="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TargetMode="External"/><Relationship Id="rId146" Type="http://schemas.openxmlformats.org/officeDocument/2006/relationships/hyperlink" Target="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TargetMode="External"/><Relationship Id="rId167" Type="http://schemas.openxmlformats.org/officeDocument/2006/relationships/hyperlink" Target="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TargetMode="External"/><Relationship Id="rId188" Type="http://schemas.openxmlformats.org/officeDocument/2006/relationships/hyperlink" Target="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TargetMode="External"/><Relationship Id="rId71" Type="http://schemas.openxmlformats.org/officeDocument/2006/relationships/hyperlink" Target="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TargetMode="External"/><Relationship Id="rId92" Type="http://schemas.openxmlformats.org/officeDocument/2006/relationships/hyperlink" Target="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TargetMode="External"/><Relationship Id="rId213" Type="http://schemas.openxmlformats.org/officeDocument/2006/relationships/hyperlink" Target="https://riull.ull.es/xmlui/handle/915/6787" TargetMode="External"/><Relationship Id="rId2" Type="http://schemas.openxmlformats.org/officeDocument/2006/relationships/hyperlink" Target="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TargetMode="External"/><Relationship Id="rId29" Type="http://schemas.openxmlformats.org/officeDocument/2006/relationships/hyperlink" Target="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TargetMode="External"/><Relationship Id="rId40" Type="http://schemas.openxmlformats.org/officeDocument/2006/relationships/hyperlink" Target="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TargetMode="External"/><Relationship Id="rId1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136" Type="http://schemas.openxmlformats.org/officeDocument/2006/relationships/hyperlink" Target="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TargetMode="External"/><Relationship Id="rId157" Type="http://schemas.openxmlformats.org/officeDocument/2006/relationships/hyperlink" Target="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TargetMode="External"/><Relationship Id="rId178" Type="http://schemas.openxmlformats.org/officeDocument/2006/relationships/hyperlink" Target="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TargetMode="External"/><Relationship Id="rId61" Type="http://schemas.openxmlformats.org/officeDocument/2006/relationships/hyperlink" Target="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TargetMode="External"/><Relationship Id="rId82" Type="http://schemas.openxmlformats.org/officeDocument/2006/relationships/hyperlink" Target="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TargetMode="External"/><Relationship Id="rId199" Type="http://schemas.openxmlformats.org/officeDocument/2006/relationships/hyperlink" Target="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TargetMode="External"/><Relationship Id="rId203" Type="http://schemas.openxmlformats.org/officeDocument/2006/relationships/hyperlink" Target="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TargetMode="External"/><Relationship Id="rId19" Type="http://schemas.openxmlformats.org/officeDocument/2006/relationships/hyperlink" Target="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ebofscience.com/wos/alldb/full-record/WOS:000659285000005" TargetMode="External"/><Relationship Id="rId299" Type="http://schemas.openxmlformats.org/officeDocument/2006/relationships/hyperlink" Target="https://www.webofscience.com/wos/alldb/full-record/WOS:000406728400003" TargetMode="External"/><Relationship Id="rId21" Type="http://schemas.openxmlformats.org/officeDocument/2006/relationships/hyperlink" Target="https://www.webofscience.com/wos/woscc/full-record/WOS:000474904300001" TargetMode="External"/><Relationship Id="rId63" Type="http://schemas.openxmlformats.org/officeDocument/2006/relationships/hyperlink" Target="https://www.webofscience.com/wos/alldb/full-record/WOS:000218558400005" TargetMode="External"/><Relationship Id="rId159" Type="http://schemas.openxmlformats.org/officeDocument/2006/relationships/hyperlink" Target="https://www.webofscience.com/wos/woscc/full-record/WOS:000736321800001" TargetMode="External"/><Relationship Id="rId170" Type="http://schemas.openxmlformats.org/officeDocument/2006/relationships/hyperlink" Target="https://www.webofscience.com/wos/woscc/full-record/WOS:000411090600004" TargetMode="External"/><Relationship Id="rId226" Type="http://schemas.openxmlformats.org/officeDocument/2006/relationships/hyperlink" Target="https://www.webofscience.com/wos/woscc/full-record/WOS:000504663900008" TargetMode="External"/><Relationship Id="rId268" Type="http://schemas.openxmlformats.org/officeDocument/2006/relationships/hyperlink" Target="https://www.webofscience.com/wos/alldb/full-record/WOS:000424171100003" TargetMode="External"/><Relationship Id="rId32" Type="http://schemas.openxmlformats.org/officeDocument/2006/relationships/hyperlink" Target="https://www.webofscience.com/wos/woscc/full-record/WOS:000549890800004" TargetMode="External"/><Relationship Id="rId74" Type="http://schemas.openxmlformats.org/officeDocument/2006/relationships/hyperlink" Target="https://www.webofscience.com/wos/alldb/full-record/WOS:000445815100005" TargetMode="External"/><Relationship Id="rId128" Type="http://schemas.openxmlformats.org/officeDocument/2006/relationships/hyperlink" Target="https://www.webofscience.com/wos/alldb/full-record/WOS:000218558400002" TargetMode="External"/><Relationship Id="rId5" Type="http://schemas.openxmlformats.org/officeDocument/2006/relationships/hyperlink" Target="https://www.webofscience.com/wos/woscc/full-record/WOS:000523267400008" TargetMode="External"/><Relationship Id="rId181" Type="http://schemas.openxmlformats.org/officeDocument/2006/relationships/hyperlink" Target="https://www.webofscience.com/wos/woscc/full-record/WOS:000504663900004" TargetMode="External"/><Relationship Id="rId237" Type="http://schemas.openxmlformats.org/officeDocument/2006/relationships/hyperlink" Target="https://www.webofscience.com/wos/woscc/full-record/WOS:000214855100015" TargetMode="External"/><Relationship Id="rId279" Type="http://schemas.openxmlformats.org/officeDocument/2006/relationships/hyperlink" Target="https://www.webofscience.com/wos/alldb/full-record/WOS:000793255300008" TargetMode="External"/><Relationship Id="rId43" Type="http://schemas.openxmlformats.org/officeDocument/2006/relationships/hyperlink" Target="https://www.webofscience.com/wos/woscc/full-record/WOS:000490326100003" TargetMode="External"/><Relationship Id="rId139" Type="http://schemas.openxmlformats.org/officeDocument/2006/relationships/hyperlink" Target="https://www.webofscience.com/wos/alldb/full-record/WOS:000218582300006" TargetMode="External"/><Relationship Id="rId290" Type="http://schemas.openxmlformats.org/officeDocument/2006/relationships/hyperlink" Target="https://www.webofscience.com/wos/alldb/full-record/WOS:000392038300005" TargetMode="External"/><Relationship Id="rId304" Type="http://schemas.openxmlformats.org/officeDocument/2006/relationships/hyperlink" Target="https://www.webofscience.com/wos/alldb/full-record/WOS:000412785900012" TargetMode="External"/><Relationship Id="rId85" Type="http://schemas.openxmlformats.org/officeDocument/2006/relationships/hyperlink" Target="https://www.webofscience.com/wos/alldb/full-record/WOS:000391064600005" TargetMode="External"/><Relationship Id="rId150" Type="http://schemas.openxmlformats.org/officeDocument/2006/relationships/hyperlink" Target="https://www.webofscience.com/wos/woscc/full-record/WOS:000436069400008" TargetMode="External"/><Relationship Id="rId192" Type="http://schemas.openxmlformats.org/officeDocument/2006/relationships/hyperlink" Target="https://www.webofscience.com/wos/woscc/full-record/WOS:000396408300001" TargetMode="External"/><Relationship Id="rId206" Type="http://schemas.openxmlformats.org/officeDocument/2006/relationships/hyperlink" Target="https://www.webofscience.com/wos/woscc/full-record/WOS:000214846800011" TargetMode="External"/><Relationship Id="rId248" Type="http://schemas.openxmlformats.org/officeDocument/2006/relationships/hyperlink" Target="https://www.webofscience.com/wos/woscc/full-record/WOS:000418497800001" TargetMode="External"/><Relationship Id="rId12" Type="http://schemas.openxmlformats.org/officeDocument/2006/relationships/hyperlink" Target="https://www.webofscience.com/wos/woscc/full-record/WOS:000463836500001" TargetMode="External"/><Relationship Id="rId108" Type="http://schemas.openxmlformats.org/officeDocument/2006/relationships/hyperlink" Target="https://www.webofscience.com/wos/alldb/full-record/WOS:000218553500007" TargetMode="External"/><Relationship Id="rId54" Type="http://schemas.openxmlformats.org/officeDocument/2006/relationships/hyperlink" Target="https://www.webofscience.com/wos/alldb/full-record/WOS:000218582300002" TargetMode="External"/><Relationship Id="rId96" Type="http://schemas.openxmlformats.org/officeDocument/2006/relationships/hyperlink" Target="https://www.webofscience.com/wos/alldb/full-record/WOS:000218557000003" TargetMode="External"/><Relationship Id="rId161" Type="http://schemas.openxmlformats.org/officeDocument/2006/relationships/hyperlink" Target="https://www.webofscience.com/wos/woscc/full-record/WOS:000454990600001" TargetMode="External"/><Relationship Id="rId217" Type="http://schemas.openxmlformats.org/officeDocument/2006/relationships/hyperlink" Target="https://www.webofscience.com/wos/woscc/full-record/WOS:000504663900005" TargetMode="External"/><Relationship Id="rId259" Type="http://schemas.openxmlformats.org/officeDocument/2006/relationships/hyperlink" Target="https://www.webofscience.com/wos/woscc/full-record/WOS:000425850100004" TargetMode="External"/><Relationship Id="rId23" Type="http://schemas.openxmlformats.org/officeDocument/2006/relationships/hyperlink" Target="https://www.webofscience.com/wos/woscc/full-record/WOS:000629136000004" TargetMode="External"/><Relationship Id="rId119" Type="http://schemas.openxmlformats.org/officeDocument/2006/relationships/hyperlink" Target="https://www.webofscience.com/wos/alldb/full-record/WOS:000541823600004" TargetMode="External"/><Relationship Id="rId270" Type="http://schemas.openxmlformats.org/officeDocument/2006/relationships/hyperlink" Target="https://www.webofscience.com/wos/alldb/full-record/WOS:000430038000005" TargetMode="External"/><Relationship Id="rId291" Type="http://schemas.openxmlformats.org/officeDocument/2006/relationships/hyperlink" Target="https://www.webofscience.com/wos/alldb/full-record/WOS:000335618000013" TargetMode="External"/><Relationship Id="rId305" Type="http://schemas.openxmlformats.org/officeDocument/2006/relationships/hyperlink" Target="https://www.webofscience.com/wos/alldb/full-record/WOS:000600750200004" TargetMode="External"/><Relationship Id="rId44" Type="http://schemas.openxmlformats.org/officeDocument/2006/relationships/hyperlink" Target="https://www.webofscience.com/wos/woscc/full-record/WOS:000474904300011" TargetMode="External"/><Relationship Id="rId65" Type="http://schemas.openxmlformats.org/officeDocument/2006/relationships/hyperlink" Target="https://www.webofscience.com/wos/alldb/full-record/WOS:000218558400004" TargetMode="External"/><Relationship Id="rId86" Type="http://schemas.openxmlformats.org/officeDocument/2006/relationships/hyperlink" Target="https://www.webofscience.com/wos/alldb/full-record/WOS:000218585500006" TargetMode="External"/><Relationship Id="rId130" Type="http://schemas.openxmlformats.org/officeDocument/2006/relationships/hyperlink" Target="https://www.webofscience.com/wos/alldb/full-record/WOS:000858941000003" TargetMode="External"/><Relationship Id="rId151" Type="http://schemas.openxmlformats.org/officeDocument/2006/relationships/hyperlink" Target="https://www.webofscience.com/wos/woscc/full-record/WOS:000409355200004" TargetMode="External"/><Relationship Id="rId172" Type="http://schemas.openxmlformats.org/officeDocument/2006/relationships/hyperlink" Target="https://www.webofscience.com/wos/woscc/full-record/WOS:000823500400001" TargetMode="External"/><Relationship Id="rId193" Type="http://schemas.openxmlformats.org/officeDocument/2006/relationships/hyperlink" Target="https://www.webofscience.com/wos/woscc/full-record/WOS:000214855100014" TargetMode="External"/><Relationship Id="rId207" Type="http://schemas.openxmlformats.org/officeDocument/2006/relationships/hyperlink" Target="https://www.webofscience.com/wos/woscc/full-record/WOS:000397389000001" TargetMode="External"/><Relationship Id="rId228" Type="http://schemas.openxmlformats.org/officeDocument/2006/relationships/hyperlink" Target="https://www.webofscience.com/wos/woscc/full-record/WOS:000701780400006" TargetMode="External"/><Relationship Id="rId249" Type="http://schemas.openxmlformats.org/officeDocument/2006/relationships/hyperlink" Target="https://www.webofscience.com/wos/woscc/full-record/WOS:000375845200004" TargetMode="External"/><Relationship Id="rId13" Type="http://schemas.openxmlformats.org/officeDocument/2006/relationships/hyperlink" Target="https://www.webofscience.com/wos/woscc/full-record/WOS:000463836500002" TargetMode="External"/><Relationship Id="rId109" Type="http://schemas.openxmlformats.org/officeDocument/2006/relationships/hyperlink" Target="https://www.webofscience.com/wos/alldb/full-record/WOS:000909980700007" TargetMode="External"/><Relationship Id="rId260" Type="http://schemas.openxmlformats.org/officeDocument/2006/relationships/hyperlink" Target="https://www.webofscience.com/wos/woscc/full-record/WOS:000868483700001" TargetMode="External"/><Relationship Id="rId281" Type="http://schemas.openxmlformats.org/officeDocument/2006/relationships/hyperlink" Target="https://www.webofscience.com/wos/alldb/full-record/WOS:000515130200003" TargetMode="External"/><Relationship Id="rId34" Type="http://schemas.openxmlformats.org/officeDocument/2006/relationships/hyperlink" Target="https://www.webofscience.com/wos/woscc/full-record/WOS:000626173500008" TargetMode="External"/><Relationship Id="rId55" Type="http://schemas.openxmlformats.org/officeDocument/2006/relationships/hyperlink" Target="https://www.webofscience.com/wos/alldb/full-record/WOS:000218587300004" TargetMode="External"/><Relationship Id="rId76" Type="http://schemas.openxmlformats.org/officeDocument/2006/relationships/hyperlink" Target="https://www.webofscience.com/wos/alldb/full-record/WOS:000218553500002" TargetMode="External"/><Relationship Id="rId97" Type="http://schemas.openxmlformats.org/officeDocument/2006/relationships/hyperlink" Target="https://www.webofscience.com/wos/alldb/full-record/WOS:000697706500003" TargetMode="External"/><Relationship Id="rId120" Type="http://schemas.openxmlformats.org/officeDocument/2006/relationships/hyperlink" Target="https://www.webofscience.com/wos/alldb/full-record/WOS:000520488100003" TargetMode="External"/><Relationship Id="rId141" Type="http://schemas.openxmlformats.org/officeDocument/2006/relationships/hyperlink" Target="https://www.webofscience.com/wos/alldb/full-record/WOS:000218561100001" TargetMode="External"/><Relationship Id="rId7" Type="http://schemas.openxmlformats.org/officeDocument/2006/relationships/hyperlink" Target="https://www.webofscience.com/wos/woscc/full-record/WOS:000626173500018" TargetMode="External"/><Relationship Id="rId162" Type="http://schemas.openxmlformats.org/officeDocument/2006/relationships/hyperlink" Target="https://www.webofscience.com/wos/woscc/full-record/WOS:000810465600001" TargetMode="External"/><Relationship Id="rId183" Type="http://schemas.openxmlformats.org/officeDocument/2006/relationships/hyperlink" Target="https://www.webofscience.com/wos/woscc/full-record/WOS:000797065200009" TargetMode="External"/><Relationship Id="rId218" Type="http://schemas.openxmlformats.org/officeDocument/2006/relationships/hyperlink" Target="https://www.webofscience.com/wos/woscc/full-record/WOS:000440594100017" TargetMode="External"/><Relationship Id="rId239" Type="http://schemas.openxmlformats.org/officeDocument/2006/relationships/hyperlink" Target="https://www.webofscience.com/wos/woscc/full-record/WOS:000214848100002" TargetMode="External"/><Relationship Id="rId250" Type="http://schemas.openxmlformats.org/officeDocument/2006/relationships/hyperlink" Target="https://www.webofscience.com/wos/woscc/full-record/WOS:000425850100005" TargetMode="External"/><Relationship Id="rId271" Type="http://schemas.openxmlformats.org/officeDocument/2006/relationships/hyperlink" Target="https://www.webofscience.com/wos/alldb/full-record/WOS:000498327800003" TargetMode="External"/><Relationship Id="rId292" Type="http://schemas.openxmlformats.org/officeDocument/2006/relationships/hyperlink" Target="https://www.webofscience.com/wos/alldb/full-record/WOS:000515130200004" TargetMode="External"/><Relationship Id="rId306" Type="http://schemas.openxmlformats.org/officeDocument/2006/relationships/hyperlink" Target="https://www.webofscience.com/wos/alldb/full-record/WOS:000487568200007" TargetMode="External"/><Relationship Id="rId24" Type="http://schemas.openxmlformats.org/officeDocument/2006/relationships/hyperlink" Target="https://www.webofscience.com/wos/woscc/full-record/WOS:000626173500019" TargetMode="External"/><Relationship Id="rId45" Type="http://schemas.openxmlformats.org/officeDocument/2006/relationships/hyperlink" Target="https://www.webofscience.com/wos/woscc/full-record/WOS:000629136000011" TargetMode="External"/><Relationship Id="rId66" Type="http://schemas.openxmlformats.org/officeDocument/2006/relationships/hyperlink" Target="https://www.webofscience.com/wos/alldb/full-record/WOS:000218553500003" TargetMode="External"/><Relationship Id="rId87" Type="http://schemas.openxmlformats.org/officeDocument/2006/relationships/hyperlink" Target="https://www.webofscience.com/wos/alldb/full-record/WOS:000807342900002" TargetMode="External"/><Relationship Id="rId110" Type="http://schemas.openxmlformats.org/officeDocument/2006/relationships/hyperlink" Target="https://www.webofscience.com/wos/alldb/full-record/WOS:000909980700003" TargetMode="External"/><Relationship Id="rId131" Type="http://schemas.openxmlformats.org/officeDocument/2006/relationships/hyperlink" Target="https://www.webofscience.com/wos/alldb/full-record/WOS:000807342900006" TargetMode="External"/><Relationship Id="rId152" Type="http://schemas.openxmlformats.org/officeDocument/2006/relationships/hyperlink" Target="https://www.webofscience.com/wos/woscc/full-record/WOS:000445956800004" TargetMode="External"/><Relationship Id="rId173" Type="http://schemas.openxmlformats.org/officeDocument/2006/relationships/hyperlink" Target="https://www.webofscience.com/wos/woscc/full-record/WOS:000762959200001" TargetMode="External"/><Relationship Id="rId194" Type="http://schemas.openxmlformats.org/officeDocument/2006/relationships/hyperlink" Target="https://www.webofscience.com/wos/woscc/full-record/WOS:000214851800001" TargetMode="External"/><Relationship Id="rId208" Type="http://schemas.openxmlformats.org/officeDocument/2006/relationships/hyperlink" Target="https://www.webofscience.com/wos/woscc/full-record/WOS:000214848100004" TargetMode="External"/><Relationship Id="rId229" Type="http://schemas.openxmlformats.org/officeDocument/2006/relationships/hyperlink" Target="https://www.webofscience.com/wos/woscc/full-record/WOS:000618344300001" TargetMode="External"/><Relationship Id="rId240" Type="http://schemas.openxmlformats.org/officeDocument/2006/relationships/hyperlink" Target="https://www.webofscience.com/wos/woscc/full-record/WOS:000214846800009" TargetMode="External"/><Relationship Id="rId261" Type="http://schemas.openxmlformats.org/officeDocument/2006/relationships/hyperlink" Target="https://www.webofscience.com/wos/woscc/full-record/WOS:000711331600002" TargetMode="External"/><Relationship Id="rId14" Type="http://schemas.openxmlformats.org/officeDocument/2006/relationships/hyperlink" Target="https://www.webofscience.com/wos/woscc/full-record/WOS:000463836500006" TargetMode="External"/><Relationship Id="rId35" Type="http://schemas.openxmlformats.org/officeDocument/2006/relationships/hyperlink" Target="https://www.webofscience.com/wos/woscc/full-record/WOS:000523267400001" TargetMode="External"/><Relationship Id="rId56" Type="http://schemas.openxmlformats.org/officeDocument/2006/relationships/hyperlink" Target="https://www.webofscience.com/wos/alldb/full-record/WOS:000445815100003" TargetMode="External"/><Relationship Id="rId77" Type="http://schemas.openxmlformats.org/officeDocument/2006/relationships/hyperlink" Target="https://www.webofscience.com/wos/alldb/full-record/WOS:000627771100005" TargetMode="External"/><Relationship Id="rId100" Type="http://schemas.openxmlformats.org/officeDocument/2006/relationships/hyperlink" Target="https://www.webofscience.com/wos/alldb/full-record/WOS:000520488100006" TargetMode="External"/><Relationship Id="rId282" Type="http://schemas.openxmlformats.org/officeDocument/2006/relationships/hyperlink" Target="https://www.webofscience.com/wos/alldb/full-record/WOS:000505184000018" TargetMode="External"/><Relationship Id="rId8" Type="http://schemas.openxmlformats.org/officeDocument/2006/relationships/hyperlink" Target="https://www.webofscience.com/wos/woscc/full-record/WOS:000523267400003" TargetMode="External"/><Relationship Id="rId98" Type="http://schemas.openxmlformats.org/officeDocument/2006/relationships/hyperlink" Target="https://www.webofscience.com/wos/alldb/full-record/WOS:000697706500004" TargetMode="External"/><Relationship Id="rId121" Type="http://schemas.openxmlformats.org/officeDocument/2006/relationships/hyperlink" Target="https://www.webofscience.com/wos/alldb/full-record/WOS:000503419500002" TargetMode="External"/><Relationship Id="rId142" Type="http://schemas.openxmlformats.org/officeDocument/2006/relationships/hyperlink" Target="https://www.webofscience.com/wos/woscc/full-record/WOS:000409369800006" TargetMode="External"/><Relationship Id="rId163" Type="http://schemas.openxmlformats.org/officeDocument/2006/relationships/hyperlink" Target="https://www.webofscience.com/wos/woscc/full-record/WOS:000888406100001" TargetMode="External"/><Relationship Id="rId184" Type="http://schemas.openxmlformats.org/officeDocument/2006/relationships/hyperlink" Target="https://www.webofscience.com/wos/woscc/full-record/WOS:000797065200008" TargetMode="External"/><Relationship Id="rId219" Type="http://schemas.openxmlformats.org/officeDocument/2006/relationships/hyperlink" Target="https://www.webofscience.com/wos/woscc/full-record/WOS:000822791600001" TargetMode="External"/><Relationship Id="rId230" Type="http://schemas.openxmlformats.org/officeDocument/2006/relationships/hyperlink" Target="https://www.webofscience.com/wos/woscc/full-record/WOS:000425850100001" TargetMode="External"/><Relationship Id="rId251" Type="http://schemas.openxmlformats.org/officeDocument/2006/relationships/hyperlink" Target="https://www.webofscience.com/wos/woscc/full-record/WOS:000214846800003" TargetMode="External"/><Relationship Id="rId25" Type="http://schemas.openxmlformats.org/officeDocument/2006/relationships/hyperlink" Target="https://www.webofscience.com/wos/woscc/full-record/WOS:000582396700003" TargetMode="External"/><Relationship Id="rId46" Type="http://schemas.openxmlformats.org/officeDocument/2006/relationships/hyperlink" Target="https://www.webofscience.com/wos/woscc/full-record/WOS:000629136000012" TargetMode="External"/><Relationship Id="rId67" Type="http://schemas.openxmlformats.org/officeDocument/2006/relationships/hyperlink" Target="https://www.webofscience.com/wos/alldb/full-record/WOS:000436530800002" TargetMode="External"/><Relationship Id="rId272" Type="http://schemas.openxmlformats.org/officeDocument/2006/relationships/hyperlink" Target="https://www.webofscience.com/wos/alldb/full-record/WOS:000472587800009" TargetMode="External"/><Relationship Id="rId293" Type="http://schemas.openxmlformats.org/officeDocument/2006/relationships/hyperlink" Target="https://www.webofscience.com/wos/alldb/full-record/WOS:000341675100007" TargetMode="External"/><Relationship Id="rId307" Type="http://schemas.openxmlformats.org/officeDocument/2006/relationships/hyperlink" Target="https://www.webofscience.com/wos/alldb/full-record/WOS:000465152600002" TargetMode="External"/><Relationship Id="rId88" Type="http://schemas.openxmlformats.org/officeDocument/2006/relationships/hyperlink" Target="https://www.webofscience.com/wos/alldb/full-record/WOS:000697706500005" TargetMode="External"/><Relationship Id="rId111" Type="http://schemas.openxmlformats.org/officeDocument/2006/relationships/hyperlink" Target="https://www.webofscience.com/wos/alldb/full-record/WOS:000909980700004" TargetMode="External"/><Relationship Id="rId132" Type="http://schemas.openxmlformats.org/officeDocument/2006/relationships/hyperlink" Target="https://www.webofscience.com/wos/alldb/full-record/WOS:000697706500006" TargetMode="External"/><Relationship Id="rId153" Type="http://schemas.openxmlformats.org/officeDocument/2006/relationships/hyperlink" Target="https://www.webofscience.com/wos/woscc/full-record/WOS:000841976200001" TargetMode="External"/><Relationship Id="rId174" Type="http://schemas.openxmlformats.org/officeDocument/2006/relationships/hyperlink" Target="https://www.webofscience.com/wos/alldb/full-record/WOS:000218561100005" TargetMode="External"/><Relationship Id="rId195" Type="http://schemas.openxmlformats.org/officeDocument/2006/relationships/hyperlink" Target="https://www.webofscience.com/wos/woscc/full-record/WOS:000214855100017" TargetMode="External"/><Relationship Id="rId209" Type="http://schemas.openxmlformats.org/officeDocument/2006/relationships/hyperlink" Target="https://www.webofscience.com/wos/woscc/full-record/WOS:000803811400001" TargetMode="External"/><Relationship Id="rId220" Type="http://schemas.openxmlformats.org/officeDocument/2006/relationships/hyperlink" Target="https://www.webofscience.com/wos/woscc/full-record/WOS:000752793500001" TargetMode="External"/><Relationship Id="rId241" Type="http://schemas.openxmlformats.org/officeDocument/2006/relationships/hyperlink" Target="https://www.webofscience.com/wos/woscc/full-record/WOS:000531087700005" TargetMode="External"/><Relationship Id="rId15" Type="http://schemas.openxmlformats.org/officeDocument/2006/relationships/hyperlink" Target="https://www.webofscience.com/wos/woscc/full-record/WOS:000549890800013" TargetMode="External"/><Relationship Id="rId36" Type="http://schemas.openxmlformats.org/officeDocument/2006/relationships/hyperlink" Target="https://www.webofscience.com/wos/woscc/full-record/WOS:000490326100009" TargetMode="External"/><Relationship Id="rId57" Type="http://schemas.openxmlformats.org/officeDocument/2006/relationships/hyperlink" Target="https://www.webofscience.com/wos/alldb/full-record/WOS:000218587300002" TargetMode="External"/><Relationship Id="rId262" Type="http://schemas.openxmlformats.org/officeDocument/2006/relationships/hyperlink" Target="https://www.webofscience.com/wos/woscc/full-record/WOS:000371269200006" TargetMode="External"/><Relationship Id="rId283" Type="http://schemas.openxmlformats.org/officeDocument/2006/relationships/hyperlink" Target="https://www.webofscience.com/wos/alldb/full-record/WOS:000441494100021" TargetMode="External"/><Relationship Id="rId78" Type="http://schemas.openxmlformats.org/officeDocument/2006/relationships/hyperlink" Target="https://www.webofscience.com/wos/alldb/full-record/WOS:000419348300003" TargetMode="External"/><Relationship Id="rId99" Type="http://schemas.openxmlformats.org/officeDocument/2006/relationships/hyperlink" Target="https://www.webofscience.com/wos/alldb/full-record/WOS:000596602800005" TargetMode="External"/><Relationship Id="rId101" Type="http://schemas.openxmlformats.org/officeDocument/2006/relationships/hyperlink" Target="https://www.webofscience.com/wos/alldb/full-record/WOS:000503419500003" TargetMode="External"/><Relationship Id="rId122" Type="http://schemas.openxmlformats.org/officeDocument/2006/relationships/hyperlink" Target="https://www.webofscience.com/wos/alldb/full-record/WOS:000489555400008" TargetMode="External"/><Relationship Id="rId143" Type="http://schemas.openxmlformats.org/officeDocument/2006/relationships/hyperlink" Target="https://www.webofscience.com/wos/woscc/full-record/WOS:000409369100007" TargetMode="External"/><Relationship Id="rId164" Type="http://schemas.openxmlformats.org/officeDocument/2006/relationships/hyperlink" Target="https://www.webofscience.com/wos/woscc/full-record/WOS:000788510000001" TargetMode="External"/><Relationship Id="rId185" Type="http://schemas.openxmlformats.org/officeDocument/2006/relationships/hyperlink" Target="https://www.webofscience.com/wos/woscc/full-record/WOS:000357603900001" TargetMode="External"/><Relationship Id="rId9" Type="http://schemas.openxmlformats.org/officeDocument/2006/relationships/hyperlink" Target="https://www.webofscience.com/wos/woscc/full-record/WOS:000582396800019" TargetMode="External"/><Relationship Id="rId210" Type="http://schemas.openxmlformats.org/officeDocument/2006/relationships/hyperlink" Target="https://www.webofscience.com/wos/woscc/full-record/WOS:000797065200002" TargetMode="External"/><Relationship Id="rId26" Type="http://schemas.openxmlformats.org/officeDocument/2006/relationships/hyperlink" Target="https://www.webofscience.com/wos/woscc/full-record/WOS:000549890800002" TargetMode="External"/><Relationship Id="rId231" Type="http://schemas.openxmlformats.org/officeDocument/2006/relationships/hyperlink" Target="https://www.webofscience.com/wos/woscc/full-record/WOS:000797065200001" TargetMode="External"/><Relationship Id="rId252" Type="http://schemas.openxmlformats.org/officeDocument/2006/relationships/hyperlink" Target="https://www.webofscience.com/wos/woscc/full-record/WOS:000797065200004" TargetMode="External"/><Relationship Id="rId273" Type="http://schemas.openxmlformats.org/officeDocument/2006/relationships/hyperlink" Target="https://www.webofscience.com/wos/alldb/full-record/WOS:000372686600008" TargetMode="External"/><Relationship Id="rId294" Type="http://schemas.openxmlformats.org/officeDocument/2006/relationships/hyperlink" Target="https://www.webofscience.com/wos/alldb/full-record/WOS:000445311100007" TargetMode="External"/><Relationship Id="rId308" Type="http://schemas.openxmlformats.org/officeDocument/2006/relationships/printerSettings" Target="../printerSettings/printerSettings2.bin"/><Relationship Id="rId47" Type="http://schemas.openxmlformats.org/officeDocument/2006/relationships/hyperlink" Target="https://www.webofscience.com/wos/woscc/full-record/WOS:000626173500006" TargetMode="External"/><Relationship Id="rId68"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627771100003" TargetMode="External"/><Relationship Id="rId112" Type="http://schemas.openxmlformats.org/officeDocument/2006/relationships/hyperlink" Target="https://www.webofscience.com/wos/alldb/full-record/WOS:000909980700002" TargetMode="External"/><Relationship Id="rId133" Type="http://schemas.openxmlformats.org/officeDocument/2006/relationships/hyperlink" Target="https://www.webofscience.com/wos/alldb/full-record/WOS:000596602800006" TargetMode="External"/><Relationship Id="rId154" Type="http://schemas.openxmlformats.org/officeDocument/2006/relationships/hyperlink" Target="https://www.webofscience.com/wos/woscc/full-record/WOS:000578583300001" TargetMode="External"/><Relationship Id="rId175" Type="http://schemas.openxmlformats.org/officeDocument/2006/relationships/hyperlink" Target="https://www.webofscience.com/wos/woscc/full-record/WOS:000214855100016" TargetMode="External"/><Relationship Id="rId196" Type="http://schemas.openxmlformats.org/officeDocument/2006/relationships/hyperlink" Target="https://www.webofscience.com/wos/woscc/full-record/WOS:000847853000003" TargetMode="External"/><Relationship Id="rId200" Type="http://schemas.openxmlformats.org/officeDocument/2006/relationships/hyperlink" Target="https://www.webofscience.com/wos/woscc/full-record/WOS:000214855100006" TargetMode="External"/><Relationship Id="rId16" Type="http://schemas.openxmlformats.org/officeDocument/2006/relationships/hyperlink" Target="https://www.webofscience.com/wos/woscc/full-record/WOS:000474904300009" TargetMode="External"/><Relationship Id="rId221" Type="http://schemas.openxmlformats.org/officeDocument/2006/relationships/hyperlink" Target="https://www.webofscience.com/wos/woscc/full-record/WOS:000556161100005" TargetMode="External"/><Relationship Id="rId242" Type="http://schemas.openxmlformats.org/officeDocument/2006/relationships/hyperlink" Target="https://www.webofscience.com/wos/woscc/full-record/WOS:000504663900003" TargetMode="External"/><Relationship Id="rId263" Type="http://schemas.openxmlformats.org/officeDocument/2006/relationships/hyperlink" Target="https://www.webofscience.com/wos/woscc/full-record/WOS:000663077200017" TargetMode="External"/><Relationship Id="rId284" Type="http://schemas.openxmlformats.org/officeDocument/2006/relationships/hyperlink" Target="https://www.webofscience.com/wos/alldb/full-record/WOS:000366225800017" TargetMode="External"/><Relationship Id="rId37" Type="http://schemas.openxmlformats.org/officeDocument/2006/relationships/hyperlink" Target="https://www.webofscience.com/wos/woscc/full-record/WOS:000474904300015" TargetMode="External"/><Relationship Id="rId58" Type="http://schemas.openxmlformats.org/officeDocument/2006/relationships/hyperlink" Target="https://www.webofscience.com/wos/alldb/full-record/WOS:000218566300005" TargetMode="External"/><Relationship Id="rId79" Type="http://schemas.openxmlformats.org/officeDocument/2006/relationships/hyperlink" Target="https://www.webofscience.com/wos/alldb/full-record/WOS:000218566300003" TargetMode="External"/><Relationship Id="rId102" Type="http://schemas.openxmlformats.org/officeDocument/2006/relationships/hyperlink" Target="https://www.webofscience.com/wos/alldb/full-record/WOS:000489555400006" TargetMode="External"/><Relationship Id="rId123" Type="http://schemas.openxmlformats.org/officeDocument/2006/relationships/hyperlink" Target="https://www.webofscience.com/wos/alldb/full-record/WOS:000472720500005" TargetMode="External"/><Relationship Id="rId144" Type="http://schemas.openxmlformats.org/officeDocument/2006/relationships/hyperlink" Target="https://www.webofscience.com/wos/woscc/full-record/WOS:000527977600001" TargetMode="External"/><Relationship Id="rId90" Type="http://schemas.openxmlformats.org/officeDocument/2006/relationships/hyperlink" Target="https://www.webofscience.com/wos/alldb/full-record/WOS:000489555400005" TargetMode="External"/><Relationship Id="rId165" Type="http://schemas.openxmlformats.org/officeDocument/2006/relationships/hyperlink" Target="https://www.webofscience.com/wos/woscc/full-record/WOS:000736326000001" TargetMode="External"/><Relationship Id="rId186" Type="http://schemas.openxmlformats.org/officeDocument/2006/relationships/hyperlink" Target="https://www.webofscience.com/wos/woscc/full-record/WOS:000214850600002" TargetMode="External"/><Relationship Id="rId211" Type="http://schemas.openxmlformats.org/officeDocument/2006/relationships/hyperlink" Target="https://www.webofscience.com/wos/woscc/full-record/WOS:000701780400002" TargetMode="External"/><Relationship Id="rId232" Type="http://schemas.openxmlformats.org/officeDocument/2006/relationships/hyperlink" Target="https://www.webofscience.com/wos/woscc/full-record/WOS:000663077200012" TargetMode="External"/><Relationship Id="rId253" Type="http://schemas.openxmlformats.org/officeDocument/2006/relationships/hyperlink" Target="https://www.webofscience.com/wos/woscc/full-record/WOS:000618344300006" TargetMode="External"/><Relationship Id="rId274" Type="http://schemas.openxmlformats.org/officeDocument/2006/relationships/hyperlink" Target="https://www.webofscience.com/wos/alldb/full-record/WOS:000363818800007" TargetMode="External"/><Relationship Id="rId295" Type="http://schemas.openxmlformats.org/officeDocument/2006/relationships/hyperlink" Target="https://www.webofscience.com/wos/alldb/full-record/WOS:000402213300012" TargetMode="External"/><Relationship Id="rId27" Type="http://schemas.openxmlformats.org/officeDocument/2006/relationships/hyperlink" Target="https://www.webofscience.com/wos/woscc/full-record/WOS:000523267400002" TargetMode="External"/><Relationship Id="rId48" Type="http://schemas.openxmlformats.org/officeDocument/2006/relationships/hyperlink" Target="https://www.webofscience.com/wos/woscc/full-record/WOS:000626173500004" TargetMode="External"/><Relationship Id="rId69" Type="http://schemas.openxmlformats.org/officeDocument/2006/relationships/hyperlink" Target="https://www.webofscience.com/wos/alldb/full-record/WOS:000379385900005" TargetMode="External"/><Relationship Id="rId113" Type="http://schemas.openxmlformats.org/officeDocument/2006/relationships/hyperlink" Target="https://www.webofscience.com/wos/alldb/full-record/WOS:000807342900003" TargetMode="External"/><Relationship Id="rId134" Type="http://schemas.openxmlformats.org/officeDocument/2006/relationships/hyperlink" Target="https://www.webofscience.com/wos/alldb/full-record/WOS:000575801300002" TargetMode="External"/><Relationship Id="rId80" Type="http://schemas.openxmlformats.org/officeDocument/2006/relationships/hyperlink" Target="https://www.webofscience.com/wos/alldb/full-record/WOS:000218566300004" TargetMode="External"/><Relationship Id="rId155" Type="http://schemas.openxmlformats.org/officeDocument/2006/relationships/hyperlink" Target="https://www.webofscience.com/wos/woscc/full-record/WOS:000409368600006" TargetMode="External"/><Relationship Id="rId176" Type="http://schemas.openxmlformats.org/officeDocument/2006/relationships/hyperlink" Target="https://www.webofscience.com/wos/woscc/full-record/WOS:000859744400003" TargetMode="External"/><Relationship Id="rId197" Type="http://schemas.openxmlformats.org/officeDocument/2006/relationships/hyperlink" Target="https://www.webofscience.com/wos/woscc/full-record/WOS:000863189000002" TargetMode="External"/><Relationship Id="rId201" Type="http://schemas.openxmlformats.org/officeDocument/2006/relationships/hyperlink" Target="https://www.webofscience.com/wos/woscc/full-record/WOS:000214855100030" TargetMode="External"/><Relationship Id="rId222" Type="http://schemas.openxmlformats.org/officeDocument/2006/relationships/hyperlink" Target="https://www.webofscience.com/wos/woscc/full-record/WOS:000397389000005" TargetMode="External"/><Relationship Id="rId243" Type="http://schemas.openxmlformats.org/officeDocument/2006/relationships/hyperlink" Target="https://www.webofscience.com/wos/woscc/full-record/WOS:000467418800009" TargetMode="External"/><Relationship Id="rId264" Type="http://schemas.openxmlformats.org/officeDocument/2006/relationships/hyperlink" Target="https://www.webofscience.com/wos/woscc/full-record/WOS:000405728700007" TargetMode="External"/><Relationship Id="rId285" Type="http://schemas.openxmlformats.org/officeDocument/2006/relationships/hyperlink" Target="https://www.webofscience.com/wos/alldb/full-record/WOS:000343844000014" TargetMode="External"/><Relationship Id="rId17" Type="http://schemas.openxmlformats.org/officeDocument/2006/relationships/hyperlink" Target="https://www.webofscience.com/wos/woscc/full-record/WOS:000505785700002" TargetMode="External"/><Relationship Id="rId38" Type="http://schemas.openxmlformats.org/officeDocument/2006/relationships/hyperlink" Target="https://www.webofscience.com/wos/woscc/full-record/WOS:000582396800027" TargetMode="External"/><Relationship Id="rId59" Type="http://schemas.openxmlformats.org/officeDocument/2006/relationships/hyperlink" Target="https://www.webofscience.com/wos/alldb/full-record/WOS:000218557000005" TargetMode="External"/><Relationship Id="rId103" Type="http://schemas.openxmlformats.org/officeDocument/2006/relationships/hyperlink" Target="https://www.webofscience.com/wos/alldb/full-record/WOS:000445815100007" TargetMode="External"/><Relationship Id="rId124" Type="http://schemas.openxmlformats.org/officeDocument/2006/relationships/hyperlink" Target="https://www.webofscience.com/wos/alldb/full-record/WOS:000428428700005" TargetMode="External"/><Relationship Id="rId70" Type="http://schemas.openxmlformats.org/officeDocument/2006/relationships/hyperlink" Target="https://www.webofscience.com/wos/alldb/full-record/WOS:000419351500006" TargetMode="External"/><Relationship Id="rId91" Type="http://schemas.openxmlformats.org/officeDocument/2006/relationships/hyperlink" Target="https://www.webofscience.com/wos/alldb/full-record/WOS:000428428700004" TargetMode="External"/><Relationship Id="rId145" Type="http://schemas.openxmlformats.org/officeDocument/2006/relationships/hyperlink" Target="https://www.webofscience.com/wos/woscc/full-record/WOS:000496365200001" TargetMode="External"/><Relationship Id="rId166" Type="http://schemas.openxmlformats.org/officeDocument/2006/relationships/hyperlink" Target="https://www.webofscience.com/wos/woscc/full-record/WOS:000409363300002" TargetMode="External"/><Relationship Id="rId187" Type="http://schemas.openxmlformats.org/officeDocument/2006/relationships/hyperlink" Target="https://www.webofscience.com/wos/woscc/full-record/WOS:000863189000003" TargetMode="External"/><Relationship Id="rId1" Type="http://schemas.openxmlformats.org/officeDocument/2006/relationships/hyperlink" Target="https://www.webofscience.com/wos/woscc/full-record/WOS:000474904300002" TargetMode="External"/><Relationship Id="rId212" Type="http://schemas.openxmlformats.org/officeDocument/2006/relationships/hyperlink" Target="https://www.webofscience.com/wos/woscc/full-record/WOS:000651369300007" TargetMode="External"/><Relationship Id="rId233" Type="http://schemas.openxmlformats.org/officeDocument/2006/relationships/hyperlink" Target="https://www.webofscience.com/wos/woscc/full-record/WOS:000467418800003" TargetMode="External"/><Relationship Id="rId254" Type="http://schemas.openxmlformats.org/officeDocument/2006/relationships/hyperlink" Target="https://www.webofscience.com/wos/woscc/full-record/WOS:000663077200010" TargetMode="External"/><Relationship Id="rId28" Type="http://schemas.openxmlformats.org/officeDocument/2006/relationships/hyperlink" Target="https://www.webofscience.com/wos/woscc/full-record/WOS:000474904300008" TargetMode="External"/><Relationship Id="rId49" Type="http://schemas.openxmlformats.org/officeDocument/2006/relationships/hyperlink" Target="https://www.webofscience.com/wos/woscc/full-record/WOS:000549890800009" TargetMode="External"/><Relationship Id="rId114" Type="http://schemas.openxmlformats.org/officeDocument/2006/relationships/hyperlink" Target="https://www.webofscience.com/wos/alldb/full-record/WOS:000725711000004" TargetMode="External"/><Relationship Id="rId275" Type="http://schemas.openxmlformats.org/officeDocument/2006/relationships/hyperlink" Target="https://www.webofscience.com/wos/alldb/full-record/WOS:000436050800006" TargetMode="External"/><Relationship Id="rId296" Type="http://schemas.openxmlformats.org/officeDocument/2006/relationships/hyperlink" Target="https://www.webofscience.com/wos/alldb/full-record/WOS:000448635800020" TargetMode="External"/><Relationship Id="rId300" Type="http://schemas.openxmlformats.org/officeDocument/2006/relationships/hyperlink" Target="https://www.webofscience.com/wos/alldb/full-record/WOS:000335618000008" TargetMode="External"/><Relationship Id="rId60" Type="http://schemas.openxmlformats.org/officeDocument/2006/relationships/hyperlink" Target="https://www.webofscience.com/wos/alldb/full-record/WOS:000406163900005" TargetMode="External"/><Relationship Id="rId81" Type="http://schemas.openxmlformats.org/officeDocument/2006/relationships/hyperlink" Target="https://www.webofscience.com/wos/alldb/full-record/WOS:000596602800002" TargetMode="External"/><Relationship Id="rId135" Type="http://schemas.openxmlformats.org/officeDocument/2006/relationships/hyperlink" Target="https://www.webofscience.com/wos/alldb/full-record/WOS:000541823600002" TargetMode="External"/><Relationship Id="rId156" Type="http://schemas.openxmlformats.org/officeDocument/2006/relationships/hyperlink" Target="https://www.webofscience.com/wos/woscc/full-record/WOS:000483607500002" TargetMode="External"/><Relationship Id="rId177" Type="http://schemas.openxmlformats.org/officeDocument/2006/relationships/hyperlink" Target="https://www.webofscience.com/wos/woscc/full-record/WOS:000683547400001" TargetMode="External"/><Relationship Id="rId198" Type="http://schemas.openxmlformats.org/officeDocument/2006/relationships/hyperlink" Target="https://www.webofscience.com/wos/woscc/full-record/WOS:000683547400005" TargetMode="External"/><Relationship Id="rId202" Type="http://schemas.openxmlformats.org/officeDocument/2006/relationships/hyperlink" Target="https://www.webofscience.com/wos/woscc/full-record/WOS:000663077200007" TargetMode="External"/><Relationship Id="rId223" Type="http://schemas.openxmlformats.org/officeDocument/2006/relationships/hyperlink" Target="https://www.webofscience.com/wos/woscc/full-record/WOS:000396408300003" TargetMode="External"/><Relationship Id="rId244" Type="http://schemas.openxmlformats.org/officeDocument/2006/relationships/hyperlink" Target="https://www.webofscience.com/wos/woscc/full-record/WOS:000467418800008" TargetMode="External"/><Relationship Id="rId18" Type="http://schemas.openxmlformats.org/officeDocument/2006/relationships/hyperlink" Target="https://www.webofscience.com/wos/woscc/full-record/WOS:000549890800003" TargetMode="External"/><Relationship Id="rId39" Type="http://schemas.openxmlformats.org/officeDocument/2006/relationships/hyperlink" Target="https://www.webofscience.com/wos/woscc/full-record/WOS:000628230500001" TargetMode="External"/><Relationship Id="rId265" Type="http://schemas.openxmlformats.org/officeDocument/2006/relationships/hyperlink" Target="https://www.webofscience.com/wos/woscc/full-record/WOS:000878517700005" TargetMode="External"/><Relationship Id="rId286" Type="http://schemas.openxmlformats.org/officeDocument/2006/relationships/hyperlink" Target="https://www.webofscience.com/wos/alldb/full-record/WOS:000862751700004" TargetMode="External"/><Relationship Id="rId50" Type="http://schemas.openxmlformats.org/officeDocument/2006/relationships/hyperlink" Target="https://www.webofscience.com/wos/woscc/full-record/WOS:000549890800018" TargetMode="External"/><Relationship Id="rId104" Type="http://schemas.openxmlformats.org/officeDocument/2006/relationships/hyperlink" Target="https://www.webofscience.com/wos/alldb/full-record/WOS:000400678500003" TargetMode="External"/><Relationship Id="rId125" Type="http://schemas.openxmlformats.org/officeDocument/2006/relationships/hyperlink" Target="https://www.webofscience.com/wos/alldb/full-record/WOS:000218558400003" TargetMode="External"/><Relationship Id="rId146" Type="http://schemas.openxmlformats.org/officeDocument/2006/relationships/hyperlink" Target="https://www.webofscience.com/wos/woscc/full-record/WOS:000542265200001" TargetMode="External"/><Relationship Id="rId167" Type="http://schemas.openxmlformats.org/officeDocument/2006/relationships/hyperlink" Target="https://www.webofscience.com/wos/woscc/full-record/WOS:000491451800001" TargetMode="External"/><Relationship Id="rId188" Type="http://schemas.openxmlformats.org/officeDocument/2006/relationships/hyperlink" Target="https://www.webofscience.com/wos/woscc/full-record/WOS:000440594100020" TargetMode="External"/><Relationship Id="rId71" Type="http://schemas.openxmlformats.org/officeDocument/2006/relationships/hyperlink" Target="https://www.webofscience.com/wos/alldb/full-record/WOS:000218587300005" TargetMode="External"/><Relationship Id="rId92" Type="http://schemas.openxmlformats.org/officeDocument/2006/relationships/hyperlink" Target="https://www.webofscience.com/wos/alldb/full-record/WOS:000391063800005" TargetMode="External"/><Relationship Id="rId213" Type="http://schemas.openxmlformats.org/officeDocument/2006/relationships/hyperlink" Target="https://www.webofscience.com/wos/woscc/full-record/WOS:000517565900003" TargetMode="External"/><Relationship Id="rId234" Type="http://schemas.openxmlformats.org/officeDocument/2006/relationships/hyperlink" Target="https://www.webofscience.com/wos/woscc/full-record/WOS:000458213700004" TargetMode="External"/><Relationship Id="rId2" Type="http://schemas.openxmlformats.org/officeDocument/2006/relationships/hyperlink" Target="https://www.webofscience.com/wos/woscc/full-record/WOS:000549890800014" TargetMode="External"/><Relationship Id="rId29" Type="http://schemas.openxmlformats.org/officeDocument/2006/relationships/hyperlink" Target="https://www.webofscience.com/wos/woscc/full-record/WOS:000626173500007" TargetMode="External"/><Relationship Id="rId255" Type="http://schemas.openxmlformats.org/officeDocument/2006/relationships/hyperlink" Target="https://www.webofscience.com/wos/woscc/full-record/WOS:000454250900010" TargetMode="External"/><Relationship Id="rId276" Type="http://schemas.openxmlformats.org/officeDocument/2006/relationships/hyperlink" Target="https://www.webofscience.com/wos/alldb/full-record/WOS:000317369900033" TargetMode="External"/><Relationship Id="rId297" Type="http://schemas.openxmlformats.org/officeDocument/2006/relationships/hyperlink" Target="https://www.webofscience.com/wos/alldb/full-record/WOS:000350186400006" TargetMode="External"/><Relationship Id="rId40" Type="http://schemas.openxmlformats.org/officeDocument/2006/relationships/hyperlink" Target="https://www.webofscience.com/wos/woscc/full-record/WOS:000632268800009" TargetMode="External"/><Relationship Id="rId115" Type="http://schemas.openxmlformats.org/officeDocument/2006/relationships/hyperlink" Target="https://www.webofscience.com/wos/alldb/full-record/WOS:000725711000005" TargetMode="External"/><Relationship Id="rId136" Type="http://schemas.openxmlformats.org/officeDocument/2006/relationships/hyperlink" Target="https://www.webofscience.com/wos/alldb/full-record/WOS:000428428700007" TargetMode="External"/><Relationship Id="rId157" Type="http://schemas.openxmlformats.org/officeDocument/2006/relationships/hyperlink" Target="https://www.webofscience.com/wos/woscc/full-record/WOS:000436069400006" TargetMode="External"/><Relationship Id="rId178" Type="http://schemas.openxmlformats.org/officeDocument/2006/relationships/hyperlink" Target="https://www.webofscience.com/wos/woscc/full-record/WOS:000432800100001" TargetMode="External"/><Relationship Id="rId301" Type="http://schemas.openxmlformats.org/officeDocument/2006/relationships/hyperlink" Target="https://www.webofscience.com/wos/alldb/full-record/WOS:000535686800003" TargetMode="External"/><Relationship Id="rId61" Type="http://schemas.openxmlformats.org/officeDocument/2006/relationships/hyperlink" Target="https://www.webofscience.com/wos/alldb/full-record/WOS:000218566300006" TargetMode="External"/><Relationship Id="rId82" Type="http://schemas.openxmlformats.org/officeDocument/2006/relationships/hyperlink" Target="https://www.webofscience.com/wos/alldb/full-record/WOS:000489555400009" TargetMode="External"/><Relationship Id="rId199" Type="http://schemas.openxmlformats.org/officeDocument/2006/relationships/hyperlink" Target="https://www.webofscience.com/wos/woscc/full-record/WOS:000467418800006" TargetMode="External"/><Relationship Id="rId203" Type="http://schemas.openxmlformats.org/officeDocument/2006/relationships/hyperlink" Target="https://www.webofscience.com/wos/woscc/full-record/WOS:000556161100002" TargetMode="External"/><Relationship Id="rId19" Type="http://schemas.openxmlformats.org/officeDocument/2006/relationships/hyperlink" Target="https://www.webofscience.com/wos/woscc/full-record/WOS:000490326100007" TargetMode="External"/><Relationship Id="rId224" Type="http://schemas.openxmlformats.org/officeDocument/2006/relationships/hyperlink" Target="https://www.webofscience.com/wos/woscc/full-record/WOS:000214851500009" TargetMode="External"/><Relationship Id="rId245" Type="http://schemas.openxmlformats.org/officeDocument/2006/relationships/hyperlink" Target="https://www.webofscience.com/wos/woscc/full-record/WOS:000701780400005" TargetMode="External"/><Relationship Id="rId266" Type="http://schemas.openxmlformats.org/officeDocument/2006/relationships/hyperlink" Target="https://www.webofscience.com/wos/woscc/full-record/WOS:000386869900001" TargetMode="External"/><Relationship Id="rId287" Type="http://schemas.openxmlformats.org/officeDocument/2006/relationships/hyperlink" Target="https://www.webofscience.com/wos/alldb/full-record/WOS:000389389300008" TargetMode="External"/><Relationship Id="rId30" Type="http://schemas.openxmlformats.org/officeDocument/2006/relationships/hyperlink" Target="https://www.webofscience.com/wos/woscc/full-record/WOS:000549890800016" TargetMode="External"/><Relationship Id="rId105" Type="http://schemas.openxmlformats.org/officeDocument/2006/relationships/hyperlink" Target="https://www.webofscience.com/wos/alldb/full-record/WOS:000379385900004" TargetMode="External"/><Relationship Id="rId126" Type="http://schemas.openxmlformats.org/officeDocument/2006/relationships/hyperlink" Target="https://www.webofscience.com/wos/alldb/full-record/WOS:000218557000006" TargetMode="External"/><Relationship Id="rId147" Type="http://schemas.openxmlformats.org/officeDocument/2006/relationships/hyperlink" Target="https://www.webofscience.com/wos/woscc/full-record/WOS:000665234800001" TargetMode="External"/><Relationship Id="rId168" Type="http://schemas.openxmlformats.org/officeDocument/2006/relationships/hyperlink" Target="https://www.webofscience.com/wos/woscc/full-record/WOS:000483183800001" TargetMode="External"/><Relationship Id="rId51" Type="http://schemas.openxmlformats.org/officeDocument/2006/relationships/hyperlink" Target="https://www.webofscience.com/wos/alldb/full-record/WOS:000419348300008" TargetMode="External"/><Relationship Id="rId72" Type="http://schemas.openxmlformats.org/officeDocument/2006/relationships/hyperlink" Target="https://www.webofscience.com/wos/alldb/full-record/WOS:000489555400003" TargetMode="External"/><Relationship Id="rId93" Type="http://schemas.openxmlformats.org/officeDocument/2006/relationships/hyperlink" Target="https://www.webofscience.com/wos/alldb/full-record/WOS:000379385900003" TargetMode="External"/><Relationship Id="rId189" Type="http://schemas.openxmlformats.org/officeDocument/2006/relationships/hyperlink" Target="https://www.webofscience.com/wos/woscc/full-record/WOS:000361905000004" TargetMode="External"/><Relationship Id="rId3" Type="http://schemas.openxmlformats.org/officeDocument/2006/relationships/hyperlink" Target="https://www.webofscience.com/wos/woscc/full-record/WOS:000549890800020" TargetMode="External"/><Relationship Id="rId214" Type="http://schemas.openxmlformats.org/officeDocument/2006/relationships/hyperlink" Target="https://www.webofscience.com/wos/woscc/full-record/WOS:000371269200004" TargetMode="External"/><Relationship Id="rId235" Type="http://schemas.openxmlformats.org/officeDocument/2006/relationships/hyperlink" Target="https://www.webofscience.com/wos/woscc/full-record/WOS:000711331600001" TargetMode="External"/><Relationship Id="rId256" Type="http://schemas.openxmlformats.org/officeDocument/2006/relationships/hyperlink" Target="https://www.webofscience.com/wos/woscc/full-record/WOS:000214842800004" TargetMode="External"/><Relationship Id="rId277" Type="http://schemas.openxmlformats.org/officeDocument/2006/relationships/hyperlink" Target="https://www.webofscience.com/wos/alldb/full-record/WOS:000901496100012" TargetMode="External"/><Relationship Id="rId298" Type="http://schemas.openxmlformats.org/officeDocument/2006/relationships/hyperlink" Target="https://www.webofscience.com/wos/alldb/full-record/WOS:000515130200008" TargetMode="External"/><Relationship Id="rId116" Type="http://schemas.openxmlformats.org/officeDocument/2006/relationships/hyperlink" Target="https://www.webofscience.com/wos/alldb/full-record/WOS:000697706500002" TargetMode="External"/><Relationship Id="rId137" Type="http://schemas.openxmlformats.org/officeDocument/2006/relationships/hyperlink" Target="https://www.webofscience.com/wos/alldb/full-record/WOS:000391063800006" TargetMode="External"/><Relationship Id="rId158" Type="http://schemas.openxmlformats.org/officeDocument/2006/relationships/hyperlink" Target="https://www.webofscience.com/wos/woscc/full-record/WOS:000445956800003" TargetMode="External"/><Relationship Id="rId302" Type="http://schemas.openxmlformats.org/officeDocument/2006/relationships/hyperlink" Target="https://www.webofscience.com/wos/alldb/full-record/WOS:000498327800018" TargetMode="External"/><Relationship Id="rId20" Type="http://schemas.openxmlformats.org/officeDocument/2006/relationships/hyperlink" Target="https://www.webofscience.com/wos/woscc/full-record/WOS:000474904300014" TargetMode="External"/><Relationship Id="rId41" Type="http://schemas.openxmlformats.org/officeDocument/2006/relationships/hyperlink" Target="https://www.webofscience.com/wos/woscc/full-record/WOS:000549890800021" TargetMode="External"/><Relationship Id="rId62" Type="http://schemas.openxmlformats.org/officeDocument/2006/relationships/hyperlink" Target="https://www.webofscience.com/wos/alldb/full-record/WOS:000218557000004" TargetMode="External"/><Relationship Id="rId83" Type="http://schemas.openxmlformats.org/officeDocument/2006/relationships/hyperlink" Target="https://www.webofscience.com/wos/alldb/full-record/WOS:000472720500007" TargetMode="External"/><Relationship Id="rId179" Type="http://schemas.openxmlformats.org/officeDocument/2006/relationships/hyperlink" Target="https://www.webofscience.com/wos/woscc/full-record/WOS:000214855100018" TargetMode="External"/><Relationship Id="rId190" Type="http://schemas.openxmlformats.org/officeDocument/2006/relationships/hyperlink" Target="https://www.webofscience.com/wos/woscc/full-record/WOS:000214855100019" TargetMode="External"/><Relationship Id="rId204" Type="http://schemas.openxmlformats.org/officeDocument/2006/relationships/hyperlink" Target="https://www.webofscience.com/wos/woscc/full-record/WOS:000386869900005" TargetMode="External"/><Relationship Id="rId225" Type="http://schemas.openxmlformats.org/officeDocument/2006/relationships/hyperlink" Target="https://www.webofscience.com/wos/woscc/full-record/WOS:000663077200006" TargetMode="External"/><Relationship Id="rId246" Type="http://schemas.openxmlformats.org/officeDocument/2006/relationships/hyperlink" Target="https://www.webofscience.com/wos/woscc/full-record/WOS:000531087700012" TargetMode="External"/><Relationship Id="rId267" Type="http://schemas.openxmlformats.org/officeDocument/2006/relationships/hyperlink" Target="https://www.webofscience.com/wos/woscc/full-record/WOS:000397389000003" TargetMode="External"/><Relationship Id="rId288" Type="http://schemas.openxmlformats.org/officeDocument/2006/relationships/hyperlink" Target="https://www.webofscience.com/wos/alldb/full-record/WOS:000430038000001" TargetMode="External"/><Relationship Id="rId106" Type="http://schemas.openxmlformats.org/officeDocument/2006/relationships/hyperlink" Target="https://www.webofscience.com/wos/alldb/full-record/WOS:000379385900002" TargetMode="External"/><Relationship Id="rId127" Type="http://schemas.openxmlformats.org/officeDocument/2006/relationships/hyperlink" Target="https://www.webofscience.com/wos/alldb/full-record/WOS:000218561100002" TargetMode="External"/><Relationship Id="rId10" Type="http://schemas.openxmlformats.org/officeDocument/2006/relationships/hyperlink" Target="https://www.webofscience.com/wos/woscc/full-record/WOS:000463836500003" TargetMode="External"/><Relationship Id="rId31" Type="http://schemas.openxmlformats.org/officeDocument/2006/relationships/hyperlink" Target="https://www.webofscience.com/wos/woscc/full-record/WOS:000626173500003" TargetMode="External"/><Relationship Id="rId52" Type="http://schemas.openxmlformats.org/officeDocument/2006/relationships/hyperlink" Target="https://www.webofscience.com/wos/alldb/full-record/WOS:000218561100003" TargetMode="External"/><Relationship Id="rId73" Type="http://schemas.openxmlformats.org/officeDocument/2006/relationships/hyperlink" Target="https://www.webofscience.com/wos/alldb/full-record/WOS:000503419500004" TargetMode="External"/><Relationship Id="rId94" Type="http://schemas.openxmlformats.org/officeDocument/2006/relationships/hyperlink" Target="https://www.webofscience.com/wos/alldb/full-record/WOS:000218587300006" TargetMode="External"/><Relationship Id="rId148" Type="http://schemas.openxmlformats.org/officeDocument/2006/relationships/hyperlink" Target="https://www.webofscience.com/wos/woscc/full-record/WOS:000439614100003" TargetMode="External"/><Relationship Id="rId169" Type="http://schemas.openxmlformats.org/officeDocument/2006/relationships/hyperlink" Target="https://www.webofscience.com/wos/woscc/full-record/WOS:000415010600007" TargetMode="External"/><Relationship Id="rId4" Type="http://schemas.openxmlformats.org/officeDocument/2006/relationships/hyperlink" Target="https://www.webofscience.com/wos/woscc/full-record/WOS:000463836500005" TargetMode="External"/><Relationship Id="rId180" Type="http://schemas.openxmlformats.org/officeDocument/2006/relationships/hyperlink" Target="https://www.webofscience.com/wos/woscc/full-record/WOS:000618344300002" TargetMode="External"/><Relationship Id="rId215" Type="http://schemas.openxmlformats.org/officeDocument/2006/relationships/hyperlink" Target="https://www.webofscience.com/wos/woscc/full-record/WOS:000863189000004" TargetMode="External"/><Relationship Id="rId236" Type="http://schemas.openxmlformats.org/officeDocument/2006/relationships/hyperlink" Target="https://www.webofscience.com/wos/woscc/full-record/WOS:000214846800005" TargetMode="External"/><Relationship Id="rId257" Type="http://schemas.openxmlformats.org/officeDocument/2006/relationships/hyperlink" Target="https://www.webofscience.com/wos/woscc/full-record/WOS:000803811400004" TargetMode="External"/><Relationship Id="rId278" Type="http://schemas.openxmlformats.org/officeDocument/2006/relationships/hyperlink" Target="https://www.webofscience.com/wos/alldb/full-record/WOS:000805446000002" TargetMode="External"/><Relationship Id="rId303" Type="http://schemas.openxmlformats.org/officeDocument/2006/relationships/hyperlink" Target="https://www.webofscience.com/wos/alldb/full-record/WOS:000465152600001" TargetMode="External"/><Relationship Id="rId42" Type="http://schemas.openxmlformats.org/officeDocument/2006/relationships/hyperlink" Target="https://www.webofscience.com/wos/woscc/full-record/WOS:000490326100008" TargetMode="External"/><Relationship Id="rId84" Type="http://schemas.openxmlformats.org/officeDocument/2006/relationships/hyperlink" Target="https://www.webofscience.com/wos/alldb/full-record/WOS:000391064600004" TargetMode="External"/><Relationship Id="rId138" Type="http://schemas.openxmlformats.org/officeDocument/2006/relationships/hyperlink" Target="https://www.webofscience.com/wos/alldb/full-record/WOS:000575801300006" TargetMode="External"/><Relationship Id="rId191" Type="http://schemas.openxmlformats.org/officeDocument/2006/relationships/hyperlink" Target="https://www.webofscience.com/wos/woscc/full-record/WOS:000214846800004" TargetMode="External"/><Relationship Id="rId205" Type="http://schemas.openxmlformats.org/officeDocument/2006/relationships/hyperlink" Target="https://www.webofscience.com/wos/woscc/full-record/WOS:000214851200001" TargetMode="External"/><Relationship Id="rId247" Type="http://schemas.openxmlformats.org/officeDocument/2006/relationships/hyperlink" Target="https://www.webofscience.com/wos/woscc/full-record/WOS:000440594100003" TargetMode="External"/><Relationship Id="rId107" Type="http://schemas.openxmlformats.org/officeDocument/2006/relationships/hyperlink" Target="https://www.webofscience.com/wos/alldb/full-record/WOS:000218585500002" TargetMode="External"/><Relationship Id="rId289" Type="http://schemas.openxmlformats.org/officeDocument/2006/relationships/hyperlink" Target="https://www.webofscience.com/wos/alldb/full-record/WOS:000684549200005" TargetMode="External"/><Relationship Id="rId11" Type="http://schemas.openxmlformats.org/officeDocument/2006/relationships/hyperlink" Target="https://www.webofscience.com/wos/woscc/full-record/WOS:000474904300005" TargetMode="External"/><Relationship Id="rId53" Type="http://schemas.openxmlformats.org/officeDocument/2006/relationships/hyperlink" Target="https://www.webofscience.com/wos/alldb/full-record/WOS:000436530800003" TargetMode="External"/><Relationship Id="rId149" Type="http://schemas.openxmlformats.org/officeDocument/2006/relationships/hyperlink" Target="https://www.webofscience.com/wos/woscc/full-record/WOS:000860823200001" TargetMode="External"/><Relationship Id="rId95" Type="http://schemas.openxmlformats.org/officeDocument/2006/relationships/hyperlink" Target="https://www.webofscience.com/wos/alldb/full-record/WOS:000218585500003" TargetMode="External"/><Relationship Id="rId160" Type="http://schemas.openxmlformats.org/officeDocument/2006/relationships/hyperlink" Target="https://www.webofscience.com/wos/woscc/full-record/WOS:000477645300004" TargetMode="External"/><Relationship Id="rId216" Type="http://schemas.openxmlformats.org/officeDocument/2006/relationships/hyperlink" Target="https://www.webofscience.com/wos/woscc/full-record/WOS:000807165600001" TargetMode="External"/><Relationship Id="rId258" Type="http://schemas.openxmlformats.org/officeDocument/2006/relationships/hyperlink" Target="https://www.webofscience.com/wos/woscc/full-record/WOS:000730986900002" TargetMode="External"/><Relationship Id="rId22" Type="http://schemas.openxmlformats.org/officeDocument/2006/relationships/hyperlink" Target="https://www.webofscience.com/wos/woscc/full-record/WOS:000463836500007" TargetMode="External"/><Relationship Id="rId64" Type="http://schemas.openxmlformats.org/officeDocument/2006/relationships/hyperlink" Target="https://www.webofscience.com/wos/alldb/full-record/WOS:000419348300004" TargetMode="External"/><Relationship Id="rId118" Type="http://schemas.openxmlformats.org/officeDocument/2006/relationships/hyperlink" Target="https://www.webofscience.com/wos/alldb/full-record/WOS:000596602800004" TargetMode="External"/><Relationship Id="rId171" Type="http://schemas.openxmlformats.org/officeDocument/2006/relationships/hyperlink" Target="https://www.webofscience.com/wos/woscc/full-record/WOS:000445939100011" TargetMode="External"/><Relationship Id="rId227" Type="http://schemas.openxmlformats.org/officeDocument/2006/relationships/hyperlink" Target="https://www.webofscience.com/wos/woscc/full-record/WOS:000214846800008" TargetMode="External"/><Relationship Id="rId269" Type="http://schemas.openxmlformats.org/officeDocument/2006/relationships/hyperlink" Target="https://www.webofscience.com/wos/alldb/full-record/WOS:000441494100032" TargetMode="External"/><Relationship Id="rId33" Type="http://schemas.openxmlformats.org/officeDocument/2006/relationships/hyperlink" Target="https://www.webofscience.com/wos/woscc/full-record/WOS:000626173500016" TargetMode="External"/><Relationship Id="rId129" Type="http://schemas.openxmlformats.org/officeDocument/2006/relationships/hyperlink" Target="https://www.webofscience.com/wos/alldb/full-record/WOS:000858941000002" TargetMode="External"/><Relationship Id="rId280" Type="http://schemas.openxmlformats.org/officeDocument/2006/relationships/hyperlink" Target="https://www.webofscience.com/wos/alldb/full-record/WOS:000684549200006" TargetMode="External"/><Relationship Id="rId75" Type="http://schemas.openxmlformats.org/officeDocument/2006/relationships/hyperlink" Target="https://www.webofscience.com/wos/alldb/full-record/WOS:000400678500002" TargetMode="External"/><Relationship Id="rId140" Type="http://schemas.openxmlformats.org/officeDocument/2006/relationships/hyperlink" Target="https://www.webofscience.com/wos/alldb/full-record/WOS:000218553500006" TargetMode="External"/><Relationship Id="rId182" Type="http://schemas.openxmlformats.org/officeDocument/2006/relationships/hyperlink" Target="https://www.webofscience.com/wos/woscc/full-record/WOS:000888057500002" TargetMode="External"/><Relationship Id="rId6" Type="http://schemas.openxmlformats.org/officeDocument/2006/relationships/hyperlink" Target="https://www.webofscience.com/wos/woscc/full-record/WOS:000626173500014" TargetMode="External"/><Relationship Id="rId238" Type="http://schemas.openxmlformats.org/officeDocument/2006/relationships/hyperlink" Target="https://www.webofscience.com/wos/woscc/full-record/WOS:000868483700002"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TargetMode="External"/><Relationship Id="rId21" Type="http://schemas.openxmlformats.org/officeDocument/2006/relationships/hyperlink" Target="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TargetMode="External"/><Relationship Id="rId42" Type="http://schemas.openxmlformats.org/officeDocument/2006/relationships/hyperlink" Target="https://www.webofscience.com/wos/alldb/full-record/WOS:000343844000014" TargetMode="External"/><Relationship Id="rId47" Type="http://schemas.openxmlformats.org/officeDocument/2006/relationships/hyperlink" Target="https://www.webofscience.com/wos/alldb/full-record/WOS:000441494100032" TargetMode="External"/><Relationship Id="rId63" Type="http://schemas.openxmlformats.org/officeDocument/2006/relationships/hyperlink" Target="https://www.webofscience.com/wos/woscc/full-record/WOS:000841976200001" TargetMode="External"/><Relationship Id="rId68" Type="http://schemas.openxmlformats.org/officeDocument/2006/relationships/hyperlink" Target="https://www.webofscience.com/wos/alldb/full-record/WOS:000218561100001" TargetMode="External"/><Relationship Id="rId84" Type="http://schemas.openxmlformats.org/officeDocument/2006/relationships/hyperlink" Target="https://www.webofscience.com/wos/alldb/full-record/WOS:000391064600003" TargetMode="External"/><Relationship Id="rId89" Type="http://schemas.openxmlformats.org/officeDocument/2006/relationships/hyperlink" Target="https://www.webofscience.com/wos/alldb/full-record/WOS:000419348300008" TargetMode="External"/><Relationship Id="rId16" Type="http://schemas.openxmlformats.org/officeDocument/2006/relationships/hyperlink" Target="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TargetMode="External"/><Relationship Id="rId11" Type="http://schemas.openxmlformats.org/officeDocument/2006/relationships/hyperlink" Target="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TargetMode="External"/><Relationship Id="rId32" Type="http://schemas.openxmlformats.org/officeDocument/2006/relationships/hyperlink" Target="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TargetMode="External"/><Relationship Id="rId37" Type="http://schemas.openxmlformats.org/officeDocument/2006/relationships/hyperlink" Target="https://www.webofscience.com/wos/alldb/full-record/WOS:000335618000008" TargetMode="External"/><Relationship Id="rId53" Type="http://schemas.openxmlformats.org/officeDocument/2006/relationships/hyperlink" Target="https://www.webofscience.com/wos/woscc/full-record/WOS:000663077200006" TargetMode="External"/><Relationship Id="rId58" Type="http://schemas.openxmlformats.org/officeDocument/2006/relationships/hyperlink" Target="https://www.webofscience.com/wos/woscc/full-record/WOS:000859744400003" TargetMode="External"/><Relationship Id="rId74" Type="http://schemas.openxmlformats.org/officeDocument/2006/relationships/hyperlink" Target="https://www.webofscience.com/wos/alldb/full-record/WOS:000807342900003" TargetMode="External"/><Relationship Id="rId79" Type="http://schemas.openxmlformats.org/officeDocument/2006/relationships/hyperlink" Target="https://www.webofscience.com/wos/alldb/full-record/WOS:000218566300004" TargetMode="External"/><Relationship Id="rId5" Type="http://schemas.openxmlformats.org/officeDocument/2006/relationships/hyperlink" Target="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TargetMode="External"/><Relationship Id="rId90" Type="http://schemas.openxmlformats.org/officeDocument/2006/relationships/hyperlink" Target="https://www.webofscience.com/wos/woscc/full-record/WOS:000549890800009" TargetMode="External"/><Relationship Id="rId95" Type="http://schemas.openxmlformats.org/officeDocument/2006/relationships/hyperlink" Target="https://www.webofscience.com/wos/woscc/full-record/WOS:000629136000004" TargetMode="External"/><Relationship Id="rId22" Type="http://schemas.openxmlformats.org/officeDocument/2006/relationships/hyperlink" Target="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TargetMode="External"/><Relationship Id="rId27" Type="http://schemas.openxmlformats.org/officeDocument/2006/relationships/hyperlink" Target="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TargetMode="External"/><Relationship Id="rId43" Type="http://schemas.openxmlformats.org/officeDocument/2006/relationships/hyperlink" Target="https://www.webofscience.com/wos/alldb/full-record/WOS:000366225800017" TargetMode="External"/><Relationship Id="rId48" Type="http://schemas.openxmlformats.org/officeDocument/2006/relationships/hyperlink" Target="https://www.webofscience.com/wos/woscc/full-record/WOS:000386869900001" TargetMode="External"/><Relationship Id="rId64" Type="http://schemas.openxmlformats.org/officeDocument/2006/relationships/hyperlink" Target="https://www.webofscience.com/wos/woscc/full-record/WOS:000445956800004" TargetMode="External"/><Relationship Id="rId69" Type="http://schemas.openxmlformats.org/officeDocument/2006/relationships/hyperlink" Target="https://www.webofscience.com/wos/alldb/full-record/WOS:000218582300006" TargetMode="External"/><Relationship Id="rId80" Type="http://schemas.openxmlformats.org/officeDocument/2006/relationships/hyperlink" Target="https://www.webofscience.com/wos/alldb/full-record/WOS:000627771100005" TargetMode="External"/><Relationship Id="rId85" Type="http://schemas.openxmlformats.org/officeDocument/2006/relationships/hyperlink" Target="https://www.webofscience.com/wos/alldb/full-record/WOS:000436530800002" TargetMode="External"/><Relationship Id="rId12" Type="http://schemas.openxmlformats.org/officeDocument/2006/relationships/hyperlink" Target="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TargetMode="External"/><Relationship Id="rId17" Type="http://schemas.openxmlformats.org/officeDocument/2006/relationships/hyperlink" Target="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TargetMode="External"/><Relationship Id="rId25" Type="http://schemas.openxmlformats.org/officeDocument/2006/relationships/hyperlink" Target="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TargetMode="External"/><Relationship Id="rId33" Type="http://schemas.openxmlformats.org/officeDocument/2006/relationships/hyperlink" Target="https://www.webofscience.com/wos/alldb/full-record/WOS:000487568200007" TargetMode="External"/><Relationship Id="rId38" Type="http://schemas.openxmlformats.org/officeDocument/2006/relationships/hyperlink" Target="https://www.webofscience.com/wos/alldb/full-record/WOS:000515130200004" TargetMode="External"/><Relationship Id="rId46" Type="http://schemas.openxmlformats.org/officeDocument/2006/relationships/hyperlink" Target="https://www.webofscience.com/wos/alldb/full-record/WOS:000430038000005" TargetMode="External"/><Relationship Id="rId59" Type="http://schemas.openxmlformats.org/officeDocument/2006/relationships/hyperlink" Target="https://www.webofscience.com/wos/woscc/full-record/WOS:000411090600004" TargetMode="External"/><Relationship Id="rId67" Type="http://schemas.openxmlformats.org/officeDocument/2006/relationships/hyperlink" Target="https://www.webofscience.com/wos/woscc/full-record/WOS:000496365200001" TargetMode="External"/><Relationship Id="rId20" Type="http://schemas.openxmlformats.org/officeDocument/2006/relationships/hyperlink" Target="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TargetMode="External"/><Relationship Id="rId41" Type="http://schemas.openxmlformats.org/officeDocument/2006/relationships/hyperlink" Target="https://www.webofscience.com/wos/alldb/full-record/WOS:000862751700004" TargetMode="External"/><Relationship Id="rId54" Type="http://schemas.openxmlformats.org/officeDocument/2006/relationships/hyperlink" Target="https://www.webofscience.com/wos/woscc/full-record/WOS:000397389000005" TargetMode="External"/><Relationship Id="rId62" Type="http://schemas.openxmlformats.org/officeDocument/2006/relationships/hyperlink" Target="https://www.webofscience.com/wos/woscc/full-record/WOS:000454990600001" TargetMode="External"/><Relationship Id="rId70" Type="http://schemas.openxmlformats.org/officeDocument/2006/relationships/hyperlink" Target="https://www.webofscience.com/wos/alldb/full-record/WOS:000428428700007" TargetMode="External"/><Relationship Id="rId75" Type="http://schemas.openxmlformats.org/officeDocument/2006/relationships/hyperlink" Target="https://www.webofscience.com/wos/alldb/full-record/WOS:000909980700004" TargetMode="External"/><Relationship Id="rId83" Type="http://schemas.openxmlformats.org/officeDocument/2006/relationships/hyperlink" Target="https://www.webofscience.com/wos/alldb/full-record/WOS:000419351500006" TargetMode="External"/><Relationship Id="rId88" Type="http://schemas.openxmlformats.org/officeDocument/2006/relationships/hyperlink" Target="https://www.webofscience.com/wos/alldb/full-record/WOS:000218587300004" TargetMode="External"/><Relationship Id="rId91" Type="http://schemas.openxmlformats.org/officeDocument/2006/relationships/hyperlink" Target="https://www.webofscience.com/wos/woscc/full-record/WOS:000490326100008" TargetMode="External"/><Relationship Id="rId96" Type="http://schemas.openxmlformats.org/officeDocument/2006/relationships/hyperlink" Target="https://www.webofscience.com/wos/woscc/full-record/WOS:000474904300001" TargetMode="External"/><Relationship Id="rId1" Type="http://schemas.openxmlformats.org/officeDocument/2006/relationships/hyperlink" Target="https://www.mdpi.com/2073-431X/10/10/126" TargetMode="External"/><Relationship Id="rId6" Type="http://schemas.openxmlformats.org/officeDocument/2006/relationships/hyperlink" Target="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TargetMode="External"/><Relationship Id="rId15"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3" Type="http://schemas.openxmlformats.org/officeDocument/2006/relationships/hyperlink" Target="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TargetMode="External"/><Relationship Id="rId2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36" Type="http://schemas.openxmlformats.org/officeDocument/2006/relationships/hyperlink" Target="https://www.webofscience.com/wos/alldb/full-record/WOS:000535686800003" TargetMode="External"/><Relationship Id="rId49" Type="http://schemas.openxmlformats.org/officeDocument/2006/relationships/hyperlink" Target="https://www.webofscience.com/wos/woscc/full-record/WOS:000878517700005" TargetMode="External"/><Relationship Id="rId57" Type="http://schemas.openxmlformats.org/officeDocument/2006/relationships/hyperlink" Target="https://www.webofscience.com/wos/woscc/full-record/WOS:000432800100001" TargetMode="External"/><Relationship Id="rId10" Type="http://schemas.openxmlformats.org/officeDocument/2006/relationships/hyperlink" Target="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TargetMode="External"/><Relationship Id="rId31" Type="http://schemas.openxmlformats.org/officeDocument/2006/relationships/hyperlink" Target="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TargetMode="External"/><Relationship Id="rId44" Type="http://schemas.openxmlformats.org/officeDocument/2006/relationships/hyperlink" Target="https://www.webofscience.com/wos/alldb/full-record/WOS:000901496100012" TargetMode="External"/><Relationship Id="rId52" Type="http://schemas.openxmlformats.org/officeDocument/2006/relationships/hyperlink" Target="https://www.webofscience.com/wos/woscc/full-record/WOS:000214846800008" TargetMode="External"/><Relationship Id="rId60" Type="http://schemas.openxmlformats.org/officeDocument/2006/relationships/hyperlink" Target="https://www.webofscience.com/wos/woscc/full-record/WOS:000415010600007" TargetMode="External"/><Relationship Id="rId65" Type="http://schemas.openxmlformats.org/officeDocument/2006/relationships/hyperlink" Target="https://www.webofscience.com/wos/woscc/full-record/WOS:000860823200001" TargetMode="External"/><Relationship Id="rId73" Type="http://schemas.openxmlformats.org/officeDocument/2006/relationships/hyperlink" Target="https://www.webofscience.com/wos/alldb/full-record/WOS:000725711000004" TargetMode="External"/><Relationship Id="rId78" Type="http://schemas.openxmlformats.org/officeDocument/2006/relationships/hyperlink" Target="https://www.webofscience.com/wos/alldb/full-record/WOS:000218557000003" TargetMode="External"/><Relationship Id="rId81" Type="http://schemas.openxmlformats.org/officeDocument/2006/relationships/hyperlink" Target="https://www.webofscience.com/wos/alldb/full-record/WOS:000503419500004" TargetMode="External"/><Relationship Id="rId86" Type="http://schemas.openxmlformats.org/officeDocument/2006/relationships/hyperlink" Target="https://www.webofscience.com/wos/alldb/full-record/WOS:000218587300002" TargetMode="External"/><Relationship Id="rId94" Type="http://schemas.openxmlformats.org/officeDocument/2006/relationships/hyperlink" Target="https://www.webofscience.com/wos/woscc/full-record/WOS:000549890800002" TargetMode="External"/><Relationship Id="rId99" Type="http://schemas.openxmlformats.org/officeDocument/2006/relationships/hyperlink" Target="https://www.webofscience.com/wos/woscc/full-record/WOS:000463836500003" TargetMode="External"/><Relationship Id="rId101" Type="http://schemas.openxmlformats.org/officeDocument/2006/relationships/printerSettings" Target="../printerSettings/printerSettings3.bin"/><Relationship Id="rId4" Type="http://schemas.openxmlformats.org/officeDocument/2006/relationships/hyperlink" Target="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TargetMode="External"/><Relationship Id="rId9" Type="http://schemas.openxmlformats.org/officeDocument/2006/relationships/hyperlink" Target="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TargetMode="External"/><Relationship Id="rId13" Type="http://schemas.openxmlformats.org/officeDocument/2006/relationships/hyperlink" Target="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TargetMode="External"/><Relationship Id="rId18" Type="http://schemas.openxmlformats.org/officeDocument/2006/relationships/hyperlink" Target="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TargetMode="External"/><Relationship Id="rId39" Type="http://schemas.openxmlformats.org/officeDocument/2006/relationships/hyperlink" Target="https://www.webofscience.com/wos/alldb/full-record/WOS:000430038000001" TargetMode="External"/><Relationship Id="rId34" Type="http://schemas.openxmlformats.org/officeDocument/2006/relationships/hyperlink" Target="https://www.webofscience.com/wos/alldb/full-record/WOS:000600750200004" TargetMode="External"/><Relationship Id="rId50" Type="http://schemas.openxmlformats.org/officeDocument/2006/relationships/hyperlink" Target="https://www.webofscience.com/wos/woscc/full-record/WOS:000663077200017" TargetMode="External"/><Relationship Id="rId55" Type="http://schemas.openxmlformats.org/officeDocument/2006/relationships/hyperlink" Target="https://www.webofscience.com/wos/woscc/full-record/WOS:000556161100005" TargetMode="External"/><Relationship Id="rId76" Type="http://schemas.openxmlformats.org/officeDocument/2006/relationships/hyperlink" Target="https://www.webofscience.com/wos/alldb/full-record/WOS:000379385900002" TargetMode="External"/><Relationship Id="rId97" Type="http://schemas.openxmlformats.org/officeDocument/2006/relationships/hyperlink" Target="https://www.webofscience.com/wos/woscc/full-record/WOS:000474904300014" TargetMode="External"/><Relationship Id="rId7" Type="http://schemas.openxmlformats.org/officeDocument/2006/relationships/hyperlink" Target="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TargetMode="External"/><Relationship Id="rId71" Type="http://schemas.openxmlformats.org/officeDocument/2006/relationships/hyperlink" Target="https://www.webofscience.com/wos/alldb/full-record/WOS:000697706500002" TargetMode="External"/><Relationship Id="rId92" Type="http://schemas.openxmlformats.org/officeDocument/2006/relationships/hyperlink" Target="https://www.webofscience.com/wos/woscc/full-record/WOS:000626173500016" TargetMode="External"/><Relationship Id="rId2" Type="http://schemas.openxmlformats.org/officeDocument/2006/relationships/hyperlink" Target="https://www.mdpi.com/2073-431X/9/4/102" TargetMode="External"/><Relationship Id="rId29" Type="http://schemas.openxmlformats.org/officeDocument/2006/relationships/hyperlink" Target="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TargetMode="External"/><Relationship Id="rId24" Type="http://schemas.openxmlformats.org/officeDocument/2006/relationships/hyperlink" Target="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TargetMode="External"/><Relationship Id="rId40" Type="http://schemas.openxmlformats.org/officeDocument/2006/relationships/hyperlink" Target="https://www.webofscience.com/wos/alldb/full-record/WOS:000389389300008" TargetMode="External"/><Relationship Id="rId45" Type="http://schemas.openxmlformats.org/officeDocument/2006/relationships/hyperlink" Target="https://www.webofscience.com/wos/alldb/full-record/WOS:000436050800006" TargetMode="External"/><Relationship Id="rId66" Type="http://schemas.openxmlformats.org/officeDocument/2006/relationships/hyperlink" Target="https://www.webofscience.com/wos/woscc/full-record/WOS:000439614100003" TargetMode="External"/><Relationship Id="rId87" Type="http://schemas.openxmlformats.org/officeDocument/2006/relationships/hyperlink" Target="https://www.webofscience.com/wos/alldb/full-record/WOS:000445815100003" TargetMode="External"/><Relationship Id="rId61" Type="http://schemas.openxmlformats.org/officeDocument/2006/relationships/hyperlink" Target="https://www.webofscience.com/wos/woscc/full-record/WOS:000491451800001" TargetMode="External"/><Relationship Id="rId82" Type="http://schemas.openxmlformats.org/officeDocument/2006/relationships/hyperlink" Target="https://www.webofscience.com/wos/alldb/full-record/WOS:000218587300005" TargetMode="External"/><Relationship Id="rId19" Type="http://schemas.openxmlformats.org/officeDocument/2006/relationships/hyperlink" Target="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TargetMode="External"/><Relationship Id="rId14" Type="http://schemas.openxmlformats.org/officeDocument/2006/relationships/hyperlink" Target="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TargetMode="External"/><Relationship Id="rId30" Type="http://schemas.openxmlformats.org/officeDocument/2006/relationships/hyperlink" Target="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TargetMode="External"/><Relationship Id="rId35" Type="http://schemas.openxmlformats.org/officeDocument/2006/relationships/hyperlink" Target="https://www.webofscience.com/wos/alldb/full-record/WOS:000498327800018" TargetMode="External"/><Relationship Id="rId56" Type="http://schemas.openxmlformats.org/officeDocument/2006/relationships/hyperlink" Target="https://www.webofscience.com/wos/woscc/full-record/WOS:000888057500002" TargetMode="External"/><Relationship Id="rId77" Type="http://schemas.openxmlformats.org/officeDocument/2006/relationships/hyperlink" Target="https://www.webofscience.com/wos/alldb/full-record/WOS:000697706500003" TargetMode="External"/><Relationship Id="rId100" Type="http://schemas.openxmlformats.org/officeDocument/2006/relationships/hyperlink" Target="https://www.webofscience.com/wos/woscc/full-record/WOS:000549890800020" TargetMode="External"/><Relationship Id="rId8"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1" Type="http://schemas.openxmlformats.org/officeDocument/2006/relationships/hyperlink" Target="https://www.webofscience.com/wos/woscc/full-record/WOS:000458213700004" TargetMode="External"/><Relationship Id="rId72" Type="http://schemas.openxmlformats.org/officeDocument/2006/relationships/hyperlink" Target="https://www.webofscience.com/wos/alldb/full-record/WOS:000725711000005" TargetMode="External"/><Relationship Id="rId93" Type="http://schemas.openxmlformats.org/officeDocument/2006/relationships/hyperlink" Target="https://www.webofscience.com/wos/woscc/full-record/WOS:000523267400002" TargetMode="External"/><Relationship Id="rId98" Type="http://schemas.openxmlformats.org/officeDocument/2006/relationships/hyperlink" Target="https://www.webofscience.com/wos/woscc/full-record/WOS:000463836500002" TargetMode="External"/><Relationship Id="rId3" Type="http://schemas.openxmlformats.org/officeDocument/2006/relationships/hyperlink" Target="https://www.mdpi.com/2073-431X/10/5/6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ww.webofscience.com/wos/alldb/full-record/WOS:000600750200004" TargetMode="External"/><Relationship Id="rId18" Type="http://schemas.openxmlformats.org/officeDocument/2006/relationships/hyperlink" Target="https://www.webofscience.com/wos/alldb/full-record/WOS:000430038000001" TargetMode="External"/><Relationship Id="rId26" Type="http://schemas.openxmlformats.org/officeDocument/2006/relationships/hyperlink" Target="https://www.webofscience.com/wos/alldb/full-record/WOS:000441494100032" TargetMode="External"/><Relationship Id="rId39" Type="http://schemas.openxmlformats.org/officeDocument/2006/relationships/hyperlink" Target="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TargetMode="External"/><Relationship Id="rId21" Type="http://schemas.openxmlformats.org/officeDocument/2006/relationships/hyperlink" Target="https://www.webofscience.com/wos/alldb/full-record/WOS:000343844000014" TargetMode="External"/><Relationship Id="rId34" Type="http://schemas.openxmlformats.org/officeDocument/2006/relationships/hyperlink" Target="https://www.webofscience.com/wos/woscc/full-record/WOS:000556161100005" TargetMode="External"/><Relationship Id="rId7" Type="http://schemas.openxmlformats.org/officeDocument/2006/relationships/hyperlink" Target="https://www.webofscience.com/wos/woscc/full-record/WOS:000474904300001" TargetMode="External"/><Relationship Id="rId12" Type="http://schemas.openxmlformats.org/officeDocument/2006/relationships/hyperlink" Target="https://www.webofscience.com/wos/alldb/full-record/WOS:000487568200007" TargetMode="External"/><Relationship Id="rId17" Type="http://schemas.openxmlformats.org/officeDocument/2006/relationships/hyperlink" Target="https://www.webofscience.com/wos/alldb/full-record/WOS:000515130200004" TargetMode="External"/><Relationship Id="rId25" Type="http://schemas.openxmlformats.org/officeDocument/2006/relationships/hyperlink" Target="https://www.webofscience.com/wos/alldb/full-record/WOS:000430038000005" TargetMode="External"/><Relationship Id="rId33" Type="http://schemas.openxmlformats.org/officeDocument/2006/relationships/hyperlink" Target="https://www.webofscience.com/wos/woscc/full-record/WOS:000397389000005" TargetMode="External"/><Relationship Id="rId38" Type="http://schemas.openxmlformats.org/officeDocument/2006/relationships/hyperlink" Target="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TargetMode="External"/><Relationship Id="rId2" Type="http://schemas.openxmlformats.org/officeDocument/2006/relationships/hyperlink" Target="https://www.webofscience.com/wos/woscc/full-record/WOS:000490326100008" TargetMode="External"/><Relationship Id="rId16" Type="http://schemas.openxmlformats.org/officeDocument/2006/relationships/hyperlink" Target="https://www.webofscience.com/wos/alldb/full-record/WOS:000335618000008" TargetMode="External"/><Relationship Id="rId20" Type="http://schemas.openxmlformats.org/officeDocument/2006/relationships/hyperlink" Target="https://www.webofscience.com/wos/alldb/full-record/WOS:000862751700004" TargetMode="External"/><Relationship Id="rId29" Type="http://schemas.openxmlformats.org/officeDocument/2006/relationships/hyperlink" Target="https://www.webofscience.com/wos/woscc/full-record/WOS:000663077200017" TargetMode="External"/><Relationship Id="rId1" Type="http://schemas.openxmlformats.org/officeDocument/2006/relationships/hyperlink" Target="https://www.webofscience.com/wos/woscc/full-record/WOS:000549890800009" TargetMode="External"/><Relationship Id="rId6" Type="http://schemas.openxmlformats.org/officeDocument/2006/relationships/hyperlink" Target="https://www.webofscience.com/wos/woscc/full-record/WOS:000629136000004" TargetMode="External"/><Relationship Id="rId11" Type="http://schemas.openxmlformats.org/officeDocument/2006/relationships/hyperlink" Target="https://www.webofscience.com/wos/woscc/full-record/WOS:000549890800020" TargetMode="External"/><Relationship Id="rId24" Type="http://schemas.openxmlformats.org/officeDocument/2006/relationships/hyperlink" Target="https://www.webofscience.com/wos/alldb/full-record/WOS:000436050800006" TargetMode="External"/><Relationship Id="rId32" Type="http://schemas.openxmlformats.org/officeDocument/2006/relationships/hyperlink" Target="https://www.webofscience.com/wos/woscc/full-record/WOS:000663077200006" TargetMode="External"/><Relationship Id="rId37" Type="http://schemas.openxmlformats.org/officeDocument/2006/relationships/hyperlink" Target="https://www.webofscience.com/wos/woscc/full-record/WOS:000859744400003" TargetMode="External"/><Relationship Id="rId40" Type="http://schemas.openxmlformats.org/officeDocument/2006/relationships/hyperlink" Target="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TargetMode="External"/><Relationship Id="rId5" Type="http://schemas.openxmlformats.org/officeDocument/2006/relationships/hyperlink" Target="https://www.webofscience.com/wos/woscc/full-record/WOS:000549890800002" TargetMode="External"/><Relationship Id="rId15" Type="http://schemas.openxmlformats.org/officeDocument/2006/relationships/hyperlink" Target="https://www.webofscience.com/wos/alldb/full-record/WOS:000535686800003" TargetMode="External"/><Relationship Id="rId23" Type="http://schemas.openxmlformats.org/officeDocument/2006/relationships/hyperlink" Target="https://www.webofscience.com/wos/alldb/full-record/WOS:000901496100012" TargetMode="External"/><Relationship Id="rId28" Type="http://schemas.openxmlformats.org/officeDocument/2006/relationships/hyperlink" Target="https://www.webofscience.com/wos/woscc/full-record/WOS:000878517700005" TargetMode="External"/><Relationship Id="rId36" Type="http://schemas.openxmlformats.org/officeDocument/2006/relationships/hyperlink" Target="https://www.webofscience.com/wos/woscc/full-record/WOS:000432800100001" TargetMode="External"/><Relationship Id="rId10" Type="http://schemas.openxmlformats.org/officeDocument/2006/relationships/hyperlink" Target="https://www.webofscience.com/wos/woscc/full-record/WOS:000463836500003" TargetMode="External"/><Relationship Id="rId19" Type="http://schemas.openxmlformats.org/officeDocument/2006/relationships/hyperlink" Target="https://www.webofscience.com/wos/alldb/full-record/WOS:000389389300008" TargetMode="External"/><Relationship Id="rId31" Type="http://schemas.openxmlformats.org/officeDocument/2006/relationships/hyperlink" Target="https://www.webofscience.com/wos/woscc/full-record/WOS:000214846800008" TargetMode="External"/><Relationship Id="rId4" Type="http://schemas.openxmlformats.org/officeDocument/2006/relationships/hyperlink" Target="https://www.webofscience.com/wos/woscc/full-record/WOS:000523267400002" TargetMode="External"/><Relationship Id="rId9" Type="http://schemas.openxmlformats.org/officeDocument/2006/relationships/hyperlink" Target="https://www.webofscience.com/wos/woscc/full-record/WOS:000463836500002" TargetMode="External"/><Relationship Id="rId14" Type="http://schemas.openxmlformats.org/officeDocument/2006/relationships/hyperlink" Target="https://www.webofscience.com/wos/alldb/full-record/WOS:000498327800018" TargetMode="External"/><Relationship Id="rId22" Type="http://schemas.openxmlformats.org/officeDocument/2006/relationships/hyperlink" Target="https://www.webofscience.com/wos/alldb/full-record/WOS:000366225800017" TargetMode="External"/><Relationship Id="rId27" Type="http://schemas.openxmlformats.org/officeDocument/2006/relationships/hyperlink" Target="https://www.webofscience.com/wos/woscc/full-record/WOS:000386869900001" TargetMode="External"/><Relationship Id="rId30" Type="http://schemas.openxmlformats.org/officeDocument/2006/relationships/hyperlink" Target="https://www.webofscience.com/wos/woscc/full-record/WOS:000458213700004" TargetMode="External"/><Relationship Id="rId35" Type="http://schemas.openxmlformats.org/officeDocument/2006/relationships/hyperlink" Target="https://www.webofscience.com/wos/woscc/full-record/WOS:000888057500002" TargetMode="External"/><Relationship Id="rId8" Type="http://schemas.openxmlformats.org/officeDocument/2006/relationships/hyperlink" Target="https://www.webofscience.com/wos/woscc/full-record/WOS:000474904300014" TargetMode="External"/><Relationship Id="rId3" Type="http://schemas.openxmlformats.org/officeDocument/2006/relationships/hyperlink" Target="https://www.webofscience.com/wos/woscc/full-record/WOS:000626173500016"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28DF4-CAFB-4DD3-9BDA-0C4E0C4F92C4}">
  <dimension ref="A2:L14"/>
  <sheetViews>
    <sheetView workbookViewId="0"/>
  </sheetViews>
  <sheetFormatPr baseColWidth="10" defaultRowHeight="15" x14ac:dyDescent="0.25"/>
  <cols>
    <col min="2" max="2" width="11.85546875" bestFit="1" customWidth="1"/>
  </cols>
  <sheetData>
    <row r="2" spans="1:12" ht="23.25" x14ac:dyDescent="0.35">
      <c r="A2" s="109" t="s">
        <v>1254</v>
      </c>
    </row>
    <row r="4" spans="1:12" x14ac:dyDescent="0.25">
      <c r="A4" s="111" t="s">
        <v>1245</v>
      </c>
      <c r="B4" s="111"/>
      <c r="C4" s="111"/>
      <c r="D4" s="111"/>
      <c r="E4" s="111"/>
      <c r="F4" s="111"/>
      <c r="G4" s="111"/>
      <c r="H4" s="111"/>
      <c r="I4" s="111"/>
      <c r="J4" s="111"/>
      <c r="K4" s="111"/>
      <c r="L4" s="111"/>
    </row>
    <row r="5" spans="1:12" ht="34.5" customHeight="1" x14ac:dyDescent="0.25">
      <c r="A5" s="111"/>
      <c r="B5" s="111"/>
      <c r="C5" s="111"/>
      <c r="D5" s="111"/>
      <c r="E5" s="111"/>
      <c r="F5" s="111"/>
      <c r="G5" s="111"/>
      <c r="H5" s="111"/>
      <c r="I5" s="111"/>
      <c r="J5" s="111"/>
      <c r="K5" s="111"/>
      <c r="L5" s="111"/>
    </row>
    <row r="7" spans="1:12" x14ac:dyDescent="0.25">
      <c r="A7" t="s">
        <v>1246</v>
      </c>
    </row>
    <row r="8" spans="1:12" x14ac:dyDescent="0.25">
      <c r="B8" s="108" t="s">
        <v>1247</v>
      </c>
      <c r="D8" t="s">
        <v>1248</v>
      </c>
    </row>
    <row r="9" spans="1:12" x14ac:dyDescent="0.25">
      <c r="B9" s="108" t="s">
        <v>1249</v>
      </c>
      <c r="D9" t="s">
        <v>1250</v>
      </c>
    </row>
    <row r="10" spans="1:12" x14ac:dyDescent="0.25">
      <c r="B10" s="108" t="s">
        <v>1251</v>
      </c>
      <c r="D10" t="s">
        <v>1252</v>
      </c>
    </row>
    <row r="11" spans="1:12" x14ac:dyDescent="0.25">
      <c r="B11" s="108" t="s">
        <v>1253</v>
      </c>
      <c r="D11" t="s">
        <v>1256</v>
      </c>
    </row>
    <row r="12" spans="1:12" x14ac:dyDescent="0.25">
      <c r="B12" s="108" t="s">
        <v>1257</v>
      </c>
      <c r="D12" t="s">
        <v>1258</v>
      </c>
    </row>
    <row r="13" spans="1:12" x14ac:dyDescent="0.25">
      <c r="B13" s="108" t="s">
        <v>1259</v>
      </c>
      <c r="D13" t="s">
        <v>1261</v>
      </c>
    </row>
    <row r="14" spans="1:12" x14ac:dyDescent="0.25">
      <c r="B14" s="108" t="s">
        <v>1260</v>
      </c>
      <c r="D14" t="s">
        <v>1262</v>
      </c>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0"/>
  <sheetViews>
    <sheetView workbookViewId="0">
      <selection sqref="A1:A2"/>
    </sheetView>
  </sheetViews>
  <sheetFormatPr baseColWidth="10" defaultColWidth="9.140625" defaultRowHeight="15" x14ac:dyDescent="0.25"/>
  <cols>
    <col min="2" max="2" width="58" customWidth="1"/>
    <col min="3" max="3" width="15.5703125" customWidth="1"/>
    <col min="4" max="4" width="20.140625" customWidth="1"/>
    <col min="5" max="5" width="34.140625" customWidth="1"/>
    <col min="6" max="7" width="50.85546875" customWidth="1"/>
    <col min="8" max="9" width="5.28515625" customWidth="1"/>
    <col min="10" max="10" width="6.85546875" customWidth="1"/>
    <col min="11" max="17" width="5.28515625" customWidth="1"/>
    <col min="18" max="18" width="6.42578125" customWidth="1"/>
    <col min="19" max="19" width="5.140625" customWidth="1"/>
    <col min="20" max="20" width="24.7109375" customWidth="1"/>
    <col min="21" max="21" width="57.28515625" customWidth="1"/>
  </cols>
  <sheetData>
    <row r="1" spans="1:21" x14ac:dyDescent="0.25">
      <c r="A1" s="112" t="s">
        <v>216</v>
      </c>
      <c r="B1" s="112" t="s">
        <v>0</v>
      </c>
      <c r="C1" s="112" t="s">
        <v>217</v>
      </c>
      <c r="D1" s="112" t="s">
        <v>205</v>
      </c>
      <c r="E1" s="112" t="s">
        <v>202</v>
      </c>
      <c r="F1" s="112" t="s">
        <v>203</v>
      </c>
      <c r="G1" s="115" t="s">
        <v>335</v>
      </c>
      <c r="H1" s="112" t="s">
        <v>220</v>
      </c>
      <c r="I1" s="112"/>
      <c r="J1" s="112"/>
      <c r="K1" s="112"/>
      <c r="L1" s="112"/>
      <c r="M1" s="112"/>
      <c r="N1" s="112"/>
      <c r="O1" s="112"/>
      <c r="P1" s="112"/>
      <c r="Q1" s="112"/>
      <c r="R1" s="112"/>
      <c r="S1" s="112"/>
      <c r="T1" s="113" t="s">
        <v>221</v>
      </c>
      <c r="U1" s="115" t="s">
        <v>230</v>
      </c>
    </row>
    <row r="2" spans="1:21" ht="72.75" customHeight="1" x14ac:dyDescent="0.25">
      <c r="A2" s="112"/>
      <c r="B2" s="112"/>
      <c r="C2" s="112"/>
      <c r="D2" s="112"/>
      <c r="E2" s="112"/>
      <c r="F2" s="112"/>
      <c r="G2" s="116"/>
      <c r="H2" s="2" t="s">
        <v>219</v>
      </c>
      <c r="I2" s="2" t="s">
        <v>283</v>
      </c>
      <c r="J2" s="3" t="s">
        <v>225</v>
      </c>
      <c r="K2" s="2" t="s">
        <v>223</v>
      </c>
      <c r="L2" s="2" t="s">
        <v>224</v>
      </c>
      <c r="M2" s="2" t="s">
        <v>232</v>
      </c>
      <c r="N2" s="2" t="s">
        <v>233</v>
      </c>
      <c r="O2" s="2" t="s">
        <v>234</v>
      </c>
      <c r="P2" s="2" t="s">
        <v>258</v>
      </c>
      <c r="Q2" s="2" t="s">
        <v>257</v>
      </c>
      <c r="R2" s="3" t="s">
        <v>244</v>
      </c>
      <c r="S2" s="2" t="s">
        <v>235</v>
      </c>
      <c r="T2" s="114"/>
      <c r="U2" s="116"/>
    </row>
    <row r="3" spans="1:21" ht="63.75" customHeight="1" x14ac:dyDescent="0.25">
      <c r="A3" s="72">
        <v>1</v>
      </c>
      <c r="B3" s="73" t="s">
        <v>1</v>
      </c>
      <c r="C3" s="74">
        <v>2020</v>
      </c>
      <c r="D3" s="13" t="s">
        <v>204</v>
      </c>
      <c r="E3" s="37" t="s">
        <v>228</v>
      </c>
      <c r="F3" s="37" t="s">
        <v>229</v>
      </c>
      <c r="G3" s="37"/>
      <c r="H3" s="22"/>
      <c r="I3" s="22"/>
      <c r="J3" s="22" t="s">
        <v>226</v>
      </c>
      <c r="K3" s="22" t="s">
        <v>226</v>
      </c>
      <c r="L3" s="22" t="s">
        <v>226</v>
      </c>
      <c r="M3" s="22"/>
      <c r="N3" s="22"/>
      <c r="O3" s="22"/>
      <c r="P3" s="22"/>
      <c r="Q3" s="22"/>
      <c r="R3" s="22"/>
      <c r="S3" s="22"/>
      <c r="T3" s="37" t="s">
        <v>222</v>
      </c>
      <c r="U3" s="13"/>
    </row>
    <row r="4" spans="1:21" ht="45" x14ac:dyDescent="0.25">
      <c r="A4" s="72">
        <v>1.1000000000000001</v>
      </c>
      <c r="B4" s="73"/>
      <c r="C4" s="74">
        <v>2020</v>
      </c>
      <c r="D4" s="13" t="s">
        <v>227</v>
      </c>
      <c r="E4" s="37" t="s">
        <v>237</v>
      </c>
      <c r="F4" s="37"/>
      <c r="G4" s="37"/>
      <c r="H4" s="22"/>
      <c r="I4" s="22"/>
      <c r="J4" s="22"/>
      <c r="K4" s="22" t="s">
        <v>226</v>
      </c>
      <c r="L4" s="22" t="s">
        <v>226</v>
      </c>
      <c r="M4" s="22"/>
      <c r="N4" s="22"/>
      <c r="O4" s="22"/>
      <c r="P4" s="22"/>
      <c r="Q4" s="22"/>
      <c r="R4" s="22"/>
      <c r="S4" s="22"/>
      <c r="T4" s="37"/>
      <c r="U4" s="13"/>
    </row>
    <row r="5" spans="1:21" x14ac:dyDescent="0.25">
      <c r="A5" s="72">
        <v>2</v>
      </c>
      <c r="B5" s="73" t="s">
        <v>2</v>
      </c>
      <c r="C5" s="74">
        <v>2021</v>
      </c>
      <c r="D5" s="13" t="s">
        <v>206</v>
      </c>
      <c r="E5" s="37"/>
      <c r="F5" s="37"/>
      <c r="G5" s="37"/>
      <c r="H5" s="22"/>
      <c r="I5" s="22"/>
      <c r="J5" s="22"/>
      <c r="K5" s="22"/>
      <c r="L5" s="22"/>
      <c r="M5" s="22"/>
      <c r="N5" s="22"/>
      <c r="O5" s="22"/>
      <c r="P5" s="22"/>
      <c r="Q5" s="22"/>
      <c r="R5" s="22"/>
      <c r="S5" s="22"/>
      <c r="T5" s="37"/>
      <c r="U5" s="13" t="s">
        <v>231</v>
      </c>
    </row>
    <row r="6" spans="1:21" x14ac:dyDescent="0.25">
      <c r="A6" s="72">
        <v>3</v>
      </c>
      <c r="B6" s="73" t="s">
        <v>3</v>
      </c>
      <c r="C6" s="74">
        <v>2019</v>
      </c>
      <c r="D6" s="13" t="s">
        <v>206</v>
      </c>
      <c r="E6" s="37"/>
      <c r="F6" s="37"/>
      <c r="G6" s="37"/>
      <c r="H6" s="22"/>
      <c r="I6" s="22"/>
      <c r="J6" s="22"/>
      <c r="K6" s="22"/>
      <c r="L6" s="22"/>
      <c r="M6" s="22"/>
      <c r="N6" s="22"/>
      <c r="O6" s="22"/>
      <c r="P6" s="22"/>
      <c r="Q6" s="22"/>
      <c r="R6" s="22"/>
      <c r="S6" s="22"/>
      <c r="T6" s="37"/>
      <c r="U6" s="13"/>
    </row>
    <row r="7" spans="1:21" x14ac:dyDescent="0.25">
      <c r="A7" s="72">
        <v>4</v>
      </c>
      <c r="B7" s="73" t="s">
        <v>4</v>
      </c>
      <c r="C7" s="74">
        <v>2020</v>
      </c>
      <c r="D7" s="13" t="s">
        <v>206</v>
      </c>
      <c r="E7" s="37"/>
      <c r="F7" s="37"/>
      <c r="G7" s="37"/>
      <c r="H7" s="22"/>
      <c r="I7" s="22"/>
      <c r="J7" s="22"/>
      <c r="K7" s="22"/>
      <c r="L7" s="22"/>
      <c r="M7" s="22"/>
      <c r="N7" s="22"/>
      <c r="O7" s="22"/>
      <c r="P7" s="22"/>
      <c r="Q7" s="22"/>
      <c r="R7" s="22"/>
      <c r="S7" s="22"/>
      <c r="T7" s="37"/>
      <c r="U7" s="13"/>
    </row>
    <row r="8" spans="1:21" ht="19.5" customHeight="1" x14ac:dyDescent="0.25">
      <c r="A8" s="72">
        <v>5</v>
      </c>
      <c r="B8" s="73" t="s">
        <v>1</v>
      </c>
      <c r="C8" s="74">
        <v>2016</v>
      </c>
      <c r="D8" s="13" t="s">
        <v>206</v>
      </c>
      <c r="E8" s="37"/>
      <c r="F8" s="37"/>
      <c r="G8" s="37"/>
      <c r="H8" s="22"/>
      <c r="I8" s="22"/>
      <c r="J8" s="22"/>
      <c r="K8" s="22"/>
      <c r="L8" s="22"/>
      <c r="M8" s="22"/>
      <c r="N8" s="22"/>
      <c r="O8" s="22"/>
      <c r="P8" s="22"/>
      <c r="Q8" s="22"/>
      <c r="R8" s="22"/>
      <c r="S8" s="22"/>
      <c r="T8" s="37"/>
      <c r="U8" s="13" t="s">
        <v>248</v>
      </c>
    </row>
    <row r="9" spans="1:21" x14ac:dyDescent="0.25">
      <c r="A9" s="72">
        <v>6</v>
      </c>
      <c r="B9" s="73" t="s">
        <v>1</v>
      </c>
      <c r="C9" s="74">
        <v>2015</v>
      </c>
      <c r="D9" s="13" t="s">
        <v>206</v>
      </c>
      <c r="E9" s="37"/>
      <c r="F9" s="37"/>
      <c r="G9" s="37"/>
      <c r="H9" s="22"/>
      <c r="I9" s="22"/>
      <c r="J9" s="22"/>
      <c r="K9" s="22"/>
      <c r="L9" s="22"/>
      <c r="M9" s="22"/>
      <c r="N9" s="22"/>
      <c r="O9" s="22"/>
      <c r="P9" s="22"/>
      <c r="Q9" s="22"/>
      <c r="R9" s="22"/>
      <c r="S9" s="22"/>
      <c r="T9" s="37"/>
      <c r="U9" s="13"/>
    </row>
    <row r="10" spans="1:21" ht="60" x14ac:dyDescent="0.25">
      <c r="A10" s="72">
        <v>7</v>
      </c>
      <c r="B10" s="73" t="s">
        <v>5</v>
      </c>
      <c r="C10" s="74">
        <v>2016</v>
      </c>
      <c r="D10" s="13" t="s">
        <v>204</v>
      </c>
      <c r="E10" s="37" t="s">
        <v>236</v>
      </c>
      <c r="F10" s="37" t="s">
        <v>239</v>
      </c>
      <c r="G10" s="37"/>
      <c r="H10" s="22"/>
      <c r="I10" s="22"/>
      <c r="J10" s="22"/>
      <c r="K10" s="22"/>
      <c r="L10" s="22"/>
      <c r="M10" s="22" t="s">
        <v>226</v>
      </c>
      <c r="N10" s="22" t="s">
        <v>226</v>
      </c>
      <c r="O10" s="22" t="s">
        <v>226</v>
      </c>
      <c r="P10" s="22"/>
      <c r="Q10" s="22"/>
      <c r="R10" s="22"/>
      <c r="S10" s="22" t="s">
        <v>226</v>
      </c>
      <c r="T10" s="37" t="s">
        <v>238</v>
      </c>
      <c r="U10" s="13"/>
    </row>
    <row r="11" spans="1:21" x14ac:dyDescent="0.25">
      <c r="A11" s="72">
        <v>8</v>
      </c>
      <c r="B11" s="73" t="s">
        <v>6</v>
      </c>
      <c r="C11" s="74">
        <v>2015</v>
      </c>
      <c r="D11" s="13" t="s">
        <v>206</v>
      </c>
      <c r="E11" s="37"/>
      <c r="F11" s="37"/>
      <c r="G11" s="37"/>
      <c r="H11" s="22"/>
      <c r="I11" s="22"/>
      <c r="J11" s="22"/>
      <c r="K11" s="22"/>
      <c r="L11" s="22"/>
      <c r="M11" s="22"/>
      <c r="N11" s="22"/>
      <c r="O11" s="22"/>
      <c r="P11" s="22"/>
      <c r="Q11" s="22"/>
      <c r="R11" s="22"/>
      <c r="S11" s="22"/>
      <c r="T11" s="37"/>
      <c r="U11" s="13"/>
    </row>
    <row r="12" spans="1:21" x14ac:dyDescent="0.25">
      <c r="A12" s="72">
        <v>9</v>
      </c>
      <c r="B12" s="73" t="s">
        <v>7</v>
      </c>
      <c r="C12" s="74">
        <v>2013</v>
      </c>
      <c r="D12" s="13" t="s">
        <v>206</v>
      </c>
      <c r="E12" s="37"/>
      <c r="F12" s="37"/>
      <c r="G12" s="37"/>
      <c r="H12" s="22"/>
      <c r="I12" s="22"/>
      <c r="J12" s="22"/>
      <c r="K12" s="22"/>
      <c r="L12" s="22"/>
      <c r="M12" s="22"/>
      <c r="N12" s="22"/>
      <c r="O12" s="22"/>
      <c r="P12" s="22"/>
      <c r="Q12" s="22"/>
      <c r="R12" s="22"/>
      <c r="S12" s="22"/>
      <c r="T12" s="37"/>
      <c r="U12" s="13"/>
    </row>
    <row r="13" spans="1:21" x14ac:dyDescent="0.25">
      <c r="A13" s="72">
        <v>10</v>
      </c>
      <c r="B13" s="73" t="s">
        <v>8</v>
      </c>
      <c r="C13" s="74">
        <v>2011</v>
      </c>
      <c r="D13" s="13" t="s">
        <v>206</v>
      </c>
      <c r="E13" s="37"/>
      <c r="F13" s="37"/>
      <c r="G13" s="37"/>
      <c r="H13" s="22"/>
      <c r="I13" s="22"/>
      <c r="J13" s="22"/>
      <c r="K13" s="22"/>
      <c r="L13" s="22"/>
      <c r="M13" s="22"/>
      <c r="N13" s="22"/>
      <c r="O13" s="22"/>
      <c r="P13" s="22"/>
      <c r="Q13" s="22"/>
      <c r="R13" s="22"/>
      <c r="S13" s="22"/>
      <c r="T13" s="37"/>
      <c r="U13" s="13"/>
    </row>
    <row r="14" spans="1:21" ht="30" x14ac:dyDescent="0.25">
      <c r="A14" s="72">
        <v>11</v>
      </c>
      <c r="B14" s="73" t="s">
        <v>9</v>
      </c>
      <c r="C14" s="74">
        <v>2018</v>
      </c>
      <c r="D14" s="13" t="s">
        <v>204</v>
      </c>
      <c r="E14" s="37" t="s">
        <v>241</v>
      </c>
      <c r="F14" s="37" t="s">
        <v>242</v>
      </c>
      <c r="G14" s="37"/>
      <c r="H14" s="22"/>
      <c r="I14" s="22"/>
      <c r="J14" s="22"/>
      <c r="K14" s="22"/>
      <c r="L14" s="22"/>
      <c r="M14" s="22" t="s">
        <v>226</v>
      </c>
      <c r="N14" s="22" t="s">
        <v>226</v>
      </c>
      <c r="O14" s="22" t="s">
        <v>226</v>
      </c>
      <c r="P14" s="22"/>
      <c r="Q14" s="22"/>
      <c r="R14" s="22"/>
      <c r="S14" s="22"/>
      <c r="T14" s="37" t="s">
        <v>240</v>
      </c>
      <c r="U14" s="13" t="s">
        <v>266</v>
      </c>
    </row>
    <row r="15" spans="1:21" ht="30" x14ac:dyDescent="0.25">
      <c r="A15" s="72">
        <v>12</v>
      </c>
      <c r="B15" s="73" t="s">
        <v>10</v>
      </c>
      <c r="C15" s="74">
        <v>2020</v>
      </c>
      <c r="D15" s="13" t="s">
        <v>204</v>
      </c>
      <c r="E15" s="37" t="s">
        <v>243</v>
      </c>
      <c r="F15" s="37" t="s">
        <v>245</v>
      </c>
      <c r="G15" s="37"/>
      <c r="H15" s="22" t="s">
        <v>226</v>
      </c>
      <c r="I15" s="22"/>
      <c r="J15" s="22"/>
      <c r="K15" s="22" t="s">
        <v>226</v>
      </c>
      <c r="L15" s="22"/>
      <c r="M15" s="22"/>
      <c r="N15" s="22"/>
      <c r="O15" s="22" t="s">
        <v>226</v>
      </c>
      <c r="P15" s="22"/>
      <c r="Q15" s="22"/>
      <c r="R15" s="22" t="s">
        <v>226</v>
      </c>
      <c r="S15" s="22"/>
      <c r="T15" s="37" t="s">
        <v>240</v>
      </c>
      <c r="U15" s="13"/>
    </row>
    <row r="16" spans="1:21" x14ac:dyDescent="0.25">
      <c r="A16" s="72">
        <v>13</v>
      </c>
      <c r="B16" s="73" t="s">
        <v>11</v>
      </c>
      <c r="C16" s="74">
        <v>2021</v>
      </c>
      <c r="D16" s="13" t="s">
        <v>206</v>
      </c>
      <c r="E16" s="37"/>
      <c r="F16" s="37"/>
      <c r="G16" s="37"/>
      <c r="H16" s="22"/>
      <c r="I16" s="22"/>
      <c r="J16" s="22"/>
      <c r="K16" s="22"/>
      <c r="L16" s="22"/>
      <c r="M16" s="22"/>
      <c r="N16" s="22"/>
      <c r="O16" s="22"/>
      <c r="P16" s="22"/>
      <c r="Q16" s="22"/>
      <c r="R16" s="22"/>
      <c r="S16" s="22"/>
      <c r="T16" s="37"/>
      <c r="U16" s="13" t="s">
        <v>261</v>
      </c>
    </row>
    <row r="17" spans="1:21" x14ac:dyDescent="0.25">
      <c r="A17" s="72">
        <v>14</v>
      </c>
      <c r="B17" s="73" t="s">
        <v>12</v>
      </c>
      <c r="C17" s="74">
        <v>2021</v>
      </c>
      <c r="D17" s="13" t="s">
        <v>206</v>
      </c>
      <c r="E17" s="37"/>
      <c r="F17" s="37"/>
      <c r="G17" s="37"/>
      <c r="H17" s="22"/>
      <c r="I17" s="22"/>
      <c r="J17" s="22"/>
      <c r="K17" s="22"/>
      <c r="L17" s="22"/>
      <c r="M17" s="22"/>
      <c r="N17" s="22"/>
      <c r="O17" s="22"/>
      <c r="P17" s="22"/>
      <c r="Q17" s="22"/>
      <c r="R17" s="22"/>
      <c r="S17" s="22"/>
      <c r="T17" s="37"/>
      <c r="U17" s="13"/>
    </row>
    <row r="18" spans="1:21" x14ac:dyDescent="0.25">
      <c r="A18" s="72">
        <v>15</v>
      </c>
      <c r="B18" s="73" t="s">
        <v>13</v>
      </c>
      <c r="C18" s="74">
        <v>2022</v>
      </c>
      <c r="D18" s="13" t="s">
        <v>206</v>
      </c>
      <c r="E18" s="37"/>
      <c r="F18" s="37"/>
      <c r="G18" s="37"/>
      <c r="H18" s="22"/>
      <c r="I18" s="22"/>
      <c r="J18" s="22"/>
      <c r="K18" s="22"/>
      <c r="L18" s="22"/>
      <c r="M18" s="22"/>
      <c r="N18" s="22"/>
      <c r="O18" s="22"/>
      <c r="P18" s="22"/>
      <c r="Q18" s="22"/>
      <c r="R18" s="22"/>
      <c r="S18" s="22"/>
      <c r="T18" s="37"/>
      <c r="U18" s="22" t="s">
        <v>281</v>
      </c>
    </row>
    <row r="19" spans="1:21" ht="135" x14ac:dyDescent="0.25">
      <c r="A19" s="72">
        <v>16</v>
      </c>
      <c r="B19" s="73" t="s">
        <v>209</v>
      </c>
      <c r="C19" s="74">
        <v>2020</v>
      </c>
      <c r="D19" s="13" t="s">
        <v>204</v>
      </c>
      <c r="E19" s="37" t="s">
        <v>249</v>
      </c>
      <c r="F19" s="37" t="s">
        <v>247</v>
      </c>
      <c r="G19" s="37"/>
      <c r="H19" s="22"/>
      <c r="I19" s="22"/>
      <c r="J19" s="22" t="s">
        <v>226</v>
      </c>
      <c r="K19" s="22" t="s">
        <v>226</v>
      </c>
      <c r="L19" s="22"/>
      <c r="M19" s="22"/>
      <c r="N19" s="22" t="s">
        <v>226</v>
      </c>
      <c r="O19" s="22"/>
      <c r="P19" s="22"/>
      <c r="Q19" s="22"/>
      <c r="R19" s="22"/>
      <c r="S19" s="22"/>
      <c r="T19" s="37" t="s">
        <v>246</v>
      </c>
      <c r="U19" s="13" t="s">
        <v>282</v>
      </c>
    </row>
    <row r="20" spans="1:21" ht="60" x14ac:dyDescent="0.25">
      <c r="A20" s="72">
        <v>17</v>
      </c>
      <c r="B20" s="73" t="s">
        <v>210</v>
      </c>
      <c r="C20" s="74">
        <v>2021</v>
      </c>
      <c r="D20" s="13" t="s">
        <v>204</v>
      </c>
      <c r="E20" s="37" t="s">
        <v>250</v>
      </c>
      <c r="F20" s="37" t="s">
        <v>252</v>
      </c>
      <c r="G20" s="37"/>
      <c r="H20" s="22"/>
      <c r="I20" s="22"/>
      <c r="J20" s="22" t="s">
        <v>226</v>
      </c>
      <c r="K20" s="22" t="s">
        <v>226</v>
      </c>
      <c r="L20" s="22"/>
      <c r="M20" s="22"/>
      <c r="N20" s="22" t="s">
        <v>226</v>
      </c>
      <c r="O20" s="22"/>
      <c r="P20" s="22"/>
      <c r="Q20" s="22"/>
      <c r="R20" s="22"/>
      <c r="S20" s="22"/>
      <c r="T20" s="37" t="s">
        <v>251</v>
      </c>
      <c r="U20" s="13"/>
    </row>
    <row r="21" spans="1:21" ht="30" x14ac:dyDescent="0.25">
      <c r="A21" s="72">
        <v>18</v>
      </c>
      <c r="B21" s="73" t="s">
        <v>208</v>
      </c>
      <c r="C21" s="74">
        <v>2021</v>
      </c>
      <c r="D21" s="13" t="s">
        <v>204</v>
      </c>
      <c r="E21" s="37" t="s">
        <v>253</v>
      </c>
      <c r="F21" s="37" t="s">
        <v>255</v>
      </c>
      <c r="G21" s="37"/>
      <c r="H21" s="22"/>
      <c r="I21" s="22"/>
      <c r="J21" s="22"/>
      <c r="K21" s="22" t="s">
        <v>226</v>
      </c>
      <c r="L21" s="22"/>
      <c r="M21" s="22"/>
      <c r="N21" s="22" t="s">
        <v>226</v>
      </c>
      <c r="O21" s="22"/>
      <c r="P21" s="22"/>
      <c r="Q21" s="22"/>
      <c r="R21" s="22"/>
      <c r="S21" s="22"/>
      <c r="T21" s="37" t="s">
        <v>254</v>
      </c>
      <c r="U21" s="13"/>
    </row>
    <row r="22" spans="1:21" x14ac:dyDescent="0.25">
      <c r="A22" s="72">
        <v>19</v>
      </c>
      <c r="B22" s="73" t="s">
        <v>14</v>
      </c>
      <c r="C22" s="74">
        <v>2021</v>
      </c>
      <c r="D22" s="13" t="s">
        <v>211</v>
      </c>
      <c r="E22" s="37"/>
      <c r="F22" s="37"/>
      <c r="G22" s="37"/>
      <c r="H22" s="22"/>
      <c r="I22" s="22"/>
      <c r="J22" s="22"/>
      <c r="K22" s="22"/>
      <c r="L22" s="22"/>
      <c r="M22" s="22"/>
      <c r="N22" s="22"/>
      <c r="O22" s="22"/>
      <c r="P22" s="22"/>
      <c r="Q22" s="22"/>
      <c r="R22" s="22"/>
      <c r="S22" s="22"/>
      <c r="T22" s="37"/>
      <c r="U22" s="13"/>
    </row>
    <row r="23" spans="1:21" x14ac:dyDescent="0.25">
      <c r="A23" s="72">
        <v>20</v>
      </c>
      <c r="B23" s="73" t="s">
        <v>15</v>
      </c>
      <c r="C23" s="74">
        <v>2021</v>
      </c>
      <c r="D23" s="13" t="s">
        <v>206</v>
      </c>
      <c r="E23" s="37"/>
      <c r="F23" s="37"/>
      <c r="G23" s="37"/>
      <c r="H23" s="22"/>
      <c r="I23" s="22"/>
      <c r="J23" s="22"/>
      <c r="K23" s="22"/>
      <c r="L23" s="22"/>
      <c r="M23" s="22"/>
      <c r="N23" s="22"/>
      <c r="O23" s="22"/>
      <c r="P23" s="22"/>
      <c r="Q23" s="22"/>
      <c r="R23" s="22"/>
      <c r="S23" s="22"/>
      <c r="T23" s="37"/>
      <c r="U23" s="13"/>
    </row>
    <row r="24" spans="1:21" x14ac:dyDescent="0.25">
      <c r="A24" s="72">
        <v>21</v>
      </c>
      <c r="B24" s="73" t="s">
        <v>16</v>
      </c>
      <c r="C24" s="74">
        <v>2022</v>
      </c>
      <c r="D24" s="13" t="s">
        <v>206</v>
      </c>
      <c r="E24" s="37"/>
      <c r="F24" s="37"/>
      <c r="G24" s="37"/>
      <c r="H24" s="22"/>
      <c r="I24" s="22"/>
      <c r="J24" s="22"/>
      <c r="K24" s="22"/>
      <c r="L24" s="22"/>
      <c r="M24" s="22"/>
      <c r="N24" s="22"/>
      <c r="O24" s="22"/>
      <c r="P24" s="22"/>
      <c r="Q24" s="22"/>
      <c r="R24" s="22"/>
      <c r="S24" s="22"/>
      <c r="T24" s="37"/>
      <c r="U24" s="13"/>
    </row>
    <row r="25" spans="1:21" x14ac:dyDescent="0.25">
      <c r="A25" s="72">
        <v>22</v>
      </c>
      <c r="B25" s="73" t="s">
        <v>17</v>
      </c>
      <c r="C25" s="74">
        <v>2021</v>
      </c>
      <c r="D25" s="13" t="s">
        <v>206</v>
      </c>
      <c r="E25" s="37"/>
      <c r="F25" s="37"/>
      <c r="G25" s="37"/>
      <c r="H25" s="22"/>
      <c r="I25" s="22"/>
      <c r="J25" s="22"/>
      <c r="K25" s="22"/>
      <c r="L25" s="22"/>
      <c r="M25" s="22"/>
      <c r="N25" s="22"/>
      <c r="O25" s="22"/>
      <c r="P25" s="22"/>
      <c r="Q25" s="22"/>
      <c r="R25" s="22"/>
      <c r="S25" s="22"/>
      <c r="T25" s="37"/>
      <c r="U25" s="13"/>
    </row>
    <row r="26" spans="1:21" x14ac:dyDescent="0.25">
      <c r="A26" s="72">
        <v>23</v>
      </c>
      <c r="B26" s="73" t="s">
        <v>18</v>
      </c>
      <c r="C26" s="74">
        <v>2021</v>
      </c>
      <c r="D26" s="13" t="s">
        <v>211</v>
      </c>
      <c r="E26" s="37"/>
      <c r="F26" s="37"/>
      <c r="G26" s="37"/>
      <c r="H26" s="22"/>
      <c r="I26" s="22"/>
      <c r="J26" s="22"/>
      <c r="K26" s="22"/>
      <c r="L26" s="22"/>
      <c r="M26" s="22"/>
      <c r="N26" s="22"/>
      <c r="O26" s="22"/>
      <c r="P26" s="22"/>
      <c r="Q26" s="22"/>
      <c r="R26" s="22"/>
      <c r="S26" s="22"/>
      <c r="T26" s="37"/>
      <c r="U26" s="13"/>
    </row>
    <row r="27" spans="1:21" x14ac:dyDescent="0.25">
      <c r="A27" s="72">
        <v>24</v>
      </c>
      <c r="B27" s="73" t="s">
        <v>19</v>
      </c>
      <c r="C27" s="74">
        <v>2016</v>
      </c>
      <c r="D27" s="13" t="s">
        <v>206</v>
      </c>
      <c r="E27" s="37"/>
      <c r="F27" s="37"/>
      <c r="G27" s="37"/>
      <c r="H27" s="22"/>
      <c r="I27" s="22"/>
      <c r="J27" s="22"/>
      <c r="K27" s="22"/>
      <c r="L27" s="22"/>
      <c r="M27" s="22"/>
      <c r="N27" s="22"/>
      <c r="O27" s="22"/>
      <c r="P27" s="22"/>
      <c r="Q27" s="22"/>
      <c r="R27" s="22"/>
      <c r="S27" s="22"/>
      <c r="T27" s="37"/>
      <c r="U27" s="13"/>
    </row>
    <row r="28" spans="1:21" x14ac:dyDescent="0.25">
      <c r="A28" s="72">
        <v>25</v>
      </c>
      <c r="B28" s="73" t="s">
        <v>20</v>
      </c>
      <c r="C28" s="74">
        <v>2015</v>
      </c>
      <c r="D28" s="13" t="s">
        <v>206</v>
      </c>
      <c r="E28" s="37"/>
      <c r="F28" s="37"/>
      <c r="G28" s="37"/>
      <c r="H28" s="22"/>
      <c r="I28" s="22"/>
      <c r="J28" s="22"/>
      <c r="K28" s="22"/>
      <c r="L28" s="22"/>
      <c r="M28" s="22"/>
      <c r="N28" s="22"/>
      <c r="O28" s="22"/>
      <c r="P28" s="22"/>
      <c r="Q28" s="22"/>
      <c r="R28" s="22"/>
      <c r="S28" s="22"/>
      <c r="T28" s="37"/>
      <c r="U28" s="13"/>
    </row>
    <row r="29" spans="1:21" ht="60" x14ac:dyDescent="0.25">
      <c r="A29" s="72">
        <v>26</v>
      </c>
      <c r="B29" s="73" t="s">
        <v>21</v>
      </c>
      <c r="C29" s="74">
        <v>2021</v>
      </c>
      <c r="D29" s="13" t="s">
        <v>204</v>
      </c>
      <c r="E29" s="37" t="s">
        <v>256</v>
      </c>
      <c r="F29" s="37" t="s">
        <v>260</v>
      </c>
      <c r="G29" s="37"/>
      <c r="H29" s="22" t="s">
        <v>226</v>
      </c>
      <c r="I29" s="22"/>
      <c r="J29" s="22" t="s">
        <v>226</v>
      </c>
      <c r="K29" s="22" t="s">
        <v>226</v>
      </c>
      <c r="L29" s="22" t="s">
        <v>226</v>
      </c>
      <c r="M29" s="22"/>
      <c r="N29" s="22" t="s">
        <v>226</v>
      </c>
      <c r="O29" s="22" t="s">
        <v>226</v>
      </c>
      <c r="P29" s="22" t="s">
        <v>226</v>
      </c>
      <c r="Q29" s="22" t="s">
        <v>226</v>
      </c>
      <c r="R29" s="22"/>
      <c r="S29" s="22" t="s">
        <v>226</v>
      </c>
      <c r="T29" s="37" t="s">
        <v>259</v>
      </c>
      <c r="U29" s="13"/>
    </row>
    <row r="30" spans="1:21" x14ac:dyDescent="0.25">
      <c r="A30" s="72">
        <v>27</v>
      </c>
      <c r="B30" s="73" t="s">
        <v>22</v>
      </c>
      <c r="C30" s="74">
        <v>2014</v>
      </c>
      <c r="D30" s="13" t="s">
        <v>212</v>
      </c>
      <c r="E30" s="37"/>
      <c r="F30" s="37"/>
      <c r="G30" s="37"/>
      <c r="H30" s="22"/>
      <c r="I30" s="22"/>
      <c r="J30" s="22"/>
      <c r="K30" s="22"/>
      <c r="L30" s="22"/>
      <c r="M30" s="22"/>
      <c r="N30" s="22"/>
      <c r="O30" s="22"/>
      <c r="P30" s="22"/>
      <c r="Q30" s="22"/>
      <c r="R30" s="22"/>
      <c r="S30" s="22"/>
      <c r="T30" s="37"/>
      <c r="U30" s="13"/>
    </row>
    <row r="31" spans="1:21" x14ac:dyDescent="0.25">
      <c r="A31" s="72">
        <v>28</v>
      </c>
      <c r="B31" s="73" t="s">
        <v>23</v>
      </c>
      <c r="C31" s="74">
        <v>2014</v>
      </c>
      <c r="D31" s="13" t="s">
        <v>206</v>
      </c>
      <c r="E31" s="37"/>
      <c r="F31" s="37"/>
      <c r="G31" s="37"/>
      <c r="H31" s="22"/>
      <c r="I31" s="22"/>
      <c r="J31" s="22"/>
      <c r="K31" s="22"/>
      <c r="L31" s="22"/>
      <c r="M31" s="22"/>
      <c r="N31" s="22"/>
      <c r="O31" s="22"/>
      <c r="P31" s="22"/>
      <c r="Q31" s="22"/>
      <c r="R31" s="22"/>
      <c r="S31" s="22"/>
      <c r="T31" s="37"/>
      <c r="U31" s="13"/>
    </row>
    <row r="32" spans="1:21" x14ac:dyDescent="0.25">
      <c r="A32" s="72">
        <v>29</v>
      </c>
      <c r="B32" s="73" t="s">
        <v>24</v>
      </c>
      <c r="C32" s="74">
        <v>2022</v>
      </c>
      <c r="D32" s="13" t="s">
        <v>213</v>
      </c>
      <c r="E32" s="37"/>
      <c r="F32" s="37"/>
      <c r="G32" s="37"/>
      <c r="H32" s="22"/>
      <c r="I32" s="22"/>
      <c r="J32" s="22"/>
      <c r="K32" s="22"/>
      <c r="L32" s="22"/>
      <c r="M32" s="22"/>
      <c r="N32" s="22"/>
      <c r="O32" s="22"/>
      <c r="P32" s="22"/>
      <c r="Q32" s="22"/>
      <c r="R32" s="22"/>
      <c r="S32" s="22"/>
      <c r="T32" s="37"/>
      <c r="U32" s="13"/>
    </row>
    <row r="33" spans="1:21" ht="60" x14ac:dyDescent="0.25">
      <c r="A33" s="72">
        <v>30</v>
      </c>
      <c r="B33" s="73" t="s">
        <v>25</v>
      </c>
      <c r="C33" s="74">
        <v>2021</v>
      </c>
      <c r="D33" s="13" t="s">
        <v>204</v>
      </c>
      <c r="E33" s="37" t="s">
        <v>262</v>
      </c>
      <c r="F33" s="37"/>
      <c r="G33" s="37"/>
      <c r="H33" s="22" t="s">
        <v>226</v>
      </c>
      <c r="I33" s="22"/>
      <c r="J33" s="22"/>
      <c r="K33" s="22"/>
      <c r="L33" s="22" t="s">
        <v>226</v>
      </c>
      <c r="M33" s="22" t="s">
        <v>226</v>
      </c>
      <c r="N33" s="22" t="s">
        <v>226</v>
      </c>
      <c r="O33" s="22" t="s">
        <v>226</v>
      </c>
      <c r="P33" s="22" t="s">
        <v>226</v>
      </c>
      <c r="Q33" s="22"/>
      <c r="R33" s="22"/>
      <c r="S33" s="22" t="s">
        <v>226</v>
      </c>
      <c r="T33" s="37"/>
      <c r="U33" s="13"/>
    </row>
    <row r="34" spans="1:21" ht="30" x14ac:dyDescent="0.25">
      <c r="A34" s="72">
        <v>31</v>
      </c>
      <c r="B34" s="73" t="s">
        <v>26</v>
      </c>
      <c r="C34" s="74">
        <v>2021</v>
      </c>
      <c r="D34" s="13" t="s">
        <v>204</v>
      </c>
      <c r="E34" s="37" t="s">
        <v>263</v>
      </c>
      <c r="F34" s="37" t="s">
        <v>264</v>
      </c>
      <c r="G34" s="37"/>
      <c r="H34" s="22"/>
      <c r="I34" s="22"/>
      <c r="J34" s="22" t="s">
        <v>226</v>
      </c>
      <c r="K34" s="22" t="s">
        <v>226</v>
      </c>
      <c r="L34" s="22" t="s">
        <v>226</v>
      </c>
      <c r="M34" s="22"/>
      <c r="N34" s="22"/>
      <c r="O34" s="22" t="s">
        <v>226</v>
      </c>
      <c r="P34" s="22"/>
      <c r="Q34" s="22"/>
      <c r="R34" s="22"/>
      <c r="S34" s="22"/>
      <c r="T34" s="37" t="s">
        <v>265</v>
      </c>
      <c r="U34" s="13"/>
    </row>
    <row r="35" spans="1:21" x14ac:dyDescent="0.25">
      <c r="A35" s="72">
        <v>32</v>
      </c>
      <c r="B35" s="73" t="s">
        <v>27</v>
      </c>
      <c r="C35" s="74">
        <v>2021</v>
      </c>
      <c r="D35" s="13" t="s">
        <v>206</v>
      </c>
      <c r="E35" s="37"/>
      <c r="F35" s="37"/>
      <c r="G35" s="37"/>
      <c r="H35" s="22"/>
      <c r="I35" s="22"/>
      <c r="J35" s="22"/>
      <c r="K35" s="22"/>
      <c r="L35" s="22"/>
      <c r="M35" s="22"/>
      <c r="N35" s="22"/>
      <c r="O35" s="22"/>
      <c r="P35" s="22"/>
      <c r="Q35" s="22"/>
      <c r="R35" s="22"/>
      <c r="S35" s="22"/>
      <c r="T35" s="37"/>
      <c r="U35" s="13"/>
    </row>
    <row r="36" spans="1:21" x14ac:dyDescent="0.25">
      <c r="A36" s="72">
        <v>33</v>
      </c>
      <c r="B36" s="73" t="s">
        <v>28</v>
      </c>
      <c r="C36" s="74">
        <v>2021</v>
      </c>
      <c r="D36" s="13" t="s">
        <v>212</v>
      </c>
      <c r="E36" s="37"/>
      <c r="F36" s="37"/>
      <c r="G36" s="37"/>
      <c r="H36" s="22"/>
      <c r="I36" s="22"/>
      <c r="J36" s="22"/>
      <c r="K36" s="22"/>
      <c r="L36" s="22"/>
      <c r="M36" s="22"/>
      <c r="N36" s="22"/>
      <c r="O36" s="22"/>
      <c r="P36" s="22"/>
      <c r="Q36" s="22"/>
      <c r="R36" s="22"/>
      <c r="S36" s="22"/>
      <c r="T36" s="37"/>
      <c r="U36" s="13"/>
    </row>
    <row r="37" spans="1:21" x14ac:dyDescent="0.25">
      <c r="A37" s="72">
        <v>34</v>
      </c>
      <c r="B37" s="73" t="s">
        <v>29</v>
      </c>
      <c r="C37" s="74">
        <v>2020</v>
      </c>
      <c r="D37" s="13" t="s">
        <v>206</v>
      </c>
      <c r="E37" s="37"/>
      <c r="F37" s="37"/>
      <c r="G37" s="37"/>
      <c r="H37" s="22"/>
      <c r="I37" s="22"/>
      <c r="J37" s="22"/>
      <c r="K37" s="22"/>
      <c r="L37" s="22"/>
      <c r="M37" s="22"/>
      <c r="N37" s="22"/>
      <c r="O37" s="22"/>
      <c r="P37" s="22"/>
      <c r="Q37" s="22"/>
      <c r="R37" s="22"/>
      <c r="S37" s="22"/>
      <c r="T37" s="37"/>
      <c r="U37" s="13"/>
    </row>
    <row r="38" spans="1:21" x14ac:dyDescent="0.25">
      <c r="A38" s="72">
        <v>35</v>
      </c>
      <c r="B38" s="73" t="s">
        <v>30</v>
      </c>
      <c r="C38" s="74">
        <v>2020</v>
      </c>
      <c r="D38" s="13" t="s">
        <v>211</v>
      </c>
      <c r="E38" s="37"/>
      <c r="F38" s="37"/>
      <c r="G38" s="37"/>
      <c r="H38" s="22"/>
      <c r="I38" s="22"/>
      <c r="J38" s="22"/>
      <c r="K38" s="22"/>
      <c r="L38" s="22"/>
      <c r="M38" s="22"/>
      <c r="N38" s="22"/>
      <c r="O38" s="22"/>
      <c r="P38" s="22"/>
      <c r="Q38" s="22"/>
      <c r="R38" s="22"/>
      <c r="S38" s="22"/>
      <c r="T38" s="37"/>
      <c r="U38" s="13"/>
    </row>
    <row r="39" spans="1:21" x14ac:dyDescent="0.25">
      <c r="A39" s="72">
        <v>36</v>
      </c>
      <c r="B39" s="73" t="s">
        <v>31</v>
      </c>
      <c r="C39" s="74">
        <v>2019</v>
      </c>
      <c r="D39" s="13" t="s">
        <v>206</v>
      </c>
      <c r="E39" s="37"/>
      <c r="F39" s="37"/>
      <c r="G39" s="37"/>
      <c r="H39" s="22"/>
      <c r="I39" s="22"/>
      <c r="J39" s="22"/>
      <c r="K39" s="22"/>
      <c r="L39" s="22"/>
      <c r="M39" s="22"/>
      <c r="N39" s="22"/>
      <c r="O39" s="22"/>
      <c r="P39" s="22"/>
      <c r="Q39" s="22"/>
      <c r="R39" s="22"/>
      <c r="S39" s="22"/>
      <c r="T39" s="37"/>
      <c r="U39" s="13"/>
    </row>
    <row r="40" spans="1:21" x14ac:dyDescent="0.25">
      <c r="A40" s="72">
        <v>37</v>
      </c>
      <c r="B40" s="73" t="s">
        <v>32</v>
      </c>
      <c r="C40" s="74">
        <v>2016</v>
      </c>
      <c r="D40" s="13" t="s">
        <v>206</v>
      </c>
      <c r="E40" s="37"/>
      <c r="F40" s="37"/>
      <c r="G40" s="37"/>
      <c r="H40" s="22"/>
      <c r="I40" s="22"/>
      <c r="J40" s="22"/>
      <c r="K40" s="22"/>
      <c r="L40" s="22"/>
      <c r="M40" s="22"/>
      <c r="N40" s="22"/>
      <c r="O40" s="22"/>
      <c r="P40" s="22"/>
      <c r="Q40" s="22"/>
      <c r="R40" s="22"/>
      <c r="S40" s="22"/>
      <c r="T40" s="37"/>
      <c r="U40" s="13"/>
    </row>
    <row r="41" spans="1:21" x14ac:dyDescent="0.25">
      <c r="A41" s="72">
        <v>38</v>
      </c>
      <c r="B41" s="73" t="s">
        <v>33</v>
      </c>
      <c r="C41" s="74">
        <v>2015</v>
      </c>
      <c r="D41" s="71" t="s">
        <v>211</v>
      </c>
      <c r="E41" s="37"/>
      <c r="F41" s="37"/>
      <c r="G41" s="37"/>
      <c r="H41" s="22"/>
      <c r="I41" s="22"/>
      <c r="J41" s="22"/>
      <c r="K41" s="22"/>
      <c r="L41" s="22"/>
      <c r="M41" s="22"/>
      <c r="N41" s="22"/>
      <c r="O41" s="22"/>
      <c r="P41" s="22"/>
      <c r="Q41" s="22"/>
      <c r="R41" s="22"/>
      <c r="S41" s="22"/>
      <c r="T41" s="37"/>
      <c r="U41" s="13"/>
    </row>
    <row r="42" spans="1:21" x14ac:dyDescent="0.25">
      <c r="A42" s="72">
        <v>39</v>
      </c>
      <c r="B42" s="73" t="s">
        <v>34</v>
      </c>
      <c r="C42" s="74">
        <v>2020</v>
      </c>
      <c r="D42" s="13" t="s">
        <v>206</v>
      </c>
      <c r="E42" s="37"/>
      <c r="F42" s="37"/>
      <c r="G42" s="37"/>
      <c r="H42" s="22"/>
      <c r="I42" s="22"/>
      <c r="J42" s="22"/>
      <c r="K42" s="22"/>
      <c r="L42" s="22"/>
      <c r="M42" s="22"/>
      <c r="N42" s="22"/>
      <c r="O42" s="22"/>
      <c r="P42" s="22"/>
      <c r="Q42" s="22"/>
      <c r="R42" s="22"/>
      <c r="S42" s="22"/>
      <c r="T42" s="37"/>
      <c r="U42" s="13"/>
    </row>
    <row r="43" spans="1:21" x14ac:dyDescent="0.25">
      <c r="A43" s="72">
        <v>40</v>
      </c>
      <c r="B43" s="73" t="s">
        <v>35</v>
      </c>
      <c r="C43" s="74">
        <v>2014</v>
      </c>
      <c r="D43" s="13" t="s">
        <v>206</v>
      </c>
      <c r="E43" s="37"/>
      <c r="F43" s="37"/>
      <c r="G43" s="37"/>
      <c r="H43" s="22"/>
      <c r="I43" s="22"/>
      <c r="J43" s="22"/>
      <c r="K43" s="22"/>
      <c r="L43" s="22"/>
      <c r="M43" s="22"/>
      <c r="N43" s="22"/>
      <c r="O43" s="22"/>
      <c r="P43" s="22"/>
      <c r="Q43" s="22"/>
      <c r="R43" s="22"/>
      <c r="S43" s="22"/>
      <c r="T43" s="37"/>
      <c r="U43" s="13"/>
    </row>
    <row r="44" spans="1:21" ht="45" x14ac:dyDescent="0.25">
      <c r="A44" s="72">
        <v>41</v>
      </c>
      <c r="B44" s="73" t="s">
        <v>36</v>
      </c>
      <c r="C44" s="74">
        <v>2013</v>
      </c>
      <c r="D44" s="13" t="s">
        <v>204</v>
      </c>
      <c r="E44" s="37" t="s">
        <v>267</v>
      </c>
      <c r="F44" s="37" t="s">
        <v>268</v>
      </c>
      <c r="G44" s="37"/>
      <c r="H44" s="22" t="s">
        <v>226</v>
      </c>
      <c r="I44" s="75" t="s">
        <v>226</v>
      </c>
      <c r="J44" s="22"/>
      <c r="K44" s="75" t="s">
        <v>226</v>
      </c>
      <c r="L44" s="22"/>
      <c r="M44" s="22" t="s">
        <v>226</v>
      </c>
      <c r="N44" s="22"/>
      <c r="O44" s="22" t="s">
        <v>226</v>
      </c>
      <c r="P44" s="22" t="s">
        <v>226</v>
      </c>
      <c r="Q44" s="75" t="s">
        <v>226</v>
      </c>
      <c r="R44" s="22" t="s">
        <v>226</v>
      </c>
      <c r="S44" s="22" t="s">
        <v>226</v>
      </c>
      <c r="T44" s="37"/>
      <c r="U44" s="13"/>
    </row>
    <row r="45" spans="1:21" x14ac:dyDescent="0.25">
      <c r="A45" s="72">
        <v>42</v>
      </c>
      <c r="B45" s="73" t="s">
        <v>37</v>
      </c>
      <c r="C45" s="74">
        <v>2020</v>
      </c>
      <c r="D45" s="13" t="s">
        <v>206</v>
      </c>
      <c r="E45" s="37"/>
      <c r="F45" s="37"/>
      <c r="G45" s="37"/>
      <c r="H45" s="22"/>
      <c r="I45" s="22"/>
      <c r="J45" s="22"/>
      <c r="K45" s="22"/>
      <c r="L45" s="22"/>
      <c r="M45" s="22"/>
      <c r="N45" s="22"/>
      <c r="O45" s="22"/>
      <c r="P45" s="22"/>
      <c r="Q45" s="22"/>
      <c r="R45" s="22"/>
      <c r="S45" s="22"/>
      <c r="T45" s="37"/>
      <c r="U45" s="13"/>
    </row>
    <row r="46" spans="1:21" x14ac:dyDescent="0.25">
      <c r="A46" s="72">
        <v>43</v>
      </c>
      <c r="B46" s="73" t="s">
        <v>38</v>
      </c>
      <c r="C46" s="74">
        <v>2020</v>
      </c>
      <c r="D46" s="13" t="s">
        <v>206</v>
      </c>
      <c r="E46" s="37"/>
      <c r="F46" s="37"/>
      <c r="G46" s="37"/>
      <c r="H46" s="22"/>
      <c r="I46" s="22"/>
      <c r="J46" s="22"/>
      <c r="K46" s="22"/>
      <c r="L46" s="22"/>
      <c r="M46" s="22"/>
      <c r="N46" s="22"/>
      <c r="O46" s="22"/>
      <c r="P46" s="22"/>
      <c r="Q46" s="22"/>
      <c r="R46" s="22"/>
      <c r="S46" s="22"/>
      <c r="T46" s="37"/>
      <c r="U46" s="13"/>
    </row>
    <row r="47" spans="1:21" ht="45" x14ac:dyDescent="0.25">
      <c r="A47" s="72">
        <v>44</v>
      </c>
      <c r="B47" s="73" t="s">
        <v>39</v>
      </c>
      <c r="C47" s="74">
        <v>2017</v>
      </c>
      <c r="D47" s="13" t="s">
        <v>204</v>
      </c>
      <c r="E47" s="37" t="s">
        <v>269</v>
      </c>
      <c r="F47" s="37" t="s">
        <v>270</v>
      </c>
      <c r="G47" s="37"/>
      <c r="H47" s="22"/>
      <c r="I47" s="22"/>
      <c r="J47" s="22"/>
      <c r="K47" s="22"/>
      <c r="L47" s="22" t="s">
        <v>226</v>
      </c>
      <c r="M47" s="22"/>
      <c r="N47" s="22" t="s">
        <v>226</v>
      </c>
      <c r="O47" s="22"/>
      <c r="P47" s="22"/>
      <c r="Q47" s="22"/>
      <c r="R47" s="22" t="s">
        <v>226</v>
      </c>
      <c r="S47" s="22"/>
      <c r="T47" s="37"/>
      <c r="U47" s="13"/>
    </row>
    <row r="48" spans="1:21" x14ac:dyDescent="0.25">
      <c r="A48" s="72">
        <v>45</v>
      </c>
      <c r="B48" s="73" t="s">
        <v>40</v>
      </c>
      <c r="C48" s="74">
        <v>2020</v>
      </c>
      <c r="D48" s="13" t="s">
        <v>211</v>
      </c>
      <c r="E48" s="37"/>
      <c r="F48" s="37"/>
      <c r="G48" s="37"/>
      <c r="H48" s="22"/>
      <c r="I48" s="22"/>
      <c r="J48" s="22"/>
      <c r="K48" s="22"/>
      <c r="L48" s="22"/>
      <c r="M48" s="22"/>
      <c r="N48" s="22"/>
      <c r="O48" s="22"/>
      <c r="P48" s="22"/>
      <c r="Q48" s="22"/>
      <c r="R48" s="22"/>
      <c r="S48" s="22"/>
      <c r="T48" s="37"/>
      <c r="U48" s="13"/>
    </row>
    <row r="49" spans="1:21" x14ac:dyDescent="0.25">
      <c r="A49" s="72">
        <v>46</v>
      </c>
      <c r="B49" s="73" t="s">
        <v>41</v>
      </c>
      <c r="C49" s="74">
        <v>2019</v>
      </c>
      <c r="D49" s="13" t="s">
        <v>206</v>
      </c>
      <c r="E49" s="37"/>
      <c r="F49" s="37"/>
      <c r="G49" s="37"/>
      <c r="H49" s="22"/>
      <c r="I49" s="22"/>
      <c r="J49" s="22"/>
      <c r="K49" s="22"/>
      <c r="L49" s="22"/>
      <c r="M49" s="22"/>
      <c r="N49" s="22"/>
      <c r="O49" s="22"/>
      <c r="P49" s="22"/>
      <c r="Q49" s="22"/>
      <c r="R49" s="22"/>
      <c r="S49" s="22"/>
      <c r="T49" s="37"/>
      <c r="U49" s="13"/>
    </row>
    <row r="50" spans="1:21" x14ac:dyDescent="0.25">
      <c r="A50" s="72">
        <v>47</v>
      </c>
      <c r="B50" s="73" t="s">
        <v>42</v>
      </c>
      <c r="C50" s="74">
        <v>2015</v>
      </c>
      <c r="D50" s="13" t="s">
        <v>206</v>
      </c>
      <c r="E50" s="37"/>
      <c r="F50" s="37"/>
      <c r="G50" s="37"/>
      <c r="H50" s="22"/>
      <c r="I50" s="22"/>
      <c r="J50" s="22"/>
      <c r="K50" s="22"/>
      <c r="L50" s="22"/>
      <c r="M50" s="22"/>
      <c r="N50" s="22"/>
      <c r="O50" s="22"/>
      <c r="P50" s="22"/>
      <c r="Q50" s="22"/>
      <c r="R50" s="22"/>
      <c r="S50" s="22"/>
      <c r="T50" s="37"/>
      <c r="U50" s="13"/>
    </row>
    <row r="51" spans="1:21" x14ac:dyDescent="0.25">
      <c r="A51" s="72">
        <v>48</v>
      </c>
      <c r="B51" s="73" t="s">
        <v>43</v>
      </c>
      <c r="C51" s="74">
        <v>2021</v>
      </c>
      <c r="D51" s="13" t="s">
        <v>206</v>
      </c>
      <c r="E51" s="37"/>
      <c r="F51" s="37"/>
      <c r="G51" s="37"/>
      <c r="H51" s="22"/>
      <c r="I51" s="22"/>
      <c r="J51" s="22"/>
      <c r="K51" s="22"/>
      <c r="L51" s="22"/>
      <c r="M51" s="22"/>
      <c r="N51" s="22"/>
      <c r="O51" s="22"/>
      <c r="P51" s="22"/>
      <c r="Q51" s="22"/>
      <c r="R51" s="22"/>
      <c r="S51" s="22"/>
      <c r="T51" s="37"/>
      <c r="U51" s="13"/>
    </row>
    <row r="52" spans="1:21" x14ac:dyDescent="0.25">
      <c r="A52" s="72">
        <v>49</v>
      </c>
      <c r="B52" s="73" t="s">
        <v>44</v>
      </c>
      <c r="C52" s="74">
        <v>2021</v>
      </c>
      <c r="D52" s="13" t="s">
        <v>206</v>
      </c>
      <c r="E52" s="37"/>
      <c r="F52" s="37"/>
      <c r="G52" s="37"/>
      <c r="H52" s="22"/>
      <c r="I52" s="22"/>
      <c r="J52" s="22"/>
      <c r="K52" s="22"/>
      <c r="L52" s="22"/>
      <c r="M52" s="22"/>
      <c r="N52" s="22"/>
      <c r="O52" s="22"/>
      <c r="P52" s="22"/>
      <c r="Q52" s="22"/>
      <c r="R52" s="22"/>
      <c r="S52" s="22"/>
      <c r="T52" s="37"/>
      <c r="U52" s="13"/>
    </row>
    <row r="53" spans="1:21" x14ac:dyDescent="0.25">
      <c r="A53" s="72">
        <v>50</v>
      </c>
      <c r="B53" s="73" t="s">
        <v>45</v>
      </c>
      <c r="C53" s="74">
        <v>2019</v>
      </c>
      <c r="D53" s="13" t="s">
        <v>206</v>
      </c>
      <c r="E53" s="37"/>
      <c r="F53" s="37"/>
      <c r="G53" s="37"/>
      <c r="H53" s="22"/>
      <c r="I53" s="22"/>
      <c r="J53" s="22"/>
      <c r="K53" s="22"/>
      <c r="L53" s="22"/>
      <c r="M53" s="22"/>
      <c r="N53" s="22"/>
      <c r="O53" s="22"/>
      <c r="P53" s="22"/>
      <c r="Q53" s="22"/>
      <c r="R53" s="22"/>
      <c r="S53" s="22"/>
      <c r="T53" s="37"/>
      <c r="U53" s="13"/>
    </row>
    <row r="54" spans="1:21" x14ac:dyDescent="0.25">
      <c r="A54" s="72">
        <v>51</v>
      </c>
      <c r="B54" s="73" t="s">
        <v>46</v>
      </c>
      <c r="C54" s="74">
        <v>2014</v>
      </c>
      <c r="D54" s="13" t="s">
        <v>271</v>
      </c>
      <c r="E54" s="37"/>
      <c r="F54" s="37"/>
      <c r="G54" s="37"/>
      <c r="H54" s="22"/>
      <c r="I54" s="22"/>
      <c r="J54" s="22"/>
      <c r="K54" s="22"/>
      <c r="L54" s="22"/>
      <c r="M54" s="22"/>
      <c r="N54" s="22"/>
      <c r="O54" s="22"/>
      <c r="P54" s="22"/>
      <c r="Q54" s="22"/>
      <c r="R54" s="22"/>
      <c r="S54" s="22"/>
      <c r="T54" s="37"/>
      <c r="U54" s="13"/>
    </row>
    <row r="55" spans="1:21" x14ac:dyDescent="0.25">
      <c r="A55" s="72">
        <v>52</v>
      </c>
      <c r="B55" s="73" t="s">
        <v>214</v>
      </c>
      <c r="C55" s="74">
        <v>2018</v>
      </c>
      <c r="D55" s="13" t="s">
        <v>212</v>
      </c>
      <c r="E55" s="37"/>
      <c r="F55" s="37"/>
      <c r="G55" s="37"/>
      <c r="H55" s="22"/>
      <c r="I55" s="22"/>
      <c r="J55" s="22"/>
      <c r="K55" s="22"/>
      <c r="L55" s="22"/>
      <c r="M55" s="22"/>
      <c r="N55" s="22"/>
      <c r="O55" s="22"/>
      <c r="P55" s="22"/>
      <c r="Q55" s="22"/>
      <c r="R55" s="22"/>
      <c r="S55" s="22"/>
      <c r="T55" s="37"/>
      <c r="U55" s="13"/>
    </row>
    <row r="56" spans="1:21" x14ac:dyDescent="0.25">
      <c r="A56" s="72">
        <v>53</v>
      </c>
      <c r="B56" s="73" t="s">
        <v>47</v>
      </c>
      <c r="C56" s="74">
        <v>2021</v>
      </c>
      <c r="D56" s="13" t="s">
        <v>206</v>
      </c>
      <c r="E56" s="37"/>
      <c r="F56" s="37"/>
      <c r="G56" s="37"/>
      <c r="H56" s="22"/>
      <c r="I56" s="22"/>
      <c r="J56" s="22"/>
      <c r="K56" s="22"/>
      <c r="L56" s="22"/>
      <c r="M56" s="22"/>
      <c r="N56" s="22"/>
      <c r="O56" s="22"/>
      <c r="P56" s="22"/>
      <c r="Q56" s="22"/>
      <c r="R56" s="22"/>
      <c r="S56" s="22"/>
      <c r="T56" s="37"/>
      <c r="U56" s="13"/>
    </row>
    <row r="57" spans="1:21" x14ac:dyDescent="0.25">
      <c r="A57" s="72">
        <v>54</v>
      </c>
      <c r="B57" s="73" t="s">
        <v>48</v>
      </c>
      <c r="C57" s="74">
        <v>2011</v>
      </c>
      <c r="D57" s="13" t="s">
        <v>206</v>
      </c>
      <c r="E57" s="37"/>
      <c r="F57" s="37"/>
      <c r="G57" s="37"/>
      <c r="H57" s="22"/>
      <c r="I57" s="22"/>
      <c r="J57" s="22"/>
      <c r="K57" s="22"/>
      <c r="L57" s="22"/>
      <c r="M57" s="22"/>
      <c r="N57" s="22"/>
      <c r="O57" s="22"/>
      <c r="P57" s="22"/>
      <c r="Q57" s="22"/>
      <c r="R57" s="22"/>
      <c r="S57" s="22"/>
      <c r="T57" s="37"/>
      <c r="U57" s="13"/>
    </row>
    <row r="58" spans="1:21" x14ac:dyDescent="0.25">
      <c r="A58" s="72">
        <v>55</v>
      </c>
      <c r="B58" s="73" t="s">
        <v>49</v>
      </c>
      <c r="C58" s="74">
        <v>2020</v>
      </c>
      <c r="D58" s="13" t="s">
        <v>211</v>
      </c>
      <c r="E58" s="37"/>
      <c r="F58" s="37"/>
      <c r="G58" s="37"/>
      <c r="H58" s="22"/>
      <c r="I58" s="22"/>
      <c r="J58" s="22"/>
      <c r="K58" s="22"/>
      <c r="L58" s="22"/>
      <c r="M58" s="22"/>
      <c r="N58" s="22"/>
      <c r="O58" s="22"/>
      <c r="P58" s="22"/>
      <c r="Q58" s="22"/>
      <c r="R58" s="22"/>
      <c r="S58" s="22"/>
      <c r="T58" s="37"/>
      <c r="U58" s="13"/>
    </row>
    <row r="59" spans="1:21" x14ac:dyDescent="0.25">
      <c r="A59" s="72">
        <v>56</v>
      </c>
      <c r="B59" s="73" t="s">
        <v>50</v>
      </c>
      <c r="C59" s="74">
        <v>2020</v>
      </c>
      <c r="D59" s="13" t="s">
        <v>215</v>
      </c>
      <c r="E59" s="37"/>
      <c r="F59" s="37"/>
      <c r="G59" s="37"/>
      <c r="H59" s="22"/>
      <c r="I59" s="22"/>
      <c r="J59" s="22"/>
      <c r="K59" s="22"/>
      <c r="L59" s="22"/>
      <c r="M59" s="22"/>
      <c r="N59" s="22"/>
      <c r="O59" s="22"/>
      <c r="P59" s="22"/>
      <c r="Q59" s="22"/>
      <c r="R59" s="22"/>
      <c r="S59" s="22"/>
      <c r="T59" s="37"/>
      <c r="U59" s="13"/>
    </row>
    <row r="60" spans="1:21" ht="30" x14ac:dyDescent="0.25">
      <c r="A60" s="72">
        <v>57</v>
      </c>
      <c r="B60" s="73" t="s">
        <v>51</v>
      </c>
      <c r="C60" s="74">
        <v>2016</v>
      </c>
      <c r="D60" s="13" t="s">
        <v>204</v>
      </c>
      <c r="E60" s="37" t="s">
        <v>272</v>
      </c>
      <c r="F60" s="37" t="s">
        <v>274</v>
      </c>
      <c r="G60" s="37"/>
      <c r="H60" s="22"/>
      <c r="I60" s="22"/>
      <c r="J60" s="22" t="s">
        <v>226</v>
      </c>
      <c r="K60" s="22" t="s">
        <v>226</v>
      </c>
      <c r="L60" s="22" t="s">
        <v>226</v>
      </c>
      <c r="M60" s="22"/>
      <c r="N60" s="22"/>
      <c r="O60" s="22" t="s">
        <v>226</v>
      </c>
      <c r="P60" s="22"/>
      <c r="Q60" s="22"/>
      <c r="R60" s="22"/>
      <c r="S60" s="22"/>
      <c r="T60" s="37" t="s">
        <v>273</v>
      </c>
      <c r="U60" s="13"/>
    </row>
    <row r="61" spans="1:21" ht="45" x14ac:dyDescent="0.25">
      <c r="A61" s="72">
        <v>58</v>
      </c>
      <c r="B61" s="73" t="s">
        <v>52</v>
      </c>
      <c r="C61" s="74">
        <v>2016</v>
      </c>
      <c r="D61" s="13" t="s">
        <v>204</v>
      </c>
      <c r="E61" s="37" t="s">
        <v>277</v>
      </c>
      <c r="F61" s="37" t="s">
        <v>275</v>
      </c>
      <c r="G61" s="37"/>
      <c r="H61" s="22" t="s">
        <v>226</v>
      </c>
      <c r="I61" s="22" t="s">
        <v>226</v>
      </c>
      <c r="J61" s="22" t="s">
        <v>226</v>
      </c>
      <c r="K61" s="22" t="s">
        <v>226</v>
      </c>
      <c r="L61" s="22" t="s">
        <v>226</v>
      </c>
      <c r="M61" s="22"/>
      <c r="N61" s="22"/>
      <c r="O61" s="22" t="s">
        <v>226</v>
      </c>
      <c r="P61" s="22"/>
      <c r="Q61" s="22"/>
      <c r="R61" s="22" t="s">
        <v>226</v>
      </c>
      <c r="S61" s="22" t="s">
        <v>226</v>
      </c>
      <c r="T61" s="37" t="s">
        <v>276</v>
      </c>
      <c r="U61" s="13"/>
    </row>
    <row r="62" spans="1:21" x14ac:dyDescent="0.25">
      <c r="A62" s="72">
        <v>59</v>
      </c>
      <c r="B62" s="73" t="s">
        <v>53</v>
      </c>
      <c r="C62" s="74">
        <v>2016</v>
      </c>
      <c r="D62" s="13" t="s">
        <v>206</v>
      </c>
      <c r="E62" s="37"/>
      <c r="F62" s="37"/>
      <c r="G62" s="37"/>
      <c r="H62" s="22"/>
      <c r="I62" s="22"/>
      <c r="J62" s="22"/>
      <c r="K62" s="22"/>
      <c r="L62" s="22"/>
      <c r="M62" s="22"/>
      <c r="N62" s="22"/>
      <c r="O62" s="22"/>
      <c r="P62" s="22"/>
      <c r="Q62" s="22"/>
      <c r="R62" s="22"/>
      <c r="S62" s="22"/>
      <c r="T62" s="37"/>
      <c r="U62" s="13"/>
    </row>
    <row r="63" spans="1:21" x14ac:dyDescent="0.25">
      <c r="A63" s="72">
        <v>60</v>
      </c>
      <c r="B63" s="73" t="s">
        <v>54</v>
      </c>
      <c r="C63" s="74">
        <v>2020</v>
      </c>
      <c r="D63" s="13" t="s">
        <v>206</v>
      </c>
      <c r="E63" s="37"/>
      <c r="F63" s="37"/>
      <c r="G63" s="37"/>
      <c r="H63" s="22"/>
      <c r="I63" s="22"/>
      <c r="J63" s="22"/>
      <c r="K63" s="22"/>
      <c r="L63" s="22"/>
      <c r="M63" s="22"/>
      <c r="N63" s="22"/>
      <c r="O63" s="22"/>
      <c r="P63" s="22"/>
      <c r="Q63" s="22"/>
      <c r="R63" s="22"/>
      <c r="S63" s="22"/>
      <c r="T63" s="37"/>
      <c r="U63" s="13"/>
    </row>
    <row r="64" spans="1:21" x14ac:dyDescent="0.25">
      <c r="A64" s="72">
        <v>61</v>
      </c>
      <c r="B64" s="73" t="s">
        <v>55</v>
      </c>
      <c r="C64" s="74">
        <v>2019</v>
      </c>
      <c r="D64" s="13" t="s">
        <v>206</v>
      </c>
      <c r="E64" s="37"/>
      <c r="F64" s="37"/>
      <c r="G64" s="37"/>
      <c r="H64" s="22"/>
      <c r="I64" s="22"/>
      <c r="J64" s="22"/>
      <c r="K64" s="22"/>
      <c r="L64" s="22"/>
      <c r="M64" s="22"/>
      <c r="N64" s="22"/>
      <c r="O64" s="22"/>
      <c r="P64" s="22"/>
      <c r="Q64" s="22"/>
      <c r="R64" s="22"/>
      <c r="S64" s="22"/>
      <c r="T64" s="37"/>
      <c r="U64" s="13"/>
    </row>
    <row r="65" spans="1:21" x14ac:dyDescent="0.25">
      <c r="A65" s="72">
        <v>62</v>
      </c>
      <c r="B65" s="73" t="s">
        <v>56</v>
      </c>
      <c r="C65" s="74">
        <v>2020</v>
      </c>
      <c r="D65" s="13" t="s">
        <v>204</v>
      </c>
      <c r="E65" s="37" t="s">
        <v>278</v>
      </c>
      <c r="F65" s="37" t="s">
        <v>280</v>
      </c>
      <c r="G65" s="37"/>
      <c r="H65" s="22" t="s">
        <v>226</v>
      </c>
      <c r="I65" s="22" t="s">
        <v>226</v>
      </c>
      <c r="J65" s="22"/>
      <c r="K65" s="22"/>
      <c r="L65" s="22"/>
      <c r="M65" s="22" t="s">
        <v>226</v>
      </c>
      <c r="N65" s="22"/>
      <c r="O65" s="22" t="s">
        <v>226</v>
      </c>
      <c r="P65" s="22" t="s">
        <v>226</v>
      </c>
      <c r="Q65" s="22" t="s">
        <v>226</v>
      </c>
      <c r="R65" s="22" t="s">
        <v>226</v>
      </c>
      <c r="S65" s="22" t="s">
        <v>226</v>
      </c>
      <c r="T65" s="37" t="s">
        <v>279</v>
      </c>
      <c r="U65" s="13"/>
    </row>
    <row r="66" spans="1:21" x14ac:dyDescent="0.25">
      <c r="A66" s="72">
        <v>63</v>
      </c>
      <c r="B66" s="73" t="s">
        <v>57</v>
      </c>
      <c r="C66" s="74">
        <v>2020</v>
      </c>
      <c r="D66" s="13" t="s">
        <v>206</v>
      </c>
      <c r="E66" s="37"/>
      <c r="F66" s="37"/>
      <c r="G66" s="37"/>
      <c r="H66" s="22"/>
      <c r="I66" s="22"/>
      <c r="J66" s="22"/>
      <c r="K66" s="22"/>
      <c r="L66" s="22"/>
      <c r="M66" s="22"/>
      <c r="N66" s="22"/>
      <c r="O66" s="22"/>
      <c r="P66" s="22"/>
      <c r="Q66" s="22"/>
      <c r="R66" s="22"/>
      <c r="S66" s="22"/>
      <c r="T66" s="37"/>
      <c r="U66" s="13"/>
    </row>
    <row r="67" spans="1:21" x14ac:dyDescent="0.25">
      <c r="A67" s="72">
        <v>64</v>
      </c>
      <c r="B67" s="73" t="s">
        <v>58</v>
      </c>
      <c r="C67" s="74">
        <v>2020</v>
      </c>
      <c r="D67" s="13" t="s">
        <v>206</v>
      </c>
      <c r="E67" s="37"/>
      <c r="F67" s="37"/>
      <c r="G67" s="37"/>
      <c r="H67" s="22"/>
      <c r="I67" s="22"/>
      <c r="J67" s="22"/>
      <c r="K67" s="22"/>
      <c r="L67" s="22"/>
      <c r="M67" s="22"/>
      <c r="N67" s="22"/>
      <c r="O67" s="22"/>
      <c r="P67" s="22"/>
      <c r="Q67" s="22"/>
      <c r="R67" s="22"/>
      <c r="S67" s="22"/>
      <c r="T67" s="37"/>
      <c r="U67" s="13"/>
    </row>
    <row r="68" spans="1:21" x14ac:dyDescent="0.25">
      <c r="A68" s="72">
        <v>65</v>
      </c>
      <c r="B68" s="73" t="s">
        <v>59</v>
      </c>
      <c r="C68" s="74">
        <v>2022</v>
      </c>
      <c r="D68" s="13" t="s">
        <v>212</v>
      </c>
      <c r="E68" s="37"/>
      <c r="F68" s="37"/>
      <c r="G68" s="37"/>
      <c r="H68" s="22"/>
      <c r="I68" s="22"/>
      <c r="J68" s="22"/>
      <c r="K68" s="22"/>
      <c r="L68" s="22"/>
      <c r="M68" s="22"/>
      <c r="N68" s="22"/>
      <c r="O68" s="22"/>
      <c r="P68" s="22"/>
      <c r="Q68" s="22"/>
      <c r="R68" s="22"/>
      <c r="S68" s="22"/>
      <c r="T68" s="37"/>
      <c r="U68" s="13"/>
    </row>
    <row r="69" spans="1:21" x14ac:dyDescent="0.25">
      <c r="A69" s="72">
        <v>66</v>
      </c>
      <c r="B69" s="73" t="s">
        <v>60</v>
      </c>
      <c r="C69" s="74">
        <v>2018</v>
      </c>
      <c r="D69" s="13" t="s">
        <v>206</v>
      </c>
      <c r="E69" s="37"/>
      <c r="F69" s="37"/>
      <c r="G69" s="37"/>
      <c r="H69" s="22"/>
      <c r="I69" s="22"/>
      <c r="J69" s="22"/>
      <c r="K69" s="22"/>
      <c r="L69" s="22"/>
      <c r="M69" s="22"/>
      <c r="N69" s="22"/>
      <c r="O69" s="22"/>
      <c r="P69" s="22"/>
      <c r="Q69" s="22"/>
      <c r="R69" s="22"/>
      <c r="S69" s="22"/>
      <c r="T69" s="37"/>
      <c r="U69" s="13"/>
    </row>
    <row r="70" spans="1:21" x14ac:dyDescent="0.25">
      <c r="A70" s="72">
        <v>67</v>
      </c>
      <c r="B70" s="73" t="s">
        <v>61</v>
      </c>
      <c r="C70" s="74">
        <v>2017</v>
      </c>
      <c r="D70" s="13" t="s">
        <v>206</v>
      </c>
      <c r="E70" s="37"/>
      <c r="F70" s="37"/>
      <c r="G70" s="37"/>
      <c r="H70" s="22"/>
      <c r="I70" s="22"/>
      <c r="J70" s="22"/>
      <c r="K70" s="22"/>
      <c r="L70" s="22"/>
      <c r="M70" s="22"/>
      <c r="N70" s="22"/>
      <c r="O70" s="22"/>
      <c r="P70" s="22"/>
      <c r="Q70" s="22"/>
      <c r="R70" s="22"/>
      <c r="S70" s="22"/>
      <c r="T70" s="37"/>
      <c r="U70" s="13"/>
    </row>
    <row r="71" spans="1:21" x14ac:dyDescent="0.25">
      <c r="A71" s="72">
        <v>68</v>
      </c>
      <c r="B71" s="73" t="s">
        <v>62</v>
      </c>
      <c r="C71" s="74">
        <v>2011</v>
      </c>
      <c r="D71" s="13" t="s">
        <v>206</v>
      </c>
      <c r="E71" s="37"/>
      <c r="F71" s="37"/>
      <c r="G71" s="37"/>
      <c r="H71" s="22"/>
      <c r="I71" s="22"/>
      <c r="J71" s="22"/>
      <c r="K71" s="22"/>
      <c r="L71" s="22"/>
      <c r="M71" s="22"/>
      <c r="N71" s="22"/>
      <c r="O71" s="22"/>
      <c r="P71" s="22"/>
      <c r="Q71" s="22"/>
      <c r="R71" s="22"/>
      <c r="S71" s="22"/>
      <c r="T71" s="37"/>
      <c r="U71" s="13"/>
    </row>
    <row r="72" spans="1:21" x14ac:dyDescent="0.25">
      <c r="A72" s="72">
        <v>69</v>
      </c>
      <c r="B72" s="73" t="s">
        <v>63</v>
      </c>
      <c r="C72" s="74">
        <v>2017</v>
      </c>
      <c r="D72" s="13" t="s">
        <v>206</v>
      </c>
      <c r="E72" s="37"/>
      <c r="F72" s="37"/>
      <c r="G72" s="37"/>
      <c r="H72" s="22"/>
      <c r="I72" s="22"/>
      <c r="J72" s="22"/>
      <c r="K72" s="22"/>
      <c r="L72" s="22"/>
      <c r="M72" s="22"/>
      <c r="N72" s="22"/>
      <c r="O72" s="22"/>
      <c r="P72" s="22"/>
      <c r="Q72" s="22"/>
      <c r="R72" s="22"/>
      <c r="S72" s="22"/>
      <c r="T72" s="37"/>
      <c r="U72" s="13"/>
    </row>
    <row r="73" spans="1:21" x14ac:dyDescent="0.25">
      <c r="A73" s="72">
        <v>70</v>
      </c>
      <c r="B73" s="73" t="s">
        <v>64</v>
      </c>
      <c r="C73" s="74">
        <v>2019</v>
      </c>
      <c r="D73" s="13" t="s">
        <v>204</v>
      </c>
      <c r="E73" s="37" t="s">
        <v>285</v>
      </c>
      <c r="F73" s="37" t="s">
        <v>284</v>
      </c>
      <c r="G73" s="37"/>
      <c r="H73" s="22" t="s">
        <v>226</v>
      </c>
      <c r="I73" s="22" t="s">
        <v>226</v>
      </c>
      <c r="J73" s="22"/>
      <c r="K73" s="22"/>
      <c r="L73" s="22" t="s">
        <v>226</v>
      </c>
      <c r="M73" s="22" t="s">
        <v>226</v>
      </c>
      <c r="N73" s="22"/>
      <c r="O73" s="22" t="s">
        <v>226</v>
      </c>
      <c r="P73" s="22"/>
      <c r="Q73" s="22"/>
      <c r="R73" s="22" t="s">
        <v>226</v>
      </c>
      <c r="S73" s="22"/>
      <c r="T73" s="37"/>
      <c r="U73" s="13"/>
    </row>
    <row r="74" spans="1:21" ht="30" x14ac:dyDescent="0.25">
      <c r="A74" s="72">
        <v>71</v>
      </c>
      <c r="B74" s="73" t="s">
        <v>65</v>
      </c>
      <c r="C74" s="74">
        <v>2015</v>
      </c>
      <c r="D74" s="13" t="s">
        <v>204</v>
      </c>
      <c r="E74" s="37" t="s">
        <v>286</v>
      </c>
      <c r="F74" s="37" t="s">
        <v>288</v>
      </c>
      <c r="G74" s="37"/>
      <c r="H74" s="22"/>
      <c r="I74" s="22" t="s">
        <v>226</v>
      </c>
      <c r="J74" s="22"/>
      <c r="K74" s="22"/>
      <c r="L74" s="22"/>
      <c r="M74" s="22"/>
      <c r="N74" s="22"/>
      <c r="O74" s="22" t="s">
        <v>226</v>
      </c>
      <c r="P74" s="22"/>
      <c r="Q74" s="22"/>
      <c r="R74" s="22" t="s">
        <v>226</v>
      </c>
      <c r="S74" s="22"/>
      <c r="T74" s="37" t="s">
        <v>287</v>
      </c>
      <c r="U74" s="13"/>
    </row>
    <row r="75" spans="1:21" x14ac:dyDescent="0.25">
      <c r="A75" s="72">
        <v>72</v>
      </c>
      <c r="B75" s="73" t="s">
        <v>66</v>
      </c>
      <c r="C75" s="74">
        <v>2018</v>
      </c>
      <c r="D75" s="13" t="s">
        <v>206</v>
      </c>
      <c r="E75" s="37"/>
      <c r="F75" s="37"/>
      <c r="G75" s="37"/>
      <c r="H75" s="22"/>
      <c r="I75" s="22"/>
      <c r="J75" s="22"/>
      <c r="K75" s="22"/>
      <c r="L75" s="22"/>
      <c r="M75" s="22"/>
      <c r="N75" s="22"/>
      <c r="O75" s="22"/>
      <c r="P75" s="22"/>
      <c r="Q75" s="22"/>
      <c r="R75" s="22"/>
      <c r="S75" s="22"/>
      <c r="T75" s="37"/>
      <c r="U75" s="13"/>
    </row>
    <row r="76" spans="1:21" x14ac:dyDescent="0.25">
      <c r="A76" s="72">
        <v>73</v>
      </c>
      <c r="B76" s="73" t="s">
        <v>67</v>
      </c>
      <c r="C76" s="74">
        <v>2020</v>
      </c>
      <c r="D76" s="13" t="s">
        <v>206</v>
      </c>
      <c r="E76" s="37"/>
      <c r="F76" s="37"/>
      <c r="G76" s="37"/>
      <c r="H76" s="22"/>
      <c r="I76" s="22"/>
      <c r="J76" s="22"/>
      <c r="K76" s="22"/>
      <c r="L76" s="22"/>
      <c r="M76" s="22"/>
      <c r="N76" s="22"/>
      <c r="O76" s="22"/>
      <c r="P76" s="22"/>
      <c r="Q76" s="22"/>
      <c r="R76" s="22"/>
      <c r="S76" s="22"/>
      <c r="T76" s="37"/>
      <c r="U76" s="13"/>
    </row>
    <row r="77" spans="1:21" x14ac:dyDescent="0.25">
      <c r="A77" s="72">
        <v>74</v>
      </c>
      <c r="B77" s="73" t="s">
        <v>68</v>
      </c>
      <c r="C77" s="74">
        <v>2021</v>
      </c>
      <c r="D77" s="13" t="s">
        <v>206</v>
      </c>
      <c r="E77" s="37"/>
      <c r="F77" s="37"/>
      <c r="G77" s="37"/>
      <c r="H77" s="22"/>
      <c r="I77" s="22"/>
      <c r="J77" s="22"/>
      <c r="K77" s="22"/>
      <c r="L77" s="22"/>
      <c r="M77" s="22"/>
      <c r="N77" s="22"/>
      <c r="O77" s="22"/>
      <c r="P77" s="22"/>
      <c r="Q77" s="22"/>
      <c r="R77" s="22"/>
      <c r="S77" s="22"/>
      <c r="T77" s="37"/>
      <c r="U77" s="13"/>
    </row>
    <row r="78" spans="1:21" x14ac:dyDescent="0.25">
      <c r="A78" s="72">
        <v>75</v>
      </c>
      <c r="B78" s="73" t="s">
        <v>69</v>
      </c>
      <c r="C78" s="74">
        <v>2020</v>
      </c>
      <c r="D78" s="13" t="s">
        <v>206</v>
      </c>
      <c r="E78" s="37"/>
      <c r="F78" s="37"/>
      <c r="G78" s="37"/>
      <c r="H78" s="22"/>
      <c r="I78" s="22"/>
      <c r="J78" s="22"/>
      <c r="K78" s="22"/>
      <c r="L78" s="22"/>
      <c r="M78" s="22"/>
      <c r="N78" s="22"/>
      <c r="O78" s="22"/>
      <c r="P78" s="22"/>
      <c r="Q78" s="22"/>
      <c r="R78" s="22"/>
      <c r="S78" s="22"/>
      <c r="T78" s="37"/>
      <c r="U78" s="13"/>
    </row>
    <row r="79" spans="1:21" x14ac:dyDescent="0.25">
      <c r="A79" s="72">
        <v>76</v>
      </c>
      <c r="B79" s="73" t="s">
        <v>70</v>
      </c>
      <c r="C79" s="74">
        <v>2015</v>
      </c>
      <c r="D79" s="13" t="s">
        <v>206</v>
      </c>
      <c r="E79" s="37"/>
      <c r="F79" s="37"/>
      <c r="G79" s="37"/>
      <c r="H79" s="22"/>
      <c r="I79" s="22"/>
      <c r="J79" s="22"/>
      <c r="K79" s="22"/>
      <c r="L79" s="22"/>
      <c r="M79" s="22"/>
      <c r="N79" s="22"/>
      <c r="O79" s="22"/>
      <c r="P79" s="22"/>
      <c r="Q79" s="22"/>
      <c r="R79" s="22"/>
      <c r="S79" s="22"/>
      <c r="T79" s="37"/>
      <c r="U79" s="13"/>
    </row>
    <row r="80" spans="1:21" x14ac:dyDescent="0.25">
      <c r="A80" s="72">
        <v>77</v>
      </c>
      <c r="B80" s="73" t="s">
        <v>71</v>
      </c>
      <c r="C80" s="74">
        <v>2019</v>
      </c>
      <c r="D80" s="13" t="s">
        <v>206</v>
      </c>
      <c r="E80" s="37"/>
      <c r="F80" s="37"/>
      <c r="G80" s="37"/>
      <c r="H80" s="22"/>
      <c r="I80" s="22"/>
      <c r="J80" s="22"/>
      <c r="K80" s="22"/>
      <c r="L80" s="22"/>
      <c r="M80" s="22"/>
      <c r="N80" s="22"/>
      <c r="O80" s="22"/>
      <c r="P80" s="22"/>
      <c r="Q80" s="22"/>
      <c r="R80" s="22"/>
      <c r="S80" s="22"/>
      <c r="T80" s="37"/>
      <c r="U80" s="13"/>
    </row>
    <row r="81" spans="1:21" x14ac:dyDescent="0.25">
      <c r="A81" s="72">
        <v>78</v>
      </c>
      <c r="B81" s="73" t="s">
        <v>72</v>
      </c>
      <c r="C81" s="74">
        <v>2022</v>
      </c>
      <c r="D81" s="13" t="s">
        <v>206</v>
      </c>
      <c r="E81" s="37"/>
      <c r="F81" s="37"/>
      <c r="G81" s="37"/>
      <c r="H81" s="22"/>
      <c r="I81" s="22"/>
      <c r="J81" s="22"/>
      <c r="K81" s="22"/>
      <c r="L81" s="22"/>
      <c r="M81" s="22"/>
      <c r="N81" s="22"/>
      <c r="O81" s="22"/>
      <c r="P81" s="22"/>
      <c r="Q81" s="22"/>
      <c r="R81" s="22"/>
      <c r="S81" s="22"/>
      <c r="T81" s="37"/>
      <c r="U81" s="13"/>
    </row>
    <row r="82" spans="1:21" x14ac:dyDescent="0.25">
      <c r="A82" s="72">
        <v>79</v>
      </c>
      <c r="B82" s="73" t="s">
        <v>73</v>
      </c>
      <c r="C82" s="74">
        <v>2021</v>
      </c>
      <c r="D82" s="13" t="s">
        <v>206</v>
      </c>
      <c r="E82" s="37"/>
      <c r="F82" s="37"/>
      <c r="G82" s="37"/>
      <c r="H82" s="22"/>
      <c r="I82" s="22"/>
      <c r="J82" s="22"/>
      <c r="K82" s="22"/>
      <c r="L82" s="22"/>
      <c r="M82" s="22"/>
      <c r="N82" s="22"/>
      <c r="O82" s="22"/>
      <c r="P82" s="22"/>
      <c r="Q82" s="22"/>
      <c r="R82" s="22"/>
      <c r="S82" s="22"/>
      <c r="T82" s="37"/>
      <c r="U82" s="13"/>
    </row>
    <row r="83" spans="1:21" x14ac:dyDescent="0.25">
      <c r="A83" s="72">
        <v>80</v>
      </c>
      <c r="B83" s="73" t="s">
        <v>74</v>
      </c>
      <c r="C83" s="74">
        <v>2019</v>
      </c>
      <c r="D83" s="13" t="s">
        <v>206</v>
      </c>
      <c r="E83" s="37"/>
      <c r="F83" s="37"/>
      <c r="G83" s="37"/>
      <c r="H83" s="22"/>
      <c r="I83" s="22"/>
      <c r="J83" s="22"/>
      <c r="K83" s="22"/>
      <c r="L83" s="22"/>
      <c r="M83" s="22"/>
      <c r="N83" s="22"/>
      <c r="O83" s="22"/>
      <c r="P83" s="22"/>
      <c r="Q83" s="22"/>
      <c r="R83" s="22"/>
      <c r="S83" s="22"/>
      <c r="T83" s="37"/>
      <c r="U83" s="13"/>
    </row>
    <row r="84" spans="1:21" x14ac:dyDescent="0.25">
      <c r="A84" s="72">
        <v>81</v>
      </c>
      <c r="B84" s="73" t="s">
        <v>75</v>
      </c>
      <c r="C84" s="74">
        <v>2015</v>
      </c>
      <c r="D84" s="13" t="s">
        <v>211</v>
      </c>
      <c r="E84" s="37"/>
      <c r="F84" s="37"/>
      <c r="G84" s="37"/>
      <c r="H84" s="22"/>
      <c r="I84" s="22"/>
      <c r="J84" s="22"/>
      <c r="K84" s="22"/>
      <c r="L84" s="22"/>
      <c r="M84" s="22"/>
      <c r="N84" s="22"/>
      <c r="O84" s="22"/>
      <c r="P84" s="22"/>
      <c r="Q84" s="22"/>
      <c r="R84" s="22"/>
      <c r="S84" s="22"/>
      <c r="T84" s="37"/>
      <c r="U84" s="13"/>
    </row>
    <row r="85" spans="1:21" ht="30" x14ac:dyDescent="0.25">
      <c r="A85" s="72">
        <v>82</v>
      </c>
      <c r="B85" s="73" t="s">
        <v>76</v>
      </c>
      <c r="C85" s="74">
        <v>2020</v>
      </c>
      <c r="D85" s="13" t="s">
        <v>204</v>
      </c>
      <c r="E85" s="37" t="s">
        <v>289</v>
      </c>
      <c r="F85" s="37" t="s">
        <v>290</v>
      </c>
      <c r="G85" s="37"/>
      <c r="H85" s="22"/>
      <c r="I85" s="22"/>
      <c r="J85" s="22" t="s">
        <v>226</v>
      </c>
      <c r="K85" s="22" t="s">
        <v>226</v>
      </c>
      <c r="L85" s="22"/>
      <c r="M85" s="22"/>
      <c r="N85" s="22"/>
      <c r="O85" s="22"/>
      <c r="P85" s="22"/>
      <c r="Q85" s="22" t="s">
        <v>226</v>
      </c>
      <c r="R85" s="22"/>
      <c r="S85" s="22"/>
      <c r="T85" s="37" t="s">
        <v>291</v>
      </c>
      <c r="U85" s="13"/>
    </row>
    <row r="86" spans="1:21" x14ac:dyDescent="0.25">
      <c r="A86" s="72">
        <v>83</v>
      </c>
      <c r="B86" s="73" t="s">
        <v>77</v>
      </c>
      <c r="C86" s="74">
        <v>2022</v>
      </c>
      <c r="D86" s="13" t="s">
        <v>211</v>
      </c>
      <c r="E86" s="37"/>
      <c r="F86" s="37"/>
      <c r="G86" s="37"/>
      <c r="H86" s="22"/>
      <c r="I86" s="22"/>
      <c r="J86" s="22"/>
      <c r="K86" s="22"/>
      <c r="L86" s="22"/>
      <c r="M86" s="22"/>
      <c r="N86" s="22"/>
      <c r="O86" s="22"/>
      <c r="P86" s="22"/>
      <c r="Q86" s="22"/>
      <c r="R86" s="22"/>
      <c r="S86" s="22"/>
      <c r="T86" s="37"/>
      <c r="U86" s="13"/>
    </row>
    <row r="87" spans="1:21" x14ac:dyDescent="0.25">
      <c r="A87" s="72">
        <v>84</v>
      </c>
      <c r="B87" s="73" t="s">
        <v>78</v>
      </c>
      <c r="C87" s="74">
        <v>2022</v>
      </c>
      <c r="D87" s="13" t="s">
        <v>206</v>
      </c>
      <c r="E87" s="37"/>
      <c r="F87" s="37"/>
      <c r="G87" s="37"/>
      <c r="H87" s="22"/>
      <c r="I87" s="22"/>
      <c r="J87" s="22"/>
      <c r="K87" s="22"/>
      <c r="L87" s="22"/>
      <c r="M87" s="22"/>
      <c r="N87" s="22"/>
      <c r="O87" s="22"/>
      <c r="P87" s="22"/>
      <c r="Q87" s="22"/>
      <c r="R87" s="22"/>
      <c r="S87" s="22"/>
      <c r="T87" s="37"/>
      <c r="U87" s="13"/>
    </row>
    <row r="88" spans="1:21" x14ac:dyDescent="0.25">
      <c r="A88" s="72">
        <v>85</v>
      </c>
      <c r="B88" s="73" t="s">
        <v>79</v>
      </c>
      <c r="C88" s="74">
        <v>2021</v>
      </c>
      <c r="D88" s="13" t="s">
        <v>206</v>
      </c>
      <c r="E88" s="37"/>
      <c r="F88" s="37"/>
      <c r="G88" s="37"/>
      <c r="H88" s="22"/>
      <c r="I88" s="22"/>
      <c r="J88" s="22"/>
      <c r="K88" s="22"/>
      <c r="L88" s="22"/>
      <c r="M88" s="22"/>
      <c r="N88" s="22"/>
      <c r="O88" s="22"/>
      <c r="P88" s="22"/>
      <c r="Q88" s="22"/>
      <c r="R88" s="22"/>
      <c r="S88" s="22"/>
      <c r="T88" s="37"/>
      <c r="U88" s="13"/>
    </row>
    <row r="89" spans="1:21" x14ac:dyDescent="0.25">
      <c r="A89" s="72">
        <v>86</v>
      </c>
      <c r="B89" s="73" t="s">
        <v>80</v>
      </c>
      <c r="C89" s="74">
        <v>2021</v>
      </c>
      <c r="D89" s="13" t="s">
        <v>206</v>
      </c>
      <c r="E89" s="37"/>
      <c r="F89" s="37"/>
      <c r="G89" s="37"/>
      <c r="H89" s="22"/>
      <c r="I89" s="22"/>
      <c r="J89" s="22"/>
      <c r="K89" s="22"/>
      <c r="L89" s="22"/>
      <c r="M89" s="22"/>
      <c r="N89" s="22"/>
      <c r="O89" s="22"/>
      <c r="P89" s="22"/>
      <c r="Q89" s="22"/>
      <c r="R89" s="22"/>
      <c r="S89" s="22"/>
      <c r="T89" s="37"/>
      <c r="U89" s="13"/>
    </row>
    <row r="90" spans="1:21" x14ac:dyDescent="0.25">
      <c r="A90" s="72">
        <v>87</v>
      </c>
      <c r="B90" s="73" t="s">
        <v>81</v>
      </c>
      <c r="C90" s="74">
        <v>2021</v>
      </c>
      <c r="D90" s="13" t="s">
        <v>206</v>
      </c>
      <c r="E90" s="37"/>
      <c r="F90" s="37"/>
      <c r="G90" s="37"/>
      <c r="H90" s="22"/>
      <c r="I90" s="22"/>
      <c r="J90" s="22"/>
      <c r="K90" s="22"/>
      <c r="L90" s="22"/>
      <c r="M90" s="22"/>
      <c r="N90" s="22"/>
      <c r="O90" s="22"/>
      <c r="P90" s="22"/>
      <c r="Q90" s="22"/>
      <c r="R90" s="22"/>
      <c r="S90" s="22"/>
      <c r="T90" s="37"/>
      <c r="U90" s="13"/>
    </row>
    <row r="91" spans="1:21" x14ac:dyDescent="0.25">
      <c r="A91" s="72">
        <v>88</v>
      </c>
      <c r="B91" s="73" t="s">
        <v>82</v>
      </c>
      <c r="C91" s="74">
        <v>2015</v>
      </c>
      <c r="D91" s="13" t="s">
        <v>206</v>
      </c>
      <c r="E91" s="37"/>
      <c r="F91" s="37"/>
      <c r="G91" s="37"/>
      <c r="H91" s="22"/>
      <c r="I91" s="22"/>
      <c r="J91" s="22"/>
      <c r="K91" s="22"/>
      <c r="L91" s="22"/>
      <c r="M91" s="22"/>
      <c r="N91" s="22"/>
      <c r="O91" s="22"/>
      <c r="P91" s="22"/>
      <c r="Q91" s="22"/>
      <c r="R91" s="22"/>
      <c r="S91" s="22"/>
      <c r="T91" s="37"/>
      <c r="U91" s="13"/>
    </row>
    <row r="92" spans="1:21" x14ac:dyDescent="0.25">
      <c r="A92" s="72">
        <v>89</v>
      </c>
      <c r="B92" s="73" t="s">
        <v>83</v>
      </c>
      <c r="C92" s="74">
        <v>2021</v>
      </c>
      <c r="D92" s="13" t="s">
        <v>206</v>
      </c>
      <c r="E92" s="37"/>
      <c r="F92" s="37"/>
      <c r="G92" s="37"/>
      <c r="H92" s="22"/>
      <c r="I92" s="22"/>
      <c r="J92" s="22"/>
      <c r="K92" s="22"/>
      <c r="L92" s="22"/>
      <c r="M92" s="22"/>
      <c r="N92" s="22"/>
      <c r="O92" s="22"/>
      <c r="P92" s="22"/>
      <c r="Q92" s="22"/>
      <c r="R92" s="22"/>
      <c r="S92" s="22"/>
      <c r="T92" s="37"/>
      <c r="U92" s="13"/>
    </row>
    <row r="93" spans="1:21" x14ac:dyDescent="0.25">
      <c r="A93" s="72">
        <v>90</v>
      </c>
      <c r="B93" s="73" t="s">
        <v>84</v>
      </c>
      <c r="C93" s="74">
        <v>2021</v>
      </c>
      <c r="D93" s="13" t="s">
        <v>206</v>
      </c>
      <c r="E93" s="37"/>
      <c r="F93" s="37"/>
      <c r="G93" s="37"/>
      <c r="H93" s="22"/>
      <c r="I93" s="22"/>
      <c r="J93" s="22"/>
      <c r="K93" s="22"/>
      <c r="L93" s="22"/>
      <c r="M93" s="22"/>
      <c r="N93" s="22"/>
      <c r="O93" s="22"/>
      <c r="P93" s="22"/>
      <c r="Q93" s="22"/>
      <c r="R93" s="22"/>
      <c r="S93" s="22"/>
      <c r="T93" s="37"/>
      <c r="U93" s="13"/>
    </row>
    <row r="94" spans="1:21" x14ac:dyDescent="0.25">
      <c r="A94" s="72">
        <v>91</v>
      </c>
      <c r="B94" s="73" t="s">
        <v>85</v>
      </c>
      <c r="C94" s="74">
        <v>2019</v>
      </c>
      <c r="D94" s="13" t="s">
        <v>215</v>
      </c>
      <c r="E94" s="37"/>
      <c r="F94" s="37"/>
      <c r="G94" s="37"/>
      <c r="H94" s="22"/>
      <c r="I94" s="22"/>
      <c r="J94" s="22"/>
      <c r="K94" s="22"/>
      <c r="L94" s="22"/>
      <c r="M94" s="22"/>
      <c r="N94" s="22"/>
      <c r="O94" s="22"/>
      <c r="P94" s="22"/>
      <c r="Q94" s="22"/>
      <c r="R94" s="22"/>
      <c r="S94" s="22"/>
      <c r="T94" s="13"/>
      <c r="U94" s="13"/>
    </row>
    <row r="95" spans="1:21" x14ac:dyDescent="0.25">
      <c r="A95" s="72">
        <v>92</v>
      </c>
      <c r="B95" s="73" t="s">
        <v>86</v>
      </c>
      <c r="C95" s="74">
        <v>2019</v>
      </c>
      <c r="D95" s="13" t="s">
        <v>215</v>
      </c>
      <c r="E95" s="37"/>
      <c r="F95" s="37"/>
      <c r="G95" s="37"/>
      <c r="H95" s="22"/>
      <c r="I95" s="22"/>
      <c r="J95" s="22"/>
      <c r="K95" s="22"/>
      <c r="L95" s="22"/>
      <c r="M95" s="22"/>
      <c r="N95" s="22"/>
      <c r="O95" s="22"/>
      <c r="P95" s="22"/>
      <c r="Q95" s="22"/>
      <c r="R95" s="22"/>
      <c r="S95" s="22"/>
      <c r="T95" s="13"/>
      <c r="U95" s="13"/>
    </row>
    <row r="96" spans="1:21" x14ac:dyDescent="0.25">
      <c r="A96" s="72">
        <v>93</v>
      </c>
      <c r="B96" s="73" t="s">
        <v>87</v>
      </c>
      <c r="C96" s="74">
        <v>2021</v>
      </c>
      <c r="D96" s="13" t="s">
        <v>206</v>
      </c>
      <c r="E96" s="37"/>
      <c r="F96" s="37"/>
      <c r="G96" s="37"/>
      <c r="H96" s="22"/>
      <c r="I96" s="22"/>
      <c r="J96" s="22"/>
      <c r="K96" s="22"/>
      <c r="L96" s="22"/>
      <c r="M96" s="22"/>
      <c r="N96" s="22"/>
      <c r="O96" s="22"/>
      <c r="P96" s="22"/>
      <c r="Q96" s="22"/>
      <c r="R96" s="22"/>
      <c r="S96" s="22"/>
      <c r="T96" s="37"/>
      <c r="U96" s="13"/>
    </row>
    <row r="97" spans="1:21" x14ac:dyDescent="0.25">
      <c r="A97" s="72">
        <v>94</v>
      </c>
      <c r="B97" s="73" t="s">
        <v>88</v>
      </c>
      <c r="C97" s="74">
        <v>2021</v>
      </c>
      <c r="D97" s="13" t="s">
        <v>206</v>
      </c>
      <c r="E97" s="37"/>
      <c r="F97" s="37"/>
      <c r="G97" s="37"/>
      <c r="H97" s="22"/>
      <c r="I97" s="22"/>
      <c r="J97" s="22"/>
      <c r="K97" s="22"/>
      <c r="L97" s="22"/>
      <c r="M97" s="22"/>
      <c r="N97" s="22"/>
      <c r="O97" s="22"/>
      <c r="P97" s="22"/>
      <c r="Q97" s="22"/>
      <c r="R97" s="22"/>
      <c r="S97" s="22"/>
      <c r="T97" s="37"/>
      <c r="U97" s="13"/>
    </row>
    <row r="98" spans="1:21" x14ac:dyDescent="0.25">
      <c r="A98" s="72">
        <v>95</v>
      </c>
      <c r="B98" s="73" t="s">
        <v>89</v>
      </c>
      <c r="C98" s="74">
        <v>2021</v>
      </c>
      <c r="D98" s="13" t="s">
        <v>215</v>
      </c>
      <c r="E98" s="13"/>
      <c r="F98" s="13"/>
      <c r="G98" s="13"/>
      <c r="H98" s="13" t="s">
        <v>218</v>
      </c>
      <c r="I98" s="13"/>
      <c r="J98" s="13"/>
      <c r="K98" s="13"/>
      <c r="L98" s="13"/>
      <c r="M98" s="13"/>
      <c r="N98" s="13"/>
      <c r="O98" s="13"/>
      <c r="P98" s="13"/>
      <c r="Q98" s="13"/>
      <c r="R98" s="13"/>
      <c r="S98" s="13"/>
      <c r="T98" s="13"/>
      <c r="U98" s="13"/>
    </row>
    <row r="99" spans="1:21" x14ac:dyDescent="0.25">
      <c r="A99" s="72">
        <v>96</v>
      </c>
      <c r="B99" s="73" t="s">
        <v>90</v>
      </c>
      <c r="C99" s="74">
        <v>2017</v>
      </c>
      <c r="D99" s="13" t="s">
        <v>211</v>
      </c>
      <c r="E99" s="37"/>
      <c r="F99" s="37"/>
      <c r="G99" s="37"/>
      <c r="H99" s="22"/>
      <c r="I99" s="22"/>
      <c r="J99" s="22"/>
      <c r="K99" s="22"/>
      <c r="L99" s="22"/>
      <c r="M99" s="22"/>
      <c r="N99" s="22"/>
      <c r="O99" s="22"/>
      <c r="P99" s="22"/>
      <c r="Q99" s="22"/>
      <c r="R99" s="22"/>
      <c r="S99" s="22"/>
      <c r="T99" s="37"/>
      <c r="U99" s="13"/>
    </row>
    <row r="100" spans="1:21" x14ac:dyDescent="0.25">
      <c r="A100" s="72">
        <v>97</v>
      </c>
      <c r="B100" s="73" t="s">
        <v>91</v>
      </c>
      <c r="C100" s="74">
        <v>2020</v>
      </c>
      <c r="D100" s="13" t="s">
        <v>215</v>
      </c>
      <c r="E100" s="13"/>
      <c r="F100" s="13"/>
      <c r="G100" s="13"/>
      <c r="H100" s="13"/>
      <c r="I100" s="13"/>
      <c r="J100" s="13"/>
      <c r="K100" s="13"/>
      <c r="L100" s="13"/>
      <c r="M100" s="13"/>
      <c r="N100" s="13"/>
      <c r="O100" s="13"/>
      <c r="P100" s="13"/>
      <c r="Q100" s="13"/>
      <c r="R100" s="13"/>
      <c r="S100" s="13"/>
      <c r="T100" s="13"/>
      <c r="U100" s="13"/>
    </row>
    <row r="101" spans="1:21" x14ac:dyDescent="0.25">
      <c r="A101" s="72">
        <v>98</v>
      </c>
      <c r="B101" s="73" t="s">
        <v>92</v>
      </c>
      <c r="C101" s="74">
        <v>2016</v>
      </c>
      <c r="D101" s="13" t="s">
        <v>206</v>
      </c>
      <c r="E101" s="37"/>
      <c r="F101" s="37"/>
      <c r="G101" s="37"/>
      <c r="H101" s="22"/>
      <c r="I101" s="22"/>
      <c r="J101" s="22"/>
      <c r="K101" s="22"/>
      <c r="L101" s="22"/>
      <c r="M101" s="22"/>
      <c r="N101" s="22"/>
      <c r="O101" s="22"/>
      <c r="P101" s="22"/>
      <c r="Q101" s="22"/>
      <c r="R101" s="22"/>
      <c r="S101" s="22"/>
      <c r="T101" s="37"/>
      <c r="U101" s="13"/>
    </row>
    <row r="102" spans="1:21" x14ac:dyDescent="0.25">
      <c r="A102" s="72">
        <v>99</v>
      </c>
      <c r="B102" s="73" t="s">
        <v>93</v>
      </c>
      <c r="C102" s="74">
        <v>2021</v>
      </c>
      <c r="D102" s="13" t="s">
        <v>215</v>
      </c>
      <c r="E102" s="13"/>
      <c r="F102" s="13"/>
      <c r="G102" s="13"/>
      <c r="H102" s="13"/>
      <c r="I102" s="13"/>
      <c r="J102" s="13"/>
      <c r="K102" s="13"/>
      <c r="L102" s="13"/>
      <c r="M102" s="13"/>
      <c r="N102" s="13"/>
      <c r="O102" s="13"/>
      <c r="P102" s="13"/>
      <c r="Q102" s="13"/>
      <c r="R102" s="13"/>
      <c r="S102" s="13"/>
      <c r="T102" s="13"/>
      <c r="U102" s="13"/>
    </row>
    <row r="103" spans="1:21" ht="45" x14ac:dyDescent="0.25">
      <c r="A103" s="72">
        <v>100</v>
      </c>
      <c r="B103" s="73" t="s">
        <v>94</v>
      </c>
      <c r="C103" s="74">
        <v>2021</v>
      </c>
      <c r="D103" s="13" t="s">
        <v>204</v>
      </c>
      <c r="E103" s="37" t="s">
        <v>294</v>
      </c>
      <c r="F103" s="37" t="s">
        <v>293</v>
      </c>
      <c r="G103" s="37"/>
      <c r="H103" s="22"/>
      <c r="I103" s="22"/>
      <c r="J103" s="22" t="s">
        <v>226</v>
      </c>
      <c r="K103" s="22" t="s">
        <v>226</v>
      </c>
      <c r="L103" s="22" t="s">
        <v>226</v>
      </c>
      <c r="M103" s="22"/>
      <c r="N103" s="22"/>
      <c r="O103" s="22" t="s">
        <v>226</v>
      </c>
      <c r="P103" s="22"/>
      <c r="Q103" s="22"/>
      <c r="R103" s="22"/>
      <c r="S103" s="22"/>
      <c r="T103" s="37" t="s">
        <v>292</v>
      </c>
      <c r="U103" s="13"/>
    </row>
    <row r="104" spans="1:21" x14ac:dyDescent="0.25">
      <c r="A104" s="72">
        <v>101</v>
      </c>
      <c r="B104" s="73" t="s">
        <v>95</v>
      </c>
      <c r="C104" s="74">
        <v>2021</v>
      </c>
      <c r="D104" s="13" t="s">
        <v>215</v>
      </c>
      <c r="E104" s="13"/>
      <c r="F104" s="13"/>
      <c r="G104" s="13"/>
      <c r="H104" s="13"/>
      <c r="I104" s="13"/>
      <c r="J104" s="13"/>
      <c r="K104" s="13"/>
      <c r="L104" s="13"/>
      <c r="M104" s="13"/>
      <c r="N104" s="13"/>
      <c r="O104" s="13"/>
      <c r="P104" s="13"/>
      <c r="Q104" s="13"/>
      <c r="R104" s="13"/>
      <c r="S104" s="13"/>
      <c r="T104" s="13"/>
      <c r="U104" s="13"/>
    </row>
    <row r="105" spans="1:21" x14ac:dyDescent="0.25">
      <c r="A105" s="72">
        <v>102</v>
      </c>
      <c r="B105" s="73" t="s">
        <v>96</v>
      </c>
      <c r="C105" s="74">
        <v>2018</v>
      </c>
      <c r="D105" s="13" t="s">
        <v>206</v>
      </c>
      <c r="E105" s="37"/>
      <c r="F105" s="37"/>
      <c r="G105" s="37"/>
      <c r="H105" s="22"/>
      <c r="I105" s="22"/>
      <c r="J105" s="22"/>
      <c r="K105" s="22"/>
      <c r="L105" s="22"/>
      <c r="M105" s="22"/>
      <c r="N105" s="22"/>
      <c r="O105" s="22"/>
      <c r="P105" s="22"/>
      <c r="Q105" s="22"/>
      <c r="R105" s="22"/>
      <c r="S105" s="22"/>
      <c r="T105" s="37"/>
      <c r="U105" s="13"/>
    </row>
    <row r="106" spans="1:21" x14ac:dyDescent="0.25">
      <c r="A106" s="72">
        <v>103</v>
      </c>
      <c r="B106" s="73" t="s">
        <v>97</v>
      </c>
      <c r="C106" s="74">
        <v>2021</v>
      </c>
      <c r="D106" s="13" t="s">
        <v>206</v>
      </c>
      <c r="E106" s="37"/>
      <c r="F106" s="37"/>
      <c r="G106" s="37"/>
      <c r="H106" s="22"/>
      <c r="I106" s="22"/>
      <c r="J106" s="22"/>
      <c r="K106" s="22"/>
      <c r="L106" s="22"/>
      <c r="M106" s="22"/>
      <c r="N106" s="22"/>
      <c r="O106" s="22"/>
      <c r="P106" s="22"/>
      <c r="Q106" s="22"/>
      <c r="R106" s="22"/>
      <c r="S106" s="22"/>
      <c r="T106" s="37"/>
      <c r="U106" s="13"/>
    </row>
    <row r="107" spans="1:21" x14ac:dyDescent="0.25">
      <c r="A107" s="72">
        <v>104</v>
      </c>
      <c r="B107" s="73" t="s">
        <v>98</v>
      </c>
      <c r="C107" s="74">
        <v>2021</v>
      </c>
      <c r="D107" s="13" t="s">
        <v>206</v>
      </c>
      <c r="E107" s="37"/>
      <c r="F107" s="37"/>
      <c r="G107" s="37"/>
      <c r="H107" s="22"/>
      <c r="I107" s="22"/>
      <c r="J107" s="22"/>
      <c r="K107" s="22"/>
      <c r="L107" s="22"/>
      <c r="M107" s="22"/>
      <c r="N107" s="22"/>
      <c r="O107" s="22"/>
      <c r="P107" s="22"/>
      <c r="Q107" s="22"/>
      <c r="R107" s="22"/>
      <c r="S107" s="22"/>
      <c r="T107" s="37"/>
      <c r="U107" s="13"/>
    </row>
    <row r="108" spans="1:21" x14ac:dyDescent="0.25">
      <c r="A108" s="72">
        <v>105</v>
      </c>
      <c r="B108" s="73" t="s">
        <v>99</v>
      </c>
      <c r="C108" s="74">
        <v>2021</v>
      </c>
      <c r="D108" s="13" t="s">
        <v>212</v>
      </c>
      <c r="E108" s="37"/>
      <c r="F108" s="37"/>
      <c r="G108" s="37"/>
      <c r="H108" s="22"/>
      <c r="I108" s="22"/>
      <c r="J108" s="22"/>
      <c r="K108" s="22"/>
      <c r="L108" s="22"/>
      <c r="M108" s="22"/>
      <c r="N108" s="22"/>
      <c r="O108" s="22"/>
      <c r="P108" s="22"/>
      <c r="Q108" s="22"/>
      <c r="R108" s="22"/>
      <c r="S108" s="22"/>
      <c r="T108" s="37"/>
      <c r="U108" s="13"/>
    </row>
    <row r="109" spans="1:21" x14ac:dyDescent="0.25">
      <c r="A109" s="72">
        <v>106</v>
      </c>
      <c r="B109" s="73" t="s">
        <v>100</v>
      </c>
      <c r="C109" s="74">
        <v>2021</v>
      </c>
      <c r="D109" s="13" t="s">
        <v>206</v>
      </c>
      <c r="E109" s="37"/>
      <c r="F109" s="37"/>
      <c r="G109" s="37"/>
      <c r="H109" s="22"/>
      <c r="I109" s="22"/>
      <c r="J109" s="22"/>
      <c r="K109" s="22"/>
      <c r="L109" s="22"/>
      <c r="M109" s="22"/>
      <c r="N109" s="22"/>
      <c r="O109" s="22"/>
      <c r="P109" s="22"/>
      <c r="Q109" s="22"/>
      <c r="R109" s="22"/>
      <c r="S109" s="22"/>
      <c r="T109" s="37"/>
      <c r="U109" s="13"/>
    </row>
    <row r="110" spans="1:21" x14ac:dyDescent="0.25">
      <c r="A110" s="72">
        <v>107</v>
      </c>
      <c r="B110" s="73" t="s">
        <v>101</v>
      </c>
      <c r="C110" s="74">
        <v>2017</v>
      </c>
      <c r="D110" s="13" t="s">
        <v>206</v>
      </c>
      <c r="E110" s="37"/>
      <c r="F110" s="37"/>
      <c r="G110" s="37"/>
      <c r="H110" s="22"/>
      <c r="I110" s="22"/>
      <c r="J110" s="22"/>
      <c r="K110" s="22"/>
      <c r="L110" s="22"/>
      <c r="M110" s="22"/>
      <c r="N110" s="22"/>
      <c r="O110" s="22"/>
      <c r="P110" s="22"/>
      <c r="Q110" s="22"/>
      <c r="R110" s="22"/>
      <c r="S110" s="22"/>
      <c r="T110" s="37"/>
      <c r="U110" s="13"/>
    </row>
    <row r="111" spans="1:21" ht="30" x14ac:dyDescent="0.25">
      <c r="A111" s="72">
        <v>108</v>
      </c>
      <c r="B111" s="73" t="s">
        <v>102</v>
      </c>
      <c r="C111" s="74">
        <v>2018</v>
      </c>
      <c r="D111" s="13" t="s">
        <v>204</v>
      </c>
      <c r="E111" s="37" t="s">
        <v>295</v>
      </c>
      <c r="F111" s="37"/>
      <c r="G111" s="37"/>
      <c r="H111" s="22" t="s">
        <v>226</v>
      </c>
      <c r="I111" s="22"/>
      <c r="J111" s="22"/>
      <c r="K111" s="22"/>
      <c r="L111" s="22"/>
      <c r="M111" s="22"/>
      <c r="N111" s="22" t="s">
        <v>226</v>
      </c>
      <c r="O111" s="22" t="s">
        <v>226</v>
      </c>
      <c r="P111" s="22" t="s">
        <v>226</v>
      </c>
      <c r="Q111" s="22"/>
      <c r="R111" s="22"/>
      <c r="S111" s="22" t="s">
        <v>226</v>
      </c>
      <c r="T111" s="37"/>
      <c r="U111" s="13"/>
    </row>
    <row r="112" spans="1:21" x14ac:dyDescent="0.25">
      <c r="A112" s="72">
        <v>109</v>
      </c>
      <c r="B112" s="73" t="s">
        <v>103</v>
      </c>
      <c r="C112" s="74">
        <v>2017</v>
      </c>
      <c r="D112" s="13" t="s">
        <v>215</v>
      </c>
      <c r="E112" s="13"/>
      <c r="F112" s="13"/>
      <c r="G112" s="13"/>
      <c r="H112" s="13"/>
      <c r="I112" s="13"/>
      <c r="J112" s="13"/>
      <c r="K112" s="13"/>
      <c r="L112" s="13"/>
      <c r="M112" s="13"/>
      <c r="N112" s="13"/>
      <c r="O112" s="13"/>
      <c r="P112" s="13"/>
      <c r="Q112" s="13"/>
      <c r="R112" s="13"/>
      <c r="S112" s="13"/>
      <c r="T112" s="13"/>
      <c r="U112" s="13"/>
    </row>
    <row r="113" spans="1:21" x14ac:dyDescent="0.25">
      <c r="A113" s="72">
        <v>110</v>
      </c>
      <c r="B113" s="73" t="s">
        <v>104</v>
      </c>
      <c r="C113" s="74">
        <v>2020</v>
      </c>
      <c r="D113" s="13" t="s">
        <v>206</v>
      </c>
      <c r="E113" s="37"/>
      <c r="F113" s="37"/>
      <c r="G113" s="37"/>
      <c r="H113" s="22"/>
      <c r="I113" s="22"/>
      <c r="J113" s="22"/>
      <c r="K113" s="22"/>
      <c r="L113" s="22"/>
      <c r="M113" s="22"/>
      <c r="N113" s="22"/>
      <c r="O113" s="22"/>
      <c r="P113" s="22"/>
      <c r="Q113" s="22"/>
      <c r="R113" s="22"/>
      <c r="S113" s="22"/>
      <c r="T113" s="37"/>
      <c r="U113" s="13"/>
    </row>
    <row r="114" spans="1:21" x14ac:dyDescent="0.25">
      <c r="A114" s="72">
        <v>111</v>
      </c>
      <c r="B114" s="73" t="s">
        <v>105</v>
      </c>
      <c r="C114" s="74">
        <v>2019</v>
      </c>
      <c r="D114" s="13" t="s">
        <v>206</v>
      </c>
      <c r="E114" s="37"/>
      <c r="F114" s="37"/>
      <c r="G114" s="37"/>
      <c r="H114" s="22"/>
      <c r="I114" s="22"/>
      <c r="J114" s="22"/>
      <c r="K114" s="22"/>
      <c r="L114" s="22"/>
      <c r="M114" s="22"/>
      <c r="N114" s="22"/>
      <c r="O114" s="22"/>
      <c r="P114" s="22"/>
      <c r="Q114" s="22"/>
      <c r="R114" s="22"/>
      <c r="S114" s="22"/>
      <c r="T114" s="37"/>
      <c r="U114" s="13"/>
    </row>
    <row r="115" spans="1:21" x14ac:dyDescent="0.25">
      <c r="A115" s="72">
        <v>112</v>
      </c>
      <c r="B115" s="73" t="s">
        <v>106</v>
      </c>
      <c r="C115" s="74">
        <v>2021</v>
      </c>
      <c r="D115" s="13" t="s">
        <v>212</v>
      </c>
      <c r="E115" s="37"/>
      <c r="F115" s="37"/>
      <c r="G115" s="37"/>
      <c r="H115" s="22"/>
      <c r="I115" s="22"/>
      <c r="J115" s="22"/>
      <c r="K115" s="22"/>
      <c r="L115" s="22"/>
      <c r="M115" s="22"/>
      <c r="N115" s="22"/>
      <c r="O115" s="22"/>
      <c r="P115" s="22"/>
      <c r="Q115" s="22"/>
      <c r="R115" s="22"/>
      <c r="S115" s="22"/>
      <c r="T115" s="37"/>
      <c r="U115" s="13"/>
    </row>
    <row r="116" spans="1:21" x14ac:dyDescent="0.25">
      <c r="A116" s="72">
        <v>113</v>
      </c>
      <c r="B116" s="73" t="s">
        <v>107</v>
      </c>
      <c r="C116" s="74">
        <v>2020</v>
      </c>
      <c r="D116" s="13" t="s">
        <v>206</v>
      </c>
      <c r="E116" s="37"/>
      <c r="F116" s="37"/>
      <c r="G116" s="37"/>
      <c r="H116" s="22"/>
      <c r="I116" s="22"/>
      <c r="J116" s="22"/>
      <c r="K116" s="22"/>
      <c r="L116" s="22"/>
      <c r="M116" s="22"/>
      <c r="N116" s="22"/>
      <c r="O116" s="22"/>
      <c r="P116" s="22"/>
      <c r="Q116" s="22"/>
      <c r="R116" s="22"/>
      <c r="S116" s="22"/>
      <c r="T116" s="37"/>
      <c r="U116" s="13"/>
    </row>
    <row r="117" spans="1:21" x14ac:dyDescent="0.25">
      <c r="A117" s="72">
        <v>114</v>
      </c>
      <c r="B117" s="73" t="s">
        <v>108</v>
      </c>
      <c r="C117" s="74">
        <v>2018</v>
      </c>
      <c r="D117" s="13" t="s">
        <v>271</v>
      </c>
      <c r="E117" s="37"/>
      <c r="F117" s="37"/>
      <c r="G117" s="37"/>
      <c r="H117" s="22"/>
      <c r="I117" s="22"/>
      <c r="J117" s="22"/>
      <c r="K117" s="22"/>
      <c r="L117" s="22"/>
      <c r="M117" s="22"/>
      <c r="N117" s="22"/>
      <c r="O117" s="22"/>
      <c r="P117" s="22"/>
      <c r="Q117" s="22"/>
      <c r="R117" s="22"/>
      <c r="S117" s="22"/>
      <c r="T117" s="37"/>
      <c r="U117" s="13"/>
    </row>
    <row r="118" spans="1:21" x14ac:dyDescent="0.25">
      <c r="A118" s="72">
        <v>115</v>
      </c>
      <c r="B118" s="73" t="s">
        <v>109</v>
      </c>
      <c r="C118" s="74">
        <v>2021</v>
      </c>
      <c r="D118" s="13" t="s">
        <v>206</v>
      </c>
      <c r="E118" s="37"/>
      <c r="F118" s="37"/>
      <c r="G118" s="37"/>
      <c r="H118" s="22"/>
      <c r="I118" s="22"/>
      <c r="J118" s="22"/>
      <c r="K118" s="22"/>
      <c r="L118" s="22"/>
      <c r="M118" s="22"/>
      <c r="N118" s="22"/>
      <c r="O118" s="22"/>
      <c r="P118" s="22"/>
      <c r="Q118" s="22"/>
      <c r="R118" s="22"/>
      <c r="S118" s="22"/>
      <c r="T118" s="37"/>
      <c r="U118" s="13"/>
    </row>
    <row r="119" spans="1:21" x14ac:dyDescent="0.25">
      <c r="A119" s="72">
        <v>116</v>
      </c>
      <c r="B119" s="73" t="s">
        <v>110</v>
      </c>
      <c r="C119" s="74">
        <v>2022</v>
      </c>
      <c r="D119" s="13" t="s">
        <v>206</v>
      </c>
      <c r="E119" s="37"/>
      <c r="F119" s="37"/>
      <c r="G119" s="37"/>
      <c r="H119" s="22"/>
      <c r="I119" s="22"/>
      <c r="J119" s="22"/>
      <c r="K119" s="22"/>
      <c r="L119" s="22"/>
      <c r="M119" s="22"/>
      <c r="N119" s="22"/>
      <c r="O119" s="22"/>
      <c r="P119" s="22"/>
      <c r="Q119" s="22"/>
      <c r="R119" s="22"/>
      <c r="S119" s="22"/>
      <c r="T119" s="37"/>
      <c r="U119" s="13"/>
    </row>
    <row r="120" spans="1:21" x14ac:dyDescent="0.25">
      <c r="A120" s="72">
        <v>117</v>
      </c>
      <c r="B120" s="73" t="s">
        <v>111</v>
      </c>
      <c r="C120" s="74">
        <v>2021</v>
      </c>
      <c r="D120" s="13" t="s">
        <v>206</v>
      </c>
      <c r="E120" s="37"/>
      <c r="F120" s="37"/>
      <c r="G120" s="37"/>
      <c r="H120" s="22"/>
      <c r="I120" s="22"/>
      <c r="J120" s="22"/>
      <c r="K120" s="22"/>
      <c r="L120" s="22"/>
      <c r="M120" s="22"/>
      <c r="N120" s="22"/>
      <c r="O120" s="22"/>
      <c r="P120" s="22"/>
      <c r="Q120" s="22"/>
      <c r="R120" s="22"/>
      <c r="S120" s="22"/>
      <c r="T120" s="37"/>
      <c r="U120" s="13"/>
    </row>
    <row r="121" spans="1:21" x14ac:dyDescent="0.25">
      <c r="A121" s="72">
        <v>118</v>
      </c>
      <c r="B121" s="73" t="s">
        <v>112</v>
      </c>
      <c r="C121" s="74">
        <v>2020</v>
      </c>
      <c r="D121" s="13" t="s">
        <v>206</v>
      </c>
      <c r="E121" s="37"/>
      <c r="F121" s="37"/>
      <c r="G121" s="37"/>
      <c r="H121" s="22"/>
      <c r="I121" s="22"/>
      <c r="J121" s="22"/>
      <c r="K121" s="22"/>
      <c r="L121" s="22"/>
      <c r="M121" s="22"/>
      <c r="N121" s="22"/>
      <c r="O121" s="22"/>
      <c r="P121" s="22"/>
      <c r="Q121" s="22"/>
      <c r="R121" s="22"/>
      <c r="S121" s="22"/>
      <c r="T121" s="37"/>
      <c r="U121" s="13"/>
    </row>
    <row r="122" spans="1:21" ht="30" x14ac:dyDescent="0.25">
      <c r="A122" s="72">
        <v>119</v>
      </c>
      <c r="B122" s="73" t="s">
        <v>113</v>
      </c>
      <c r="C122" s="74">
        <v>2020</v>
      </c>
      <c r="D122" s="13" t="s">
        <v>204</v>
      </c>
      <c r="E122" s="37" t="s">
        <v>296</v>
      </c>
      <c r="F122" s="37"/>
      <c r="G122" s="37"/>
      <c r="H122" s="22"/>
      <c r="I122" s="22"/>
      <c r="J122" s="22"/>
      <c r="K122" s="22" t="s">
        <v>226</v>
      </c>
      <c r="L122" s="22"/>
      <c r="M122" s="22" t="s">
        <v>226</v>
      </c>
      <c r="N122" s="22"/>
      <c r="O122" s="22"/>
      <c r="P122" s="22"/>
      <c r="Q122" s="22"/>
      <c r="R122" s="22" t="s">
        <v>226</v>
      </c>
      <c r="S122" s="22"/>
      <c r="T122" s="37" t="s">
        <v>297</v>
      </c>
      <c r="U122" s="13"/>
    </row>
    <row r="123" spans="1:21" x14ac:dyDescent="0.25">
      <c r="A123" s="72">
        <v>120</v>
      </c>
      <c r="B123" s="73" t="s">
        <v>114</v>
      </c>
      <c r="C123" s="74">
        <v>2021</v>
      </c>
      <c r="D123" s="13" t="s">
        <v>206</v>
      </c>
      <c r="E123" s="37"/>
      <c r="F123" s="37"/>
      <c r="G123" s="37"/>
      <c r="H123" s="22"/>
      <c r="I123" s="22"/>
      <c r="J123" s="22"/>
      <c r="K123" s="22"/>
      <c r="L123" s="22"/>
      <c r="M123" s="22"/>
      <c r="N123" s="22"/>
      <c r="O123" s="22"/>
      <c r="P123" s="22"/>
      <c r="Q123" s="22"/>
      <c r="R123" s="22"/>
      <c r="S123" s="22"/>
      <c r="T123" s="37"/>
      <c r="U123" s="13"/>
    </row>
    <row r="124" spans="1:21" x14ac:dyDescent="0.25">
      <c r="A124" s="72">
        <v>121</v>
      </c>
      <c r="B124" s="73" t="s">
        <v>115</v>
      </c>
      <c r="C124" s="74">
        <v>2021</v>
      </c>
      <c r="D124" s="13" t="s">
        <v>206</v>
      </c>
      <c r="E124" s="37"/>
      <c r="F124" s="37"/>
      <c r="G124" s="37"/>
      <c r="H124" s="22"/>
      <c r="I124" s="22"/>
      <c r="J124" s="22"/>
      <c r="K124" s="22"/>
      <c r="L124" s="22"/>
      <c r="M124" s="22"/>
      <c r="N124" s="22"/>
      <c r="O124" s="22"/>
      <c r="P124" s="22"/>
      <c r="Q124" s="22"/>
      <c r="R124" s="22"/>
      <c r="S124" s="22"/>
      <c r="T124" s="37"/>
      <c r="U124" s="13"/>
    </row>
    <row r="125" spans="1:21" ht="30" x14ac:dyDescent="0.25">
      <c r="A125" s="72">
        <v>122</v>
      </c>
      <c r="B125" s="73" t="s">
        <v>116</v>
      </c>
      <c r="C125" s="74">
        <v>2022</v>
      </c>
      <c r="D125" s="13" t="s">
        <v>204</v>
      </c>
      <c r="E125" s="37" t="s">
        <v>298</v>
      </c>
      <c r="F125" s="37" t="s">
        <v>299</v>
      </c>
      <c r="G125" s="37"/>
      <c r="H125" s="22"/>
      <c r="I125" s="22"/>
      <c r="J125" s="22" t="s">
        <v>226</v>
      </c>
      <c r="K125" s="22"/>
      <c r="L125" s="22"/>
      <c r="M125" s="22"/>
      <c r="N125" s="22"/>
      <c r="O125" s="22" t="s">
        <v>226</v>
      </c>
      <c r="P125" s="22" t="s">
        <v>226</v>
      </c>
      <c r="Q125" s="22"/>
      <c r="R125" s="22" t="s">
        <v>226</v>
      </c>
      <c r="S125" s="22"/>
      <c r="T125" s="37"/>
      <c r="U125" s="13"/>
    </row>
    <row r="126" spans="1:21" ht="30" x14ac:dyDescent="0.25">
      <c r="A126" s="72">
        <v>123</v>
      </c>
      <c r="B126" s="73" t="s">
        <v>117</v>
      </c>
      <c r="C126" s="74">
        <v>2020</v>
      </c>
      <c r="D126" s="13" t="s">
        <v>204</v>
      </c>
      <c r="E126" s="37" t="s">
        <v>300</v>
      </c>
      <c r="F126" s="37" t="s">
        <v>301</v>
      </c>
      <c r="G126" s="37"/>
      <c r="H126" s="22" t="s">
        <v>226</v>
      </c>
      <c r="I126" s="22"/>
      <c r="J126" s="22"/>
      <c r="K126" s="22"/>
      <c r="L126" s="22"/>
      <c r="M126" s="22"/>
      <c r="N126" s="22"/>
      <c r="O126" s="22" t="s">
        <v>226</v>
      </c>
      <c r="P126" s="22"/>
      <c r="Q126" s="22"/>
      <c r="R126" s="22" t="s">
        <v>226</v>
      </c>
      <c r="S126" s="22" t="s">
        <v>226</v>
      </c>
      <c r="T126" s="37" t="s">
        <v>273</v>
      </c>
      <c r="U126" s="13"/>
    </row>
    <row r="127" spans="1:21" x14ac:dyDescent="0.25">
      <c r="A127" s="72">
        <v>124</v>
      </c>
      <c r="B127" s="73" t="s">
        <v>118</v>
      </c>
      <c r="C127" s="74">
        <v>2021</v>
      </c>
      <c r="D127" s="13" t="s">
        <v>206</v>
      </c>
      <c r="E127" s="37"/>
      <c r="F127" s="37"/>
      <c r="G127" s="37"/>
      <c r="H127" s="22"/>
      <c r="I127" s="22"/>
      <c r="J127" s="22"/>
      <c r="K127" s="22"/>
      <c r="L127" s="22"/>
      <c r="M127" s="22"/>
      <c r="N127" s="22"/>
      <c r="O127" s="22"/>
      <c r="P127" s="22"/>
      <c r="Q127" s="22"/>
      <c r="R127" s="22"/>
      <c r="S127" s="22"/>
      <c r="T127" s="37"/>
      <c r="U127" s="13"/>
    </row>
    <row r="128" spans="1:21" x14ac:dyDescent="0.25">
      <c r="A128" s="72">
        <v>125</v>
      </c>
      <c r="B128" s="73" t="s">
        <v>119</v>
      </c>
      <c r="C128" s="74">
        <v>2022</v>
      </c>
      <c r="D128" s="13" t="s">
        <v>206</v>
      </c>
      <c r="E128" s="37"/>
      <c r="F128" s="37"/>
      <c r="G128" s="37"/>
      <c r="H128" s="22"/>
      <c r="I128" s="22"/>
      <c r="J128" s="22"/>
      <c r="K128" s="22"/>
      <c r="L128" s="22"/>
      <c r="M128" s="22"/>
      <c r="N128" s="22"/>
      <c r="O128" s="22"/>
      <c r="P128" s="22"/>
      <c r="Q128" s="22"/>
      <c r="R128" s="22"/>
      <c r="S128" s="22"/>
      <c r="T128" s="37"/>
      <c r="U128" s="13"/>
    </row>
    <row r="129" spans="1:21" x14ac:dyDescent="0.25">
      <c r="A129" s="72">
        <v>126</v>
      </c>
      <c r="B129" s="73" t="s">
        <v>120</v>
      </c>
      <c r="C129" s="74">
        <v>2021</v>
      </c>
      <c r="D129" s="13" t="s">
        <v>206</v>
      </c>
      <c r="E129" s="37"/>
      <c r="F129" s="37"/>
      <c r="G129" s="37"/>
      <c r="H129" s="22"/>
      <c r="I129" s="22"/>
      <c r="J129" s="22"/>
      <c r="K129" s="22"/>
      <c r="L129" s="22"/>
      <c r="M129" s="22"/>
      <c r="N129" s="22"/>
      <c r="O129" s="22"/>
      <c r="P129" s="22"/>
      <c r="Q129" s="22"/>
      <c r="R129" s="22"/>
      <c r="S129" s="22"/>
      <c r="T129" s="37"/>
      <c r="U129" s="13"/>
    </row>
    <row r="130" spans="1:21" x14ac:dyDescent="0.25">
      <c r="A130" s="72">
        <v>127</v>
      </c>
      <c r="B130" s="73" t="s">
        <v>121</v>
      </c>
      <c r="C130" s="74">
        <v>2021</v>
      </c>
      <c r="D130" s="13" t="s">
        <v>206</v>
      </c>
      <c r="E130" s="37"/>
      <c r="F130" s="37"/>
      <c r="G130" s="37"/>
      <c r="H130" s="22"/>
      <c r="I130" s="22"/>
      <c r="J130" s="22"/>
      <c r="K130" s="22"/>
      <c r="L130" s="22"/>
      <c r="M130" s="22"/>
      <c r="N130" s="22"/>
      <c r="O130" s="22"/>
      <c r="P130" s="22"/>
      <c r="Q130" s="22"/>
      <c r="R130" s="22"/>
      <c r="S130" s="22"/>
      <c r="T130" s="37"/>
      <c r="U130" s="13"/>
    </row>
    <row r="131" spans="1:21" x14ac:dyDescent="0.25">
      <c r="A131" s="72">
        <v>128</v>
      </c>
      <c r="B131" s="73" t="s">
        <v>122</v>
      </c>
      <c r="C131" s="74">
        <v>2016</v>
      </c>
      <c r="D131" s="13" t="s">
        <v>206</v>
      </c>
      <c r="E131" s="37"/>
      <c r="F131" s="37"/>
      <c r="G131" s="37"/>
      <c r="H131" s="22"/>
      <c r="I131" s="22"/>
      <c r="J131" s="22"/>
      <c r="K131" s="22"/>
      <c r="L131" s="22"/>
      <c r="M131" s="22"/>
      <c r="N131" s="22"/>
      <c r="O131" s="22"/>
      <c r="P131" s="22"/>
      <c r="Q131" s="22"/>
      <c r="R131" s="22"/>
      <c r="S131" s="22"/>
      <c r="T131" s="37"/>
      <c r="U131" s="13"/>
    </row>
    <row r="132" spans="1:21" x14ac:dyDescent="0.25">
      <c r="A132" s="72">
        <v>129</v>
      </c>
      <c r="B132" s="73" t="s">
        <v>123</v>
      </c>
      <c r="C132" s="74">
        <v>2021</v>
      </c>
      <c r="D132" s="13" t="s">
        <v>206</v>
      </c>
      <c r="E132" s="37"/>
      <c r="F132" s="37"/>
      <c r="G132" s="37"/>
      <c r="H132" s="22"/>
      <c r="I132" s="22"/>
      <c r="J132" s="22"/>
      <c r="K132" s="22"/>
      <c r="L132" s="22"/>
      <c r="M132" s="22"/>
      <c r="N132" s="22"/>
      <c r="O132" s="22"/>
      <c r="P132" s="22"/>
      <c r="Q132" s="22"/>
      <c r="R132" s="22"/>
      <c r="S132" s="22"/>
      <c r="T132" s="37"/>
      <c r="U132" s="13"/>
    </row>
    <row r="133" spans="1:21" x14ac:dyDescent="0.25">
      <c r="A133" s="72">
        <v>130</v>
      </c>
      <c r="B133" s="73" t="s">
        <v>124</v>
      </c>
      <c r="C133" s="74">
        <v>2021</v>
      </c>
      <c r="D133" s="13" t="s">
        <v>206</v>
      </c>
      <c r="E133" s="37"/>
      <c r="F133" s="37"/>
      <c r="G133" s="37"/>
      <c r="H133" s="22"/>
      <c r="I133" s="22"/>
      <c r="J133" s="22"/>
      <c r="K133" s="22"/>
      <c r="L133" s="22"/>
      <c r="M133" s="22"/>
      <c r="N133" s="22"/>
      <c r="O133" s="22"/>
      <c r="P133" s="22"/>
      <c r="Q133" s="22"/>
      <c r="R133" s="22"/>
      <c r="S133" s="22"/>
      <c r="T133" s="37"/>
      <c r="U133" s="13"/>
    </row>
    <row r="134" spans="1:21" x14ac:dyDescent="0.25">
      <c r="A134" s="72">
        <v>131</v>
      </c>
      <c r="B134" s="73" t="s">
        <v>125</v>
      </c>
      <c r="C134" s="74">
        <v>2017</v>
      </c>
      <c r="D134" s="13" t="s">
        <v>215</v>
      </c>
      <c r="E134" s="13"/>
      <c r="F134" s="13"/>
      <c r="G134" s="13"/>
      <c r="H134" s="13"/>
      <c r="I134" s="13"/>
      <c r="J134" s="13"/>
      <c r="K134" s="13"/>
      <c r="L134" s="13"/>
      <c r="M134" s="13"/>
      <c r="N134" s="13"/>
      <c r="O134" s="13"/>
      <c r="P134" s="13"/>
      <c r="Q134" s="13"/>
      <c r="R134" s="13"/>
      <c r="S134" s="13"/>
      <c r="T134" s="13"/>
      <c r="U134" s="13"/>
    </row>
    <row r="135" spans="1:21" ht="60" x14ac:dyDescent="0.25">
      <c r="A135" s="72">
        <v>132</v>
      </c>
      <c r="B135" s="73" t="s">
        <v>126</v>
      </c>
      <c r="C135" s="74">
        <v>2019</v>
      </c>
      <c r="D135" s="13" t="s">
        <v>204</v>
      </c>
      <c r="E135" s="37" t="s">
        <v>302</v>
      </c>
      <c r="F135" s="37" t="s">
        <v>304</v>
      </c>
      <c r="G135" s="37"/>
      <c r="H135" s="22"/>
      <c r="I135" s="22" t="s">
        <v>226</v>
      </c>
      <c r="J135" s="22" t="s">
        <v>226</v>
      </c>
      <c r="K135" s="22" t="s">
        <v>226</v>
      </c>
      <c r="L135" s="22"/>
      <c r="M135" s="22" t="s">
        <v>226</v>
      </c>
      <c r="N135" s="22"/>
      <c r="O135" s="22" t="s">
        <v>226</v>
      </c>
      <c r="P135" s="22" t="s">
        <v>226</v>
      </c>
      <c r="Q135" s="22"/>
      <c r="R135" s="22"/>
      <c r="S135" s="22"/>
      <c r="T135" s="37" t="s">
        <v>303</v>
      </c>
      <c r="U135" s="13"/>
    </row>
    <row r="136" spans="1:21" x14ac:dyDescent="0.25">
      <c r="A136" s="72">
        <v>133</v>
      </c>
      <c r="B136" s="73" t="s">
        <v>127</v>
      </c>
      <c r="C136" s="74">
        <v>2020</v>
      </c>
      <c r="D136" s="13" t="s">
        <v>211</v>
      </c>
      <c r="E136" s="37"/>
      <c r="F136" s="37"/>
      <c r="G136" s="37"/>
      <c r="H136" s="22"/>
      <c r="I136" s="22"/>
      <c r="J136" s="22"/>
      <c r="K136" s="22"/>
      <c r="L136" s="22"/>
      <c r="M136" s="22"/>
      <c r="N136" s="22"/>
      <c r="O136" s="22"/>
      <c r="P136" s="22"/>
      <c r="Q136" s="22"/>
      <c r="R136" s="22"/>
      <c r="S136" s="22"/>
      <c r="T136" s="37"/>
      <c r="U136" s="13"/>
    </row>
    <row r="137" spans="1:21" x14ac:dyDescent="0.25">
      <c r="A137" s="72">
        <v>134</v>
      </c>
      <c r="B137" s="73" t="s">
        <v>128</v>
      </c>
      <c r="C137" s="74">
        <v>2021</v>
      </c>
      <c r="D137" s="13" t="s">
        <v>206</v>
      </c>
      <c r="E137" s="37"/>
      <c r="F137" s="37"/>
      <c r="G137" s="37"/>
      <c r="H137" s="22"/>
      <c r="I137" s="22"/>
      <c r="J137" s="22"/>
      <c r="K137" s="22"/>
      <c r="L137" s="22"/>
      <c r="M137" s="22"/>
      <c r="N137" s="22"/>
      <c r="O137" s="22"/>
      <c r="P137" s="22"/>
      <c r="Q137" s="22"/>
      <c r="R137" s="22"/>
      <c r="S137" s="22"/>
      <c r="T137" s="37"/>
      <c r="U137" s="13"/>
    </row>
    <row r="138" spans="1:21" x14ac:dyDescent="0.25">
      <c r="A138" s="72">
        <v>135</v>
      </c>
      <c r="B138" s="73" t="s">
        <v>129</v>
      </c>
      <c r="C138" s="74">
        <v>2020</v>
      </c>
      <c r="D138" s="13" t="s">
        <v>305</v>
      </c>
      <c r="E138" s="37"/>
      <c r="F138" s="37"/>
      <c r="G138" s="37"/>
      <c r="H138" s="22"/>
      <c r="I138" s="22"/>
      <c r="J138" s="22"/>
      <c r="K138" s="22"/>
      <c r="L138" s="22"/>
      <c r="M138" s="22"/>
      <c r="N138" s="22"/>
      <c r="O138" s="22"/>
      <c r="P138" s="22"/>
      <c r="Q138" s="22"/>
      <c r="R138" s="22"/>
      <c r="S138" s="22"/>
      <c r="T138" s="37"/>
      <c r="U138" s="13"/>
    </row>
    <row r="139" spans="1:21" x14ac:dyDescent="0.25">
      <c r="A139" s="72">
        <v>136</v>
      </c>
      <c r="B139" s="73" t="s">
        <v>130</v>
      </c>
      <c r="C139" s="74">
        <v>2021</v>
      </c>
      <c r="D139" s="13" t="s">
        <v>206</v>
      </c>
      <c r="E139" s="37"/>
      <c r="F139" s="37"/>
      <c r="G139" s="37"/>
      <c r="H139" s="22"/>
      <c r="I139" s="22"/>
      <c r="J139" s="22"/>
      <c r="K139" s="22"/>
      <c r="L139" s="22"/>
      <c r="M139" s="22"/>
      <c r="N139" s="22"/>
      <c r="O139" s="22"/>
      <c r="P139" s="22"/>
      <c r="Q139" s="22"/>
      <c r="R139" s="22"/>
      <c r="S139" s="22"/>
      <c r="T139" s="37"/>
      <c r="U139" s="13"/>
    </row>
    <row r="140" spans="1:21" x14ac:dyDescent="0.25">
      <c r="A140" s="72">
        <v>137</v>
      </c>
      <c r="B140" s="73" t="s">
        <v>131</v>
      </c>
      <c r="C140" s="74">
        <v>2021</v>
      </c>
      <c r="D140" s="13" t="s">
        <v>206</v>
      </c>
      <c r="E140" s="37"/>
      <c r="F140" s="37"/>
      <c r="G140" s="37"/>
      <c r="H140" s="22"/>
      <c r="I140" s="22"/>
      <c r="J140" s="22"/>
      <c r="K140" s="22"/>
      <c r="L140" s="22"/>
      <c r="M140" s="22"/>
      <c r="N140" s="22"/>
      <c r="O140" s="22"/>
      <c r="P140" s="22"/>
      <c r="Q140" s="22"/>
      <c r="R140" s="22"/>
      <c r="S140" s="22"/>
      <c r="T140" s="37"/>
      <c r="U140" s="13"/>
    </row>
    <row r="141" spans="1:21" x14ac:dyDescent="0.25">
      <c r="A141" s="72">
        <v>138</v>
      </c>
      <c r="B141" s="73" t="s">
        <v>132</v>
      </c>
      <c r="C141" s="74">
        <v>2020</v>
      </c>
      <c r="D141" s="13" t="s">
        <v>206</v>
      </c>
      <c r="E141" s="37"/>
      <c r="F141" s="37"/>
      <c r="G141" s="37"/>
      <c r="H141" s="22"/>
      <c r="I141" s="22"/>
      <c r="J141" s="22"/>
      <c r="K141" s="22"/>
      <c r="L141" s="22"/>
      <c r="M141" s="22"/>
      <c r="N141" s="22"/>
      <c r="O141" s="22"/>
      <c r="P141" s="22"/>
      <c r="Q141" s="22"/>
      <c r="R141" s="22"/>
      <c r="S141" s="22"/>
      <c r="T141" s="37"/>
      <c r="U141" s="13"/>
    </row>
    <row r="142" spans="1:21" x14ac:dyDescent="0.25">
      <c r="A142" s="72">
        <v>139</v>
      </c>
      <c r="B142" s="73" t="s">
        <v>133</v>
      </c>
      <c r="C142" s="74">
        <v>2016</v>
      </c>
      <c r="D142" s="13" t="s">
        <v>206</v>
      </c>
      <c r="E142" s="37"/>
      <c r="F142" s="37"/>
      <c r="G142" s="37"/>
      <c r="H142" s="22"/>
      <c r="I142" s="22"/>
      <c r="J142" s="22"/>
      <c r="K142" s="22"/>
      <c r="L142" s="22"/>
      <c r="M142" s="22"/>
      <c r="N142" s="22"/>
      <c r="O142" s="22"/>
      <c r="P142" s="22"/>
      <c r="Q142" s="22"/>
      <c r="R142" s="22"/>
      <c r="S142" s="22"/>
      <c r="T142" s="37"/>
      <c r="U142" s="13"/>
    </row>
    <row r="143" spans="1:21" x14ac:dyDescent="0.25">
      <c r="A143" s="72">
        <v>140</v>
      </c>
      <c r="B143" s="73" t="s">
        <v>134</v>
      </c>
      <c r="C143" s="74">
        <v>2022</v>
      </c>
      <c r="D143" s="13" t="s">
        <v>206</v>
      </c>
      <c r="E143" s="37"/>
      <c r="F143" s="37"/>
      <c r="G143" s="37"/>
      <c r="H143" s="22"/>
      <c r="I143" s="22"/>
      <c r="J143" s="22"/>
      <c r="K143" s="22"/>
      <c r="L143" s="22"/>
      <c r="M143" s="22"/>
      <c r="N143" s="22"/>
      <c r="O143" s="22"/>
      <c r="P143" s="22"/>
      <c r="Q143" s="22"/>
      <c r="R143" s="22"/>
      <c r="S143" s="22"/>
      <c r="T143" s="37"/>
      <c r="U143" s="13"/>
    </row>
    <row r="144" spans="1:21" x14ac:dyDescent="0.25">
      <c r="A144" s="72">
        <v>141</v>
      </c>
      <c r="B144" s="73" t="s">
        <v>135</v>
      </c>
      <c r="C144" s="74">
        <v>2022</v>
      </c>
      <c r="D144" s="13" t="s">
        <v>206</v>
      </c>
      <c r="E144" s="37"/>
      <c r="F144" s="37"/>
      <c r="G144" s="37"/>
      <c r="H144" s="22"/>
      <c r="I144" s="22"/>
      <c r="J144" s="22"/>
      <c r="K144" s="22"/>
      <c r="L144" s="22"/>
      <c r="M144" s="22"/>
      <c r="N144" s="22"/>
      <c r="O144" s="22"/>
      <c r="P144" s="22"/>
      <c r="Q144" s="22"/>
      <c r="R144" s="22"/>
      <c r="S144" s="22"/>
      <c r="T144" s="37"/>
      <c r="U144" s="13"/>
    </row>
    <row r="145" spans="1:21" x14ac:dyDescent="0.25">
      <c r="A145" s="72">
        <v>142</v>
      </c>
      <c r="B145" s="73" t="s">
        <v>136</v>
      </c>
      <c r="C145" s="74">
        <v>2020</v>
      </c>
      <c r="D145" s="13" t="s">
        <v>206</v>
      </c>
      <c r="E145" s="37"/>
      <c r="F145" s="37"/>
      <c r="G145" s="37"/>
      <c r="H145" s="22"/>
      <c r="I145" s="22"/>
      <c r="J145" s="22"/>
      <c r="K145" s="22"/>
      <c r="L145" s="22"/>
      <c r="M145" s="22"/>
      <c r="N145" s="22"/>
      <c r="O145" s="22"/>
      <c r="P145" s="22"/>
      <c r="Q145" s="22"/>
      <c r="R145" s="22"/>
      <c r="S145" s="22"/>
      <c r="T145" s="37"/>
      <c r="U145" s="13"/>
    </row>
    <row r="146" spans="1:21" x14ac:dyDescent="0.25">
      <c r="A146" s="72">
        <v>143</v>
      </c>
      <c r="B146" s="73" t="s">
        <v>137</v>
      </c>
      <c r="C146" s="74">
        <v>2021</v>
      </c>
      <c r="D146" s="13" t="s">
        <v>206</v>
      </c>
      <c r="E146" s="37"/>
      <c r="F146" s="37"/>
      <c r="G146" s="37"/>
      <c r="H146" s="22"/>
      <c r="I146" s="22"/>
      <c r="J146" s="22"/>
      <c r="K146" s="22"/>
      <c r="L146" s="22"/>
      <c r="M146" s="22"/>
      <c r="N146" s="22"/>
      <c r="O146" s="22"/>
      <c r="P146" s="22"/>
      <c r="Q146" s="22"/>
      <c r="R146" s="22"/>
      <c r="S146" s="22"/>
      <c r="T146" s="37"/>
      <c r="U146" s="13"/>
    </row>
    <row r="147" spans="1:21" x14ac:dyDescent="0.25">
      <c r="A147" s="72">
        <v>144</v>
      </c>
      <c r="B147" s="73" t="s">
        <v>138</v>
      </c>
      <c r="C147" s="74">
        <v>2022</v>
      </c>
      <c r="D147" s="13" t="s">
        <v>206</v>
      </c>
      <c r="E147" s="37"/>
      <c r="F147" s="37"/>
      <c r="G147" s="37"/>
      <c r="H147" s="22"/>
      <c r="I147" s="22"/>
      <c r="J147" s="22"/>
      <c r="K147" s="22"/>
      <c r="L147" s="22"/>
      <c r="M147" s="22"/>
      <c r="N147" s="22"/>
      <c r="O147" s="22"/>
      <c r="P147" s="22"/>
      <c r="Q147" s="22"/>
      <c r="R147" s="22"/>
      <c r="S147" s="22"/>
      <c r="T147" s="37"/>
      <c r="U147" s="13"/>
    </row>
    <row r="148" spans="1:21" x14ac:dyDescent="0.25">
      <c r="A148" s="72">
        <v>145</v>
      </c>
      <c r="B148" s="73" t="s">
        <v>139</v>
      </c>
      <c r="C148" s="74">
        <v>2021</v>
      </c>
      <c r="D148" s="13" t="s">
        <v>206</v>
      </c>
      <c r="E148" s="37"/>
      <c r="F148" s="37"/>
      <c r="G148" s="37"/>
      <c r="H148" s="22"/>
      <c r="I148" s="22"/>
      <c r="J148" s="22"/>
      <c r="K148" s="22"/>
      <c r="L148" s="22"/>
      <c r="M148" s="22"/>
      <c r="N148" s="22"/>
      <c r="O148" s="22"/>
      <c r="P148" s="22"/>
      <c r="Q148" s="22"/>
      <c r="R148" s="22"/>
      <c r="S148" s="22"/>
      <c r="T148" s="37"/>
      <c r="U148" s="13"/>
    </row>
    <row r="149" spans="1:21" x14ac:dyDescent="0.25">
      <c r="A149" s="72">
        <v>146</v>
      </c>
      <c r="B149" s="73" t="s">
        <v>140</v>
      </c>
      <c r="C149" s="74">
        <v>2016</v>
      </c>
      <c r="D149" s="13" t="s">
        <v>206</v>
      </c>
      <c r="E149" s="37"/>
      <c r="F149" s="37"/>
      <c r="G149" s="37"/>
      <c r="H149" s="22"/>
      <c r="I149" s="22"/>
      <c r="J149" s="22"/>
      <c r="K149" s="22"/>
      <c r="L149" s="22"/>
      <c r="M149" s="22"/>
      <c r="N149" s="22"/>
      <c r="O149" s="22"/>
      <c r="P149" s="22"/>
      <c r="Q149" s="22"/>
      <c r="R149" s="22"/>
      <c r="S149" s="22"/>
      <c r="T149" s="37"/>
      <c r="U149" s="13"/>
    </row>
    <row r="150" spans="1:21" x14ac:dyDescent="0.25">
      <c r="A150" s="72">
        <v>147</v>
      </c>
      <c r="B150" s="73" t="s">
        <v>141</v>
      </c>
      <c r="C150" s="74">
        <v>2021</v>
      </c>
      <c r="D150" s="13" t="s">
        <v>206</v>
      </c>
      <c r="E150" s="37"/>
      <c r="F150" s="37"/>
      <c r="G150" s="37"/>
      <c r="H150" s="22"/>
      <c r="I150" s="22"/>
      <c r="J150" s="22"/>
      <c r="K150" s="22"/>
      <c r="L150" s="22"/>
      <c r="M150" s="22"/>
      <c r="N150" s="22"/>
      <c r="O150" s="22"/>
      <c r="P150" s="22"/>
      <c r="Q150" s="22"/>
      <c r="R150" s="22"/>
      <c r="S150" s="22"/>
      <c r="T150" s="37"/>
      <c r="U150" s="13"/>
    </row>
    <row r="151" spans="1:21" x14ac:dyDescent="0.25">
      <c r="A151" s="72">
        <v>148</v>
      </c>
      <c r="B151" s="73" t="s">
        <v>142</v>
      </c>
      <c r="C151" s="74">
        <v>2021</v>
      </c>
      <c r="D151" s="13" t="s">
        <v>206</v>
      </c>
      <c r="E151" s="37"/>
      <c r="F151" s="37"/>
      <c r="G151" s="37"/>
      <c r="H151" s="22"/>
      <c r="I151" s="22"/>
      <c r="J151" s="22"/>
      <c r="K151" s="22"/>
      <c r="L151" s="22"/>
      <c r="M151" s="22"/>
      <c r="N151" s="22"/>
      <c r="O151" s="22"/>
      <c r="P151" s="22"/>
      <c r="Q151" s="22"/>
      <c r="R151" s="22"/>
      <c r="S151" s="22"/>
      <c r="T151" s="37"/>
      <c r="U151" s="13"/>
    </row>
    <row r="152" spans="1:21" x14ac:dyDescent="0.25">
      <c r="A152" s="72">
        <v>149</v>
      </c>
      <c r="B152" s="73" t="s">
        <v>143</v>
      </c>
      <c r="C152" s="74">
        <v>2021</v>
      </c>
      <c r="D152" s="13" t="s">
        <v>206</v>
      </c>
      <c r="E152" s="37"/>
      <c r="F152" s="37"/>
      <c r="G152" s="37"/>
      <c r="H152" s="22"/>
      <c r="I152" s="22"/>
      <c r="J152" s="22"/>
      <c r="K152" s="22"/>
      <c r="L152" s="22"/>
      <c r="M152" s="22"/>
      <c r="N152" s="22"/>
      <c r="O152" s="22"/>
      <c r="P152" s="22"/>
      <c r="Q152" s="22"/>
      <c r="R152" s="22"/>
      <c r="S152" s="22"/>
      <c r="T152" s="37"/>
      <c r="U152" s="13"/>
    </row>
    <row r="153" spans="1:21" x14ac:dyDescent="0.25">
      <c r="A153" s="72">
        <v>150</v>
      </c>
      <c r="B153" s="73" t="s">
        <v>144</v>
      </c>
      <c r="C153" s="74">
        <v>2022</v>
      </c>
      <c r="D153" s="13" t="s">
        <v>206</v>
      </c>
      <c r="E153" s="37"/>
      <c r="F153" s="37"/>
      <c r="G153" s="37"/>
      <c r="H153" s="22"/>
      <c r="I153" s="22"/>
      <c r="J153" s="22"/>
      <c r="K153" s="22"/>
      <c r="L153" s="22"/>
      <c r="M153" s="22"/>
      <c r="N153" s="22"/>
      <c r="O153" s="22"/>
      <c r="P153" s="22"/>
      <c r="Q153" s="22"/>
      <c r="R153" s="22"/>
      <c r="S153" s="22"/>
      <c r="T153" s="37"/>
      <c r="U153" s="13"/>
    </row>
    <row r="154" spans="1:21" x14ac:dyDescent="0.25">
      <c r="A154" s="72">
        <v>151</v>
      </c>
      <c r="B154" s="73" t="s">
        <v>145</v>
      </c>
      <c r="C154" s="74">
        <v>2022</v>
      </c>
      <c r="D154" s="13" t="s">
        <v>206</v>
      </c>
      <c r="E154" s="37"/>
      <c r="F154" s="37"/>
      <c r="G154" s="37"/>
      <c r="H154" s="22"/>
      <c r="I154" s="22"/>
      <c r="J154" s="22"/>
      <c r="K154" s="22"/>
      <c r="L154" s="22"/>
      <c r="M154" s="22"/>
      <c r="N154" s="22"/>
      <c r="O154" s="22"/>
      <c r="P154" s="22"/>
      <c r="Q154" s="22"/>
      <c r="R154" s="22"/>
      <c r="S154" s="22"/>
      <c r="T154" s="37"/>
      <c r="U154" s="13"/>
    </row>
    <row r="155" spans="1:21" x14ac:dyDescent="0.25">
      <c r="A155" s="72">
        <v>152</v>
      </c>
      <c r="B155" s="73" t="s">
        <v>146</v>
      </c>
      <c r="C155" s="74">
        <v>2017</v>
      </c>
      <c r="D155" s="13" t="s">
        <v>206</v>
      </c>
      <c r="E155" s="37"/>
      <c r="F155" s="37"/>
      <c r="G155" s="37"/>
      <c r="H155" s="22"/>
      <c r="I155" s="22"/>
      <c r="J155" s="22"/>
      <c r="K155" s="22"/>
      <c r="L155" s="22"/>
      <c r="M155" s="22"/>
      <c r="N155" s="22"/>
      <c r="O155" s="22"/>
      <c r="P155" s="22"/>
      <c r="Q155" s="22"/>
      <c r="R155" s="22"/>
      <c r="S155" s="22"/>
      <c r="T155" s="37"/>
      <c r="U155" s="13"/>
    </row>
    <row r="156" spans="1:21" x14ac:dyDescent="0.25">
      <c r="A156" s="72">
        <v>153</v>
      </c>
      <c r="B156" s="73" t="s">
        <v>147</v>
      </c>
      <c r="C156" s="74">
        <v>2021</v>
      </c>
      <c r="D156" s="13" t="s">
        <v>206</v>
      </c>
      <c r="E156" s="37"/>
      <c r="F156" s="37"/>
      <c r="G156" s="37"/>
      <c r="H156" s="22"/>
      <c r="I156" s="22"/>
      <c r="J156" s="22"/>
      <c r="K156" s="22"/>
      <c r="L156" s="22"/>
      <c r="M156" s="22"/>
      <c r="N156" s="22"/>
      <c r="O156" s="22"/>
      <c r="P156" s="22"/>
      <c r="Q156" s="22"/>
      <c r="R156" s="22"/>
      <c r="S156" s="22"/>
      <c r="T156" s="37"/>
      <c r="U156" s="13"/>
    </row>
    <row r="157" spans="1:21" x14ac:dyDescent="0.25">
      <c r="A157" s="72">
        <v>154</v>
      </c>
      <c r="B157" s="73" t="s">
        <v>148</v>
      </c>
      <c r="C157" s="74">
        <v>2017</v>
      </c>
      <c r="D157" s="13" t="s">
        <v>206</v>
      </c>
      <c r="E157" s="37"/>
      <c r="F157" s="37"/>
      <c r="G157" s="37"/>
      <c r="H157" s="22"/>
      <c r="I157" s="22"/>
      <c r="J157" s="22"/>
      <c r="K157" s="22"/>
      <c r="L157" s="22"/>
      <c r="M157" s="22"/>
      <c r="N157" s="22"/>
      <c r="O157" s="22"/>
      <c r="P157" s="22"/>
      <c r="Q157" s="22"/>
      <c r="R157" s="22"/>
      <c r="S157" s="22"/>
      <c r="T157" s="37"/>
      <c r="U157" s="13"/>
    </row>
    <row r="158" spans="1:21" ht="30" x14ac:dyDescent="0.25">
      <c r="A158" s="72">
        <v>155</v>
      </c>
      <c r="B158" s="73" t="s">
        <v>149</v>
      </c>
      <c r="C158" s="74">
        <v>2020</v>
      </c>
      <c r="D158" s="13" t="s">
        <v>204</v>
      </c>
      <c r="E158" s="37" t="s">
        <v>306</v>
      </c>
      <c r="F158" s="37"/>
      <c r="G158" s="37"/>
      <c r="H158" s="22"/>
      <c r="I158" s="22"/>
      <c r="J158" s="22" t="s">
        <v>226</v>
      </c>
      <c r="K158" s="22" t="s">
        <v>226</v>
      </c>
      <c r="L158" s="22" t="s">
        <v>226</v>
      </c>
      <c r="M158" s="22"/>
      <c r="N158" s="22"/>
      <c r="O158" s="22"/>
      <c r="P158" s="22" t="s">
        <v>226</v>
      </c>
      <c r="Q158" s="22"/>
      <c r="R158" s="22"/>
      <c r="S158" s="22"/>
      <c r="T158" s="37"/>
      <c r="U158" s="13"/>
    </row>
    <row r="159" spans="1:21" x14ac:dyDescent="0.25">
      <c r="A159" s="72">
        <v>156</v>
      </c>
      <c r="B159" s="73" t="s">
        <v>150</v>
      </c>
      <c r="C159" s="74">
        <v>2021</v>
      </c>
      <c r="D159" s="13" t="s">
        <v>207</v>
      </c>
      <c r="E159" s="37"/>
      <c r="F159" s="37"/>
      <c r="G159" s="37"/>
      <c r="H159" s="22"/>
      <c r="I159" s="22"/>
      <c r="J159" s="22"/>
      <c r="K159" s="22"/>
      <c r="L159" s="22"/>
      <c r="M159" s="22"/>
      <c r="N159" s="22"/>
      <c r="O159" s="22"/>
      <c r="P159" s="22"/>
      <c r="Q159" s="22"/>
      <c r="R159" s="22"/>
      <c r="S159" s="22"/>
      <c r="T159" s="37"/>
      <c r="U159" s="13"/>
    </row>
    <row r="160" spans="1:21" x14ac:dyDescent="0.25">
      <c r="A160" s="72">
        <v>157</v>
      </c>
      <c r="B160" s="73" t="s">
        <v>151</v>
      </c>
      <c r="C160" s="74">
        <v>2020</v>
      </c>
      <c r="D160" s="13" t="s">
        <v>207</v>
      </c>
      <c r="E160" s="37"/>
      <c r="F160" s="37"/>
      <c r="G160" s="37"/>
      <c r="H160" s="22"/>
      <c r="I160" s="22"/>
      <c r="J160" s="22"/>
      <c r="K160" s="22"/>
      <c r="L160" s="22"/>
      <c r="M160" s="22"/>
      <c r="N160" s="22"/>
      <c r="O160" s="22"/>
      <c r="P160" s="22"/>
      <c r="Q160" s="22"/>
      <c r="R160" s="22"/>
      <c r="S160" s="22"/>
      <c r="T160" s="37"/>
      <c r="U160" s="13"/>
    </row>
    <row r="161" spans="1:21" ht="30" x14ac:dyDescent="0.25">
      <c r="A161" s="72">
        <v>158</v>
      </c>
      <c r="B161" s="73" t="s">
        <v>152</v>
      </c>
      <c r="C161" s="74">
        <v>2017</v>
      </c>
      <c r="D161" s="13" t="s">
        <v>204</v>
      </c>
      <c r="E161" s="37" t="s">
        <v>307</v>
      </c>
      <c r="F161" s="37"/>
      <c r="G161" s="37"/>
      <c r="H161" s="22" t="s">
        <v>226</v>
      </c>
      <c r="I161" s="22"/>
      <c r="J161" s="22"/>
      <c r="K161" s="22"/>
      <c r="L161" s="22"/>
      <c r="M161" s="22"/>
      <c r="N161" s="22" t="s">
        <v>226</v>
      </c>
      <c r="O161" s="22" t="s">
        <v>226</v>
      </c>
      <c r="P161" s="22"/>
      <c r="Q161" s="22"/>
      <c r="R161" s="22"/>
      <c r="S161" s="22"/>
      <c r="T161" s="37" t="s">
        <v>308</v>
      </c>
      <c r="U161" s="13"/>
    </row>
    <row r="162" spans="1:21" x14ac:dyDescent="0.25">
      <c r="A162" s="72">
        <v>159</v>
      </c>
      <c r="B162" s="73" t="s">
        <v>153</v>
      </c>
      <c r="C162" s="74">
        <v>2021</v>
      </c>
      <c r="D162" s="13" t="s">
        <v>206</v>
      </c>
      <c r="E162" s="37"/>
      <c r="F162" s="37"/>
      <c r="G162" s="37"/>
      <c r="H162" s="22"/>
      <c r="I162" s="22"/>
      <c r="J162" s="22"/>
      <c r="K162" s="22"/>
      <c r="L162" s="22"/>
      <c r="M162" s="22"/>
      <c r="N162" s="22"/>
      <c r="O162" s="22"/>
      <c r="P162" s="22"/>
      <c r="Q162" s="22"/>
      <c r="R162" s="22"/>
      <c r="S162" s="22"/>
      <c r="T162" s="37"/>
      <c r="U162" s="13"/>
    </row>
    <row r="163" spans="1:21" x14ac:dyDescent="0.25">
      <c r="A163" s="72">
        <v>160</v>
      </c>
      <c r="B163" s="73" t="s">
        <v>154</v>
      </c>
      <c r="C163" s="74">
        <v>2021</v>
      </c>
      <c r="D163" s="13" t="s">
        <v>206</v>
      </c>
      <c r="E163" s="37"/>
      <c r="F163" s="37"/>
      <c r="G163" s="37"/>
      <c r="H163" s="22"/>
      <c r="I163" s="22"/>
      <c r="J163" s="22"/>
      <c r="K163" s="22"/>
      <c r="L163" s="22"/>
      <c r="M163" s="22"/>
      <c r="N163" s="22"/>
      <c r="O163" s="22"/>
      <c r="P163" s="22"/>
      <c r="Q163" s="22"/>
      <c r="R163" s="22"/>
      <c r="S163" s="22"/>
      <c r="T163" s="37"/>
      <c r="U163" s="13"/>
    </row>
    <row r="164" spans="1:21" x14ac:dyDescent="0.25">
      <c r="A164" s="72">
        <v>161</v>
      </c>
      <c r="B164" s="73" t="s">
        <v>155</v>
      </c>
      <c r="C164" s="74">
        <v>2020</v>
      </c>
      <c r="D164" s="13" t="s">
        <v>206</v>
      </c>
      <c r="E164" s="37"/>
      <c r="F164" s="37"/>
      <c r="G164" s="37"/>
      <c r="H164" s="22"/>
      <c r="I164" s="22"/>
      <c r="J164" s="22"/>
      <c r="K164" s="22"/>
      <c r="L164" s="22"/>
      <c r="M164" s="22"/>
      <c r="N164" s="22"/>
      <c r="O164" s="22"/>
      <c r="P164" s="22"/>
      <c r="Q164" s="22"/>
      <c r="R164" s="22"/>
      <c r="S164" s="22"/>
      <c r="T164" s="37"/>
      <c r="U164" s="13"/>
    </row>
    <row r="165" spans="1:21" x14ac:dyDescent="0.25">
      <c r="A165" s="72">
        <v>162</v>
      </c>
      <c r="B165" s="73" t="s">
        <v>156</v>
      </c>
      <c r="C165" s="74">
        <v>2021</v>
      </c>
      <c r="D165" s="13" t="s">
        <v>206</v>
      </c>
      <c r="E165" s="37"/>
      <c r="F165" s="37"/>
      <c r="G165" s="37"/>
      <c r="H165" s="22"/>
      <c r="I165" s="22"/>
      <c r="J165" s="22"/>
      <c r="K165" s="22"/>
      <c r="L165" s="22"/>
      <c r="M165" s="22"/>
      <c r="N165" s="22"/>
      <c r="O165" s="22"/>
      <c r="P165" s="22"/>
      <c r="Q165" s="22"/>
      <c r="R165" s="22"/>
      <c r="S165" s="22"/>
      <c r="T165" s="37"/>
      <c r="U165" s="13"/>
    </row>
    <row r="166" spans="1:21" x14ac:dyDescent="0.25">
      <c r="A166" s="72">
        <v>163</v>
      </c>
      <c r="B166" s="73" t="s">
        <v>157</v>
      </c>
      <c r="C166" s="74">
        <v>2021</v>
      </c>
      <c r="D166" s="13" t="s">
        <v>206</v>
      </c>
      <c r="E166" s="37"/>
      <c r="F166" s="37"/>
      <c r="G166" s="37"/>
      <c r="H166" s="22"/>
      <c r="I166" s="22"/>
      <c r="J166" s="22"/>
      <c r="K166" s="22"/>
      <c r="L166" s="22"/>
      <c r="M166" s="22"/>
      <c r="N166" s="22"/>
      <c r="O166" s="22"/>
      <c r="P166" s="22"/>
      <c r="Q166" s="22"/>
      <c r="R166" s="22"/>
      <c r="S166" s="22"/>
      <c r="T166" s="37"/>
      <c r="U166" s="13"/>
    </row>
    <row r="167" spans="1:21" x14ac:dyDescent="0.25">
      <c r="A167" s="72">
        <v>164</v>
      </c>
      <c r="B167" s="73" t="s">
        <v>158</v>
      </c>
      <c r="C167" s="74">
        <v>2020</v>
      </c>
      <c r="D167" s="13" t="s">
        <v>206</v>
      </c>
      <c r="E167" s="37"/>
      <c r="F167" s="37"/>
      <c r="G167" s="37"/>
      <c r="H167" s="22"/>
      <c r="I167" s="22"/>
      <c r="J167" s="22"/>
      <c r="K167" s="22"/>
      <c r="L167" s="22"/>
      <c r="M167" s="22"/>
      <c r="N167" s="22"/>
      <c r="O167" s="22"/>
      <c r="P167" s="22"/>
      <c r="Q167" s="22"/>
      <c r="R167" s="22"/>
      <c r="S167" s="22"/>
      <c r="T167" s="37"/>
      <c r="U167" s="13"/>
    </row>
    <row r="168" spans="1:21" x14ac:dyDescent="0.25">
      <c r="A168" s="72">
        <v>165</v>
      </c>
      <c r="B168" s="73" t="s">
        <v>159</v>
      </c>
      <c r="C168" s="74">
        <v>2022</v>
      </c>
      <c r="D168" s="13" t="s">
        <v>206</v>
      </c>
      <c r="E168" s="37"/>
      <c r="F168" s="37"/>
      <c r="G168" s="37"/>
      <c r="H168" s="22"/>
      <c r="I168" s="22"/>
      <c r="J168" s="22"/>
      <c r="K168" s="22"/>
      <c r="L168" s="22"/>
      <c r="M168" s="22"/>
      <c r="N168" s="22"/>
      <c r="O168" s="22"/>
      <c r="P168" s="22"/>
      <c r="Q168" s="22"/>
      <c r="R168" s="22"/>
      <c r="S168" s="22"/>
      <c r="T168" s="37"/>
      <c r="U168" s="13"/>
    </row>
    <row r="169" spans="1:21" x14ac:dyDescent="0.25">
      <c r="A169" s="72">
        <v>166</v>
      </c>
      <c r="B169" s="73" t="s">
        <v>160</v>
      </c>
      <c r="C169" s="74">
        <v>2022</v>
      </c>
      <c r="D169" s="13" t="s">
        <v>206</v>
      </c>
      <c r="E169" s="37"/>
      <c r="F169" s="37"/>
      <c r="G169" s="37"/>
      <c r="H169" s="22"/>
      <c r="I169" s="22"/>
      <c r="J169" s="22"/>
      <c r="K169" s="22"/>
      <c r="L169" s="22"/>
      <c r="M169" s="22"/>
      <c r="N169" s="22"/>
      <c r="O169" s="22"/>
      <c r="P169" s="22"/>
      <c r="Q169" s="22"/>
      <c r="R169" s="22"/>
      <c r="S169" s="22"/>
      <c r="T169" s="37"/>
      <c r="U169" s="13"/>
    </row>
    <row r="170" spans="1:21" x14ac:dyDescent="0.25">
      <c r="A170" s="72">
        <v>167</v>
      </c>
      <c r="B170" s="73" t="s">
        <v>161</v>
      </c>
      <c r="C170" s="74">
        <v>2022</v>
      </c>
      <c r="D170" s="13" t="s">
        <v>206</v>
      </c>
      <c r="E170" s="37"/>
      <c r="F170" s="37"/>
      <c r="G170" s="37"/>
      <c r="H170" s="22"/>
      <c r="I170" s="22"/>
      <c r="J170" s="22"/>
      <c r="K170" s="22"/>
      <c r="L170" s="22"/>
      <c r="M170" s="22"/>
      <c r="N170" s="22"/>
      <c r="O170" s="22"/>
      <c r="P170" s="22"/>
      <c r="Q170" s="22"/>
      <c r="R170" s="22"/>
      <c r="S170" s="22"/>
      <c r="T170" s="37"/>
      <c r="U170" s="13"/>
    </row>
    <row r="171" spans="1:21" x14ac:dyDescent="0.25">
      <c r="A171" s="72">
        <v>168</v>
      </c>
      <c r="B171" s="73" t="s">
        <v>162</v>
      </c>
      <c r="C171" s="74">
        <v>2021</v>
      </c>
      <c r="D171" s="13" t="s">
        <v>206</v>
      </c>
      <c r="E171" s="37"/>
      <c r="F171" s="37"/>
      <c r="G171" s="37"/>
      <c r="H171" s="22"/>
      <c r="I171" s="22"/>
      <c r="J171" s="22"/>
      <c r="K171" s="22"/>
      <c r="L171" s="22"/>
      <c r="M171" s="22"/>
      <c r="N171" s="22"/>
      <c r="O171" s="22"/>
      <c r="P171" s="22"/>
      <c r="Q171" s="22"/>
      <c r="R171" s="22"/>
      <c r="S171" s="22"/>
      <c r="T171" s="37"/>
      <c r="U171" s="13"/>
    </row>
    <row r="172" spans="1:21" x14ac:dyDescent="0.25">
      <c r="A172" s="72">
        <v>169</v>
      </c>
      <c r="B172" s="73" t="s">
        <v>163</v>
      </c>
      <c r="C172" s="74">
        <v>2021</v>
      </c>
      <c r="D172" s="13" t="s">
        <v>206</v>
      </c>
      <c r="E172" s="37"/>
      <c r="F172" s="37"/>
      <c r="G172" s="37"/>
      <c r="H172" s="22"/>
      <c r="I172" s="22"/>
      <c r="J172" s="22"/>
      <c r="K172" s="22"/>
      <c r="L172" s="22"/>
      <c r="M172" s="22"/>
      <c r="N172" s="22"/>
      <c r="O172" s="22"/>
      <c r="P172" s="22"/>
      <c r="Q172" s="22"/>
      <c r="R172" s="22"/>
      <c r="S172" s="22"/>
      <c r="T172" s="37"/>
      <c r="U172" s="13"/>
    </row>
    <row r="173" spans="1:21" x14ac:dyDescent="0.25">
      <c r="A173" s="72">
        <v>170</v>
      </c>
      <c r="B173" s="73" t="s">
        <v>164</v>
      </c>
      <c r="C173" s="74">
        <v>2021</v>
      </c>
      <c r="D173" s="13" t="s">
        <v>206</v>
      </c>
      <c r="E173" s="37"/>
      <c r="F173" s="37"/>
      <c r="G173" s="37"/>
      <c r="H173" s="22"/>
      <c r="I173" s="22"/>
      <c r="J173" s="22"/>
      <c r="K173" s="22"/>
      <c r="L173" s="22"/>
      <c r="M173" s="22"/>
      <c r="N173" s="22"/>
      <c r="O173" s="22"/>
      <c r="P173" s="22"/>
      <c r="Q173" s="22"/>
      <c r="R173" s="22"/>
      <c r="S173" s="22"/>
      <c r="T173" s="37"/>
      <c r="U173" s="13"/>
    </row>
    <row r="174" spans="1:21" x14ac:dyDescent="0.25">
      <c r="A174" s="72">
        <v>171</v>
      </c>
      <c r="B174" s="73" t="s">
        <v>165</v>
      </c>
      <c r="C174" s="74">
        <v>2021</v>
      </c>
      <c r="D174" s="13" t="s">
        <v>206</v>
      </c>
      <c r="E174" s="37"/>
      <c r="F174" s="37"/>
      <c r="G174" s="37"/>
      <c r="H174" s="22"/>
      <c r="I174" s="22"/>
      <c r="J174" s="22"/>
      <c r="K174" s="22"/>
      <c r="L174" s="22"/>
      <c r="M174" s="22"/>
      <c r="N174" s="22"/>
      <c r="O174" s="22"/>
      <c r="P174" s="22"/>
      <c r="Q174" s="22"/>
      <c r="R174" s="22"/>
      <c r="S174" s="22"/>
      <c r="T174" s="37"/>
      <c r="U174" s="13"/>
    </row>
    <row r="175" spans="1:21" ht="30" x14ac:dyDescent="0.25">
      <c r="A175" s="72">
        <v>172</v>
      </c>
      <c r="B175" s="73" t="s">
        <v>166</v>
      </c>
      <c r="C175" s="74">
        <v>2020</v>
      </c>
      <c r="D175" s="13" t="s">
        <v>204</v>
      </c>
      <c r="E175" s="37" t="s">
        <v>309</v>
      </c>
      <c r="F175" s="37" t="s">
        <v>311</v>
      </c>
      <c r="G175" s="37"/>
      <c r="H175" s="22" t="s">
        <v>226</v>
      </c>
      <c r="I175" s="22"/>
      <c r="J175" s="22" t="s">
        <v>226</v>
      </c>
      <c r="K175" s="22" t="s">
        <v>226</v>
      </c>
      <c r="L175" s="22"/>
      <c r="M175" s="22"/>
      <c r="N175" s="22"/>
      <c r="O175" s="22" t="s">
        <v>226</v>
      </c>
      <c r="P175" s="22"/>
      <c r="Q175" s="22" t="s">
        <v>226</v>
      </c>
      <c r="R175" s="22"/>
      <c r="S175" s="22" t="s">
        <v>226</v>
      </c>
      <c r="T175" s="37" t="s">
        <v>310</v>
      </c>
      <c r="U175" s="13"/>
    </row>
    <row r="176" spans="1:21" x14ac:dyDescent="0.25">
      <c r="A176" s="72">
        <v>173</v>
      </c>
      <c r="B176" s="73" t="s">
        <v>167</v>
      </c>
      <c r="C176" s="74">
        <v>2020</v>
      </c>
      <c r="D176" s="13" t="s">
        <v>207</v>
      </c>
      <c r="E176" s="37"/>
      <c r="F176" s="37"/>
      <c r="G176" s="37"/>
      <c r="H176" s="22"/>
      <c r="I176" s="22"/>
      <c r="J176" s="22"/>
      <c r="K176" s="22"/>
      <c r="L176" s="22"/>
      <c r="M176" s="22"/>
      <c r="N176" s="22"/>
      <c r="O176" s="22"/>
      <c r="P176" s="22"/>
      <c r="Q176" s="22"/>
      <c r="R176" s="22"/>
      <c r="S176" s="22"/>
      <c r="T176" s="37"/>
      <c r="U176" s="13"/>
    </row>
    <row r="177" spans="1:21" ht="30" x14ac:dyDescent="0.25">
      <c r="A177" s="72">
        <v>174</v>
      </c>
      <c r="B177" s="73" t="s">
        <v>168</v>
      </c>
      <c r="C177" s="74">
        <v>2021</v>
      </c>
      <c r="D177" s="13" t="s">
        <v>204</v>
      </c>
      <c r="E177" s="37" t="s">
        <v>315</v>
      </c>
      <c r="F177" s="37"/>
      <c r="G177" s="37"/>
      <c r="H177" s="22" t="s">
        <v>226</v>
      </c>
      <c r="I177" s="22"/>
      <c r="J177" s="75" t="s">
        <v>312</v>
      </c>
      <c r="K177" s="22"/>
      <c r="L177" s="22" t="s">
        <v>313</v>
      </c>
      <c r="M177" s="22"/>
      <c r="N177" s="22"/>
      <c r="O177" s="22" t="s">
        <v>313</v>
      </c>
      <c r="P177" s="22"/>
      <c r="Q177" s="22"/>
      <c r="R177" s="22" t="s">
        <v>314</v>
      </c>
      <c r="S177" s="22"/>
      <c r="T177" s="37"/>
      <c r="U177" s="13"/>
    </row>
    <row r="178" spans="1:21" x14ac:dyDescent="0.25">
      <c r="A178" s="72">
        <v>175</v>
      </c>
      <c r="B178" s="73" t="s">
        <v>169</v>
      </c>
      <c r="C178" s="74">
        <v>2019</v>
      </c>
      <c r="D178" s="13" t="s">
        <v>204</v>
      </c>
      <c r="E178" s="37" t="s">
        <v>316</v>
      </c>
      <c r="F178" s="37" t="s">
        <v>318</v>
      </c>
      <c r="G178" s="37"/>
      <c r="H178" s="22"/>
      <c r="I178" s="22"/>
      <c r="J178" s="22" t="s">
        <v>226</v>
      </c>
      <c r="K178" s="22"/>
      <c r="L178" s="22"/>
      <c r="M178" s="22"/>
      <c r="N178" s="22" t="s">
        <v>226</v>
      </c>
      <c r="O178" s="22"/>
      <c r="P178" s="22"/>
      <c r="Q178" s="22"/>
      <c r="R178" s="22"/>
      <c r="S178" s="22"/>
      <c r="T178" s="37" t="s">
        <v>317</v>
      </c>
      <c r="U178" s="13"/>
    </row>
    <row r="179" spans="1:21" x14ac:dyDescent="0.25">
      <c r="A179" s="72">
        <v>176</v>
      </c>
      <c r="B179" s="73" t="s">
        <v>170</v>
      </c>
      <c r="C179" s="74">
        <v>2018</v>
      </c>
      <c r="D179" s="13" t="s">
        <v>207</v>
      </c>
      <c r="E179" s="37"/>
      <c r="F179" s="37"/>
      <c r="G179" s="37"/>
      <c r="H179" s="22"/>
      <c r="I179" s="22"/>
      <c r="J179" s="22"/>
      <c r="K179" s="22"/>
      <c r="L179" s="22"/>
      <c r="M179" s="22"/>
      <c r="N179" s="22"/>
      <c r="O179" s="22"/>
      <c r="P179" s="22"/>
      <c r="Q179" s="22"/>
      <c r="R179" s="22"/>
      <c r="S179" s="22"/>
      <c r="T179" s="37"/>
      <c r="U179" s="13"/>
    </row>
    <row r="180" spans="1:21" x14ac:dyDescent="0.25">
      <c r="A180" s="72">
        <v>177</v>
      </c>
      <c r="B180" s="73" t="s">
        <v>171</v>
      </c>
      <c r="C180" s="74">
        <v>2021</v>
      </c>
      <c r="D180" s="13" t="s">
        <v>206</v>
      </c>
      <c r="E180" s="37"/>
      <c r="F180" s="37"/>
      <c r="G180" s="37"/>
      <c r="H180" s="22"/>
      <c r="I180" s="22"/>
      <c r="J180" s="22"/>
      <c r="K180" s="22"/>
      <c r="L180" s="22"/>
      <c r="M180" s="22"/>
      <c r="N180" s="22"/>
      <c r="O180" s="22"/>
      <c r="P180" s="22"/>
      <c r="Q180" s="22"/>
      <c r="R180" s="22"/>
      <c r="S180" s="22"/>
      <c r="T180" s="37"/>
      <c r="U180" s="13"/>
    </row>
    <row r="181" spans="1:21" x14ac:dyDescent="0.25">
      <c r="A181" s="72">
        <v>178</v>
      </c>
      <c r="B181" s="73" t="s">
        <v>147</v>
      </c>
      <c r="C181" s="74">
        <v>2021</v>
      </c>
      <c r="D181" s="13" t="s">
        <v>206</v>
      </c>
      <c r="E181" s="37"/>
      <c r="F181" s="37"/>
      <c r="G181" s="37"/>
      <c r="H181" s="22"/>
      <c r="I181" s="22"/>
      <c r="J181" s="22"/>
      <c r="K181" s="22"/>
      <c r="L181" s="22"/>
      <c r="M181" s="22"/>
      <c r="N181" s="22"/>
      <c r="O181" s="22"/>
      <c r="P181" s="22"/>
      <c r="Q181" s="22"/>
      <c r="R181" s="22"/>
      <c r="S181" s="22"/>
      <c r="T181" s="37"/>
      <c r="U181" s="13"/>
    </row>
    <row r="182" spans="1:21" x14ac:dyDescent="0.25">
      <c r="A182" s="72">
        <v>179</v>
      </c>
      <c r="B182" s="73" t="s">
        <v>172</v>
      </c>
      <c r="C182" s="74">
        <v>2021</v>
      </c>
      <c r="D182" s="13" t="s">
        <v>206</v>
      </c>
      <c r="E182" s="37"/>
      <c r="F182" s="37"/>
      <c r="G182" s="37"/>
      <c r="H182" s="22"/>
      <c r="I182" s="22"/>
      <c r="J182" s="22"/>
      <c r="K182" s="22"/>
      <c r="L182" s="22"/>
      <c r="M182" s="22"/>
      <c r="N182" s="22"/>
      <c r="O182" s="22"/>
      <c r="P182" s="22"/>
      <c r="Q182" s="22"/>
      <c r="R182" s="22"/>
      <c r="S182" s="22"/>
      <c r="T182" s="37"/>
      <c r="U182" s="13"/>
    </row>
    <row r="183" spans="1:21" x14ac:dyDescent="0.25">
      <c r="A183" s="72">
        <v>180</v>
      </c>
      <c r="B183" s="73" t="s">
        <v>173</v>
      </c>
      <c r="C183" s="74">
        <v>2021</v>
      </c>
      <c r="D183" s="13" t="s">
        <v>204</v>
      </c>
      <c r="E183" s="37" t="s">
        <v>319</v>
      </c>
      <c r="F183" s="37" t="s">
        <v>320</v>
      </c>
      <c r="G183" s="37"/>
      <c r="H183" s="22" t="s">
        <v>226</v>
      </c>
      <c r="I183" s="22" t="s">
        <v>226</v>
      </c>
      <c r="J183" s="22" t="s">
        <v>226</v>
      </c>
      <c r="K183" s="22" t="s">
        <v>226</v>
      </c>
      <c r="L183" s="22"/>
      <c r="M183" s="22" t="s">
        <v>226</v>
      </c>
      <c r="N183" s="22" t="s">
        <v>226</v>
      </c>
      <c r="O183" s="22" t="s">
        <v>226</v>
      </c>
      <c r="P183" s="22" t="s">
        <v>226</v>
      </c>
      <c r="Q183" s="22" t="s">
        <v>226</v>
      </c>
      <c r="R183" s="22"/>
      <c r="S183" s="22"/>
      <c r="T183" s="37"/>
      <c r="U183" s="13"/>
    </row>
    <row r="184" spans="1:21" x14ac:dyDescent="0.25">
      <c r="A184" s="72">
        <v>181</v>
      </c>
      <c r="B184" s="73" t="s">
        <v>174</v>
      </c>
      <c r="C184" s="74">
        <v>2021</v>
      </c>
      <c r="D184" s="13" t="s">
        <v>206</v>
      </c>
      <c r="E184" s="37"/>
      <c r="F184" s="37"/>
      <c r="G184" s="37"/>
      <c r="H184" s="22"/>
      <c r="I184" s="22"/>
      <c r="J184" s="22"/>
      <c r="K184" s="22"/>
      <c r="L184" s="22"/>
      <c r="M184" s="22"/>
      <c r="N184" s="22"/>
      <c r="O184" s="22"/>
      <c r="P184" s="22"/>
      <c r="Q184" s="22"/>
      <c r="R184" s="22"/>
      <c r="S184" s="22"/>
      <c r="T184" s="37"/>
      <c r="U184" s="13"/>
    </row>
    <row r="185" spans="1:21" x14ac:dyDescent="0.25">
      <c r="A185" s="72">
        <v>182</v>
      </c>
      <c r="B185" s="73" t="s">
        <v>175</v>
      </c>
      <c r="C185" s="74">
        <v>2021</v>
      </c>
      <c r="D185" s="13" t="s">
        <v>206</v>
      </c>
      <c r="E185" s="37"/>
      <c r="F185" s="37"/>
      <c r="G185" s="37"/>
      <c r="H185" s="22"/>
      <c r="I185" s="22"/>
      <c r="J185" s="22"/>
      <c r="K185" s="22"/>
      <c r="L185" s="22"/>
      <c r="M185" s="22"/>
      <c r="N185" s="22"/>
      <c r="O185" s="22"/>
      <c r="P185" s="22"/>
      <c r="Q185" s="22"/>
      <c r="R185" s="22"/>
      <c r="S185" s="22"/>
      <c r="T185" s="37"/>
      <c r="U185" s="13"/>
    </row>
    <row r="186" spans="1:21" x14ac:dyDescent="0.25">
      <c r="A186" s="72">
        <v>183</v>
      </c>
      <c r="B186" s="73" t="s">
        <v>176</v>
      </c>
      <c r="C186" s="74">
        <v>2021</v>
      </c>
      <c r="D186" s="13" t="s">
        <v>206</v>
      </c>
      <c r="E186" s="37"/>
      <c r="F186" s="37"/>
      <c r="G186" s="37"/>
      <c r="H186" s="22"/>
      <c r="I186" s="22"/>
      <c r="J186" s="22"/>
      <c r="K186" s="22"/>
      <c r="L186" s="22"/>
      <c r="M186" s="22"/>
      <c r="N186" s="22"/>
      <c r="O186" s="22"/>
      <c r="P186" s="22"/>
      <c r="Q186" s="22"/>
      <c r="R186" s="22"/>
      <c r="S186" s="22"/>
      <c r="T186" s="37"/>
      <c r="U186" s="13"/>
    </row>
    <row r="187" spans="1:21" x14ac:dyDescent="0.25">
      <c r="A187" s="72">
        <v>184</v>
      </c>
      <c r="B187" s="73" t="s">
        <v>177</v>
      </c>
      <c r="C187" s="74">
        <v>2021</v>
      </c>
      <c r="D187" s="13" t="s">
        <v>206</v>
      </c>
      <c r="E187" s="37"/>
      <c r="F187" s="37"/>
      <c r="G187" s="37"/>
      <c r="H187" s="22"/>
      <c r="I187" s="22"/>
      <c r="J187" s="22"/>
      <c r="K187" s="22"/>
      <c r="L187" s="22"/>
      <c r="M187" s="22"/>
      <c r="N187" s="22"/>
      <c r="O187" s="22"/>
      <c r="P187" s="22"/>
      <c r="Q187" s="22"/>
      <c r="R187" s="22"/>
      <c r="S187" s="22"/>
      <c r="T187" s="37"/>
      <c r="U187" s="13"/>
    </row>
    <row r="188" spans="1:21" x14ac:dyDescent="0.25">
      <c r="A188" s="72">
        <v>185</v>
      </c>
      <c r="B188" s="73" t="s">
        <v>178</v>
      </c>
      <c r="C188" s="74">
        <v>2021</v>
      </c>
      <c r="D188" s="13" t="s">
        <v>206</v>
      </c>
      <c r="E188" s="37"/>
      <c r="F188" s="37"/>
      <c r="G188" s="37"/>
      <c r="H188" s="22"/>
      <c r="I188" s="22"/>
      <c r="J188" s="22"/>
      <c r="K188" s="22"/>
      <c r="L188" s="22"/>
      <c r="M188" s="22"/>
      <c r="N188" s="22"/>
      <c r="O188" s="22"/>
      <c r="P188" s="22"/>
      <c r="Q188" s="22"/>
      <c r="R188" s="22"/>
      <c r="S188" s="22"/>
      <c r="T188" s="37"/>
      <c r="U188" s="13"/>
    </row>
    <row r="189" spans="1:21" x14ac:dyDescent="0.25">
      <c r="A189" s="72">
        <v>186</v>
      </c>
      <c r="B189" s="73" t="s">
        <v>179</v>
      </c>
      <c r="C189" s="74">
        <v>2021</v>
      </c>
      <c r="D189" s="13" t="s">
        <v>204</v>
      </c>
      <c r="E189" s="37" t="s">
        <v>321</v>
      </c>
      <c r="F189" s="37" t="s">
        <v>323</v>
      </c>
      <c r="G189" s="37"/>
      <c r="H189" s="22"/>
      <c r="I189" s="22"/>
      <c r="J189" s="22" t="s">
        <v>226</v>
      </c>
      <c r="K189" s="22" t="s">
        <v>226</v>
      </c>
      <c r="L189" s="22" t="s">
        <v>226</v>
      </c>
      <c r="M189" s="22"/>
      <c r="N189" s="22"/>
      <c r="O189" s="22"/>
      <c r="P189" s="22"/>
      <c r="Q189" s="22"/>
      <c r="R189" s="22"/>
      <c r="S189" s="22"/>
      <c r="T189" s="37" t="s">
        <v>322</v>
      </c>
      <c r="U189" s="13"/>
    </row>
    <row r="190" spans="1:21" x14ac:dyDescent="0.25">
      <c r="A190" s="72">
        <v>187</v>
      </c>
      <c r="B190" s="73" t="s">
        <v>180</v>
      </c>
      <c r="C190" s="74">
        <v>2021</v>
      </c>
      <c r="D190" s="13" t="s">
        <v>206</v>
      </c>
      <c r="E190" s="37"/>
      <c r="F190" s="37"/>
      <c r="G190" s="37"/>
      <c r="H190" s="22"/>
      <c r="I190" s="22"/>
      <c r="J190" s="22"/>
      <c r="K190" s="22"/>
      <c r="L190" s="22"/>
      <c r="M190" s="22"/>
      <c r="N190" s="22"/>
      <c r="O190" s="22"/>
      <c r="P190" s="22"/>
      <c r="Q190" s="22"/>
      <c r="R190" s="22"/>
      <c r="S190" s="22"/>
      <c r="T190" s="37"/>
      <c r="U190" s="13"/>
    </row>
    <row r="191" spans="1:21" x14ac:dyDescent="0.25">
      <c r="A191" s="72">
        <v>188</v>
      </c>
      <c r="B191" s="73" t="s">
        <v>181</v>
      </c>
      <c r="C191" s="74">
        <v>2022</v>
      </c>
      <c r="D191" s="13" t="s">
        <v>206</v>
      </c>
      <c r="E191" s="37"/>
      <c r="F191" s="37"/>
      <c r="G191" s="37"/>
      <c r="H191" s="22"/>
      <c r="I191" s="22"/>
      <c r="J191" s="22"/>
      <c r="K191" s="22"/>
      <c r="L191" s="22"/>
      <c r="M191" s="22"/>
      <c r="N191" s="22"/>
      <c r="O191" s="22"/>
      <c r="P191" s="22"/>
      <c r="Q191" s="22"/>
      <c r="R191" s="22"/>
      <c r="S191" s="22"/>
      <c r="T191" s="37"/>
      <c r="U191" s="13"/>
    </row>
    <row r="192" spans="1:21" x14ac:dyDescent="0.25">
      <c r="A192" s="72">
        <v>189</v>
      </c>
      <c r="B192" s="73" t="s">
        <v>182</v>
      </c>
      <c r="C192" s="74">
        <v>2019</v>
      </c>
      <c r="D192" s="13" t="s">
        <v>206</v>
      </c>
      <c r="E192" s="37"/>
      <c r="F192" s="37"/>
      <c r="G192" s="37"/>
      <c r="H192" s="22"/>
      <c r="I192" s="22"/>
      <c r="J192" s="22"/>
      <c r="K192" s="22"/>
      <c r="L192" s="22"/>
      <c r="M192" s="22"/>
      <c r="N192" s="22"/>
      <c r="O192" s="22"/>
      <c r="P192" s="22"/>
      <c r="Q192" s="22"/>
      <c r="R192" s="22"/>
      <c r="S192" s="22"/>
      <c r="T192" s="37"/>
      <c r="U192" s="13"/>
    </row>
    <row r="193" spans="1:21" x14ac:dyDescent="0.25">
      <c r="A193" s="72">
        <v>190</v>
      </c>
      <c r="B193" s="73" t="s">
        <v>183</v>
      </c>
      <c r="C193" s="74">
        <v>2021</v>
      </c>
      <c r="D193" s="13" t="s">
        <v>206</v>
      </c>
      <c r="E193" s="37"/>
      <c r="F193" s="37"/>
      <c r="G193" s="37"/>
      <c r="H193" s="22"/>
      <c r="I193" s="22"/>
      <c r="J193" s="22"/>
      <c r="K193" s="22"/>
      <c r="L193" s="22"/>
      <c r="M193" s="22"/>
      <c r="N193" s="22"/>
      <c r="O193" s="22"/>
      <c r="P193" s="22"/>
      <c r="Q193" s="22"/>
      <c r="R193" s="22"/>
      <c r="S193" s="22"/>
      <c r="T193" s="37"/>
      <c r="U193" s="13"/>
    </row>
    <row r="194" spans="1:21" x14ac:dyDescent="0.25">
      <c r="A194" s="72">
        <v>191</v>
      </c>
      <c r="B194" s="73" t="s">
        <v>184</v>
      </c>
      <c r="C194" s="74">
        <v>2021</v>
      </c>
      <c r="D194" s="13" t="s">
        <v>206</v>
      </c>
      <c r="E194" s="37"/>
      <c r="F194" s="37"/>
      <c r="G194" s="37"/>
      <c r="H194" s="22"/>
      <c r="I194" s="22"/>
      <c r="J194" s="22"/>
      <c r="K194" s="22"/>
      <c r="L194" s="22"/>
      <c r="M194" s="22"/>
      <c r="N194" s="22"/>
      <c r="O194" s="22"/>
      <c r="P194" s="22"/>
      <c r="Q194" s="22"/>
      <c r="R194" s="22"/>
      <c r="S194" s="22"/>
      <c r="T194" s="37"/>
      <c r="U194" s="13"/>
    </row>
    <row r="195" spans="1:21" x14ac:dyDescent="0.25">
      <c r="A195" s="72">
        <v>192</v>
      </c>
      <c r="B195" s="73" t="s">
        <v>185</v>
      </c>
      <c r="C195" s="74">
        <v>2021</v>
      </c>
      <c r="D195" s="13" t="s">
        <v>206</v>
      </c>
      <c r="E195" s="37"/>
      <c r="F195" s="37"/>
      <c r="G195" s="37"/>
      <c r="H195" s="22"/>
      <c r="I195" s="22"/>
      <c r="J195" s="22"/>
      <c r="K195" s="22"/>
      <c r="L195" s="22"/>
      <c r="M195" s="22"/>
      <c r="N195" s="22"/>
      <c r="O195" s="22"/>
      <c r="P195" s="22"/>
      <c r="Q195" s="22"/>
      <c r="R195" s="22"/>
      <c r="S195" s="22"/>
      <c r="T195" s="37"/>
      <c r="U195" s="13"/>
    </row>
    <row r="196" spans="1:21" x14ac:dyDescent="0.25">
      <c r="A196" s="72">
        <v>193</v>
      </c>
      <c r="B196" s="73" t="s">
        <v>186</v>
      </c>
      <c r="C196" s="74">
        <v>2021</v>
      </c>
      <c r="D196" s="13" t="s">
        <v>206</v>
      </c>
      <c r="E196" s="37"/>
      <c r="F196" s="37"/>
      <c r="G196" s="37"/>
      <c r="H196" s="22"/>
      <c r="I196" s="22"/>
      <c r="J196" s="22"/>
      <c r="K196" s="22"/>
      <c r="L196" s="22"/>
      <c r="M196" s="22"/>
      <c r="N196" s="22"/>
      <c r="O196" s="22"/>
      <c r="P196" s="22"/>
      <c r="Q196" s="22"/>
      <c r="R196" s="22"/>
      <c r="S196" s="22"/>
      <c r="T196" s="37"/>
      <c r="U196" s="13"/>
    </row>
    <row r="197" spans="1:21" ht="45" x14ac:dyDescent="0.25">
      <c r="A197" s="72">
        <v>194</v>
      </c>
      <c r="B197" s="73" t="s">
        <v>187</v>
      </c>
      <c r="C197" s="74">
        <v>2020</v>
      </c>
      <c r="D197" s="13" t="s">
        <v>204</v>
      </c>
      <c r="E197" s="37" t="s">
        <v>324</v>
      </c>
      <c r="F197" s="37" t="s">
        <v>325</v>
      </c>
      <c r="G197" s="37"/>
      <c r="H197" s="22" t="s">
        <v>226</v>
      </c>
      <c r="I197" s="22" t="s">
        <v>226</v>
      </c>
      <c r="J197" s="22"/>
      <c r="K197" s="22"/>
      <c r="L197" s="22"/>
      <c r="M197" s="22"/>
      <c r="N197" s="22"/>
      <c r="O197" s="22" t="s">
        <v>226</v>
      </c>
      <c r="P197" s="22"/>
      <c r="Q197" s="22"/>
      <c r="R197" s="22"/>
      <c r="S197" s="22" t="s">
        <v>226</v>
      </c>
      <c r="T197" s="37" t="s">
        <v>326</v>
      </c>
      <c r="U197" s="13"/>
    </row>
    <row r="198" spans="1:21" x14ac:dyDescent="0.25">
      <c r="A198" s="72">
        <v>195</v>
      </c>
      <c r="B198" s="73" t="s">
        <v>188</v>
      </c>
      <c r="C198" s="74">
        <v>2021</v>
      </c>
      <c r="D198" s="13" t="s">
        <v>206</v>
      </c>
      <c r="E198" s="37"/>
      <c r="F198" s="37"/>
      <c r="G198" s="37"/>
      <c r="H198" s="22"/>
      <c r="I198" s="22"/>
      <c r="J198" s="22"/>
      <c r="K198" s="22"/>
      <c r="L198" s="22"/>
      <c r="M198" s="22"/>
      <c r="N198" s="22"/>
      <c r="O198" s="22"/>
      <c r="P198" s="22"/>
      <c r="Q198" s="22"/>
      <c r="R198" s="22"/>
      <c r="S198" s="22"/>
      <c r="T198" s="37"/>
      <c r="U198" s="13"/>
    </row>
    <row r="199" spans="1:21" x14ac:dyDescent="0.25">
      <c r="A199" s="72">
        <v>196</v>
      </c>
      <c r="B199" s="73" t="s">
        <v>189</v>
      </c>
      <c r="C199" s="74">
        <v>2020</v>
      </c>
      <c r="D199" s="13" t="s">
        <v>206</v>
      </c>
      <c r="E199" s="37"/>
      <c r="F199" s="37"/>
      <c r="G199" s="37"/>
      <c r="H199" s="22"/>
      <c r="I199" s="22"/>
      <c r="J199" s="22"/>
      <c r="K199" s="22"/>
      <c r="L199" s="22"/>
      <c r="M199" s="22"/>
      <c r="N199" s="22"/>
      <c r="O199" s="22"/>
      <c r="P199" s="22"/>
      <c r="Q199" s="22"/>
      <c r="R199" s="22"/>
      <c r="S199" s="22"/>
      <c r="T199" s="37"/>
      <c r="U199" s="13"/>
    </row>
    <row r="200" spans="1:21" x14ac:dyDescent="0.25">
      <c r="A200" s="72">
        <v>197</v>
      </c>
      <c r="B200" s="73" t="s">
        <v>190</v>
      </c>
      <c r="C200" s="74">
        <v>2021</v>
      </c>
      <c r="D200" s="13" t="s">
        <v>206</v>
      </c>
      <c r="E200" s="37"/>
      <c r="F200" s="37"/>
      <c r="G200" s="37"/>
      <c r="H200" s="22"/>
      <c r="I200" s="22"/>
      <c r="J200" s="22"/>
      <c r="K200" s="22"/>
      <c r="L200" s="22"/>
      <c r="M200" s="22"/>
      <c r="N200" s="22"/>
      <c r="O200" s="22"/>
      <c r="P200" s="22"/>
      <c r="Q200" s="22"/>
      <c r="R200" s="22"/>
      <c r="S200" s="22"/>
      <c r="T200" s="37"/>
      <c r="U200" s="13"/>
    </row>
    <row r="201" spans="1:21" x14ac:dyDescent="0.25">
      <c r="A201" s="72">
        <v>198</v>
      </c>
      <c r="B201" s="73" t="s">
        <v>191</v>
      </c>
      <c r="C201" s="74">
        <v>2022</v>
      </c>
      <c r="D201" s="13" t="s">
        <v>206</v>
      </c>
      <c r="E201" s="37"/>
      <c r="F201" s="37"/>
      <c r="G201" s="37"/>
      <c r="H201" s="22"/>
      <c r="I201" s="22"/>
      <c r="J201" s="22"/>
      <c r="K201" s="22"/>
      <c r="L201" s="22"/>
      <c r="M201" s="22"/>
      <c r="N201" s="22"/>
      <c r="O201" s="22"/>
      <c r="P201" s="22"/>
      <c r="Q201" s="22"/>
      <c r="R201" s="22"/>
      <c r="S201" s="22"/>
      <c r="T201" s="37"/>
      <c r="U201" s="13"/>
    </row>
    <row r="202" spans="1:21" x14ac:dyDescent="0.25">
      <c r="A202" s="72">
        <v>199</v>
      </c>
      <c r="B202" s="73" t="s">
        <v>159</v>
      </c>
      <c r="C202" s="74">
        <v>2022</v>
      </c>
      <c r="D202" s="13" t="s">
        <v>206</v>
      </c>
      <c r="E202" s="37"/>
      <c r="F202" s="37"/>
      <c r="G202" s="37"/>
      <c r="H202" s="22"/>
      <c r="I202" s="22"/>
      <c r="J202" s="22"/>
      <c r="K202" s="22"/>
      <c r="L202" s="22"/>
      <c r="M202" s="22"/>
      <c r="N202" s="22"/>
      <c r="O202" s="22"/>
      <c r="P202" s="22"/>
      <c r="Q202" s="22"/>
      <c r="R202" s="22"/>
      <c r="S202" s="22"/>
      <c r="T202" s="37"/>
      <c r="U202" s="13"/>
    </row>
    <row r="203" spans="1:21" x14ac:dyDescent="0.25">
      <c r="A203" s="72">
        <v>200</v>
      </c>
      <c r="B203" s="73" t="s">
        <v>192</v>
      </c>
      <c r="C203" s="74">
        <v>2020</v>
      </c>
      <c r="D203" s="13" t="s">
        <v>206</v>
      </c>
      <c r="E203" s="37"/>
      <c r="F203" s="37"/>
      <c r="G203" s="37"/>
      <c r="H203" s="22"/>
      <c r="I203" s="22"/>
      <c r="J203" s="22"/>
      <c r="K203" s="22"/>
      <c r="L203" s="22"/>
      <c r="M203" s="22"/>
      <c r="N203" s="22"/>
      <c r="O203" s="22"/>
      <c r="P203" s="22"/>
      <c r="Q203" s="22"/>
      <c r="R203" s="22"/>
      <c r="S203" s="22"/>
      <c r="T203" s="37"/>
      <c r="U203" s="13"/>
    </row>
    <row r="204" spans="1:21" x14ac:dyDescent="0.25">
      <c r="A204" s="72">
        <v>201</v>
      </c>
      <c r="B204" s="73" t="s">
        <v>193</v>
      </c>
      <c r="C204" s="74">
        <v>2021</v>
      </c>
      <c r="D204" s="13" t="s">
        <v>206</v>
      </c>
      <c r="E204" s="37"/>
      <c r="F204" s="37"/>
      <c r="G204" s="37"/>
      <c r="H204" s="22"/>
      <c r="I204" s="22"/>
      <c r="J204" s="22"/>
      <c r="K204" s="22"/>
      <c r="L204" s="22"/>
      <c r="M204" s="22"/>
      <c r="N204" s="22"/>
      <c r="O204" s="22"/>
      <c r="P204" s="22"/>
      <c r="Q204" s="22"/>
      <c r="R204" s="22"/>
      <c r="S204" s="22"/>
      <c r="T204" s="37"/>
      <c r="U204" s="13"/>
    </row>
    <row r="205" spans="1:21" x14ac:dyDescent="0.25">
      <c r="A205" s="72">
        <v>202</v>
      </c>
      <c r="B205" s="73" t="s">
        <v>194</v>
      </c>
      <c r="C205" s="74">
        <v>2020</v>
      </c>
      <c r="D205" s="13" t="s">
        <v>206</v>
      </c>
      <c r="E205" s="37"/>
      <c r="F205" s="37"/>
      <c r="G205" s="37"/>
      <c r="H205" s="22"/>
      <c r="I205" s="22"/>
      <c r="J205" s="22"/>
      <c r="K205" s="22"/>
      <c r="L205" s="22"/>
      <c r="M205" s="22"/>
      <c r="N205" s="22"/>
      <c r="O205" s="22"/>
      <c r="P205" s="22"/>
      <c r="Q205" s="22"/>
      <c r="R205" s="22"/>
      <c r="S205" s="22"/>
      <c r="T205" s="37"/>
      <c r="U205" s="13"/>
    </row>
    <row r="206" spans="1:21" x14ac:dyDescent="0.25">
      <c r="A206" s="72">
        <v>203</v>
      </c>
      <c r="B206" s="73" t="s">
        <v>195</v>
      </c>
      <c r="C206" s="74">
        <v>2019</v>
      </c>
      <c r="D206" s="13" t="s">
        <v>206</v>
      </c>
      <c r="E206" s="37"/>
      <c r="F206" s="37"/>
      <c r="G206" s="37"/>
      <c r="H206" s="22"/>
      <c r="I206" s="22"/>
      <c r="J206" s="22"/>
      <c r="K206" s="22"/>
      <c r="L206" s="22"/>
      <c r="M206" s="22"/>
      <c r="N206" s="22"/>
      <c r="O206" s="22"/>
      <c r="P206" s="22"/>
      <c r="Q206" s="22"/>
      <c r="R206" s="22"/>
      <c r="S206" s="22"/>
      <c r="T206" s="37"/>
      <c r="U206" s="13"/>
    </row>
    <row r="207" spans="1:21" x14ac:dyDescent="0.25">
      <c r="A207" s="72">
        <v>204</v>
      </c>
      <c r="B207" s="73" t="s">
        <v>196</v>
      </c>
      <c r="C207" s="74">
        <v>2022</v>
      </c>
      <c r="D207" s="13" t="s">
        <v>206</v>
      </c>
      <c r="E207" s="37"/>
      <c r="F207" s="37"/>
      <c r="G207" s="37"/>
      <c r="H207" s="22"/>
      <c r="I207" s="22"/>
      <c r="J207" s="22"/>
      <c r="K207" s="22"/>
      <c r="L207" s="22"/>
      <c r="M207" s="22"/>
      <c r="N207" s="22"/>
      <c r="O207" s="22"/>
      <c r="P207" s="22"/>
      <c r="Q207" s="22"/>
      <c r="R207" s="22"/>
      <c r="S207" s="22"/>
      <c r="T207" s="37"/>
      <c r="U207" s="13"/>
    </row>
    <row r="208" spans="1:21" x14ac:dyDescent="0.25">
      <c r="A208" s="72">
        <v>205</v>
      </c>
      <c r="B208" s="73" t="s">
        <v>197</v>
      </c>
      <c r="C208" s="74">
        <v>2019</v>
      </c>
      <c r="D208" s="13" t="s">
        <v>206</v>
      </c>
      <c r="E208" s="37"/>
      <c r="F208" s="37"/>
      <c r="G208" s="37"/>
      <c r="H208" s="22"/>
      <c r="I208" s="22"/>
      <c r="J208" s="22"/>
      <c r="K208" s="22"/>
      <c r="L208" s="22"/>
      <c r="M208" s="22"/>
      <c r="N208" s="22"/>
      <c r="O208" s="22"/>
      <c r="P208" s="22"/>
      <c r="Q208" s="22"/>
      <c r="R208" s="22"/>
      <c r="S208" s="22"/>
      <c r="T208" s="37"/>
      <c r="U208" s="13"/>
    </row>
    <row r="209" spans="1:21" x14ac:dyDescent="0.25">
      <c r="A209" s="72">
        <v>206</v>
      </c>
      <c r="B209" s="73" t="s">
        <v>198</v>
      </c>
      <c r="C209" s="74">
        <v>2021</v>
      </c>
      <c r="D209" s="13" t="s">
        <v>206</v>
      </c>
      <c r="E209" s="37"/>
      <c r="F209" s="37"/>
      <c r="G209" s="37"/>
      <c r="H209" s="22"/>
      <c r="I209" s="22"/>
      <c r="J209" s="22"/>
      <c r="K209" s="22"/>
      <c r="L209" s="22"/>
      <c r="M209" s="22"/>
      <c r="N209" s="22"/>
      <c r="O209" s="22"/>
      <c r="P209" s="22"/>
      <c r="Q209" s="22"/>
      <c r="R209" s="22"/>
      <c r="S209" s="22"/>
      <c r="T209" s="37"/>
      <c r="U209" s="13"/>
    </row>
    <row r="210" spans="1:21" x14ac:dyDescent="0.25">
      <c r="A210" s="72">
        <v>207</v>
      </c>
      <c r="B210" s="73" t="s">
        <v>199</v>
      </c>
      <c r="C210" s="74">
        <v>2022</v>
      </c>
      <c r="D210" s="13" t="s">
        <v>206</v>
      </c>
      <c r="E210" s="37"/>
      <c r="F210" s="37"/>
      <c r="G210" s="37"/>
      <c r="H210" s="22"/>
      <c r="I210" s="22"/>
      <c r="J210" s="22"/>
      <c r="K210" s="22"/>
      <c r="L210" s="22"/>
      <c r="M210" s="22"/>
      <c r="N210" s="22"/>
      <c r="O210" s="22"/>
      <c r="P210" s="22"/>
      <c r="Q210" s="22"/>
      <c r="R210" s="22"/>
      <c r="S210" s="22"/>
      <c r="T210" s="37"/>
      <c r="U210" s="13"/>
    </row>
    <row r="211" spans="1:21" x14ac:dyDescent="0.25">
      <c r="A211" s="72">
        <v>208</v>
      </c>
      <c r="B211" s="73" t="s">
        <v>200</v>
      </c>
      <c r="C211" s="74">
        <v>2020</v>
      </c>
      <c r="D211" s="13" t="s">
        <v>206</v>
      </c>
      <c r="E211" s="37"/>
      <c r="F211" s="37"/>
      <c r="G211" s="37"/>
      <c r="H211" s="22"/>
      <c r="I211" s="22"/>
      <c r="J211" s="22"/>
      <c r="K211" s="22"/>
      <c r="L211" s="22"/>
      <c r="M211" s="22"/>
      <c r="N211" s="22"/>
      <c r="O211" s="22"/>
      <c r="P211" s="22"/>
      <c r="Q211" s="22"/>
      <c r="R211" s="22"/>
      <c r="S211" s="22"/>
      <c r="T211" s="37"/>
      <c r="U211" s="13"/>
    </row>
    <row r="212" spans="1:21" x14ac:dyDescent="0.25">
      <c r="A212" s="72">
        <v>209</v>
      </c>
      <c r="B212" s="73" t="s">
        <v>201</v>
      </c>
      <c r="C212" s="74">
        <v>2021</v>
      </c>
      <c r="D212" s="13" t="s">
        <v>206</v>
      </c>
      <c r="E212" s="37"/>
      <c r="F212" s="37"/>
      <c r="G212" s="37"/>
      <c r="H212" s="22"/>
      <c r="I212" s="22"/>
      <c r="J212" s="22"/>
      <c r="K212" s="22"/>
      <c r="L212" s="22"/>
      <c r="M212" s="22"/>
      <c r="N212" s="22"/>
      <c r="O212" s="22"/>
      <c r="P212" s="22"/>
      <c r="Q212" s="22"/>
      <c r="R212" s="22"/>
      <c r="S212" s="22"/>
      <c r="T212" s="37"/>
      <c r="U212" s="13"/>
    </row>
    <row r="213" spans="1:21" x14ac:dyDescent="0.25">
      <c r="A213" s="72">
        <v>210</v>
      </c>
      <c r="B213" s="73" t="s">
        <v>327</v>
      </c>
      <c r="C213" s="74">
        <v>2017</v>
      </c>
      <c r="D213" s="13" t="s">
        <v>206</v>
      </c>
      <c r="E213" s="13"/>
      <c r="F213" s="13"/>
      <c r="G213" s="13"/>
      <c r="H213" s="13"/>
      <c r="I213" s="13"/>
      <c r="J213" s="13"/>
      <c r="K213" s="13"/>
      <c r="L213" s="13"/>
      <c r="M213" s="13"/>
      <c r="N213" s="13"/>
      <c r="O213" s="13"/>
      <c r="P213" s="13"/>
      <c r="Q213" s="13"/>
      <c r="R213" s="13"/>
      <c r="S213" s="13"/>
      <c r="T213" s="13"/>
      <c r="U213" s="13"/>
    </row>
    <row r="214" spans="1:21" x14ac:dyDescent="0.25">
      <c r="A214" s="72">
        <v>211</v>
      </c>
      <c r="B214" s="73" t="s">
        <v>328</v>
      </c>
      <c r="C214" s="74">
        <v>2010</v>
      </c>
      <c r="D214" s="13" t="s">
        <v>336</v>
      </c>
      <c r="E214" s="13" t="s">
        <v>337</v>
      </c>
      <c r="F214" s="13"/>
      <c r="G214" s="13"/>
      <c r="H214" s="13"/>
      <c r="I214" s="13"/>
      <c r="J214" s="13"/>
      <c r="K214" s="13"/>
      <c r="L214" s="13"/>
      <c r="M214" s="13"/>
      <c r="N214" s="13"/>
      <c r="O214" s="13"/>
      <c r="P214" s="13"/>
      <c r="Q214" s="13"/>
      <c r="R214" s="13"/>
      <c r="S214" s="13"/>
      <c r="T214" s="13"/>
      <c r="U214" s="13"/>
    </row>
    <row r="215" spans="1:21" x14ac:dyDescent="0.25">
      <c r="A215" s="72">
        <v>212</v>
      </c>
      <c r="B215" s="73" t="s">
        <v>329</v>
      </c>
      <c r="C215" s="74"/>
      <c r="D215" s="13" t="s">
        <v>206</v>
      </c>
      <c r="E215" s="13"/>
      <c r="F215" s="13"/>
      <c r="G215" s="13"/>
      <c r="H215" s="13"/>
      <c r="I215" s="13"/>
      <c r="J215" s="13"/>
      <c r="K215" s="13"/>
      <c r="L215" s="13"/>
      <c r="M215" s="13"/>
      <c r="N215" s="13"/>
      <c r="O215" s="13"/>
      <c r="P215" s="13"/>
      <c r="Q215" s="13"/>
      <c r="R215" s="13"/>
      <c r="S215" s="13"/>
      <c r="T215" s="13"/>
      <c r="U215" s="13"/>
    </row>
    <row r="216" spans="1:21" x14ac:dyDescent="0.25">
      <c r="A216" s="72">
        <v>213</v>
      </c>
      <c r="B216" s="73" t="s">
        <v>330</v>
      </c>
      <c r="C216" s="74"/>
      <c r="D216" s="13" t="s">
        <v>206</v>
      </c>
      <c r="E216" s="13"/>
      <c r="F216" s="13"/>
      <c r="G216" s="13"/>
      <c r="H216" s="13"/>
      <c r="I216" s="13"/>
      <c r="J216" s="13"/>
      <c r="K216" s="13"/>
      <c r="L216" s="13"/>
      <c r="M216" s="13"/>
      <c r="N216" s="13"/>
      <c r="O216" s="13"/>
      <c r="P216" s="13"/>
      <c r="Q216" s="13"/>
      <c r="R216" s="13"/>
      <c r="S216" s="13"/>
      <c r="T216" s="13"/>
      <c r="U216" s="13"/>
    </row>
    <row r="217" spans="1:21" x14ac:dyDescent="0.25">
      <c r="A217" s="72">
        <v>214</v>
      </c>
      <c r="B217" s="73" t="s">
        <v>331</v>
      </c>
      <c r="C217" s="74"/>
      <c r="D217" s="13" t="s">
        <v>206</v>
      </c>
      <c r="E217" s="13"/>
      <c r="F217" s="13"/>
      <c r="G217" s="13"/>
      <c r="H217" s="13"/>
      <c r="I217" s="13"/>
      <c r="J217" s="13"/>
      <c r="K217" s="13"/>
      <c r="L217" s="13"/>
      <c r="M217" s="13"/>
      <c r="N217" s="13"/>
      <c r="O217" s="13"/>
      <c r="P217" s="13"/>
      <c r="Q217" s="13"/>
      <c r="R217" s="13"/>
      <c r="S217" s="13"/>
      <c r="T217" s="13"/>
      <c r="U217" s="13"/>
    </row>
    <row r="218" spans="1:21" x14ac:dyDescent="0.25">
      <c r="A218" s="72">
        <v>215</v>
      </c>
      <c r="B218" s="73" t="s">
        <v>332</v>
      </c>
      <c r="C218" s="74"/>
      <c r="D218" s="13" t="s">
        <v>206</v>
      </c>
      <c r="E218" s="13"/>
      <c r="F218" s="13"/>
      <c r="G218" s="13"/>
      <c r="H218" s="13"/>
      <c r="I218" s="13"/>
      <c r="J218" s="13"/>
      <c r="K218" s="13"/>
      <c r="L218" s="13"/>
      <c r="M218" s="13"/>
      <c r="N218" s="13"/>
      <c r="O218" s="13"/>
      <c r="P218" s="13"/>
      <c r="Q218" s="13"/>
      <c r="R218" s="13"/>
      <c r="S218" s="13"/>
      <c r="T218" s="13"/>
      <c r="U218" s="13"/>
    </row>
    <row r="219" spans="1:21" x14ac:dyDescent="0.25">
      <c r="A219" s="72">
        <v>216</v>
      </c>
      <c r="B219" s="73" t="s">
        <v>333</v>
      </c>
      <c r="C219" s="74">
        <v>2016</v>
      </c>
      <c r="D219" s="13" t="s">
        <v>204</v>
      </c>
      <c r="E219" s="13" t="s">
        <v>338</v>
      </c>
      <c r="F219" s="13" t="s">
        <v>339</v>
      </c>
      <c r="G219" s="13">
        <v>1</v>
      </c>
      <c r="H219" s="13"/>
      <c r="I219" s="13"/>
      <c r="J219" s="13" t="s">
        <v>226</v>
      </c>
      <c r="K219" s="13" t="s">
        <v>226</v>
      </c>
      <c r="L219" s="13"/>
      <c r="M219" s="13"/>
      <c r="N219" s="13"/>
      <c r="O219" s="13" t="s">
        <v>226</v>
      </c>
      <c r="P219" s="13" t="s">
        <v>226</v>
      </c>
      <c r="Q219" s="13"/>
      <c r="R219" s="13"/>
      <c r="S219" s="13"/>
      <c r="T219" s="13" t="s">
        <v>340</v>
      </c>
      <c r="U219" s="13"/>
    </row>
    <row r="220" spans="1:21" x14ac:dyDescent="0.25">
      <c r="A220" s="72">
        <v>217</v>
      </c>
      <c r="B220" s="73" t="s">
        <v>334</v>
      </c>
      <c r="C220" s="74"/>
      <c r="D220" s="13" t="s">
        <v>215</v>
      </c>
      <c r="E220" s="13" t="s">
        <v>341</v>
      </c>
      <c r="F220" s="13"/>
      <c r="G220" s="13"/>
      <c r="H220" s="13"/>
      <c r="I220" s="13"/>
      <c r="J220" s="13"/>
      <c r="K220" s="13"/>
      <c r="L220" s="13"/>
      <c r="M220" s="13"/>
      <c r="N220" s="13"/>
      <c r="O220" s="13"/>
      <c r="P220" s="13"/>
      <c r="Q220" s="13"/>
      <c r="R220" s="13"/>
      <c r="S220" s="13"/>
      <c r="T220" s="13"/>
      <c r="U220" s="13"/>
    </row>
  </sheetData>
  <autoFilter ref="A2:T212" xr:uid="{00000000-0001-0000-0000-000000000000}">
    <sortState xmlns:xlrd2="http://schemas.microsoft.com/office/spreadsheetml/2017/richdata2" ref="A4:T228">
      <sortCondition ref="A2:A212"/>
    </sortState>
  </autoFilter>
  <mergeCells count="10">
    <mergeCell ref="U1:U2"/>
    <mergeCell ref="D1:D2"/>
    <mergeCell ref="E1:E2"/>
    <mergeCell ref="F1:F2"/>
    <mergeCell ref="G1:G2"/>
    <mergeCell ref="A1:A2"/>
    <mergeCell ref="B1:B2"/>
    <mergeCell ref="C1:C2"/>
    <mergeCell ref="H1:S1"/>
    <mergeCell ref="T1:T2"/>
  </mergeCells>
  <conditionalFormatting sqref="C3:C212">
    <cfRule type="colorScale" priority="6">
      <colorScale>
        <cfvo type="min"/>
        <cfvo type="percentile" val="50"/>
        <cfvo type="max"/>
        <color rgb="FFF8696B"/>
        <color rgb="FFFFEB84"/>
        <color rgb="FF63BE7B"/>
      </colorScale>
    </cfRule>
  </conditionalFormatting>
  <conditionalFormatting sqref="C213:C220">
    <cfRule type="colorScale" priority="612">
      <colorScale>
        <cfvo type="min"/>
        <cfvo type="percentile" val="50"/>
        <cfvo type="max"/>
        <color rgb="FFF8696B"/>
        <color rgb="FFFFEB84"/>
        <color rgb="FF63BE7B"/>
      </colorScale>
    </cfRule>
  </conditionalFormatting>
  <conditionalFormatting sqref="D3:D220">
    <cfRule type="cellIs" dxfId="42" priority="1" operator="equal">
      <formula>"Cita"</formula>
    </cfRule>
    <cfRule type="cellIs" dxfId="41" priority="2" operator="equal">
      <formula>"Ref"</formula>
    </cfRule>
    <cfRule type="cellIs" dxfId="40" priority="3" operator="equal">
      <formula>"Sí"</formula>
    </cfRule>
    <cfRule type="cellIs" dxfId="39" priority="4" operator="equal">
      <formula>"No"</formula>
    </cfRule>
  </conditionalFormatting>
  <hyperlinks>
    <hyperlink ref="B3" r:id="rId1"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811EEB04-2BC1-40BA-8B36-ED72B08FA68B}"/>
    <hyperlink ref="B5" r:id="rId2" display="https://www.researchgate.net/publication/350016193_Gamification_in_Education_industry?_iepl%5BgeneralViewId%5D=r3c8LugQVBvq1ZkZBLzuUPXwWWRkII07T4dm&amp;_iepl%5Bcontexts%5D%5B0%5D=searchReact&amp;_iepl%5BviewId%5D=PLgjR017eiGh4PqnfAQnzFA9qMmmE8iqi1vg&amp;_iepl%5BsearchType%5D=publication&amp;_iepl%5Bdata%5D%5BcountLessEqual20%5D=1&amp;_iepl%5Bdata%5D%5BinteractedWithPosition2%5D=1&amp;_iepl%5Bdata%5D%5BwithEnrichment%5D=1&amp;_iepl%5Bposition%5D=2&amp;_iepl%5BrgKey%5D=PB%3A350016193&amp;_iepl%5BtargetEntityId%5D=PB%3A350016193&amp;_iepl%5BinteractionType%5D=publicationTitle" xr:uid="{5FA09F83-A7A7-48A4-A274-81CF3538EE62}"/>
    <hyperlink ref="B6" r:id="rId3" display="https://www.researchgate.net/publication/339235179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3%5D=1&amp;_iepl%5Bdata%5D%5BwithoutEnrichment%5D=1&amp;_iepl%5Bposition%5D=3&amp;_iepl%5BrgKey%5D=PB%3A339235179&amp;_iepl%5BtargetEntityId%5D=PB%3A339235179&amp;_iepl%5BinteractionType%5D=publicationTitle" xr:uid="{35A9FC7D-8903-4F54-A7DA-2C221F10E285}"/>
    <hyperlink ref="B7" r:id="rId4" display="https://www.researchgate.net/publication/346970771_Gamification_and_Education_An_Overview?_iepl%5BgeneralViewId%5D=r3c8LugQVBvq1ZkZBLzuUPXwWWRkII07T4dm&amp;_iepl%5Bcontexts%5D%5B0%5D=searchReact&amp;_iepl%5BviewId%5D=PLgjR017eiGh4PqnfAQnzFA9qMmmE8iqi1vg&amp;_iepl%5BsearchType%5D=publication&amp;_iepl%5Bdata%5D%5BcountLessEqual20%5D=1&amp;_iepl%5Bdata%5D%5BinteractedWithPosition4%5D=1&amp;_iepl%5Bdata%5D%5BwithoutEnrichment%5D=1&amp;_iepl%5Bposition%5D=4&amp;_iepl%5BrgKey%5D=PB%3A346970771&amp;_iepl%5BtargetEntityId%5D=PB%3A346970771&amp;_iepl%5BinteractionType%5D=publicationTitle" xr:uid="{222056F7-8AC7-4ABA-9CC5-F54CC6A715A8}"/>
    <hyperlink ref="B8" r:id="rId5" display="https://www.researchgate.net/publication/311547594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5%5D=1&amp;_iepl%5Bdata%5D%5BwithoutEnrichment%5D=1&amp;_iepl%5Bposition%5D=5&amp;_iepl%5BrgKey%5D=PB%3A311547594&amp;_iepl%5BtargetEntityId%5D=PB%3A311547594&amp;_iepl%5BinteractionType%5D=publicationTitle" xr:uid="{37B2F3FE-C5E9-4C8C-9DC4-697BBAD00D33}"/>
    <hyperlink ref="B9" r:id="rId6" display="https://www.researchgate.net/publication/29688501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6%5D=1&amp;_iepl%5Bdata%5D%5BwithoutEnrichment%5D=1&amp;_iepl%5Bposition%5D=6&amp;_iepl%5BrgKey%5D=PB%3A296885017&amp;_iepl%5BtargetEntityId%5D=PB%3A296885017&amp;_iepl%5BinteractionType%5D=publicationTitle" xr:uid="{A5EE9657-B8C3-4E7D-AD36-AB4589A8CF97}"/>
    <hyperlink ref="B10" r:id="rId7"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21060313-749F-427A-AC62-4F4372B2D094}"/>
    <hyperlink ref="B11" r:id="rId8" display="https://www.researchgate.net/publication/282391427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8%5D=1&amp;_iepl%5Bdata%5D%5BwithoutEnrichment%5D=1&amp;_iepl%5Bposition%5D=8&amp;_iepl%5BrgKey%5D=PB%3A282391427&amp;_iepl%5BtargetEntityId%5D=PB%3A282391427&amp;_iepl%5BinteractionType%5D=publicationTitle" xr:uid="{C3BA284F-7FA0-4239-A373-B46B68B9342B}"/>
    <hyperlink ref="B12" r:id="rId9" display="https://www.researchgate.net/publication/285505860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9%5D=1&amp;_iepl%5Bdata%5D%5BwithEnrichment%5D=1&amp;_iepl%5Bposition%5D=9&amp;_iepl%5BrgKey%5D=PB%3A285505860&amp;_iepl%5BtargetEntityId%5D=PB%3A285505860&amp;_iepl%5BinteractionType%5D=publicationTitle" xr:uid="{801E05E5-9706-4F56-BBC0-6B86AAFACA01}"/>
    <hyperlink ref="B13" r:id="rId10" display="https://www.researchgate.net/publication/285794672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10%5D=1&amp;_iepl%5Bdata%5D%5BwithoutEnrichment%5D=1&amp;_iepl%5Bposition%5D=10&amp;_iepl%5BrgKey%5D=PB%3A285794672&amp;_iepl%5BtargetEntityId%5D=PB%3A285794672&amp;_iepl%5BinteractionType%5D=publicationTitle" xr:uid="{13D1B6A1-2C1C-42C1-8395-50B3C826446E}"/>
    <hyperlink ref="B14" r:id="rId11"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73898F1F-9585-4571-AEAD-CD7E390FC200}"/>
    <hyperlink ref="B15" r:id="rId12"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FC4D6C3B-27BA-4773-9D48-D151393DB43B}"/>
    <hyperlink ref="B16" r:id="rId13" display="https://www.researchgate.net/publication/358320631_AN_ANALYSIS_OF_GAMIFICATION_IN_EDUCATION_THE_NEED_FOR_AN_ETHICAL_CODE?_iepl%5BgeneralViewId%5D=r3c8LugQVBvq1ZkZBLzuUPXwWWRkII07T4dm&amp;_iepl%5Bcontexts%5D%5B0%5D=searchReact&amp;_iepl%5BviewId%5D=PLgjR017eiGh4PqnfAQnzFA9qMmmE8iqi1vg&amp;_iepl%5BsearchType%5D=publication&amp;_iepl%5Bdata%5D%5BcountLessEqual20%5D=1&amp;_iepl%5Bdata%5D%5BinteractedWithPosition13%5D=1&amp;_iepl%5Bdata%5D%5BwithoutEnrichment%5D=1&amp;_iepl%5Bposition%5D=13&amp;_iepl%5BrgKey%5D=PB%3A358320631&amp;_iepl%5BtargetEntityId%5D=PB%3A358320631&amp;_iepl%5BinteractionType%5D=publicationTitle" xr:uid="{DDF0E29F-78AB-425B-B14B-80A3CDA5A708}"/>
    <hyperlink ref="B17" r:id="rId14" display="https://www.researchgate.net/publication/351314890_Gamification_in_education_threats_or_new_opportunities?_iepl%5BgeneralViewId%5D=r3c8LugQVBvq1ZkZBLzuUPXwWWRkII07T4dm&amp;_iepl%5Bcontexts%5D%5B0%5D=searchReact&amp;_iepl%5BviewId%5D=PLgjR017eiGh4PqnfAQnzFA9qMmmE8iqi1vg&amp;_iepl%5BsearchType%5D=publication&amp;_iepl%5Bdata%5D%5BcountLessEqual20%5D=1&amp;_iepl%5Bdata%5D%5BinteractedWithPosition14%5D=1&amp;_iepl%5Bdata%5D%5BwithoutEnrichment%5D=1&amp;_iepl%5Bposition%5D=14&amp;_iepl%5BrgKey%5D=PB%3A351314890&amp;_iepl%5BtargetEntityId%5D=PB%3A351314890&amp;_iepl%5BinteractionType%5D=publicationTitle" xr:uid="{38974FCD-D1F9-4609-BEB0-17A132AFC703}"/>
    <hyperlink ref="B18" r:id="rId15" display="https://www.researchgate.net/publication/359057945_Game-Based_Learning_Gamification_in_Education_and_Serious_Games?_iepl%5BgeneralViewId%5D=r3c8LugQVBvq1ZkZBLzuUPXwWWRkII07T4dm&amp;_iepl%5Bcontexts%5D%5B0%5D=searchReact&amp;_iepl%5BviewId%5D=PLgjR017eiGh4PqnfAQnzFA9qMmmE8iqi1vg&amp;_iepl%5BsearchType%5D=publication&amp;_iepl%5Bdata%5D%5BcountLessEqual20%5D=1&amp;_iepl%5Bdata%5D%5BinteractedWithPosition15%5D=1&amp;_iepl%5Bdata%5D%5BwithoutEnrichment%5D=1&amp;_iepl%5Bposition%5D=15&amp;_iepl%5BrgKey%5D=PB%3A359057945&amp;_iepl%5BtargetEntityId%5D=PB%3A359057945&amp;_iepl%5BinteractionType%5D=publicationTitle" xr:uid="{5D339BB5-539D-4D7E-B290-71633ED543DE}"/>
    <hyperlink ref="B22" r:id="rId16" display="https://www.researchgate.net/publication/354089161_Gamification_in_Education_Context_The_Intention_The_Design_and_The_Result?_iepl%5BgeneralViewId%5D=r3c8LugQVBvq1ZkZBLzuUPXwWWRkII07T4dm&amp;_iepl%5Bcontexts%5D%5B0%5D=searchReact&amp;_iepl%5BviewId%5D=PLgjR017eiGh4PqnfAQnzFA9qMmmE8iqi1vg&amp;_iepl%5BsearchType%5D=publication&amp;_iepl%5Bdata%5D%5BcountLessEqual20%5D=1&amp;_iepl%5Bdata%5D%5BinteractedWithPosition16%5D=1&amp;_iepl%5Bdata%5D%5BwithoutEnrichment%5D=1&amp;_iepl%5Bposition%5D=16&amp;_iepl%5BrgKey%5D=PB%3A354089161&amp;_iepl%5BtargetEntityId%5D=PB%3A354089161&amp;_iepl%5BinteractionType%5D=publicationTitle" xr:uid="{D1827FE5-C635-452E-B0F2-2557972FAD58}"/>
    <hyperlink ref="B23" r:id="rId17" display="https://www.researchgate.net/publication/354067508_Gamification_in_Education_The_Motivation-Exploration-Implementation_Theory?_iepl%5BgeneralViewId%5D=r3c8LugQVBvq1ZkZBLzuUPXwWWRkII07T4dm&amp;_iepl%5Bcontexts%5D%5B0%5D=searchReact&amp;_iepl%5BviewId%5D=PLgjR017eiGh4PqnfAQnzFA9qMmmE8iqi1vg&amp;_iepl%5BsearchType%5D=publication&amp;_iepl%5Bdata%5D%5BcountLessEqual20%5D=1&amp;_iepl%5Bdata%5D%5BinteractedWithPosition17%5D=1&amp;_iepl%5Bdata%5D%5BwithoutEnrichment%5D=1&amp;_iepl%5Bposition%5D=17&amp;_iepl%5BrgKey%5D=PB%3A354067508&amp;_iepl%5BtargetEntityId%5D=PB%3A354067508&amp;_iepl%5BinteractionType%5D=publicationTitle" xr:uid="{7F18D301-D8A8-4064-B974-168D309FF89E}"/>
    <hyperlink ref="B24" r:id="rId18" display="https://www.researchgate.net/publication/359378993_Elaboration_and_validation_of_the_scale_to_measure_the_experience_on_gamification_in_education_EGAMEDU?_iepl%5BgeneralViewId%5D=r3c8LugQVBvq1ZkZBLzuUPXwWWRkII07T4dm&amp;_iepl%5Bcontexts%5D%5B0%5D=searchReact&amp;_iepl%5BviewId%5D=PLgjR017eiGh4PqnfAQnzFA9qMmmE8iqi1vg&amp;_iepl%5BsearchType%5D=publication&amp;_iepl%5Bdata%5D%5BcountLessEqual20%5D=1&amp;_iepl%5Bdata%5D%5BinteractedWithPosition18%5D=1&amp;_iepl%5Bdata%5D%5BwithoutEnrichment%5D=1&amp;_iepl%5Bposition%5D=18&amp;_iepl%5BrgKey%5D=PB%3A359378993&amp;_iepl%5BtargetEntityId%5D=PB%3A359378993&amp;_iepl%5BinteractionType%5D=publicationTitle" xr:uid="{18AF28B4-6C62-4F26-AE74-67FA32C95047}"/>
    <hyperlink ref="B25" r:id="rId19" display="https://www.researchgate.net/publication/350014929_A_study_on_Systematic_review_of_Gamification_in_Education_Sector?_iepl%5BgeneralViewId%5D=r3c8LugQVBvq1ZkZBLzuUPXwWWRkII07T4dm&amp;_iepl%5Bcontexts%5D%5B0%5D=searchReact&amp;_iepl%5BviewId%5D=PLgjR017eiGh4PqnfAQnzFA9qMmmE8iqi1vg&amp;_iepl%5BsearchType%5D=publication&amp;_iepl%5Bdata%5D%5BcountLessEqual20%5D=1&amp;_iepl%5Bdata%5D%5BinteractedWithPosition19%5D=1&amp;_iepl%5Bdata%5D%5BwithoutEnrichment%5D=1&amp;_iepl%5Bposition%5D=19&amp;_iepl%5BrgKey%5D=PB%3A350014929&amp;_iepl%5BtargetEntityId%5D=PB%3A350014929&amp;_iepl%5BinteractionType%5D=publicationTitle" xr:uid="{2AB5A1E3-7401-4DEB-A6CC-2B1643C4013E}"/>
    <hyperlink ref="B26" r:id="rId20" display="https://www.researchgate.net/publication/349242508_State_of_Research_on_Gamification_in_Education_A_Bibliometric_Survey?_iepl%5BgeneralViewId%5D=r3c8LugQVBvq1ZkZBLzuUPXwWWRkII07T4dm&amp;_iepl%5Bcontexts%5D%5B0%5D=searchReact&amp;_iepl%5BviewId%5D=PLgjR017eiGh4PqnfAQnzFA9qMmmE8iqi1vg&amp;_iepl%5BsearchType%5D=publication&amp;_iepl%5Bdata%5D%5BcountLessEqual20%5D=1&amp;_iepl%5Bdata%5D%5BinteractedWithPosition20%5D=1&amp;_iepl%5Bdata%5D%5BwithoutEnrichment%5D=1&amp;_iepl%5Bposition%5D=20&amp;_iepl%5BrgKey%5D=PB%3A349242508&amp;_iepl%5BtargetEntityId%5D=PB%3A349242508&amp;_iepl%5BinteractionType%5D=publicationTitle" xr:uid="{0CE9C39F-B46E-4588-B81B-71EA3773EA80}"/>
    <hyperlink ref="B27" r:id="rId21" display="https://www.researchgate.net/publication/325060004_A_Review_of_the_Effectiveness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amp;_iepl%5BrgKey%5D=PB%3A325060004&amp;_iepl%5BtargetEntityId%5D=PB%3A325060004&amp;_iepl%5BinteractionType%5D=publicationTitle" xr:uid="{D93A73CB-2706-4E67-A2FD-F2F9FB35B6DE}"/>
    <hyperlink ref="B28" r:id="rId22" display="https://www.researchgate.net/publication/282776723_Rezension_Gamification_in_Education_and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2&amp;_iepl%5BrgKey%5D=PB%3A282776723&amp;_iepl%5BtargetEntityId%5D=PB%3A282776723&amp;_iepl%5BinteractionType%5D=publicationTitle" xr:uid="{673311EE-7B98-48AD-AC97-6085C8BB4261}"/>
    <hyperlink ref="B29" r:id="rId23"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BAAA1F44-5B41-40DD-A194-379652CC535A}"/>
    <hyperlink ref="B30" r:id="rId24" display="https://www.researchgate.net/publication/289210605_Gamification_in_educational_software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4&amp;_iepl%5BrgKey%5D=PB%3A289210605&amp;_iepl%5BtargetEntityId%5D=PB%3A289210605&amp;_iepl%5BinteractionType%5D=publicationTitle" xr:uid="{35AF1D42-9155-4BC2-B0C9-C2F50B9965DB}"/>
    <hyperlink ref="B31" r:id="rId25" display="https://www.researchgate.net/publication/266515512_Gamification_and_Education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5&amp;_iepl%5BrgKey%5D=PB%3A266515512&amp;_iepl%5BtargetEntityId%5D=PB%3A266515512&amp;_iepl%5BinteractionType%5D=publicationTitle" xr:uid="{6361BA5C-F635-4595-A33A-A2D77BE3243A}"/>
    <hyperlink ref="B32" r:id="rId26" display="https://www.researchgate.net/publication/352900153_Gamification_for_educational_purposes_What_are_the_factors_contributing_to_varied_effective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6&amp;_iepl%5BrgKey%5D=PB%3A352900153&amp;_iepl%5BtargetEntityId%5D=PB%3A352900153&amp;_iepl%5BinteractionType%5D=publicationTitle" xr:uid="{D30B24C5-CA16-4DA5-B137-CEE4AE13A841}"/>
    <hyperlink ref="B33"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A187E86C-6FBF-4239-B34E-0215508E80F4}"/>
    <hyperlink ref="B34" r:id="rId28"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8D9154DF-E10F-46BB-A2EA-D9DAE2AF5445}"/>
    <hyperlink ref="B35" r:id="rId29" display="https://www.researchgate.net/publication/352485060_Gamification_in_Educational_Discourse_in_the_Aspect_of_Foreign_Language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9&amp;_iepl%5BrgKey%5D=PB%3A352485060&amp;_iepl%5BtargetEntityId%5D=PB%3A352485060&amp;_iepl%5BinteractionType%5D=publicationTitle" xr:uid="{5E805AFC-080D-4423-AF49-40910E9981A2}"/>
    <hyperlink ref="B36" r:id="rId30" display="https://www.researchgate.net/publication/351063925_Effective_Gamification_Within_Educational_Virtual_Reality_Environm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0&amp;_iepl%5BrgKey%5D=PB%3A351063925&amp;_iepl%5BtargetEntityId%5D=PB%3A351063925&amp;_iepl%5BinteractionType%5D=publicationTitle" xr:uid="{4ECC3265-303F-4558-AB31-770F6ED9BE43}"/>
    <hyperlink ref="B37" r:id="rId31" display="https://www.researchgate.net/publication/340829813_The_Shift_to_Gamification_in_Education_A_Review_on_Dominant_Issu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1&amp;_iepl%5BrgKey%5D=PB%3A340829813&amp;_iepl%5BtargetEntityId%5D=PB%3A340829813&amp;_iepl%5BinteractionType%5D=publicationTitle" xr:uid="{56A63410-F2E3-4C93-A17C-0AC0C4C9D4A8}"/>
    <hyperlink ref="B38" r:id="rId32" display="https://www.researchgate.net/publication/339887652_Hard_and_light_gamification_in_education_Which_one_to_choo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2&amp;_iepl%5BrgKey%5D=PB%3A339887652&amp;_iepl%5BtargetEntityId%5D=PB%3A339887652&amp;_iepl%5BinteractionType%5D=publicationTitle" xr:uid="{E682AD2F-E434-42BF-8354-EFD633487B8B}"/>
    <hyperlink ref="B39" r:id="rId33" display="https://www.researchgate.net/publication/337152514_GAMIFICATION_IN_EDUCATION_BADGES_AS_INDICATORS_OF_THE_FORMATION_OF_EDUCATIONAL_RESUL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3&amp;_iepl%5BrgKey%5D=PB%3A337152514&amp;_iepl%5BtargetEntityId%5D=PB%3A337152514&amp;_iepl%5BinteractionType%5D=publicationTitle" xr:uid="{38E1EFDC-A181-4B8E-8516-21BF3AC54176}"/>
    <hyperlink ref="B40" r:id="rId34" display="https://www.researchgate.net/publication/324929324_Gamification_in_education_-_practical_solutions_for_educational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4&amp;_iepl%5BrgKey%5D=PB%3A324929324&amp;_iepl%5BtargetEntityId%5D=PB%3A324929324&amp;_iepl%5BinteractionType%5D=publicationTitle" xr:uid="{4D965A52-E54D-417B-A0A7-B5DF0E7A4BB6}"/>
    <hyperlink ref="B41" r:id="rId35" display="https://www.researchgate.net/publication/270273830_Gamification_in_Education_A_Systematic_Mapping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5&amp;_iepl%5BrgKey%5D=PB%3A270273830&amp;_iepl%5BtargetEntityId%5D=PB%3A270273830&amp;_iepl%5BinteractionType%5D=publicationTitle" xr:uid="{791E88BC-A400-44E7-AE5F-8A1891EB22CB}"/>
    <hyperlink ref="B42" r:id="rId36" display="https://www.researchgate.net/publication/354800118_An_Effect_of_Gamification_on_Education_under_Online_Lives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6&amp;_iepl%5BrgKey%5D=PB%3A354800118&amp;_iepl%5BtargetEntityId%5D=PB%3A354800118&amp;_iepl%5BinteractionType%5D=publicationTitle" xr:uid="{B5F64FEF-A930-4B09-AFB9-DDA61EE913E6}"/>
    <hyperlink ref="B43" r:id="rId37" display="https://www.researchgate.net/publication/287480678_The_role_of_gamification_in_education_-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7&amp;_iepl%5BrgKey%5D=PB%3A287480678&amp;_iepl%5BtargetEntityId%5D=PB%3A287480678&amp;_iepl%5BinteractionType%5D=publicationTitle" xr:uid="{0E406513-DB07-4E63-9C7F-8BEDF4DBC67E}"/>
    <hyperlink ref="B44" r:id="rId38"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424EA76B-17A9-4DB2-B388-969C9391D129}"/>
    <hyperlink ref="B45" r:id="rId39" display="https://www.researchgate.net/publication/342783237_EPISTEMOLOGIES_ISSUES_OF_GAMIFICATION_IN_EDUCATION_THEORETICAL_PERSPECTIVES_IN_EVID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39&amp;_iepl%5BrgKey%5D=PB%3A342783237&amp;_iepl%5BtargetEntityId%5D=PB%3A342783237&amp;_iepl%5BinteractionType%5D=publicationTitle" xr:uid="{8892AF6F-CE8C-4B75-A12D-2AA2CCB3AA68}"/>
    <hyperlink ref="B46" r:id="rId40" display="https://www.researchgate.net/publication/340382447_A_Literature_Review_of_Domestic_Research_on_Gamification_of_Education_in_Kore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0&amp;_iepl%5BrgKey%5D=PB%3A340382447&amp;_iepl%5BtargetEntityId%5D=PB%3A340382447&amp;_iepl%5BinteractionType%5D=publicationTitle" xr:uid="{C06E7D24-0C1B-4F67-B27D-3BDFF5E5CF1D}"/>
    <hyperlink ref="B47" r:id="rId41"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95EA637-4CE2-4098-BD9B-D83F30D7A0EF}"/>
    <hyperlink ref="B48" r:id="rId42" display="https://www.researchgate.net/publication/352160423_The_Role_of_Gamification_in_Education_Global_Citizenship_and_21st-Century_Skill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2&amp;_iepl%5BrgKey%5D=PB%3A352160423&amp;_iepl%5BtargetEntityId%5D=PB%3A352160423&amp;_iepl%5BinteractionType%5D=publicationTitle" xr:uid="{576DA581-3FF5-4CF5-90BE-20B2D7DAE765}"/>
    <hyperlink ref="B49" r:id="rId43" display="https://www.researchgate.net/publication/332692176_Gamification_in_Educational_Contexts_A_Critical_View_on_Mechanisms_and_Method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3&amp;_iepl%5BrgKey%5D=PB%3A332692176&amp;_iepl%5BtargetEntityId%5D=PB%3A332692176&amp;_iepl%5BinteractionType%5D=publicationTitle" xr:uid="{E28174E5-817B-4F09-BB97-AE8A05C82C20}"/>
    <hyperlink ref="B50" r:id="rId44" display="https://www.researchgate.net/publication/301559682_Is_this_new_Family_Resemblances_in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4&amp;_iepl%5BrgKey%5D=PB%3A301559682&amp;_iepl%5BtargetEntityId%5D=PB%3A301559682&amp;_iepl%5BinteractionType%5D=publicationTitle" xr:uid="{48A7781D-94CF-47F6-8944-6BCDB3C028BB}"/>
    <hyperlink ref="B51" r:id="rId45" display="https://www.researchgate.net/publication/355739209_From_didactic_game_to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5&amp;_iepl%5BrgKey%5D=PB%3A355739209&amp;_iepl%5BtargetEntityId%5D=PB%3A355739209&amp;_iepl%5BinteractionType%5D=publicationTitle" xr:uid="{1A3284BF-1522-4291-8578-001439E2174E}"/>
    <hyperlink ref="B52" r:id="rId46" display="https://www.researchgate.net/publication/348800636_GAMIFICATION_OF_EDUCATIONAL_PRACTICE_ON_THE_EXAMPLE_OF_THE_EXPERIMENT_OF_A_GROUP_OF_PARENTS_ON_FAMILY_EDUCATION_IN_CHEBOKSA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6&amp;_iepl%5BrgKey%5D=PB%3A348800636&amp;_iepl%5BtargetEntityId%5D=PB%3A348800636&amp;_iepl%5BinteractionType%5D=publicationTitle" xr:uid="{8FDDF5BA-19C4-4647-B01D-575B477B9B09}"/>
    <hyperlink ref="B53" r:id="rId47" display="https://www.researchgate.net/publication/338192579_GAMIFICATION_OF_EDUCATION_AS_A_TECHNOLOGY_OF_DEVELOPMENT_OF_THE_STUDENT%27S_SENSIBLE_KNOWLEDG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7&amp;_iepl%5BrgKey%5D=PB%3A338192579&amp;_iepl%5BtargetEntityId%5D=PB%3A338192579&amp;_iepl%5BinteractionType%5D=publicationTitle" xr:uid="{3C19A205-0EA3-424D-9D78-38266F67DF5F}"/>
    <hyperlink ref="B54" r:id="rId48" display="https://www.researchgate.net/publication/287297186_Lessons_from_game_studies_to_enhance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8&amp;_iepl%5BrgKey%5D=PB%3A287297186&amp;_iepl%5BtargetEntityId%5D=PB%3A287297186&amp;_iepl%5BinteractionType%5D=publicationTitle" xr:uid="{420170D8-5F65-4F64-8609-39B670DEECBF}"/>
    <hyperlink ref="B56" r:id="rId49" display="https://www.researchgate.net/publication/349461247_Between_Level_Up_and_Game_Over_A_Systematic_Literature_Review_of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49&amp;_iepl%5BrgKey%5D=PB%3A349461247&amp;_iepl%5BtargetEntityId%5D=PB%3A349461247&amp;_iepl%5BinteractionType%5D=publicationTitle" xr:uid="{72F6E4AB-F4FF-4758-8034-36AE230A4E11}"/>
    <hyperlink ref="B57" r:id="rId50" display="https://www.researchgate.net/publication/258697764_Gamification_in_Education_What_How_Why_Bothe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0&amp;_iepl%5BrgKey%5D=PB%3A258697764&amp;_iepl%5BtargetEntityId%5D=PB%3A258697764&amp;_iepl%5BinteractionType%5D=publicationTitle" xr:uid="{5B8A195F-A2C0-4BD4-9EC8-7E63F1971482}"/>
    <hyperlink ref="B58" r:id="rId51" display="https://www.researchgate.net/publication/351479690_Gamification_in_education_from_Web_of_Science_An_analysis_with_bibliometric_indicators_and_visualization_map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1&amp;_iepl%5BrgKey%5D=PB%3A351479690&amp;_iepl%5BtargetEntityId%5D=PB%3A351479690&amp;_iepl%5BinteractionType%5D=publicationTitle" xr:uid="{FA766D2E-E636-4CAC-A090-33F3F69E0955}"/>
    <hyperlink ref="B59" r:id="rId52" display="https://www.researchgate.net/publication/346032771_Knowing_the_Students%27_Game-Playing_Characteristics_as_a_Prerequisite_for_Successful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2&amp;_iepl%5BrgKey%5D=PB%3A346032771&amp;_iepl%5BtargetEntityId%5D=PB%3A346032771&amp;_iepl%5BinteractionType%5D=publicationTitle" xr:uid="{CB9292B0-BC30-4431-9C60-C5C6F05BC4A7}"/>
    <hyperlink ref="B60" r:id="rId5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CA52A1A-F29F-43A6-BB42-33CE95500B84}"/>
    <hyperlink ref="B61" r:id="rId54"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3841601D-816D-4821-BD61-82C736CA0AF2}"/>
    <hyperlink ref="B62" r:id="rId55" display="https://www.researchgate.net/publication/306012133_The_use_of_gamification_in_education_A_bibliometric_and_text_mining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5&amp;_iepl%5BrgKey%5D=PB%3A306012133&amp;_iepl%5BtargetEntityId%5D=PB%3A306012133&amp;_iepl%5BinteractionType%5D=publicationTitle" xr:uid="{D35F6D0C-86A7-4D9F-947D-8FEAB69776B2}"/>
    <hyperlink ref="B63" r:id="rId56" display="https://www.researchgate.net/publication/343085892_The_impact_of_gamification_in_educational_settings_on_student_learning_outcomes_a_meta-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6&amp;_iepl%5BrgKey%5D=PB%3A343085892&amp;_iepl%5BtargetEntityId%5D=PB%3A343085892&amp;_iepl%5BinteractionType%5D=publicationTitle" xr:uid="{E85728FE-38DF-471F-A1BE-FCF7EE7ED94B}"/>
    <hyperlink ref="B64" r:id="rId57" display="https://www.researchgate.net/publication/331443619_Cloud-assisted_gamification_for_education_and_learning_-_Recent_advances_and_challen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7&amp;_iepl%5BrgKey%5D=PB%3A331443619&amp;_iepl%5BtargetEntityId%5D=PB%3A331443619&amp;_iepl%5BinteractionType%5D=publicationTitle" xr:uid="{C39195AF-B109-4136-B422-7BA6A1B1B729}"/>
    <hyperlink ref="B65" r:id="rId58"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44967E3B-0F77-4D0F-9A2C-2FAF7B2BB447}"/>
    <hyperlink ref="B66" r:id="rId59" display="https://www.researchgate.net/publication/343300874_Improving_gamification_of_educational_process_in_order_to_develop_competencies_of_university_graduat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9&amp;_iepl%5BrgKey%5D=PB%3A343300874&amp;_iepl%5BtargetEntityId%5D=PB%3A343300874&amp;_iepl%5BinteractionType%5D=publicationTitle" xr:uid="{180F61AC-6683-42C7-832F-C156C680C607}"/>
    <hyperlink ref="B67" r:id="rId60" display="https://www.researchgate.net/publication/348050689_Gamification_in_education_State_of_the_art_Gamificacion_en_educacion_Estado_del_art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0&amp;_iepl%5BrgKey%5D=PB%3A348050689&amp;_iepl%5BtargetEntityId%5D=PB%3A348050689&amp;_iepl%5BinteractionType%5D=publicationTitle" xr:uid="{D52E8233-DBA6-4EFF-8C34-98C2103F6360}"/>
    <hyperlink ref="B68" r:id="rId61" display="https://www.researchgate.net/publication/358859504_Modern_Technologies_and_Gamification_in_Historic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1&amp;_iepl%5BrgKey%5D=PB%3A358859504&amp;_iepl%5BtargetEntityId%5D=PB%3A358859504&amp;_iepl%5BinteractionType%5D=publicationTitle" xr:uid="{DFB2FE15-EFD9-460D-8E28-264419DCEF7C}"/>
    <hyperlink ref="B69" r:id="rId62" display="https://www.researchgate.net/publication/319354887_Games_and_Gamification_in_Education_Basic_Definitions_and_a_Course_Template_of_Phonetic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2&amp;_iepl%5BrgKey%5D=PB%3A319354887&amp;_iepl%5BtargetEntityId%5D=PB%3A319354887&amp;_iepl%5BinteractionType%5D=publicationTitle" xr:uid="{AB6B1203-FBEE-4759-B710-618604C790F2}"/>
    <hyperlink ref="B70" r:id="rId63" display="https://www.researchgate.net/publication/319202972_Students%27_Perceptions_about_Gamification_of_Education_A_Q-Method_Analysi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3&amp;_iepl%5BrgKey%5D=PB%3A319202972&amp;_iepl%5BtargetEntityId%5D=PB%3A319202972&amp;_iepl%5BinteractionType%5D=publicationTitle" xr:uid="{A8057E07-D3BC-43DD-B4E1-AF4C7E2BCD85}"/>
    <hyperlink ref="B71" r:id="rId64" display="https://www.researchgate.net/publication/306154002_This_game_sucks_How_to_improve_the_gamific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64&amp;_iepl%5BrgKey%5D=PB%3A306154002&amp;_iepl%5BtargetEntityId%5D=PB%3A306154002&amp;_iepl%5BinteractionType%5D=publicationTitle" xr:uid="{925813AC-66CF-4405-9289-4D9106439CE1}"/>
    <hyperlink ref="B72" r:id="rId65" display="https://www.researchgate.net/publication/316503188_Affluent_Gaming_Experience_Could_Fail_Gamification_in_Education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5&amp;_iepl%5BrgKey%5D=PB%3A316503188&amp;_iepl%5BtargetEntityId%5D=PB%3A316503188&amp;_iepl%5BinteractionType%5D=publicationTitle" xr:uid="{669EABC5-2859-4E36-9942-6A689CB8E574}"/>
    <hyperlink ref="B73" r:id="rId66"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3743F3AD-8967-4C9A-AA41-54DE48E8E22A}"/>
    <hyperlink ref="B74" r:id="rId67"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FAE30BCB-9407-43A3-A1C5-CF0BB9D8B9B3}"/>
    <hyperlink ref="B75" r:id="rId68" display="https://www.researchgate.net/publication/327181917_Need-supporting_gamification_in_education_An_assessment_of_motivational_effects_over_tim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8&amp;_iepl%5BrgKey%5D=PB%3A327181917&amp;_iepl%5BtargetEntityId%5D=PB%3A327181917&amp;_iepl%5BinteractionType%5D=publicationTitle" xr:uid="{BB67FCA3-CA57-4FAA-A09C-E1BFBC0DE155}"/>
    <hyperlink ref="B76" r:id="rId69" display="https://www.researchgate.net/publication/344610677_CONTENT_ANALYSIS_OF_ARTICLES_THAT_RELATED_TO_THE_USE_OF_GOOGLE_CLASSROOM_AND_GAMIFICATION_IN_EDUCATION_FROM_2016_TO_2020?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9&amp;_iepl%5BrgKey%5D=PB%3A344610677&amp;_iepl%5BtargetEntityId%5D=PB%3A344610677&amp;_iepl%5BinteractionType%5D=publicationTitle" xr:uid="{2C0A35AC-26F9-4A99-B9FC-56B60C9F6DD3}"/>
    <hyperlink ref="B77" r:id="rId70" display="https://www.researchgate.net/publication/350191407_Gamification_in_education_a_mixed-methods_study_of_gender_on_computer_science_students%27_academic_performance_and_identity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0&amp;_iepl%5BrgKey%5D=PB%3A350191407&amp;_iepl%5BtargetEntityId%5D=PB%3A350191407&amp;_iepl%5BinteractionType%5D=publicationTitle" xr:uid="{CFC623AD-7172-4FBF-AE36-B03447D90A9B}"/>
    <hyperlink ref="B78" r:id="rId71" display="https://www.researchgate.net/publication/349674947_Pros_and_Cons_of_Using_Gamification_in_Tourism_Education_as_a_Motivational_Too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1&amp;_iepl%5BrgKey%5D=PB%3A349674947&amp;_iepl%5BtargetEntityId%5D=PB%3A349674947&amp;_iepl%5BinteractionType%5D=publicationTitle" xr:uid="{A8739172-2F22-4313-BBEE-1EE1DE7749DE}"/>
    <hyperlink ref="B79" r:id="rId72" display="https://www.researchgate.net/publication/279184082_An_Observational_Research_on_the_Limitations_and_Side_Effects_of_Gamification_in_Educating_Human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2&amp;_iepl%5BrgKey%5D=PB%3A279184082&amp;_iepl%5BtargetEntityId%5D=PB%3A279184082&amp;_iepl%5BinteractionType%5D=publicationTitle" xr:uid="{31D23864-B7A1-4E82-9F85-6D2E7163EDC5}"/>
    <hyperlink ref="B80" r:id="rId73" display="https://www.researchgate.net/publication/344965136_Learning_based_on_flipped_classroom_with_just-in-time_teaching_Unity3D_gamification_and_educational_spa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3&amp;_iepl%5BrgKey%5D=PB%3A344965136&amp;_iepl%5BtargetEntityId%5D=PB%3A344965136&amp;_iepl%5BinteractionType%5D=publicationTitle" xr:uid="{8F013FD3-3CBF-4898-9AF1-119882C31506}"/>
    <hyperlink ref="B81" r:id="rId74" display="https://www.researchgate.net/publication/348161943_Gamification_Applications_in_E-learning_A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74&amp;_iepl%5BrgKey%5D=PB%3A348161943&amp;_iepl%5BtargetEntityId%5D=PB%3A348161943&amp;_iepl%5BinteractionType%5D=publicationTitle" xr:uid="{8A721244-775D-4550-B17E-D96556FF9CCA}"/>
    <hyperlink ref="B82" r:id="rId75" display="https://www.researchgate.net/publication/350645650_APLICATIVOS_E_GAMIFICACAO_NA_EDUCACAO_POSSIBILIDADES_E_CONSIDERACOES_APPLICATIONS_AND_GAMIFICATION_IN_EDUCATION_POSSIBILITIES_AND_CONSIDERA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5&amp;_iepl%5BrgKey%5D=PB%3A350645650&amp;_iepl%5BtargetEntityId%5D=PB%3A350645650&amp;_iepl%5BinteractionType%5D=publicationTitle" xr:uid="{FC97171A-394C-4B1D-98E9-C43D0AB27C1B}"/>
    <hyperlink ref="B83" r:id="rId76" display="https://www.researchgate.net/publication/336199196_GAMIFICATION_AS_THE_CURRENT_TREND_OF_NA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6&amp;_iepl%5BrgKey%5D=PB%3A336199196&amp;_iepl%5BtargetEntityId%5D=PB%3A336199196&amp;_iepl%5BinteractionType%5D=publicationTitle" xr:uid="{9E1B799C-976B-4664-A5EB-4C8D834DDF78}"/>
    <hyperlink ref="B84" r:id="rId77" display="https://www.researchgate.net/publication/329336400_Gamification_in_Education_httpwwwaascitorgjournalarchive2journalId981paperId2987?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7&amp;_iepl%5BrgKey%5D=PB%3A329336400&amp;_iepl%5BtargetEntityId%5D=PB%3A329336400&amp;_iepl%5BinteractionType%5D=publicationTitle" xr:uid="{2BA92AB8-9B38-43E5-8BB8-099DFCD7CED2}"/>
    <hyperlink ref="B85" r:id="rId7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EFC20596-0CD9-4D09-9113-7A29F474EF24}"/>
    <hyperlink ref="B86" r:id="rId79" display="https://www.researchgate.net/publication/358608665_The_Effects_of_Gamification_on_E-learning_Education_Systematic_Literature_Review_and_Conceptu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9&amp;_iepl%5BrgKey%5D=PB%3A358608665&amp;_iepl%5BtargetEntityId%5D=PB%3A358608665&amp;_iepl%5BinteractionType%5D=publicationTitle" xr:uid="{9E34B091-B9C8-4893-ABA5-7274B9E9F599}"/>
    <hyperlink ref="B87" r:id="rId80" display="https://www.researchgate.net/publication/358200298_Games_and_Gamification_Recent_Trends_in_E-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0&amp;_iepl%5BrgKey%5D=PB%3A358200298&amp;_iepl%5BtargetEntityId%5D=PB%3A358200298&amp;_iepl%5BinteractionType%5D=publicationTitle" xr:uid="{2F86EB1C-7433-4CD2-B85E-508211ED2696}"/>
    <hyperlink ref="B88" r:id="rId81" display="https://www.researchgate.net/publication/348277314_Gamification_in_Science_Education_A_Systematic_Review_of_the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1&amp;_iepl%5BrgKey%5D=PB%3A348277314&amp;_iepl%5BtargetEntityId%5D=PB%3A348277314&amp;_iepl%5BinteractionType%5D=publicationTitle" xr:uid="{14CF3F23-5907-47A2-87F9-87F961800301}"/>
    <hyperlink ref="B89" r:id="rId82" display="https://www.researchgate.net/publication/357530273_Prospective_preschool_and_primary_school_teachers%27_knowledge_and_opinion_about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2&amp;_iepl%5BrgKey%5D=PB%3A357530273&amp;_iepl%5BtargetEntityId%5D=PB%3A357530273&amp;_iepl%5BinteractionType%5D=publicationTitle" xr:uid="{194B6086-FB9C-4FC2-956C-441D6B53460C}"/>
    <hyperlink ref="B90" r:id="rId83" display="https://www.researchgate.net/publication/350641692_GAMIFICACAO_E_JOGOS_EDUCACIONAIS_NO_PROCESSO_DE_ALFABETIZACAO_E_LETRAMENTO_GAMIFICATION_AND_EDUCATIONAL_GAMES_IN_THE_PROCESS_OF_LITERACY_AND_LITERA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3&amp;_iepl%5BrgKey%5D=PB%3A350641692&amp;_iepl%5BtargetEntityId%5D=PB%3A350641692&amp;_iepl%5BinteractionType%5D=publicationTitle" xr:uid="{AC83AF70-A80D-4518-B691-7F58BD821146}"/>
    <hyperlink ref="B91" r:id="rId84" display="https://www.researchgate.net/publication/286875093_The_Effects_of_Learning_Styles_and_Meaningful_Learning_on_the_Learning_Achievement_of_Gamification_Health_Education_Curriculu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5&amp;_iepl%5BrgKey%5D=PB%3A286875093&amp;_iepl%5BtargetEntityId%5D=PB%3A286875093&amp;_iepl%5BinteractionType%5D=publicationTitle" xr:uid="{861B01EF-9D6A-4F1D-8DA5-A6D1CADCF6DD}"/>
    <hyperlink ref="B92" r:id="rId85" display="https://www.researchgate.net/publication/357058244_Scientific_and_Methodological_Support_for_Teachers_in_the_Context_of_Gamification_in_Mathematics_Study_in_the_Russian_System_of_Additional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7&amp;_iepl%5BrgKey%5D=PB%3A357058244&amp;_iepl%5BtargetEntityId%5D=PB%3A357058244&amp;_iepl%5BinteractionType%5D=publicationTitle" xr:uid="{6E69ACF1-53BD-4DC6-A0A0-5F2CB235831C}"/>
    <hyperlink ref="B93" r:id="rId86" display="https://www.researchgate.net/publication/357124441_Designing_gamification_for_geometry_in_elementary_schools_insights_from_the_design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8&amp;_iepl%5BrgKey%5D=PB%3A357124441&amp;_iepl%5BtargetEntityId%5D=PB%3A357124441&amp;_iepl%5BinteractionType%5D=publicationTitle" xr:uid="{CD169BEF-3793-411A-A880-DF74DBCDDC86}"/>
    <hyperlink ref="B94" r:id="rId87" display="https://www.researchgate.net/publication/332662759_What_Do_Prospective_Teachers_Think_about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89&amp;_iepl%5BrgKey%5D=PB%3A332662759&amp;_iepl%5BtargetEntityId%5D=PB%3A332662759&amp;_iepl%5BinteractionType%5D=publicationTitle" xr:uid="{85328F91-F407-41FB-8A4E-59B1AF4DCC4F}"/>
    <hyperlink ref="B95" r:id="rId88" display="https://www.researchgate.net/publication/337118326_Impact_of_Implementing_Game_Elements_in_Gamifying_Educational_Environment_A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1&amp;_iepl%5BrgKey%5D=PB%3A337118326&amp;_iepl%5BtargetEntityId%5D=PB%3A337118326&amp;_iepl%5BinteractionType%5D=publicationTitle" xr:uid="{5287D481-1132-4C2C-BC91-9C5DFFE6AD19}"/>
    <hyperlink ref="B96" r:id="rId89" display="https://www.researchgate.net/publication/357961391_USE_OF_INNOVATIVE_INFORMATION-COMMUNICATION_TECHNOLOGIES_WHEN_TEACHING_UNIVERSITY_STUDENTS_ELEMENT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2&amp;_iepl%5BrgKey%5D=PB%3A357961391&amp;_iepl%5BtargetEntityId%5D=PB%3A357961391&amp;_iepl%5BinteractionType%5D=publicationTitle" xr:uid="{FB28911C-825A-4B1E-B566-0CF2870C8DC6}"/>
    <hyperlink ref="B97" r:id="rId90" display="https://www.researchgate.net/publication/353915128_The_technology_of_prospective_teachers%27_digital_competence_formation_by_mean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3&amp;_iepl%5BrgKey%5D=PB%3A353915128&amp;_iepl%5BtargetEntityId%5D=PB%3A353915128&amp;_iepl%5BinteractionType%5D=publicationTitle" xr:uid="{0A662239-5479-48E8-A4DB-6FFB190DD9DB}"/>
    <hyperlink ref="B98" r:id="rId91" display="https://www.researchgate.net/publication/345238960_Playfulness_in_the_classroom_Gamification_favor_the_learning_of_pharmac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4&amp;_iepl%5BrgKey%5D=PB%3A345238960&amp;_iepl%5BtargetEntityId%5D=PB%3A345238960&amp;_iepl%5BinteractionType%5D=publicationTitle" xr:uid="{F2BCEC22-48F9-465D-8FD5-5DD80CF2378B}"/>
    <hyperlink ref="B99" r:id="rId92" display="https://www.researchgate.net/publication/319232131_Gamification_as_transformative_assessment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5&amp;_iepl%5BrgKey%5D=PB%3A319232131&amp;_iepl%5BtargetEntityId%5D=PB%3A319232131&amp;_iepl%5BinteractionType%5D=publicationTitle" xr:uid="{34AADB58-801B-4B20-B679-A0F710CA99B2}"/>
    <hyperlink ref="B100" r:id="rId93" display="https://www.researchgate.net/publication/348524599_GAMIFICATION_IN_TRAINING_OF_SOCIAL_WORKER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6&amp;_iepl%5BrgKey%5D=PB%3A348524599&amp;_iepl%5BtargetEntityId%5D=PB%3A348524599&amp;_iepl%5BinteractionType%5D=publicationTitle" xr:uid="{1EB80A8E-2155-4996-842E-886D36F6E13B}"/>
    <hyperlink ref="B101" r:id="rId94" display="https://www.researchgate.net/publication/317240405_Man%27s_values_and_ideologies_as_a_basis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7&amp;_iepl%5BrgKey%5D=PB%3A317240405&amp;_iepl%5BtargetEntityId%5D=PB%3A317240405&amp;_iepl%5BinteractionType%5D=publicationTitle" xr:uid="{9EBEBC62-570C-4F2C-B58C-E5D91C64E1B5}"/>
    <hyperlink ref="B102" r:id="rId95" display="https://www.researchgate.net/publication/357476661_Gamification_in_Genetics_Effects_of_Gamified_Instructional_Materials_on_the_STEM_Students%27_Intrinsic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98&amp;_iepl%5BrgKey%5D=PB%3A357476661&amp;_iepl%5BtargetEntityId%5D=PB%3A357476661&amp;_iepl%5BinteractionType%5D=publicationTitle" xr:uid="{ED181C2A-7FF5-42A2-B885-F6BF6055AB61}"/>
    <hyperlink ref="B103" r:id="rId96"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7F39DC83-AD47-4DBC-AADF-DED8B62D4B03}"/>
    <hyperlink ref="B104" r:id="rId97" display="https://www.researchgate.net/publication/351794465_Effects_of_gender_and_personality_differences_on_students%27_perception_of_game_design_elements_in_educational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0&amp;_iepl%5BrgKey%5D=PB%3A351794465&amp;_iepl%5BtargetEntityId%5D=PB%3A351794465&amp;_iepl%5BinteractionType%5D=publicationTitle" xr:uid="{36863032-814D-493B-A13C-DD511D2B3E70}"/>
    <hyperlink ref="B105" r:id="rId98" display="https://www.researchgate.net/publication/324101227_Gamification_in_software_engineering_education_A_systematic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1&amp;_iepl%5BrgKey%5D=PB%3A324101227&amp;_iepl%5BtargetEntityId%5D=PB%3A324101227&amp;_iepl%5BinteractionType%5D=publicationTitle" xr:uid="{96AD4DC6-5BA5-49BE-928C-EA7F3597E455}"/>
    <hyperlink ref="B106" r:id="rId99" display="https://www.researchgate.net/publication/357836045_Paichnidopoiese_kai_ekpaideutika_paichnidia_ste_didaskalia_tes_Biologias_ten_periodo_tes_pandemias_COVID_19_Gamification_and_educational_games_in_teaching_of_biology_during_the_COVID_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2&amp;_iepl%5BrgKey%5D=PB%3A357836045&amp;_iepl%5BtargetEntityId%5D=PB%3A357836045&amp;_iepl%5BinteractionType%5D=publicationTitle" xr:uid="{4FE6B6CA-1CE0-46F8-8F56-774CB20EA3B9}"/>
    <hyperlink ref="B107" r:id="rId100" display="https://www.researchgate.net/publication/353041895_Game_Changer_Gamification_of_Teachers%27_Lessons_During_the_COVID-19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3&amp;_iepl%5BrgKey%5D=PB%3A353041895&amp;_iepl%5BtargetEntityId%5D=PB%3A353041895&amp;_iepl%5BinteractionType%5D=publicationTitle" xr:uid="{CCF438A0-5996-4DCF-9749-1605BF91CB98}"/>
    <hyperlink ref="B108" r:id="rId101" display="https://www.researchgate.net/publication/353425141_The_Case_for_Gamification_in_Radiology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4&amp;_iepl%5BrgKey%5D=PB%3A353425141&amp;_iepl%5BtargetEntityId%5D=PB%3A353425141&amp;_iepl%5BinteractionType%5D=publicationTitle" xr:uid="{EC335203-D039-4F60-B6F7-F09C68625C0C}"/>
    <hyperlink ref="B109" r:id="rId102" display="https://www.researchgate.net/publication/358135078_Possibilities_of_using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5&amp;_iepl%5BrgKey%5D=PB%3A358135078&amp;_iepl%5BtargetEntityId%5D=PB%3A358135078&amp;_iepl%5BinteractionType%5D=publicationTitle" xr:uid="{A93FCFFB-7350-4CDA-AFEF-884C6AC243A1}"/>
    <hyperlink ref="B110" r:id="rId103" display="https://www.researchgate.net/publication/320091616_Gamification_and_The_Design_of_Badges_in_Relation_to_Educational_Achiev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6&amp;_iepl%5BrgKey%5D=PB%3A320091616&amp;_iepl%5BtargetEntityId%5D=PB%3A320091616&amp;_iepl%5BinteractionType%5D=publicationTitle" xr:uid="{5DCD9703-005F-477A-B13E-BCF8DF4F0341}"/>
    <hyperlink ref="B111" r:id="rId104"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5440B8BD-9B33-4DFD-BD95-2A4B42B0F9B4}"/>
    <hyperlink ref="B112" r:id="rId105" display="https://www.researchgate.net/publication/313872357_Gamifying_education_what_is_known_what_is_believed_and_what_remains_uncertain_a_critical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8&amp;_iepl%5BrgKey%5D=PB%3A313872357&amp;_iepl%5BtargetEntityId%5D=PB%3A313872357&amp;_iepl%5BinteractionType%5D=publicationTitle" xr:uid="{5064171E-6755-4126-A771-518063880062}"/>
    <hyperlink ref="B113" r:id="rId106" display="https://www.researchgate.net/publication/337455984_Are_we_ready_for_Gamification_An_exploratory_analysis_in_a_developing_count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09&amp;_iepl%5BrgKey%5D=PB%3A337455984&amp;_iepl%5BtargetEntityId%5D=PB%3A337455984&amp;_iepl%5BinteractionType%5D=publicationTitle" xr:uid="{F9E83937-9A95-4E5A-9BEE-18FB0E833ED1}"/>
    <hyperlink ref="B114" r:id="rId107" display="https://www.researchgate.net/publication/334989330_CONCEPT_OF_GAMIFICATION_AND_STATISTICAL_ANALYSIS_OF_EXISTING_MOBILE_APPLICATIONS_ON_INTERNATIONAL_BUSIN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0&amp;_iepl%5BrgKey%5D=PB%3A334989330&amp;_iepl%5BtargetEntityId%5D=PB%3A334989330&amp;_iepl%5BinteractionType%5D=publicationTitle" xr:uid="{57B8B4BD-7F4B-4925-96D1-98CB9783778A}"/>
    <hyperlink ref="B115" r:id="rId108" display="https://www.researchgate.net/publication/357060691_The_gamification_of_philosophy_for_meaningful_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3&amp;_iepl%5BrgKey%5D=PB%3A357060691&amp;_iepl%5BtargetEntityId%5D=PB%3A357060691&amp;_iepl%5BinteractionType%5D=publicationTitle" xr:uid="{8C85A2DC-8C1D-426A-A6DE-085F457B58EA}"/>
    <hyperlink ref="B116" r:id="rId109" display="https://www.researchgate.net/publication/355544811_Review_Psikologis_Siswa_Ditinjau_dari_Teknologi_Gamification_Student_Psychological_Review_in_terms_of_Gamification_Technolog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4&amp;_iepl%5BrgKey%5D=PB%3A355544811&amp;_iepl%5BtargetEntityId%5D=PB%3A355544811&amp;_iepl%5BinteractionType%5D=publicationTitle" xr:uid="{18332A22-1B78-4987-8051-ABA52ECE2BA2}"/>
    <hyperlink ref="B117" r:id="rId110" display="https://www.researchgate.net/publication/329958503_Implementation_of_Gamification_in_Heis_in_the_Republic_of_Macedon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5&amp;_iepl%5BrgKey%5D=PB%3A329958503&amp;_iepl%5BtargetEntityId%5D=PB%3A329958503&amp;_iepl%5BinteractionType%5D=publicationTitle" xr:uid="{8470A719-1C01-4D94-BC4E-E1E527C7E326}"/>
    <hyperlink ref="B118" r:id="rId111" display="https://www.researchgate.net/publication/354071236_Gamification_of_Learning_in_Early_Ag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6&amp;_iepl%5BrgKey%5D=PB%3A354071236&amp;_iepl%5BtargetEntityId%5D=PB%3A354071236&amp;_iepl%5BinteractionType%5D=publicationTitle" xr:uid="{D7AE0DAF-5F66-45A1-AAE4-0E14999CD69A}"/>
    <hyperlink ref="B119" r:id="rId112" display="https://www.researchgate.net/publication/358185564_Education_of_preschool_and_elementary_teachers_on_the_use_of_adaptive_gamification_in_scie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7&amp;_iepl%5BrgKey%5D=PB%3A358185564&amp;_iepl%5BtargetEntityId%5D=PB%3A358185564&amp;_iepl%5BinteractionType%5D=publicationTitle" xr:uid="{62A0CA63-11A8-469C-881F-16B16E857446}"/>
    <hyperlink ref="B120" r:id="rId113" display="https://www.researchgate.net/publication/355087000_Gamification_in_entrepreneurship_education_A_concrete_application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8&amp;_iepl%5BrgKey%5D=PB%3A355087000&amp;_iepl%5BtargetEntityId%5D=PB%3A355087000&amp;_iepl%5BinteractionType%5D=publicationTitle" xr:uid="{DAF3C52F-E436-438C-9F69-EFF0984B33F2}"/>
    <hyperlink ref="B121" r:id="rId114" display="https://www.researchgate.net/publication/345344584_Exploring_Gamification_Component_Framework_to_Enhance_Motivation_in_Higher_Education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19&amp;_iepl%5BrgKey%5D=PB%3A345344584&amp;_iepl%5BtargetEntityId%5D=PB%3A345344584&amp;_iepl%5BinteractionType%5D=publicationTitle" xr:uid="{B6BB472F-F858-4500-85F3-4786131D47DA}"/>
    <hyperlink ref="B122" r:id="rId1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2FB742B9-4B11-41D3-B72F-1FA08FB8EFB5}"/>
    <hyperlink ref="B123" r:id="rId116" display="https://www.researchgate.net/publication/355423437_Gamification_Framework_for_Programming_Cours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1&amp;_iepl%5BrgKey%5D=PB%3A355423437&amp;_iepl%5BtargetEntityId%5D=PB%3A355423437&amp;_iepl%5BinteractionType%5D=publicationTitle" xr:uid="{DC733FF0-2D59-4E2D-9F48-241BFEDBBA09}"/>
    <hyperlink ref="B124" r:id="rId117" display="https://www.researchgate.net/publication/355742232_The_use_of_gamification_tools_in_the_practice_of_moder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2&amp;_iepl%5BrgKey%5D=PB%3A355742232&amp;_iepl%5BtargetEntityId%5D=PB%3A355742232&amp;_iepl%5BinteractionType%5D=publicationTitle" xr:uid="{80CCB99A-F6CF-4D17-A568-79E97F1CFF6A}"/>
    <hyperlink ref="B125" r:id="rId118"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44C8E12-43A2-4A9E-8BFF-427D095090F4}"/>
    <hyperlink ref="B126" r:id="rId119"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FB18BF37-64DE-4EE4-BF08-CC4EF45382BC}"/>
    <hyperlink ref="B127" r:id="rId120" display="https://www.researchgate.net/publication/350664851_Gamification_in_the_childhood_educatio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5&amp;_iepl%5BrgKey%5D=PB%3A350664851&amp;_iepl%5BtargetEntityId%5D=PB%3A350664851&amp;_iepl%5BinteractionType%5D=publicationTitle" xr:uid="{A62441E5-916E-43F0-864F-55F801903ABD}"/>
    <hyperlink ref="B128" r:id="rId121" display="https://www.researchgate.net/publication/358245538_Gamification_in_the_Informal_Learning_Space_of_Higher_Education_in_the_Context_of_the_Digital_Transformation_of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6&amp;_iepl%5BrgKey%5D=PB%3A358245538&amp;_iepl%5BtargetEntityId%5D=PB%3A358245538&amp;_iepl%5BinteractionType%5D=publicationTitle" xr:uid="{576CCB4F-C2A2-4AA9-948E-5EE5236104B9}"/>
    <hyperlink ref="B129" r:id="rId122" display="https://www.researchgate.net/publication/356594814_Gamification_Reloaded_Current_and_Future_Trends_in_Gamification_Sci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7&amp;_iepl%5BrgKey%5D=PB%3A356594814&amp;_iepl%5BtargetEntityId%5D=PB%3A356594814&amp;_iepl%5BinteractionType%5D=publicationTitle" xr:uid="{2C2C3C72-F056-4656-B1CF-7F69AC6E0A65}"/>
    <hyperlink ref="B130" r:id="rId123" display="https://www.researchgate.net/publication/351236503_Gamification_and_Technology-Based_Learning_Uncovering_the_Potential_of_Using_Games_in_Language_Teaching_and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8&amp;_iepl%5BrgKey%5D=PB%3A351236503&amp;_iepl%5BtargetEntityId%5D=PB%3A351236503&amp;_iepl%5BinteractionType%5D=publicationTitle" xr:uid="{38914435-8E27-4FD2-BE49-993313F1D7FB}"/>
    <hyperlink ref="B131" r:id="rId124" display="https://www.researchgate.net/publication/305310185_Motivation_Strategy_Using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9&amp;_iepl%5BrgKey%5D=PB%3A305310185&amp;_iepl%5BtargetEntityId%5D=PB%3A305310185&amp;_iepl%5BinteractionType%5D=publicationTitle" xr:uid="{CD057298-77D2-4453-A04B-10FDE90AD787}"/>
    <hyperlink ref="B132" r:id="rId125" display="https://www.researchgate.net/publication/357425844_Gamification_of_Primary_Care_in_a_Baccalaureate_Nursing_Education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0&amp;_iepl%5BrgKey%5D=PB%3A357425844&amp;_iepl%5BtargetEntityId%5D=PB%3A357425844&amp;_iepl%5BinteractionType%5D=publicationTitle" xr:uid="{72B4E913-76F4-4BCB-A18C-CA2AD7A830E4}"/>
    <hyperlink ref="B133" r:id="rId126" display="https://www.researchgate.net/publication/350869412_E-OGRENME_ORTAMINDA_KULLANILAN_OYUNLASTIRMA_UYGULAMALAR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1&amp;_iepl%5BrgKey%5D=PB%3A350869412&amp;_iepl%5BtargetEntityId%5D=PB%3A350869412&amp;_iepl%5BinteractionType%5D=publicationTitle" xr:uid="{5FB4A028-24CE-4F82-BFB1-2A921213399A}"/>
    <hyperlink ref="B134" r:id="rId127" display="https://www.researchgate.net/publication/315984535_I_gamified_my_courses_and_I_hate_tha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2&amp;_iepl%5BrgKey%5D=PB%3A315984535&amp;_iepl%5BtargetEntityId%5D=PB%3A315984535&amp;_iepl%5BinteractionType%5D=publicationTitle" xr:uid="{637A59D3-9E1C-40E1-8201-01AF145CB260}"/>
    <hyperlink ref="B135" r:id="rId128"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E59A89D6-5811-43A9-BC6C-EF55F6026BD9}"/>
    <hyperlink ref="B136" r:id="rId129" display="https://www.researchgate.net/publication/339638247_Does_gamification_improve_student_learning_outcome_Evidence_from_a_meta-analysis_and_synthesis_of_qualitative_data_in_educational_contex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34&amp;_iepl%5BrgKey%5D=PB%3A339638247&amp;_iepl%5BtargetEntityId%5D=PB%3A339638247&amp;_iepl%5BinteractionType%5D=publicationTitle" xr:uid="{813D430F-5352-4189-93DB-EEE290F1955A}"/>
    <hyperlink ref="B137" r:id="rId130" display="https://www.researchgate.net/publication/356649930_Gamification_in_otolaryngology_A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5&amp;_iepl%5BrgKey%5D=PB%3A356649930&amp;_iepl%5BtargetEntityId%5D=PB%3A356649930&amp;_iepl%5BinteractionType%5D=publicationTitle" xr:uid="{F27B6CE2-A839-4DCF-85D3-D14EDADF8B04}"/>
    <hyperlink ref="B138" r:id="rId131" display="https://www.researchgate.net/publication/341076199_GAMIFICATION_TO_IMPROVE_STUDENTS%27_ENGAGEMENT_IN_LEARNING_ENGLIS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6&amp;_iepl%5BrgKey%5D=PB%3A341076199&amp;_iepl%5BtargetEntityId%5D=PB%3A341076199&amp;_iepl%5BinteractionType%5D=publicationTitle" xr:uid="{F5288156-B6CB-4EDA-AA0B-322679892A5D}"/>
    <hyperlink ref="B139" r:id="rId132" display="https://www.researchgate.net/publication/355704693_The_Success_Factors_of_Implementing_Web-Based_Gamification_According_to_the_Viewpoint_of_Female_English_Teachers_for_Public_Education_Stag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7&amp;_iepl%5BrgKey%5D=PB%3A355704693&amp;_iepl%5BtargetEntityId%5D=PB%3A355704693&amp;_iepl%5BinteractionType%5D=publicationTitle" xr:uid="{04D8DE3C-EE22-4CD9-B7FC-0107D1824BDF}"/>
    <hyperlink ref="B140" r:id="rId133" display="https://www.researchgate.net/publication/348672974_Gamification_in_the_Educational_Context_A_Systematic_Mapping_of_Literature_with_a_Focus_on_the_Evaluation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8&amp;_iepl%5BrgKey%5D=PB%3A348672974&amp;_iepl%5BtargetEntityId%5D=PB%3A348672974&amp;_iepl%5BinteractionType%5D=publicationTitle" xr:uid="{E5587F47-71CC-42BB-9924-96989BE9F41C}"/>
    <hyperlink ref="B141" r:id="rId134" display="https://www.researchgate.net/publication/348051200_Gamification_of_human_being_in_the_context_of_digital_cul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9&amp;_iepl%5BrgKey%5D=PB%3A348051200&amp;_iepl%5BtargetEntityId%5D=PB%3A348051200&amp;_iepl%5BinteractionType%5D=publicationTitle" xr:uid="{9BE4F68D-452F-4A4B-9FD6-BDCFE22B9E45}"/>
    <hyperlink ref="B142" r:id="rId135" display="https://www.researchgate.net/publication/305740347_Importance_of_Gamification_in_Increasing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0&amp;_iepl%5BrgKey%5D=PB%3A305740347&amp;_iepl%5BtargetEntityId%5D=PB%3A305740347&amp;_iepl%5BinteractionType%5D=publicationTitle" xr:uid="{7A8CFA17-7C29-4D29-AE0E-37A15644F6C7}"/>
    <hyperlink ref="B143" r:id="rId136" display="https://www.researchgate.net/publication/359152460_Effectiveness_of_the_Use_of_Animation_and_Gamification_in_Online_Distance_Education_During_Pandemic?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1&amp;_iepl%5BrgKey%5D=PB%3A359152460&amp;_iepl%5BtargetEntityId%5D=PB%3A359152460&amp;_iepl%5BinteractionType%5D=publicationTitle" xr:uid="{701C8ABE-FD44-413D-ACD7-4190360F71BA}"/>
    <hyperlink ref="B144" r:id="rId137" display="https://www.researchgate.net/publication/357876924_Attitudes_and_Perceptions_of_Gamification_among_English_Education_Undergraduates_in_Utar?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2&amp;_iepl%5BrgKey%5D=PB%3A357876924&amp;_iepl%5BtargetEntityId%5D=PB%3A357876924&amp;_iepl%5BinteractionType%5D=publicationTitle" xr:uid="{08BA1952-A341-4C3A-B7CC-FEDD680B0FE6}"/>
    <hyperlink ref="B145" r:id="rId138" display="https://www.researchgate.net/publication/348050412_The_e-learning_persuasion_through_gamification_an_elaboration_likelihood_model_perspectiv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3&amp;_iepl%5BrgKey%5D=PB%3A348050412&amp;_iepl%5BtargetEntityId%5D=PB%3A348050412&amp;_iepl%5BinteractionType%5D=publicationTitle" xr:uid="{5165247A-2CDC-485F-97FF-4F89D6137D3E}"/>
    <hyperlink ref="B146" r:id="rId139" display="https://www.researchgate.net/publication/352712818_GEJMIFIKACIJA_UCENA_KORISCENE_VIDEO_IGRE_U_PROCESU_OBRAZOVANA_Kultura_polisa_god_XVIII_2021_br_45_str_103-118_GAMIFICATION_OF_LEARNING_USE_OF_VIDEO_GAME_IN_EDUCATION_PROCESS_Culture_of_Polis_Year_XVI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4&amp;_iepl%5BrgKey%5D=PB%3A352712818&amp;_iepl%5BtargetEntityId%5D=PB%3A352712818&amp;_iepl%5BinteractionType%5D=publicationTitle" xr:uid="{014C5B7A-70DC-46E8-8AD5-3B9F2BE9AF42}"/>
    <hyperlink ref="B147" r:id="rId140" display="https://www.researchgate.net/publication/359063165_Preface_for_the_Special_Issue_Trends_in_Educational_Gamification_Challenges_and_Learning_Opportunit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5&amp;_iepl%5BrgKey%5D=PB%3A359063165&amp;_iepl%5BtargetEntityId%5D=PB%3A359063165&amp;_iepl%5BinteractionType%5D=publicationTitle" xr:uid="{0CF0A175-84BF-4F3D-81C3-DEFC9DAE8E25}"/>
    <hyperlink ref="B148" r:id="rId141" display="https://www.researchgate.net/publication/355420755_The_Implementation_of_Gamification_System_in_Asian_Higher_Education_Teach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6&amp;_iepl%5BrgKey%5D=PB%3A355420755&amp;_iepl%5BtargetEntityId%5D=PB%3A355420755&amp;_iepl%5BinteractionType%5D=publicationTitle" xr:uid="{34029CB6-2359-448C-A661-9832129BA85E}"/>
    <hyperlink ref="B149" r:id="rId142" display="https://www.researchgate.net/publication/308613589_Educational_Gamification_Vs_Game_Based_Learning_Comparative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47&amp;_iepl%5BrgKey%5D=PB%3A308613589&amp;_iepl%5BtargetEntityId%5D=PB%3A308613589&amp;_iepl%5BinteractionType%5D=publicationTitle" xr:uid="{3D592F19-D1FE-4502-BC98-CB183EF2692E}"/>
    <hyperlink ref="B150" r:id="rId143" display="https://www.researchgate.net/publication/355802108_Play-Based_Strategies_for_Speech_Therapy_and_Vocal_Health_Face-to-Face_and_Distance_Learning_Actions_for_Children_Distance_Learning_Actions_for_Childre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8&amp;_iepl%5BrgKey%5D=PB%3A355802108&amp;_iepl%5BtargetEntityId%5D=PB%3A355802108&amp;_iepl%5BinteractionType%5D=publicationTitle" xr:uid="{129BF8E7-CDCE-4594-8394-599A39FF66B8}"/>
    <hyperlink ref="B151" r:id="rId144" display="https://www.researchgate.net/publication/356340545_Gamification_as_a_Strategy_for_Visual_Literacy_Skills-Based_Education_A_Proposal_for_Educational_Librari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49&amp;_iepl%5BrgKey%5D=PB%3A356340545&amp;_iepl%5BtargetEntityId%5D=PB%3A356340545&amp;_iepl%5BinteractionType%5D=publicationTitle" xr:uid="{7F78FDBC-A8E1-472B-B8B7-5AE054DABF2A}"/>
    <hyperlink ref="B152" r:id="rId145" display="https://www.researchgate.net/publication/355282961_University_Students%27_Views_on_the_Application_of_Gamification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0&amp;_iepl%5BrgKey%5D=PB%3A355282961&amp;_iepl%5BtargetEntityId%5D=PB%3A355282961&amp;_iepl%5BinteractionType%5D=publicationTitle" xr:uid="{F5DD3878-D43E-48DD-8BA9-334C6430456D}"/>
    <hyperlink ref="B153" r:id="rId146" display="https://www.researchgate.net/publication/358828560_Gamification_as_a_Promoting_Tool_of_Motivation_for_Creating_Sustainable_Higher_Education_Institu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1&amp;_iepl%5BrgKey%5D=PB%3A358828560&amp;_iepl%5BtargetEntityId%5D=PB%3A358828560&amp;_iepl%5BinteractionType%5D=publicationTitle" xr:uid="{B4B26927-B452-4E26-9D6F-9A78D37F5CDE}"/>
    <hyperlink ref="B154" r:id="rId147" display="https://www.researchgate.net/publication/359395756_Impact_of_Gamification_on_Learning_and_Develop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2&amp;_iepl%5BrgKey%5D=PB%3A359395756&amp;_iepl%5BtargetEntityId%5D=PB%3A359395756&amp;_iepl%5BinteractionType%5D=publicationTitle" xr:uid="{7D36E528-47EA-412D-AFD3-8F50957B8AB8}"/>
    <hyperlink ref="B155" r:id="rId148" display="https://www.researchgate.net/publication/321001054_The_Gamification_Inventory_an_Instrument_for_the_Qualitative_Evaluation_of_Gamification_and_its_Application_to_Learning_Management_System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3&amp;_iepl%5BrgKey%5D=PB%3A321001054&amp;_iepl%5BtargetEntityId%5D=PB%3A321001054&amp;_iepl%5BinteractionType%5D=publicationTitle" xr:uid="{6A429FBE-F8E2-4991-B15F-8AEC1853340B}"/>
    <hyperlink ref="B156" r:id="rId149" display="https://www.researchgate.net/publication/358183779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4&amp;_iepl%5BrgKey%5D=PB%3A358183779&amp;_iepl%5BtargetEntityId%5D=PB%3A358183779&amp;_iepl%5BinteractionType%5D=publicationTitle" xr:uid="{5CB41FD7-A0AE-48D2-8EFB-310D8AFC4DF7}"/>
    <hyperlink ref="B157" r:id="rId150" display="https://www.researchgate.net/publication/320735386_Drivers_and_barriers_to_adopting_gamification_Teachers%27_perspectiv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5&amp;_iepl%5BrgKey%5D=PB%3A320735386&amp;_iepl%5BtargetEntityId%5D=PB%3A320735386&amp;_iepl%5BinteractionType%5D=publicationTitle" xr:uid="{4A27E05D-1CC5-40B8-A623-77CF46970263}"/>
    <hyperlink ref="B158" r:id="rId15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DA55ED3C-A2D7-4562-94AC-7040C086218A}"/>
    <hyperlink ref="B159" r:id="rId152" display="https://www.researchgate.net/publication/358664530_Smart_Contract-based_Gamification_Scheme_for_College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7&amp;_iepl%5BrgKey%5D=PB%3A358664530&amp;_iepl%5BtargetEntityId%5D=PB%3A358664530&amp;_iepl%5BinteractionType%5D=publicationTitle" xr:uid="{134CE372-04BB-490E-BEA3-44CACBB601EE}"/>
    <hyperlink ref="B160" r:id="rId153" display="https://www.researchgate.net/publication/343446653_Effect_of_a_Gamification_Model_on_a_Graduate_Level_Occupational_Therapy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8&amp;_iepl%5BrgKey%5D=PB%3A343446653&amp;_iepl%5BtargetEntityId%5D=PB%3A343446653&amp;_iepl%5BinteractionType%5D=publicationTitle" xr:uid="{A6B641E0-7803-4B88-A578-37C8D26886EB}"/>
    <hyperlink ref="B161" r:id="rId154"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18D1C04E-2911-4713-B10A-7729DC5F9F88}"/>
    <hyperlink ref="B162" r:id="rId155" display="https://www.researchgate.net/publication/358531894_Introduction_of_gamification_technologies_in_the_educational_proces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0&amp;_iepl%5BrgKey%5D=PB%3A358531894&amp;_iepl%5BtargetEntityId%5D=PB%3A358531894&amp;_iepl%5BinteractionType%5D=publicationTitle" xr:uid="{DCEF3794-490E-4DCF-A083-DFDAC79BC8FA}"/>
    <hyperlink ref="B163" r:id="rId156" display="https://www.researchgate.net/publication/357597026_The_applicability_of_gamification_in_architectural_design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1&amp;_iepl%5BrgKey%5D=PB%3A357597026&amp;_iepl%5BtargetEntityId%5D=PB%3A357597026&amp;_iepl%5BinteractionType%5D=publicationTitle" xr:uid="{74ADA8E8-734B-4AC4-93FE-A3D2122AF16B}"/>
    <hyperlink ref="B164" r:id="rId157" display="https://www.researchgate.net/publication/351556344_Gamification_as_a_basic_tool_in_distance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2&amp;_iepl%5BrgKey%5D=PB%3A351556344&amp;_iepl%5BtargetEntityId%5D=PB%3A351556344&amp;_iepl%5BinteractionType%5D=publicationTitle" xr:uid="{841FB559-B0E3-491F-B8B4-6CE638E89088}"/>
    <hyperlink ref="B165" r:id="rId158" display="https://www.researchgate.net/publication/354388441_Design_and_Implementation_of_A_Collaborative_Educational_Gamification_Authoring_Syste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3&amp;_iepl%5BrgKey%5D=PB%3A354388441&amp;_iepl%5BtargetEntityId%5D=PB%3A354388441&amp;_iepl%5BinteractionType%5D=publicationTitle" xr:uid="{2E352AA7-FC03-4CDD-AA5C-90F36BCAC3FB}"/>
    <hyperlink ref="B166" r:id="rId159" display="https://www.researchgate.net/publication/346490052_Gamification_of_health_professions_education_a_systematic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4&amp;_iepl%5BrgKey%5D=PB%3A346490052&amp;_iepl%5BtargetEntityId%5D=PB%3A346490052&amp;_iepl%5BinteractionType%5D=publicationTitle" xr:uid="{09DBCC10-6C7D-4746-B6B6-C685E5B2DB98}"/>
    <hyperlink ref="B167" r:id="rId160" display="https://www.researchgate.net/publication/343290899_Gamification_of_Assessment_Test_through_Multiple_Question_Paths_to_Facilitate_Participants%27_Autonomy_and_Compete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5&amp;_iepl%5BrgKey%5D=PB%3A343290899&amp;_iepl%5BtargetEntityId%5D=PB%3A343290899&amp;_iepl%5BinteractionType%5D=publicationTitle" xr:uid="{4668CA0F-4F6C-4ABC-A8F5-91929B9A7249}"/>
    <hyperlink ref="B168" r:id="rId161" display="https://www.researchgate.net/publication/358995625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6&amp;_iepl%5BrgKey%5D=PB%3A358995625&amp;_iepl%5BtargetEntityId%5D=PB%3A358995625&amp;_iepl%5BinteractionType%5D=publicationTitle" xr:uid="{E9707441-1CA7-4D92-9116-C4B614C31F7D}"/>
    <hyperlink ref="B169" r:id="rId162" display="https://www.researchgate.net/publication/343997385_Gamification_to_Enhance_Motivation_and_Engagement_in_Blended_eLearning_for_Technical_and_Vocational_Education_and_Trai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7&amp;_iepl%5BrgKey%5D=PB%3A343997385&amp;_iepl%5BtargetEntityId%5D=PB%3A343997385&amp;_iepl%5BinteractionType%5D=publicationTitle" xr:uid="{FDF13A31-5EAE-4FA4-BEEA-6D6684D16C09}"/>
    <hyperlink ref="B170" r:id="rId163" display="https://www.researchgate.net/publication/358934253_Gamification_in_English_Language_Classrooms_The_Case_of_Kahoo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8&amp;_iepl%5BrgKey%5D=PB%3A358934253&amp;_iepl%5BtargetEntityId%5D=PB%3A358934253&amp;_iepl%5BinteractionType%5D=publicationTitle" xr:uid="{E0E723BA-C247-41BE-99E5-6FF66880E114}"/>
    <hyperlink ref="B171" r:id="rId164" display="https://www.researchgate.net/publication/356311321_Gamification_Model_Framework_and_its_Use_in_E-Learning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69&amp;_iepl%5BrgKey%5D=PB%3A356311321&amp;_iepl%5BtargetEntityId%5D=PB%3A356311321&amp;_iepl%5BinteractionType%5D=publicationTitle" xr:uid="{8199C5B2-CD6B-406D-B5E9-2105F2349814}"/>
    <hyperlink ref="B172" r:id="rId165" display="https://www.researchgate.net/publication/350664037_The_Role_of_Games_Through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0&amp;_iepl%5BrgKey%5D=PB%3A350664037&amp;_iepl%5BtargetEntityId%5D=PB%3A350664037&amp;_iepl%5BinteractionType%5D=publicationTitle" xr:uid="{B63C650D-7FE7-42EE-9041-ACEA28121D11}"/>
    <hyperlink ref="B173" r:id="rId166" display="https://www.researchgate.net/publication/355570022_A_gamification_strategy_in_engineering_education-A_case_study_on_motivation_and_engagemen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1&amp;_iepl%5BrgKey%5D=PB%3A355570022&amp;_iepl%5BtargetEntityId%5D=PB%3A355570022&amp;_iepl%5BinteractionType%5D=publicationTitle" xr:uid="{BFA2FC58-1914-4BD0-A695-6B50DBAF289F}"/>
    <hyperlink ref="B174" r:id="rId167" display="https://www.researchgate.net/publication/355230629_Gamification_for_Photonics_Students_Labescap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2&amp;_iepl%5BrgKey%5D=PB%3A355230629&amp;_iepl%5BtargetEntityId%5D=PB%3A355230629&amp;_iepl%5BinteractionType%5D=publicationTitle" xr:uid="{A8A04FCF-ED53-4A59-A51A-592E94FAB643}"/>
    <hyperlink ref="B175" r:id="rId168"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FC25785C-626C-4144-B3F8-CAE9F1863AA3}"/>
    <hyperlink ref="B176" r:id="rId169" display="https://www.researchgate.net/publication/348304816_Peculiarities_of_forming_high-demanded_soft_skills_in_the_educational_space_of_the_escape_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4&amp;_iepl%5BrgKey%5D=PB%3A348304816&amp;_iepl%5BtargetEntityId%5D=PB%3A348304816&amp;_iepl%5BinteractionType%5D=publicationTitle" xr:uid="{2208DC1F-05C0-4EFA-A40F-A230A00AB204}"/>
    <hyperlink ref="B177" r:id="rId17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55E0B35A-1660-4741-98B0-5F0CB4CC5262}"/>
    <hyperlink ref="B178" r:id="rId171"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D4EA8D1D-514B-4E37-BBE9-D9F3AC8AC705}"/>
    <hyperlink ref="B179" r:id="rId172" display="https://www.researchgate.net/publication/327911187_OneUp_Supporting_Practical_and_Experimental_Gamification_of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7&amp;_iepl%5BrgKey%5D=PB%3A327911187&amp;_iepl%5BtargetEntityId%5D=PB%3A327911187&amp;_iepl%5BinteractionType%5D=publicationTitle" xr:uid="{11475AA1-2F66-4013-87ED-1AA17058B38A}"/>
    <hyperlink ref="B180" r:id="rId173" display="https://www.researchgate.net/publication/349713254_Gaming_practices_and_technologies_in_education_their_educational_potential_limitations_and_problems_in_the_world-of-work_and_world-of-play_contex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8&amp;_iepl%5BrgKey%5D=PB%3A349713254&amp;_iepl%5BtargetEntityId%5D=PB%3A349713254&amp;_iepl%5BinteractionType%5D=publicationTitle" xr:uid="{2C674C31-B0EC-4CF4-9DBE-628E07D3E5C5}"/>
    <hyperlink ref="B181" r:id="rId174" display="https://www.researchgate.net/publication/352679283_Gamification_in_science_education_a_promising_field_for_Action_Resear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9&amp;_iepl%5BrgKey%5D=PB%3A352679283&amp;_iepl%5BtargetEntityId%5D=PB%3A352679283&amp;_iepl%5BinteractionType%5D=publicationTitle" xr:uid="{0D7B76AC-C1EF-40C9-8ED7-99C7C7D1FBE6}"/>
    <hyperlink ref="B182" r:id="rId175" display="https://www.researchgate.net/publication/355307397_A_contribution_to_educational_strategy_Gamification_within_the_current_educational_spa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0&amp;_iepl%5BrgKey%5D=PB%3A355307397&amp;_iepl%5BtargetEntityId%5D=PB%3A355307397&amp;_iepl%5BinteractionType%5D=publicationTitle" xr:uid="{CB463F9D-78A3-4466-A7F5-84E65A615197}"/>
    <hyperlink ref="B183" r:id="rId17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67C921F9-FA84-4C7F-AC67-29864A179729}"/>
    <hyperlink ref="B184" r:id="rId177" display="https://www.researchgate.net/publication/352980168_Gamification_in_Higher_Education_Case_Study_on_a_Management_Subject?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2&amp;_iepl%5BrgKey%5D=PB%3A352980168&amp;_iepl%5BtargetEntityId%5D=PB%3A352980168&amp;_iepl%5BinteractionType%5D=publicationTitle" xr:uid="{B2D37255-5C6B-4319-8AAB-708DAD7ECAED}"/>
    <hyperlink ref="B185" r:id="rId178" display="https://www.researchgate.net/publication/351756421_Implementation_of_gamification_in_the_educational_process_in_these_terms_and_condition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3&amp;_iepl%5BrgKey%5D=PB%3A351756421&amp;_iepl%5BtargetEntityId%5D=PB%3A351756421&amp;_iepl%5BinteractionType%5D=publicationTitle" xr:uid="{784EC9A9-63B7-4F76-B7A3-1A2FC5E21FFA}"/>
    <hyperlink ref="B186" r:id="rId179" display="https://www.researchgate.net/publication/359223612_Ordering_gamification_terms_in_the_adult_education_thesauru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4&amp;_iepl%5BrgKey%5D=PB%3A359223612&amp;_iepl%5BtargetEntityId%5D=PB%3A359223612&amp;_iepl%5BinteractionType%5D=publicationTitle" xr:uid="{3A0C5252-9B03-4678-9BD7-82C44200A350}"/>
    <hyperlink ref="B187" r:id="rId180" display="https://www.researchgate.net/publication/350572238_Gamification_Trends_in_Educational_Communications_in_a_Digital_Societ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5&amp;_iepl%5BrgKey%5D=PB%3A350572238&amp;_iepl%5BtargetEntityId%5D=PB%3A350572238&amp;_iepl%5BinteractionType%5D=publicationTitle" xr:uid="{34AA28C3-28E1-4CCA-89CE-AD5582769CC7}"/>
    <hyperlink ref="B188" r:id="rId181" display="https://www.researchgate.net/publication/354420140_Gamification_and_Gen_Z_in_Higher_Education_A_Systematic_Review_of_Literatur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6&amp;_iepl%5BrgKey%5D=PB%3A354420140&amp;_iepl%5BtargetEntityId%5D=PB%3A354420140&amp;_iepl%5BinteractionType%5D=publicationTitle" xr:uid="{75253ACB-BEE0-4904-9427-F3E12E2F2508}"/>
    <hyperlink ref="B189" r:id="rId182"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DC9B15D2-7878-48E6-AC98-91496D8358D4}"/>
    <hyperlink ref="B190" r:id="rId183" display="https://www.researchgate.net/publication/354245726_Gamification_and_Game-Based_Strategies_for_Dermatology_Education_Narrativ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8&amp;_iepl%5BrgKey%5D=PB%3A354245726&amp;_iepl%5BtargetEntityId%5D=PB%3A354245726&amp;_iepl%5BinteractionType%5D=publicationTitle" xr:uid="{B33274B4-F178-4070-BD46-5C93F63C8F76}"/>
    <hyperlink ref="B191" r:id="rId184" display="https://www.researchgate.net/publication/350113734_The_Role_of_Creative_Communications_and_Gamification_in_Student_Engagement_in_Higher_Education_A_Sentiment_Analysis_Approach?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9&amp;_iepl%5BrgKey%5D=PB%3A350113734&amp;_iepl%5BtargetEntityId%5D=PB%3A350113734&amp;_iepl%5BinteractionType%5D=publicationTitle" xr:uid="{362BC273-E3E9-4138-B382-59B15F775A01}"/>
    <hyperlink ref="B192" r:id="rId185" display="https://www.researchgate.net/publication/336469778_Gamification_for_Teaching_and_Learning_Java_Programming_for_Beginner_Students_-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90&amp;_iepl%5BrgKey%5D=PB%3A336469778&amp;_iepl%5BtargetEntityId%5D=PB%3A336469778&amp;_iepl%5BinteractionType%5D=publicationTitle" xr:uid="{D8754179-6F41-4910-9208-F6218DD7F110}"/>
    <hyperlink ref="B193" r:id="rId186" display="https://www.researchgate.net/publication/353642877_Revealing_the_hotspots_of_educational_gamification_An_umbrella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1&amp;_iepl%5BrgKey%5D=PB%3A353642877&amp;_iepl%5BtargetEntityId%5D=PB%3A353642877&amp;_iepl%5BinteractionType%5D=publicationTitle" xr:uid="{D44BEBF4-ECEA-4B5E-8443-E0A80AE51BAE}"/>
    <hyperlink ref="B194" r:id="rId187" display="https://www.researchgate.net/publication/357651136_Video_games_in_the_context_of_screen_technoculture_and_media_education_new_rhetorical_strategies_and_educational_potentia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2&amp;_iepl%5BrgKey%5D=PB%3A357651136&amp;_iepl%5BtargetEntityId%5D=PB%3A357651136&amp;_iepl%5BinteractionType%5D=publicationTitle" xr:uid="{2D50B7CC-F8D5-4913-9E60-C5B75A9F01C0}"/>
    <hyperlink ref="B195" r:id="rId188" display="https://www.researchgate.net/publication/351310282_Challenges_of_digitalization_for_higher_education_in_Russia?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3&amp;_iepl%5BrgKey%5D=PB%3A351310282&amp;_iepl%5BtargetEntityId%5D=PB%3A351310282&amp;_iepl%5BinteractionType%5D=publicationTitle" xr:uid="{2ECC19BB-5C26-495E-82CB-957231029BAC}"/>
    <hyperlink ref="B196" r:id="rId189" display="https://www.researchgate.net/publication/356319711_Use_of_gamification_as_collaborative_learning_resourc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4&amp;_iepl%5BrgKey%5D=PB%3A356319711&amp;_iepl%5BtargetEntityId%5D=PB%3A356319711&amp;_iepl%5BinteractionType%5D=publicationTitle" xr:uid="{DF34DB49-F0B5-4C2C-910C-5140FE8C42C7}"/>
    <hyperlink ref="B197" r:id="rId190"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9BC739A8-4DE3-48B4-8E3C-425A89EF3F94}"/>
    <hyperlink ref="B198" r:id="rId191" display="https://www.researchgate.net/publication/351332064_Insights_for_medical_education_via_a_mathematical_modelling_of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6&amp;_iepl%5BrgKey%5D=PB%3A351332064&amp;_iepl%5BtargetEntityId%5D=PB%3A351332064&amp;_iepl%5BinteractionType%5D=publicationTitle" xr:uid="{24226568-9357-4BEB-B40A-BA678F09B47E}"/>
    <hyperlink ref="B199" r:id="rId192" display="https://www.researchgate.net/publication/348000394_Gamification_in_Management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7&amp;_iepl%5BrgKey%5D=PB%3A348000394&amp;_iepl%5BtargetEntityId%5D=PB%3A348000394&amp;_iepl%5BinteractionType%5D=publicationTitle" xr:uid="{D2C7ACB3-35A3-48A9-A27D-4F287DFDB906}"/>
    <hyperlink ref="B200" r:id="rId193" display="https://www.researchgate.net/publication/352316795_Gamification_of_General_Education_Science_Courses_for_Online_Deliver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8&amp;_iepl%5BrgKey%5D=PB%3A352316795&amp;_iepl%5BtargetEntityId%5D=PB%3A352316795&amp;_iepl%5BinteractionType%5D=publicationTitle" xr:uid="{0AE0C3DE-696D-4E22-906B-F05215E17F80}"/>
    <hyperlink ref="B201" r:id="rId194" display="https://www.researchgate.net/publication/358469004_Gamification_for_sustainable_consump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9&amp;_iepl%5BrgKey%5D=PB%3A358469004&amp;_iepl%5BtargetEntityId%5D=PB%3A358469004&amp;_iepl%5BinteractionType%5D=publicationTitle" xr:uid="{7681D3FE-1C6F-42EC-9784-C788AA4BB36A}"/>
    <hyperlink ref="B202" r:id="rId195" display="https://www.researchgate.net/publication/357947961_The_Acceptance_of_the_Online_Gamification_Learning_Platform_by_Higher_Education_Students_in_Hospitality_and_Touris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0&amp;_iepl%5BrgKey%5D=PB%3A357947961&amp;_iepl%5BtargetEntityId%5D=PB%3A357947961&amp;_iepl%5BinteractionType%5D=publicationTitle" xr:uid="{76D1F2F7-366B-432A-BEA4-8471697CC943}"/>
    <hyperlink ref="B203" r:id="rId196" display="https://www.researchgate.net/publication/348886242_Gamification_Effect_on_Higher_Education_Students%27_Motiv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1&amp;_iepl%5BrgKey%5D=PB%3A348886242&amp;_iepl%5BtargetEntityId%5D=PB%3A348886242&amp;_iepl%5BinteractionType%5D=publicationTitle" xr:uid="{54D0AAF7-8869-4611-B37C-9739843340D1}"/>
    <hyperlink ref="B204" r:id="rId197" display="https://www.researchgate.net/publication/357882800_PRAKTIKA_RAZVITII_MOTIVACII_UCENIKOV_PRI_ISPOLZOVANII_GEJMIFIKACII_GEJMIFIKACIADAN_FOJDALANIS_ORKALI_UKUVCILAR_MOTIVACIASINI_RIVOZLANTIRIS_AMALIETI?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2&amp;_iepl%5BrgKey%5D=PB%3A357882800&amp;_iepl%5BtargetEntityId%5D=PB%3A357882800&amp;_iepl%5BinteractionType%5D=publicationTitle" xr:uid="{91CE139E-2E96-4DA0-B362-03CFCEC7B320}"/>
    <hyperlink ref="B205" r:id="rId198" display="https://www.researchgate.net/publication/337563354_Gamification_in_management_education_-_A_literature_mapp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3&amp;_iepl%5BrgKey%5D=PB%3A337563354&amp;_iepl%5BtargetEntityId%5D=PB%3A337563354&amp;_iepl%5BinteractionType%5D=publicationTitle" xr:uid="{0561D974-7936-4D73-AC1E-D3FF32B4EFBF}"/>
    <hyperlink ref="B206" r:id="rId199" display="https://www.researchgate.net/publication/333451080_O1_Gamification_for_Programm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4&amp;_iepl%5BrgKey%5D=PB%3A333451080&amp;_iepl%5BtargetEntityId%5D=PB%3A333451080&amp;_iepl%5BinteractionType%5D=publicationTitle" xr:uid="{B1E1E969-67E3-475F-B0C2-AD2A1CFD975E}"/>
    <hyperlink ref="B207" r:id="rId200" display="https://www.researchgate.net/publication/358751734_The_effects_of_gamification_on_the_motivation_and_basic_psychological_needs_of_secondary_school_physical_education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5&amp;_iepl%5BrgKey%5D=PB%3A358751734&amp;_iepl%5BtargetEntityId%5D=PB%3A358751734&amp;_iepl%5BinteractionType%5D=publicationTitle" xr:uid="{B6AFC157-79CE-4EF1-BE7E-6DF3F26B1FDA}"/>
    <hyperlink ref="B208" r:id="rId201" display="https://www.researchgate.net/publication/337754119_Analysing_gamification_elements_in_educational_environments_using_an_existing_Gamification_tax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06&amp;_iepl%5BrgKey%5D=PB%3A337754119&amp;_iepl%5BtargetEntityId%5D=PB%3A337754119&amp;_iepl%5BinteractionType%5D=publicationTitle" xr:uid="{7FD736E6-894B-4872-86F0-9ED81A241ADD}"/>
    <hyperlink ref="B209" r:id="rId202" display="https://www.researchgate.net/publication/351974080_An_Exploratory_Holistic_Analysis_of_Digital_Gamification_in_Mathematics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7&amp;_iepl%5BrgKey%5D=PB%3A351974080&amp;_iepl%5BtargetEntityId%5D=PB%3A351974080&amp;_iepl%5BinteractionType%5D=publicationTitle" xr:uid="{9F5358FC-C94F-4128-992D-D04996F25366}"/>
    <hyperlink ref="B210" r:id="rId203" display="https://www.researchgate.net/publication/358705371_Pre-Service_and_In-Service_Teachers%27_Views_on_Gamifi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8&amp;_iepl%5BrgKey%5D=PB%3A358705371&amp;_iepl%5BtargetEntityId%5D=PB%3A358705371&amp;_iepl%5BinteractionType%5D=publicationTitle" xr:uid="{315C49D9-F82A-454B-A4FC-69827457B261}"/>
    <hyperlink ref="B211" r:id="rId204" display="https://www.researchgate.net/publication/346417787_Gamification_in_Nursing_Education_An_Integrative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09&amp;_iepl%5BrgKey%5D=PB%3A346417787&amp;_iepl%5BtargetEntityId%5D=PB%3A346417787&amp;_iepl%5BinteractionType%5D=publicationTitle" xr:uid="{FD202C4C-B843-43A1-960B-96B17E9C085F}"/>
    <hyperlink ref="B212" r:id="rId205" display="https://www.researchgate.net/publication/353341259_Motivational_Effects_of_Gamification_Apps_in_Education_A_Systematic_Literature_Review?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10&amp;_iepl%5BrgKey%5D=PB%3A353341259&amp;_iepl%5BtargetEntityId%5D=PB%3A353341259&amp;_iepl%5BinteractionType%5D=publicationTitle" xr:uid="{5833D4A6-0E8D-437C-ABD7-F50DBEE1D800}"/>
    <hyperlink ref="B21" r:id="rId206" xr:uid="{B1EE3016-CC18-4D8E-B078-027EF8F1DE97}"/>
    <hyperlink ref="B19" r:id="rId207" xr:uid="{3EE5D547-821D-4739-A9C9-E2E4F29666E8}"/>
    <hyperlink ref="B20" r:id="rId208" xr:uid="{385D80B8-E34B-4C0B-9CB3-427108F6982F}"/>
    <hyperlink ref="B55" r:id="rId209" xr:uid="{E6902980-F6ED-4460-B9DA-6D6840A27C99}"/>
    <hyperlink ref="B213" r:id="rId210" display="http://investigacion.utmachala.edu.ec/proceedings/index.php/utmach/article/view/231" xr:uid="{7F36148F-A4BF-4D96-9441-74B4989D313B}"/>
    <hyperlink ref="B214" r:id="rId211" display="https://www.redalyc.org/pdf/1052/105215294011.pdf" xr:uid="{89D85371-710B-4D78-AE46-C6FBE901FDC5}"/>
    <hyperlink ref="B215" r:id="rId212" display="https://repositorioacademico.upc.edu.pe/handle/10757/274473" xr:uid="{B3FF63B4-0077-4D96-8E1E-93BC8A026A5E}"/>
    <hyperlink ref="B216" r:id="rId213" display="https://riull.ull.es/xmlui/handle/915/6787" xr:uid="{488717F9-3A88-41B0-ABCE-ED405F220358}"/>
    <hyperlink ref="B217" r:id="rId214" display="https://eprints.ucm.es/id/eprint/59348/" xr:uid="{368FF323-6549-4FB1-828C-90D1B337E4FD}"/>
    <hyperlink ref="B218" r:id="rId215" display="https://core.ac.uk/download/pdf/288477489.pdf" xr:uid="{2D8DE523-8C26-4BAB-AF48-7537FDEB801A}"/>
    <hyperlink ref="B219" r:id="rId216" display="https://www.redalyc.org/pdf/368/36846509013.pdf" xr:uid="{BAE791CF-8817-4FDF-BD5A-8E8E769549A0}"/>
    <hyperlink ref="B220" r:id="rId217" display="https://scielo.conicyt.cl/scielo.php?pid=S0718-51622020000100123&amp;script=sci_arttext&amp;tlng=p" xr:uid="{2B91DB83-0BE8-4099-94D2-1A21A4F7AA44}"/>
  </hyperlinks>
  <pageMargins left="0.7" right="0.7" top="0.75" bottom="0.75" header="0.3" footer="0.3"/>
  <pageSetup paperSize="9" orientation="portrait" r:id="rId2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F66F-D305-4574-AD28-6C2432357FA4}">
  <dimension ref="A1:AA310"/>
  <sheetViews>
    <sheetView workbookViewId="0">
      <selection sqref="A1:A2"/>
    </sheetView>
  </sheetViews>
  <sheetFormatPr baseColWidth="10" defaultRowHeight="15" x14ac:dyDescent="0.25"/>
  <cols>
    <col min="1" max="1" width="3.42578125" customWidth="1"/>
    <col min="2" max="2" width="22.28515625" customWidth="1"/>
    <col min="3" max="3" width="4.28515625" customWidth="1"/>
    <col min="4" max="4" width="4.5703125" customWidth="1"/>
    <col min="5" max="5" width="19.140625" customWidth="1"/>
    <col min="6" max="6" width="22.5703125" customWidth="1"/>
    <col min="7" max="7" width="5.5703125" customWidth="1"/>
    <col min="8" max="9" width="3.7109375" customWidth="1"/>
    <col min="10" max="11" width="3.42578125" customWidth="1"/>
    <col min="12" max="12" width="3.5703125" customWidth="1"/>
    <col min="13" max="13" width="3.85546875" customWidth="1"/>
    <col min="14" max="14" width="3.7109375" customWidth="1"/>
    <col min="15" max="15" width="3.42578125" customWidth="1"/>
    <col min="16" max="16" width="3.5703125" customWidth="1"/>
    <col min="17" max="17" width="3.85546875" customWidth="1"/>
    <col min="18" max="18" width="6" customWidth="1"/>
    <col min="19" max="19" width="4.140625" customWidth="1"/>
    <col min="20" max="20" width="16.140625" customWidth="1"/>
    <col min="21" max="21" width="5.28515625" customWidth="1"/>
    <col min="22" max="22" width="4.7109375" customWidth="1"/>
    <col min="23" max="23" width="4.85546875" customWidth="1"/>
    <col min="24" max="24" width="12.7109375" customWidth="1"/>
    <col min="27" max="27" width="15.42578125" customWidth="1"/>
  </cols>
  <sheetData>
    <row r="1" spans="1:27" ht="19.5" customHeight="1" x14ac:dyDescent="0.25">
      <c r="A1" s="112" t="s">
        <v>560</v>
      </c>
      <c r="B1" s="112" t="s">
        <v>0</v>
      </c>
      <c r="C1" s="120" t="s">
        <v>217</v>
      </c>
      <c r="D1" s="120" t="s">
        <v>205</v>
      </c>
      <c r="E1" s="112" t="s">
        <v>202</v>
      </c>
      <c r="F1" s="112" t="s">
        <v>203</v>
      </c>
      <c r="G1" s="119" t="s">
        <v>335</v>
      </c>
      <c r="H1" s="112" t="s">
        <v>220</v>
      </c>
      <c r="I1" s="112"/>
      <c r="J1" s="112"/>
      <c r="K1" s="112"/>
      <c r="L1" s="112"/>
      <c r="M1" s="112"/>
      <c r="N1" s="112"/>
      <c r="O1" s="112"/>
      <c r="P1" s="112"/>
      <c r="Q1" s="112"/>
      <c r="R1" s="112"/>
      <c r="S1" s="112"/>
      <c r="T1" s="113" t="s">
        <v>221</v>
      </c>
      <c r="U1" s="5"/>
      <c r="V1" s="5"/>
      <c r="W1" s="5"/>
      <c r="X1" s="113" t="s">
        <v>230</v>
      </c>
      <c r="Y1" s="117" t="s">
        <v>350</v>
      </c>
      <c r="Z1" s="118" t="s">
        <v>351</v>
      </c>
      <c r="AA1" s="118" t="s">
        <v>353</v>
      </c>
    </row>
    <row r="2" spans="1:27" ht="63.75" customHeight="1" x14ac:dyDescent="0.25">
      <c r="A2" s="115"/>
      <c r="B2" s="115"/>
      <c r="C2" s="119"/>
      <c r="D2" s="119"/>
      <c r="E2" s="115"/>
      <c r="F2" s="115"/>
      <c r="G2" s="118"/>
      <c r="H2" s="102" t="s">
        <v>219</v>
      </c>
      <c r="I2" s="102" t="s">
        <v>283</v>
      </c>
      <c r="J2" s="103" t="s">
        <v>889</v>
      </c>
      <c r="K2" s="102" t="s">
        <v>223</v>
      </c>
      <c r="L2" s="102" t="s">
        <v>224</v>
      </c>
      <c r="M2" s="102" t="s">
        <v>232</v>
      </c>
      <c r="N2" s="102" t="s">
        <v>233</v>
      </c>
      <c r="O2" s="102" t="s">
        <v>234</v>
      </c>
      <c r="P2" s="102" t="s">
        <v>258</v>
      </c>
      <c r="Q2" s="102" t="s">
        <v>257</v>
      </c>
      <c r="R2" s="103" t="s">
        <v>244</v>
      </c>
      <c r="S2" s="102" t="s">
        <v>235</v>
      </c>
      <c r="T2" s="121"/>
      <c r="U2" s="102" t="s">
        <v>342</v>
      </c>
      <c r="V2" s="102" t="s">
        <v>343</v>
      </c>
      <c r="W2" s="102" t="s">
        <v>344</v>
      </c>
      <c r="X2" s="121"/>
      <c r="Y2" s="117"/>
      <c r="Z2" s="118"/>
      <c r="AA2" s="118"/>
    </row>
    <row r="3" spans="1:27" x14ac:dyDescent="0.25">
      <c r="A3" s="13">
        <v>1</v>
      </c>
      <c r="B3" s="104" t="s">
        <v>366</v>
      </c>
      <c r="C3" s="13"/>
      <c r="D3" s="13" t="s">
        <v>206</v>
      </c>
      <c r="E3" s="13"/>
      <c r="F3" s="13"/>
      <c r="G3" s="13"/>
      <c r="H3" s="13"/>
      <c r="I3" s="13"/>
      <c r="J3" s="13"/>
      <c r="K3" s="13"/>
      <c r="L3" s="13"/>
      <c r="M3" s="13"/>
      <c r="N3" s="13"/>
      <c r="O3" s="13"/>
      <c r="P3" s="13"/>
      <c r="Q3" s="13"/>
      <c r="R3" s="13"/>
      <c r="S3" s="13"/>
      <c r="T3" s="13"/>
      <c r="U3" s="13"/>
      <c r="V3" s="13"/>
      <c r="W3" s="13"/>
      <c r="X3" s="13"/>
      <c r="Y3" s="13"/>
      <c r="Z3" s="13"/>
      <c r="AA3" s="13" t="s">
        <v>365</v>
      </c>
    </row>
    <row r="4" spans="1:27" ht="30.75" customHeight="1" x14ac:dyDescent="0.25">
      <c r="A4" s="13">
        <v>2</v>
      </c>
      <c r="B4" s="104" t="s">
        <v>367</v>
      </c>
      <c r="C4" s="13"/>
      <c r="D4" s="13" t="s">
        <v>206</v>
      </c>
      <c r="E4" s="13"/>
      <c r="F4" s="13"/>
      <c r="G4" s="13"/>
      <c r="H4" s="13"/>
      <c r="I4" s="13"/>
      <c r="J4" s="13"/>
      <c r="K4" s="13"/>
      <c r="L4" s="13"/>
      <c r="M4" s="13"/>
      <c r="N4" s="13"/>
      <c r="O4" s="13"/>
      <c r="P4" s="13"/>
      <c r="Q4" s="13"/>
      <c r="R4" s="13"/>
      <c r="S4" s="13"/>
      <c r="T4" s="13"/>
      <c r="U4" s="13"/>
      <c r="V4" s="13"/>
      <c r="W4" s="13"/>
      <c r="X4" s="13"/>
      <c r="Y4" s="13"/>
      <c r="Z4" s="13"/>
      <c r="AA4" s="13" t="s">
        <v>365</v>
      </c>
    </row>
    <row r="5" spans="1:27" ht="71.25" customHeight="1" x14ac:dyDescent="0.25">
      <c r="A5" s="13">
        <v>3</v>
      </c>
      <c r="B5" s="104" t="s">
        <v>368</v>
      </c>
      <c r="C5" s="36">
        <v>2020</v>
      </c>
      <c r="D5" s="13" t="s">
        <v>204</v>
      </c>
      <c r="E5" s="37" t="s">
        <v>700</v>
      </c>
      <c r="F5" s="37" t="s">
        <v>699</v>
      </c>
      <c r="G5" s="22" t="s">
        <v>698</v>
      </c>
      <c r="H5" s="22"/>
      <c r="I5" s="22"/>
      <c r="J5" s="22" t="s">
        <v>226</v>
      </c>
      <c r="K5" s="22" t="s">
        <v>226</v>
      </c>
      <c r="L5" s="22" t="s">
        <v>226</v>
      </c>
      <c r="M5" s="22"/>
      <c r="N5" s="22"/>
      <c r="O5" s="22" t="s">
        <v>226</v>
      </c>
      <c r="P5" s="22"/>
      <c r="Q5" s="22"/>
      <c r="R5" s="22"/>
      <c r="S5" s="22"/>
      <c r="T5" s="22" t="s">
        <v>698</v>
      </c>
      <c r="U5" s="22"/>
      <c r="V5" s="22"/>
      <c r="W5" s="22"/>
      <c r="X5" s="13"/>
      <c r="Y5" s="13">
        <v>12.7</v>
      </c>
      <c r="Z5" s="13">
        <v>0.85</v>
      </c>
      <c r="AA5" s="38" t="s">
        <v>365</v>
      </c>
    </row>
    <row r="6" spans="1:27" ht="50.25" customHeight="1" x14ac:dyDescent="0.25">
      <c r="A6" s="13">
        <v>4</v>
      </c>
      <c r="B6" s="104" t="s">
        <v>369</v>
      </c>
      <c r="C6" s="36">
        <v>2019</v>
      </c>
      <c r="D6" s="13" t="s">
        <v>215</v>
      </c>
      <c r="E6" s="37" t="s">
        <v>701</v>
      </c>
      <c r="F6" s="37"/>
      <c r="G6" s="13"/>
      <c r="H6" s="22"/>
      <c r="I6" s="22"/>
      <c r="J6" s="22"/>
      <c r="K6" s="22"/>
      <c r="L6" s="22"/>
      <c r="M6" s="22"/>
      <c r="N6" s="22"/>
      <c r="O6" s="22"/>
      <c r="P6" s="22"/>
      <c r="Q6" s="22" t="s">
        <v>226</v>
      </c>
      <c r="R6" s="22"/>
      <c r="S6" s="22"/>
      <c r="T6" s="13"/>
      <c r="U6" s="22"/>
      <c r="V6" s="22"/>
      <c r="W6" s="22"/>
      <c r="X6" s="13"/>
      <c r="Y6" s="13"/>
      <c r="Z6" s="13"/>
      <c r="AA6" s="13" t="s">
        <v>365</v>
      </c>
    </row>
    <row r="7" spans="1:27" x14ac:dyDescent="0.25">
      <c r="A7" s="13">
        <v>5</v>
      </c>
      <c r="B7" s="104" t="s">
        <v>370</v>
      </c>
      <c r="C7" s="22"/>
      <c r="D7" s="13" t="s">
        <v>206</v>
      </c>
      <c r="E7" s="37"/>
      <c r="F7" s="37"/>
      <c r="G7" s="13"/>
      <c r="H7" s="22"/>
      <c r="I7" s="22"/>
      <c r="J7" s="22"/>
      <c r="K7" s="22"/>
      <c r="L7" s="22"/>
      <c r="M7" s="22"/>
      <c r="N7" s="22"/>
      <c r="O7" s="22"/>
      <c r="P7" s="22"/>
      <c r="Q7" s="22"/>
      <c r="R7" s="22"/>
      <c r="S7" s="22"/>
      <c r="T7" s="13"/>
      <c r="U7" s="22"/>
      <c r="V7" s="22"/>
      <c r="W7" s="22"/>
      <c r="X7" s="13"/>
      <c r="Y7" s="13"/>
      <c r="Z7" s="13"/>
      <c r="AA7" s="13" t="s">
        <v>365</v>
      </c>
    </row>
    <row r="8" spans="1:27" x14ac:dyDescent="0.25">
      <c r="A8" s="13">
        <v>6</v>
      </c>
      <c r="B8" s="104" t="s">
        <v>371</v>
      </c>
      <c r="C8" s="22"/>
      <c r="D8" s="13" t="s">
        <v>206</v>
      </c>
      <c r="E8" s="37"/>
      <c r="F8" s="37"/>
      <c r="G8" s="13"/>
      <c r="H8" s="22"/>
      <c r="I8" s="22"/>
      <c r="J8" s="22"/>
      <c r="K8" s="22"/>
      <c r="L8" s="22"/>
      <c r="M8" s="22"/>
      <c r="N8" s="22"/>
      <c r="O8" s="22"/>
      <c r="P8" s="22"/>
      <c r="Q8" s="22"/>
      <c r="R8" s="22"/>
      <c r="S8" s="22"/>
      <c r="T8" s="13"/>
      <c r="U8" s="22"/>
      <c r="V8" s="22"/>
      <c r="W8" s="22"/>
      <c r="X8" s="13"/>
      <c r="Y8" s="13"/>
      <c r="Z8" s="13"/>
      <c r="AA8" s="13" t="s">
        <v>365</v>
      </c>
    </row>
    <row r="9" spans="1:27" ht="37.5" customHeight="1" x14ac:dyDescent="0.25">
      <c r="A9" s="13">
        <v>7</v>
      </c>
      <c r="B9" s="104" t="s">
        <v>372</v>
      </c>
      <c r="C9" s="13"/>
      <c r="D9" s="13" t="s">
        <v>215</v>
      </c>
      <c r="E9" s="37" t="s">
        <v>416</v>
      </c>
      <c r="F9" s="37"/>
      <c r="G9" s="13"/>
      <c r="H9" s="22"/>
      <c r="I9" s="22"/>
      <c r="J9" s="22"/>
      <c r="K9" s="22"/>
      <c r="L9" s="22"/>
      <c r="M9" s="22"/>
      <c r="N9" s="22"/>
      <c r="O9" s="22"/>
      <c r="P9" s="22"/>
      <c r="Q9" s="22"/>
      <c r="R9" s="22"/>
      <c r="S9" s="22"/>
      <c r="T9" s="13"/>
      <c r="U9" s="22"/>
      <c r="V9" s="22"/>
      <c r="W9" s="22"/>
      <c r="X9" s="13"/>
      <c r="Y9" s="13"/>
      <c r="Z9" s="13"/>
      <c r="AA9" s="13" t="s">
        <v>365</v>
      </c>
    </row>
    <row r="10" spans="1:27" x14ac:dyDescent="0.25">
      <c r="A10" s="13">
        <v>8</v>
      </c>
      <c r="B10" s="104" t="s">
        <v>373</v>
      </c>
      <c r="C10" s="22"/>
      <c r="D10" s="13" t="s">
        <v>206</v>
      </c>
      <c r="E10" s="37"/>
      <c r="F10" s="37"/>
      <c r="G10" s="13"/>
      <c r="H10" s="22"/>
      <c r="I10" s="22"/>
      <c r="J10" s="22"/>
      <c r="K10" s="22"/>
      <c r="L10" s="22"/>
      <c r="M10" s="22"/>
      <c r="N10" s="22"/>
      <c r="O10" s="22"/>
      <c r="P10" s="22"/>
      <c r="Q10" s="22"/>
      <c r="R10" s="22"/>
      <c r="S10" s="22"/>
      <c r="T10" s="13"/>
      <c r="U10" s="22"/>
      <c r="V10" s="22"/>
      <c r="W10" s="22"/>
      <c r="X10" s="13"/>
      <c r="Y10" s="13"/>
      <c r="Z10" s="13"/>
      <c r="AA10" s="13" t="s">
        <v>365</v>
      </c>
    </row>
    <row r="11" spans="1:27" ht="60" x14ac:dyDescent="0.25">
      <c r="A11" s="13">
        <v>9</v>
      </c>
      <c r="B11" s="104" t="s">
        <v>374</v>
      </c>
      <c r="C11" s="22"/>
      <c r="D11" s="13" t="s">
        <v>215</v>
      </c>
      <c r="E11" s="37" t="s">
        <v>702</v>
      </c>
      <c r="F11" s="37"/>
      <c r="G11" s="13"/>
      <c r="H11" s="22"/>
      <c r="I11" s="22"/>
      <c r="J11" s="22" t="s">
        <v>226</v>
      </c>
      <c r="K11" s="22" t="s">
        <v>226</v>
      </c>
      <c r="L11" s="22"/>
      <c r="M11" s="22"/>
      <c r="N11" s="22"/>
      <c r="O11" s="22"/>
      <c r="P11" s="22"/>
      <c r="Q11" s="22"/>
      <c r="R11" s="22"/>
      <c r="S11" s="22"/>
      <c r="T11" s="13"/>
      <c r="U11" s="22"/>
      <c r="V11" s="22"/>
      <c r="W11" s="22"/>
      <c r="X11" s="13"/>
      <c r="Y11" s="13"/>
      <c r="Z11" s="13"/>
      <c r="AA11" s="13" t="s">
        <v>365</v>
      </c>
    </row>
    <row r="12" spans="1:27" ht="60" x14ac:dyDescent="0.25">
      <c r="A12" s="13">
        <v>10</v>
      </c>
      <c r="B12" s="104" t="s">
        <v>375</v>
      </c>
      <c r="C12" s="36">
        <v>2019</v>
      </c>
      <c r="D12" s="13" t="s">
        <v>204</v>
      </c>
      <c r="E12" s="37" t="s">
        <v>703</v>
      </c>
      <c r="F12" s="37" t="s">
        <v>705</v>
      </c>
      <c r="G12" s="22">
        <v>1</v>
      </c>
      <c r="H12" s="22"/>
      <c r="I12" s="22"/>
      <c r="J12" s="22" t="s">
        <v>226</v>
      </c>
      <c r="K12" s="22" t="s">
        <v>226</v>
      </c>
      <c r="L12" s="22"/>
      <c r="M12" s="22"/>
      <c r="N12" s="22"/>
      <c r="O12" s="22"/>
      <c r="P12" s="22"/>
      <c r="Q12" s="22" t="s">
        <v>226</v>
      </c>
      <c r="R12" s="22"/>
      <c r="S12" s="22"/>
      <c r="T12" s="37" t="s">
        <v>704</v>
      </c>
      <c r="U12" s="22"/>
      <c r="V12" s="22" t="s">
        <v>226</v>
      </c>
      <c r="W12" s="22" t="s">
        <v>226</v>
      </c>
      <c r="X12" s="13"/>
      <c r="Y12" s="13">
        <v>22.8</v>
      </c>
      <c r="Z12" s="13">
        <v>0.85</v>
      </c>
      <c r="AA12" s="38" t="s">
        <v>365</v>
      </c>
    </row>
    <row r="13" spans="1:27" x14ac:dyDescent="0.25">
      <c r="A13" s="13">
        <v>11</v>
      </c>
      <c r="B13" s="104" t="s">
        <v>376</v>
      </c>
      <c r="C13" s="36"/>
      <c r="D13" s="13" t="s">
        <v>206</v>
      </c>
      <c r="E13" s="37"/>
      <c r="F13" s="37"/>
      <c r="G13" s="13"/>
      <c r="H13" s="22"/>
      <c r="I13" s="22"/>
      <c r="J13" s="22"/>
      <c r="K13" s="22"/>
      <c r="L13" s="22"/>
      <c r="M13" s="22"/>
      <c r="N13" s="22"/>
      <c r="O13" s="22"/>
      <c r="P13" s="22"/>
      <c r="Q13" s="22"/>
      <c r="R13" s="22"/>
      <c r="S13" s="22"/>
      <c r="T13" s="22"/>
      <c r="U13" s="22"/>
      <c r="V13" s="22"/>
      <c r="W13" s="22"/>
      <c r="X13" s="13"/>
      <c r="Y13" s="13"/>
      <c r="Z13" s="13"/>
      <c r="AA13" s="13" t="s">
        <v>365</v>
      </c>
    </row>
    <row r="14" spans="1:27" x14ac:dyDescent="0.25">
      <c r="A14" s="13">
        <v>12</v>
      </c>
      <c r="B14" s="104" t="s">
        <v>377</v>
      </c>
      <c r="C14" s="36"/>
      <c r="D14" s="13" t="s">
        <v>206</v>
      </c>
      <c r="E14" s="37"/>
      <c r="F14" s="37"/>
      <c r="G14" s="13"/>
      <c r="H14" s="22"/>
      <c r="I14" s="22"/>
      <c r="J14" s="22"/>
      <c r="K14" s="22"/>
      <c r="L14" s="22"/>
      <c r="M14" s="22"/>
      <c r="N14" s="22"/>
      <c r="O14" s="22"/>
      <c r="P14" s="22"/>
      <c r="Q14" s="22"/>
      <c r="R14" s="22"/>
      <c r="S14" s="22"/>
      <c r="T14" s="22"/>
      <c r="U14" s="22"/>
      <c r="V14" s="22"/>
      <c r="W14" s="22"/>
      <c r="X14" s="13"/>
      <c r="Y14" s="13"/>
      <c r="Z14" s="13"/>
      <c r="AA14" s="13" t="s">
        <v>365</v>
      </c>
    </row>
    <row r="15" spans="1:27" ht="60" x14ac:dyDescent="0.25">
      <c r="A15" s="13">
        <v>13</v>
      </c>
      <c r="B15" s="104" t="s">
        <v>378</v>
      </c>
      <c r="C15" s="36">
        <v>2019</v>
      </c>
      <c r="D15" s="13" t="s">
        <v>204</v>
      </c>
      <c r="E15" s="37" t="s">
        <v>706</v>
      </c>
      <c r="F15" s="37" t="s">
        <v>708</v>
      </c>
      <c r="G15" s="22">
        <v>1</v>
      </c>
      <c r="H15" s="22"/>
      <c r="I15" s="22"/>
      <c r="J15" s="22" t="s">
        <v>226</v>
      </c>
      <c r="K15" s="22" t="s">
        <v>226</v>
      </c>
      <c r="L15" s="22"/>
      <c r="M15" s="22"/>
      <c r="N15" s="22"/>
      <c r="O15" s="22" t="s">
        <v>226</v>
      </c>
      <c r="P15" s="22"/>
      <c r="Q15" s="22"/>
      <c r="R15" s="22"/>
      <c r="S15" s="22"/>
      <c r="T15" s="37" t="s">
        <v>707</v>
      </c>
      <c r="U15" s="22"/>
      <c r="V15" s="22" t="s">
        <v>226</v>
      </c>
      <c r="W15" s="22" t="s">
        <v>226</v>
      </c>
      <c r="X15" s="13"/>
      <c r="Y15" s="13">
        <v>11.4</v>
      </c>
      <c r="Z15" s="13">
        <v>0.85</v>
      </c>
      <c r="AA15" s="38" t="s">
        <v>365</v>
      </c>
    </row>
    <row r="16" spans="1:27" x14ac:dyDescent="0.25">
      <c r="A16" s="13">
        <v>14</v>
      </c>
      <c r="B16" s="104" t="s">
        <v>379</v>
      </c>
      <c r="C16" s="36"/>
      <c r="D16" s="13" t="s">
        <v>206</v>
      </c>
      <c r="E16" s="37"/>
      <c r="F16" s="37"/>
      <c r="G16" s="22"/>
      <c r="H16" s="22"/>
      <c r="I16" s="22"/>
      <c r="J16" s="22"/>
      <c r="K16" s="22"/>
      <c r="L16" s="22"/>
      <c r="M16" s="22"/>
      <c r="N16" s="22"/>
      <c r="O16" s="22"/>
      <c r="P16" s="22"/>
      <c r="Q16" s="22"/>
      <c r="R16" s="22"/>
      <c r="S16" s="22"/>
      <c r="T16" s="22"/>
      <c r="U16" s="22"/>
      <c r="V16" s="22"/>
      <c r="W16" s="22"/>
      <c r="X16" s="13"/>
      <c r="Y16" s="13"/>
      <c r="Z16" s="13"/>
      <c r="AA16" s="13" t="s">
        <v>365</v>
      </c>
    </row>
    <row r="17" spans="1:27" x14ac:dyDescent="0.25">
      <c r="A17" s="13">
        <v>15</v>
      </c>
      <c r="B17" s="104" t="s">
        <v>380</v>
      </c>
      <c r="C17" s="36"/>
      <c r="D17" s="13" t="s">
        <v>206</v>
      </c>
      <c r="E17" s="37"/>
      <c r="F17" s="37"/>
      <c r="G17" s="22"/>
      <c r="H17" s="22"/>
      <c r="I17" s="22"/>
      <c r="J17" s="22"/>
      <c r="K17" s="22"/>
      <c r="L17" s="22"/>
      <c r="M17" s="22"/>
      <c r="N17" s="22"/>
      <c r="O17" s="22"/>
      <c r="P17" s="22"/>
      <c r="Q17" s="22"/>
      <c r="R17" s="22"/>
      <c r="S17" s="22"/>
      <c r="T17" s="22"/>
      <c r="U17" s="22"/>
      <c r="V17" s="22"/>
      <c r="W17" s="22"/>
      <c r="X17" s="13"/>
      <c r="Y17" s="13"/>
      <c r="Z17" s="13"/>
      <c r="AA17" s="13" t="s">
        <v>365</v>
      </c>
    </row>
    <row r="18" spans="1:27" x14ac:dyDescent="0.25">
      <c r="A18" s="13">
        <v>16</v>
      </c>
      <c r="B18" s="104" t="s">
        <v>381</v>
      </c>
      <c r="C18" s="36"/>
      <c r="D18" s="13" t="s">
        <v>206</v>
      </c>
      <c r="E18" s="37"/>
      <c r="F18" s="37"/>
      <c r="G18" s="22"/>
      <c r="H18" s="22"/>
      <c r="I18" s="22"/>
      <c r="J18" s="22"/>
      <c r="K18" s="22"/>
      <c r="L18" s="22"/>
      <c r="M18" s="22"/>
      <c r="N18" s="22"/>
      <c r="O18" s="22"/>
      <c r="P18" s="22"/>
      <c r="Q18" s="22"/>
      <c r="R18" s="22"/>
      <c r="S18" s="22"/>
      <c r="T18" s="22"/>
      <c r="U18" s="22"/>
      <c r="V18" s="22"/>
      <c r="W18" s="22"/>
      <c r="X18" s="13"/>
      <c r="Y18" s="13"/>
      <c r="Z18" s="13"/>
      <c r="AA18" s="13" t="s">
        <v>365</v>
      </c>
    </row>
    <row r="19" spans="1:27" x14ac:dyDescent="0.25">
      <c r="A19" s="13">
        <v>17</v>
      </c>
      <c r="B19" s="104" t="s">
        <v>382</v>
      </c>
      <c r="C19" s="36"/>
      <c r="D19" s="13" t="s">
        <v>206</v>
      </c>
      <c r="E19" s="37"/>
      <c r="F19" s="37"/>
      <c r="G19" s="22"/>
      <c r="H19" s="22"/>
      <c r="I19" s="22"/>
      <c r="J19" s="22"/>
      <c r="K19" s="22"/>
      <c r="L19" s="22"/>
      <c r="M19" s="22"/>
      <c r="N19" s="22"/>
      <c r="O19" s="22"/>
      <c r="P19" s="22"/>
      <c r="Q19" s="22"/>
      <c r="R19" s="22"/>
      <c r="S19" s="22"/>
      <c r="T19" s="22"/>
      <c r="U19" s="22"/>
      <c r="V19" s="22"/>
      <c r="W19" s="22"/>
      <c r="X19" s="13"/>
      <c r="Y19" s="13"/>
      <c r="Z19" s="13"/>
      <c r="AA19" s="13" t="s">
        <v>365</v>
      </c>
    </row>
    <row r="20" spans="1:27" x14ac:dyDescent="0.25">
      <c r="A20" s="13">
        <v>18</v>
      </c>
      <c r="B20" s="104" t="s">
        <v>383</v>
      </c>
      <c r="C20" s="36"/>
      <c r="D20" s="13" t="s">
        <v>206</v>
      </c>
      <c r="E20" s="37"/>
      <c r="F20" s="37"/>
      <c r="G20" s="22"/>
      <c r="H20" s="22"/>
      <c r="I20" s="22"/>
      <c r="J20" s="22"/>
      <c r="K20" s="22"/>
      <c r="L20" s="22"/>
      <c r="M20" s="22"/>
      <c r="N20" s="22"/>
      <c r="O20" s="22"/>
      <c r="P20" s="22"/>
      <c r="Q20" s="22"/>
      <c r="R20" s="22"/>
      <c r="S20" s="22"/>
      <c r="T20" s="22"/>
      <c r="U20" s="22"/>
      <c r="V20" s="22"/>
      <c r="W20" s="22"/>
      <c r="X20" s="13"/>
      <c r="Y20" s="13"/>
      <c r="Z20" s="13"/>
      <c r="AA20" s="13" t="s">
        <v>365</v>
      </c>
    </row>
    <row r="21" spans="1:27" x14ac:dyDescent="0.25">
      <c r="A21" s="13">
        <v>19</v>
      </c>
      <c r="B21" s="104" t="s">
        <v>384</v>
      </c>
      <c r="C21" s="36"/>
      <c r="D21" s="13" t="s">
        <v>206</v>
      </c>
      <c r="E21" s="37"/>
      <c r="F21" s="37"/>
      <c r="G21" s="22"/>
      <c r="H21" s="22"/>
      <c r="I21" s="22"/>
      <c r="J21" s="22"/>
      <c r="K21" s="22"/>
      <c r="L21" s="22"/>
      <c r="M21" s="22"/>
      <c r="N21" s="22"/>
      <c r="O21" s="22"/>
      <c r="P21" s="22"/>
      <c r="Q21" s="22"/>
      <c r="R21" s="22"/>
      <c r="S21" s="22"/>
      <c r="T21" s="22"/>
      <c r="U21" s="22"/>
      <c r="V21" s="22"/>
      <c r="W21" s="22"/>
      <c r="X21" s="13"/>
      <c r="Y21" s="13"/>
      <c r="Z21" s="13"/>
      <c r="AA21" s="13" t="s">
        <v>365</v>
      </c>
    </row>
    <row r="22" spans="1:27" ht="45" x14ac:dyDescent="0.25">
      <c r="A22" s="13">
        <v>20</v>
      </c>
      <c r="B22" s="104" t="s">
        <v>385</v>
      </c>
      <c r="C22" s="36">
        <v>2019</v>
      </c>
      <c r="D22" s="13" t="s">
        <v>204</v>
      </c>
      <c r="E22" s="37" t="s">
        <v>709</v>
      </c>
      <c r="F22" s="37" t="s">
        <v>710</v>
      </c>
      <c r="G22" s="22">
        <v>1</v>
      </c>
      <c r="H22" s="22"/>
      <c r="I22" s="22"/>
      <c r="J22" s="22" t="s">
        <v>226</v>
      </c>
      <c r="K22" s="22" t="s">
        <v>226</v>
      </c>
      <c r="L22" s="22"/>
      <c r="M22" s="22"/>
      <c r="N22" s="22"/>
      <c r="O22" s="22"/>
      <c r="P22" s="22"/>
      <c r="Q22" s="22"/>
      <c r="R22" s="22"/>
      <c r="S22" s="22"/>
      <c r="T22" s="37" t="s">
        <v>711</v>
      </c>
      <c r="U22" s="22"/>
      <c r="V22" s="22" t="s">
        <v>226</v>
      </c>
      <c r="W22" s="22"/>
      <c r="X22" s="13"/>
      <c r="Y22" s="13">
        <v>15.8</v>
      </c>
      <c r="Z22" s="13">
        <v>0.85</v>
      </c>
      <c r="AA22" s="38" t="s">
        <v>365</v>
      </c>
    </row>
    <row r="23" spans="1:27" ht="60" x14ac:dyDescent="0.25">
      <c r="A23" s="13">
        <v>21</v>
      </c>
      <c r="B23" s="104" t="s">
        <v>386</v>
      </c>
      <c r="C23" s="36">
        <v>2019</v>
      </c>
      <c r="D23" s="13" t="s">
        <v>204</v>
      </c>
      <c r="E23" s="37" t="s">
        <v>712</v>
      </c>
      <c r="F23" s="37" t="s">
        <v>713</v>
      </c>
      <c r="G23" s="22" t="s">
        <v>698</v>
      </c>
      <c r="H23" s="22"/>
      <c r="I23" s="22"/>
      <c r="J23" s="22" t="s">
        <v>226</v>
      </c>
      <c r="K23" s="22" t="s">
        <v>226</v>
      </c>
      <c r="L23" s="22"/>
      <c r="M23" s="22"/>
      <c r="N23" s="22"/>
      <c r="O23" s="22" t="s">
        <v>226</v>
      </c>
      <c r="P23" s="22" t="s">
        <v>226</v>
      </c>
      <c r="Q23" s="22"/>
      <c r="R23" s="22" t="s">
        <v>226</v>
      </c>
      <c r="S23" s="22"/>
      <c r="T23" s="22" t="s">
        <v>698</v>
      </c>
      <c r="U23" s="22"/>
      <c r="V23" s="22"/>
      <c r="W23" s="22"/>
      <c r="X23" s="13"/>
      <c r="Y23" s="13">
        <v>11.5</v>
      </c>
      <c r="Z23" s="13">
        <v>0.85</v>
      </c>
      <c r="AA23" s="38" t="s">
        <v>365</v>
      </c>
    </row>
    <row r="24" spans="1:27" ht="30" x14ac:dyDescent="0.25">
      <c r="A24" s="13">
        <v>22</v>
      </c>
      <c r="B24" s="104" t="s">
        <v>387</v>
      </c>
      <c r="C24" s="36"/>
      <c r="D24" s="13" t="s">
        <v>215</v>
      </c>
      <c r="E24" s="37" t="s">
        <v>714</v>
      </c>
      <c r="F24" s="37"/>
      <c r="G24" s="22"/>
      <c r="H24" s="22"/>
      <c r="I24" s="22"/>
      <c r="J24" s="22"/>
      <c r="K24" s="22"/>
      <c r="L24" s="22"/>
      <c r="M24" s="22"/>
      <c r="N24" s="22"/>
      <c r="O24" s="22"/>
      <c r="P24" s="22"/>
      <c r="Q24" s="22"/>
      <c r="R24" s="22"/>
      <c r="S24" s="22"/>
      <c r="T24" s="37"/>
      <c r="U24" s="22"/>
      <c r="V24" s="22"/>
      <c r="W24" s="22"/>
      <c r="X24" s="13"/>
      <c r="Y24" s="13"/>
      <c r="Z24" s="13"/>
      <c r="AA24" s="13" t="s">
        <v>365</v>
      </c>
    </row>
    <row r="25" spans="1:27" ht="75" x14ac:dyDescent="0.25">
      <c r="A25" s="13">
        <v>23</v>
      </c>
      <c r="B25" s="104" t="s">
        <v>388</v>
      </c>
      <c r="C25" s="36">
        <v>2021</v>
      </c>
      <c r="D25" s="13" t="s">
        <v>204</v>
      </c>
      <c r="E25" s="37" t="s">
        <v>715</v>
      </c>
      <c r="F25" s="37" t="s">
        <v>699</v>
      </c>
      <c r="G25" s="22" t="s">
        <v>698</v>
      </c>
      <c r="H25" s="22"/>
      <c r="I25" s="22"/>
      <c r="J25" s="22" t="s">
        <v>226</v>
      </c>
      <c r="K25" s="22" t="s">
        <v>226</v>
      </c>
      <c r="L25" s="22" t="s">
        <v>226</v>
      </c>
      <c r="M25" s="22"/>
      <c r="N25" s="22"/>
      <c r="O25" s="22" t="s">
        <v>226</v>
      </c>
      <c r="P25" s="22"/>
      <c r="Q25" s="22"/>
      <c r="R25" s="22"/>
      <c r="S25" s="22"/>
      <c r="T25" s="22" t="s">
        <v>698</v>
      </c>
      <c r="U25" s="22"/>
      <c r="V25" s="22"/>
      <c r="W25" s="22"/>
      <c r="X25" s="13"/>
      <c r="Y25" s="13">
        <v>14.9</v>
      </c>
      <c r="Z25" s="13">
        <v>0.85</v>
      </c>
      <c r="AA25" s="38" t="s">
        <v>365</v>
      </c>
    </row>
    <row r="26" spans="1:27" x14ac:dyDescent="0.25">
      <c r="A26" s="13">
        <v>24</v>
      </c>
      <c r="B26" s="104" t="s">
        <v>389</v>
      </c>
      <c r="C26" s="36"/>
      <c r="D26" s="13" t="s">
        <v>206</v>
      </c>
      <c r="E26" s="37"/>
      <c r="F26" s="37"/>
      <c r="G26" s="22"/>
      <c r="H26" s="22"/>
      <c r="I26" s="22"/>
      <c r="J26" s="22"/>
      <c r="K26" s="22"/>
      <c r="L26" s="22"/>
      <c r="M26" s="22"/>
      <c r="N26" s="22"/>
      <c r="O26" s="22"/>
      <c r="P26" s="22"/>
      <c r="Q26" s="22"/>
      <c r="R26" s="22"/>
      <c r="S26" s="22"/>
      <c r="T26" s="22"/>
      <c r="U26" s="22"/>
      <c r="V26" s="22"/>
      <c r="W26" s="22"/>
      <c r="X26" s="13"/>
      <c r="Y26" s="13"/>
      <c r="Z26" s="13"/>
      <c r="AA26" s="13" t="s">
        <v>365</v>
      </c>
    </row>
    <row r="27" spans="1:27" x14ac:dyDescent="0.25">
      <c r="A27" s="13">
        <v>25</v>
      </c>
      <c r="B27" s="104" t="s">
        <v>390</v>
      </c>
      <c r="C27" s="36"/>
      <c r="D27" s="13" t="s">
        <v>206</v>
      </c>
      <c r="E27" s="37"/>
      <c r="F27" s="37"/>
      <c r="G27" s="22"/>
      <c r="H27" s="22"/>
      <c r="I27" s="22"/>
      <c r="J27" s="22"/>
      <c r="K27" s="22"/>
      <c r="L27" s="22"/>
      <c r="M27" s="22"/>
      <c r="N27" s="22"/>
      <c r="O27" s="22"/>
      <c r="P27" s="22"/>
      <c r="Q27" s="22"/>
      <c r="R27" s="22"/>
      <c r="S27" s="22"/>
      <c r="T27" s="22"/>
      <c r="U27" s="22"/>
      <c r="V27" s="22"/>
      <c r="W27" s="22"/>
      <c r="X27" s="13"/>
      <c r="Y27" s="13"/>
      <c r="Z27" s="13"/>
      <c r="AA27" s="13" t="s">
        <v>365</v>
      </c>
    </row>
    <row r="28" spans="1:27" ht="79.5" customHeight="1" x14ac:dyDescent="0.25">
      <c r="A28" s="13">
        <v>26</v>
      </c>
      <c r="B28" s="104" t="s">
        <v>391</v>
      </c>
      <c r="C28" s="36">
        <v>2020</v>
      </c>
      <c r="D28" s="13" t="s">
        <v>204</v>
      </c>
      <c r="E28" s="37" t="s">
        <v>716</v>
      </c>
      <c r="F28" s="37" t="s">
        <v>718</v>
      </c>
      <c r="G28" s="22">
        <v>1</v>
      </c>
      <c r="H28" s="22"/>
      <c r="I28" s="22"/>
      <c r="J28" s="22" t="s">
        <v>226</v>
      </c>
      <c r="K28" s="22" t="s">
        <v>226</v>
      </c>
      <c r="L28" s="22"/>
      <c r="M28" s="22"/>
      <c r="N28" s="22"/>
      <c r="O28" s="22" t="s">
        <v>226</v>
      </c>
      <c r="P28" s="22" t="s">
        <v>226</v>
      </c>
      <c r="Q28" s="22"/>
      <c r="R28" s="22"/>
      <c r="S28" s="22"/>
      <c r="T28" s="37" t="s">
        <v>717</v>
      </c>
      <c r="U28" s="22"/>
      <c r="V28" s="22" t="s">
        <v>226</v>
      </c>
      <c r="W28" s="22" t="s">
        <v>226</v>
      </c>
      <c r="X28" s="13"/>
      <c r="Y28" s="13">
        <v>10.1</v>
      </c>
      <c r="Z28" s="13">
        <v>0.85</v>
      </c>
      <c r="AA28" s="38" t="s">
        <v>365</v>
      </c>
    </row>
    <row r="29" spans="1:27" ht="60" x14ac:dyDescent="0.25">
      <c r="A29" s="13">
        <v>27</v>
      </c>
      <c r="B29" s="104" t="s">
        <v>392</v>
      </c>
      <c r="C29" s="36">
        <v>2020</v>
      </c>
      <c r="D29" s="13" t="s">
        <v>204</v>
      </c>
      <c r="E29" s="37" t="s">
        <v>719</v>
      </c>
      <c r="F29" s="37" t="s">
        <v>699</v>
      </c>
      <c r="G29" s="22" t="s">
        <v>698</v>
      </c>
      <c r="H29" s="22"/>
      <c r="I29" s="22" t="s">
        <v>226</v>
      </c>
      <c r="J29" s="22" t="s">
        <v>226</v>
      </c>
      <c r="K29" s="22" t="s">
        <v>226</v>
      </c>
      <c r="L29" s="22" t="s">
        <v>226</v>
      </c>
      <c r="M29" s="22"/>
      <c r="N29" s="22"/>
      <c r="O29" s="22"/>
      <c r="P29" s="22"/>
      <c r="Q29" s="22" t="s">
        <v>226</v>
      </c>
      <c r="R29" s="22"/>
      <c r="S29" s="22"/>
      <c r="T29" s="22" t="s">
        <v>698</v>
      </c>
      <c r="U29" s="22"/>
      <c r="V29" s="22"/>
      <c r="W29" s="22"/>
      <c r="X29" s="13"/>
      <c r="Y29" s="13">
        <v>11.2</v>
      </c>
      <c r="Z29" s="13">
        <v>0.85</v>
      </c>
      <c r="AA29" s="38" t="s">
        <v>365</v>
      </c>
    </row>
    <row r="30" spans="1:27" x14ac:dyDescent="0.25">
      <c r="A30" s="13">
        <v>28</v>
      </c>
      <c r="B30" s="104" t="s">
        <v>393</v>
      </c>
      <c r="C30" s="36"/>
      <c r="D30" s="13" t="s">
        <v>206</v>
      </c>
      <c r="E30" s="37"/>
      <c r="F30" s="37"/>
      <c r="G30" s="22"/>
      <c r="H30" s="22"/>
      <c r="I30" s="22"/>
      <c r="J30" s="22"/>
      <c r="K30" s="22"/>
      <c r="L30" s="22"/>
      <c r="M30" s="22"/>
      <c r="N30" s="22"/>
      <c r="O30" s="22"/>
      <c r="P30" s="22"/>
      <c r="Q30" s="22"/>
      <c r="R30" s="22"/>
      <c r="S30" s="22"/>
      <c r="T30" s="22"/>
      <c r="U30" s="22"/>
      <c r="V30" s="22"/>
      <c r="W30" s="22"/>
      <c r="X30" s="13"/>
      <c r="Y30" s="13"/>
      <c r="Z30" s="13"/>
      <c r="AA30" s="13" t="s">
        <v>365</v>
      </c>
    </row>
    <row r="31" spans="1:27" x14ac:dyDescent="0.25">
      <c r="A31" s="13">
        <v>29</v>
      </c>
      <c r="B31" s="104" t="s">
        <v>394</v>
      </c>
      <c r="C31" s="36"/>
      <c r="D31" s="13" t="s">
        <v>206</v>
      </c>
      <c r="E31" s="37"/>
      <c r="F31" s="37"/>
      <c r="G31" s="22"/>
      <c r="H31" s="22"/>
      <c r="I31" s="22"/>
      <c r="J31" s="22"/>
      <c r="K31" s="22"/>
      <c r="L31" s="22"/>
      <c r="M31" s="22"/>
      <c r="N31" s="22"/>
      <c r="O31" s="22"/>
      <c r="P31" s="22"/>
      <c r="Q31" s="22"/>
      <c r="R31" s="22"/>
      <c r="S31" s="22"/>
      <c r="T31" s="22"/>
      <c r="U31" s="22"/>
      <c r="V31" s="22"/>
      <c r="W31" s="22"/>
      <c r="X31" s="13"/>
      <c r="Y31" s="13"/>
      <c r="Z31" s="13"/>
      <c r="AA31" s="13" t="s">
        <v>365</v>
      </c>
    </row>
    <row r="32" spans="1:27" x14ac:dyDescent="0.25">
      <c r="A32" s="13">
        <v>30</v>
      </c>
      <c r="B32" s="104" t="s">
        <v>395</v>
      </c>
      <c r="C32" s="36"/>
      <c r="D32" s="13" t="s">
        <v>206</v>
      </c>
      <c r="E32" s="37"/>
      <c r="F32" s="37"/>
      <c r="G32" s="22"/>
      <c r="H32" s="22"/>
      <c r="I32" s="22"/>
      <c r="J32" s="22"/>
      <c r="K32" s="22"/>
      <c r="L32" s="22"/>
      <c r="M32" s="22"/>
      <c r="N32" s="22"/>
      <c r="O32" s="22"/>
      <c r="P32" s="22"/>
      <c r="Q32" s="22"/>
      <c r="R32" s="22"/>
      <c r="S32" s="22"/>
      <c r="T32" s="22"/>
      <c r="U32" s="22"/>
      <c r="V32" s="22"/>
      <c r="W32" s="22"/>
      <c r="X32" s="13"/>
      <c r="Y32" s="13"/>
      <c r="Z32" s="13"/>
      <c r="AA32" s="13" t="s">
        <v>365</v>
      </c>
    </row>
    <row r="33" spans="1:27" x14ac:dyDescent="0.25">
      <c r="A33" s="13">
        <v>31</v>
      </c>
      <c r="B33" s="104" t="s">
        <v>396</v>
      </c>
      <c r="C33" s="36"/>
      <c r="D33" s="13" t="s">
        <v>206</v>
      </c>
      <c r="E33" s="37"/>
      <c r="F33" s="37"/>
      <c r="G33" s="22"/>
      <c r="H33" s="22"/>
      <c r="I33" s="22"/>
      <c r="J33" s="22"/>
      <c r="K33" s="22"/>
      <c r="L33" s="22"/>
      <c r="M33" s="22"/>
      <c r="N33" s="22"/>
      <c r="O33" s="22"/>
      <c r="P33" s="22"/>
      <c r="Q33" s="22"/>
      <c r="R33" s="22"/>
      <c r="S33" s="22"/>
      <c r="T33" s="22"/>
      <c r="U33" s="22"/>
      <c r="V33" s="22"/>
      <c r="W33" s="22"/>
      <c r="X33" s="13"/>
      <c r="Y33" s="13"/>
      <c r="Z33" s="13"/>
      <c r="AA33" s="13" t="s">
        <v>365</v>
      </c>
    </row>
    <row r="34" spans="1:27" x14ac:dyDescent="0.25">
      <c r="A34" s="13">
        <v>32</v>
      </c>
      <c r="B34" s="104" t="s">
        <v>397</v>
      </c>
      <c r="C34" s="36"/>
      <c r="D34" s="13" t="s">
        <v>206</v>
      </c>
      <c r="E34" s="37"/>
      <c r="F34" s="37"/>
      <c r="G34" s="22"/>
      <c r="H34" s="22"/>
      <c r="I34" s="22"/>
      <c r="J34" s="22"/>
      <c r="K34" s="22"/>
      <c r="L34" s="22"/>
      <c r="M34" s="22"/>
      <c r="N34" s="22"/>
      <c r="O34" s="22"/>
      <c r="P34" s="22"/>
      <c r="Q34" s="22"/>
      <c r="R34" s="22"/>
      <c r="S34" s="22"/>
      <c r="T34" s="22"/>
      <c r="U34" s="22"/>
      <c r="V34" s="22"/>
      <c r="W34" s="22"/>
      <c r="X34" s="13"/>
      <c r="Y34" s="13"/>
      <c r="Z34" s="13"/>
      <c r="AA34" s="13" t="s">
        <v>365</v>
      </c>
    </row>
    <row r="35" spans="1:27" ht="45" x14ac:dyDescent="0.25">
      <c r="A35" s="13">
        <v>33</v>
      </c>
      <c r="B35" s="104" t="s">
        <v>398</v>
      </c>
      <c r="C35" s="36">
        <v>2020</v>
      </c>
      <c r="D35" s="13" t="s">
        <v>204</v>
      </c>
      <c r="E35" s="37" t="s">
        <v>720</v>
      </c>
      <c r="F35" s="37" t="s">
        <v>722</v>
      </c>
      <c r="G35" s="22">
        <v>0</v>
      </c>
      <c r="H35" s="22"/>
      <c r="I35" s="22"/>
      <c r="J35" s="22" t="s">
        <v>226</v>
      </c>
      <c r="K35" s="22" t="s">
        <v>226</v>
      </c>
      <c r="L35" s="22"/>
      <c r="M35" s="22"/>
      <c r="N35" s="22"/>
      <c r="O35" s="22"/>
      <c r="P35" s="22"/>
      <c r="Q35" s="22"/>
      <c r="R35" s="22"/>
      <c r="S35" s="22"/>
      <c r="T35" s="37" t="s">
        <v>721</v>
      </c>
      <c r="U35" s="22"/>
      <c r="V35" s="22" t="s">
        <v>226</v>
      </c>
      <c r="W35" s="22"/>
      <c r="X35" s="13"/>
      <c r="Y35" s="13">
        <v>22.1</v>
      </c>
      <c r="Z35" s="13">
        <v>0.85</v>
      </c>
      <c r="AA35" s="38" t="s">
        <v>365</v>
      </c>
    </row>
    <row r="36" spans="1:27" x14ac:dyDescent="0.25">
      <c r="A36" s="13">
        <v>34</v>
      </c>
      <c r="B36" s="104" t="s">
        <v>399</v>
      </c>
      <c r="C36" s="36"/>
      <c r="D36" s="13" t="s">
        <v>207</v>
      </c>
      <c r="E36" s="37"/>
      <c r="F36" s="37"/>
      <c r="G36" s="22"/>
      <c r="H36" s="22"/>
      <c r="I36" s="22"/>
      <c r="J36" s="22"/>
      <c r="K36" s="22"/>
      <c r="L36" s="22"/>
      <c r="M36" s="22"/>
      <c r="N36" s="22"/>
      <c r="O36" s="22"/>
      <c r="P36" s="22"/>
      <c r="Q36" s="22"/>
      <c r="R36" s="22"/>
      <c r="S36" s="22"/>
      <c r="T36" s="22"/>
      <c r="U36" s="22"/>
      <c r="V36" s="22"/>
      <c r="W36" s="22"/>
      <c r="X36" s="13"/>
      <c r="Y36" s="13"/>
      <c r="Z36" s="13"/>
      <c r="AA36" s="13" t="s">
        <v>365</v>
      </c>
    </row>
    <row r="37" spans="1:27" x14ac:dyDescent="0.25">
      <c r="A37" s="13">
        <v>35</v>
      </c>
      <c r="B37" s="104" t="s">
        <v>400</v>
      </c>
      <c r="C37" s="36"/>
      <c r="D37" s="13" t="s">
        <v>206</v>
      </c>
      <c r="E37" s="37"/>
      <c r="F37" s="37"/>
      <c r="G37" s="22"/>
      <c r="H37" s="22"/>
      <c r="I37" s="22"/>
      <c r="J37" s="22"/>
      <c r="K37" s="22"/>
      <c r="L37" s="22"/>
      <c r="M37" s="22"/>
      <c r="N37" s="22"/>
      <c r="O37" s="22"/>
      <c r="P37" s="22"/>
      <c r="Q37" s="22"/>
      <c r="R37" s="22"/>
      <c r="S37" s="22"/>
      <c r="T37" s="22"/>
      <c r="U37" s="22"/>
      <c r="V37" s="22"/>
      <c r="W37" s="22"/>
      <c r="X37" s="13"/>
      <c r="Y37" s="13"/>
      <c r="Z37" s="13"/>
      <c r="AA37" s="13" t="s">
        <v>365</v>
      </c>
    </row>
    <row r="38" spans="1:27" ht="60" x14ac:dyDescent="0.25">
      <c r="A38" s="13">
        <v>36</v>
      </c>
      <c r="B38" s="104" t="s">
        <v>401</v>
      </c>
      <c r="C38" s="13"/>
      <c r="D38" s="13" t="s">
        <v>215</v>
      </c>
      <c r="E38" s="37" t="s">
        <v>417</v>
      </c>
      <c r="F38" s="37"/>
      <c r="G38" s="22"/>
      <c r="H38" s="22"/>
      <c r="I38" s="22"/>
      <c r="J38" s="22"/>
      <c r="K38" s="22"/>
      <c r="L38" s="22"/>
      <c r="M38" s="22"/>
      <c r="N38" s="22"/>
      <c r="O38" s="22"/>
      <c r="P38" s="22"/>
      <c r="Q38" s="22"/>
      <c r="R38" s="22"/>
      <c r="S38" s="22"/>
      <c r="T38" s="22"/>
      <c r="U38" s="22"/>
      <c r="V38" s="22"/>
      <c r="W38" s="22"/>
      <c r="X38" s="13"/>
      <c r="Y38" s="13"/>
      <c r="Z38" s="13"/>
      <c r="AA38" s="13" t="s">
        <v>365</v>
      </c>
    </row>
    <row r="39" spans="1:27" x14ac:dyDescent="0.25">
      <c r="A39" s="13">
        <v>37</v>
      </c>
      <c r="B39" s="104" t="s">
        <v>402</v>
      </c>
      <c r="C39" s="36"/>
      <c r="D39" s="13" t="s">
        <v>206</v>
      </c>
      <c r="E39" s="37"/>
      <c r="F39" s="37"/>
      <c r="G39" s="22"/>
      <c r="H39" s="22"/>
      <c r="I39" s="22"/>
      <c r="J39" s="22"/>
      <c r="K39" s="22"/>
      <c r="L39" s="22"/>
      <c r="M39" s="22"/>
      <c r="N39" s="22"/>
      <c r="O39" s="22"/>
      <c r="P39" s="22"/>
      <c r="Q39" s="22"/>
      <c r="R39" s="22"/>
      <c r="S39" s="22"/>
      <c r="T39" s="22"/>
      <c r="U39" s="22"/>
      <c r="V39" s="22"/>
      <c r="W39" s="22"/>
      <c r="X39" s="13"/>
      <c r="Y39" s="13"/>
      <c r="Z39" s="13"/>
      <c r="AA39" s="13" t="s">
        <v>365</v>
      </c>
    </row>
    <row r="40" spans="1:27" ht="30" x14ac:dyDescent="0.25">
      <c r="A40" s="13">
        <v>38</v>
      </c>
      <c r="B40" s="104" t="s">
        <v>403</v>
      </c>
      <c r="C40" s="36"/>
      <c r="D40" s="13" t="s">
        <v>206</v>
      </c>
      <c r="E40" s="37" t="s">
        <v>723</v>
      </c>
      <c r="F40" s="37"/>
      <c r="G40" s="22"/>
      <c r="H40" s="22"/>
      <c r="I40" s="22"/>
      <c r="J40" s="22"/>
      <c r="K40" s="22"/>
      <c r="L40" s="22"/>
      <c r="M40" s="22"/>
      <c r="N40" s="22"/>
      <c r="O40" s="22"/>
      <c r="P40" s="22"/>
      <c r="Q40" s="22"/>
      <c r="R40" s="22"/>
      <c r="S40" s="22"/>
      <c r="T40" s="37"/>
      <c r="U40" s="22"/>
      <c r="V40" s="22"/>
      <c r="W40" s="22"/>
      <c r="X40" s="13"/>
      <c r="Y40" s="13"/>
      <c r="Z40" s="13"/>
      <c r="AA40" s="13" t="s">
        <v>365</v>
      </c>
    </row>
    <row r="41" spans="1:27" x14ac:dyDescent="0.25">
      <c r="A41" s="13">
        <v>39</v>
      </c>
      <c r="B41" s="104" t="s">
        <v>404</v>
      </c>
      <c r="C41" s="36"/>
      <c r="D41" s="13" t="s">
        <v>206</v>
      </c>
      <c r="E41" s="37"/>
      <c r="F41" s="37"/>
      <c r="G41" s="22"/>
      <c r="H41" s="22"/>
      <c r="I41" s="22"/>
      <c r="J41" s="22"/>
      <c r="K41" s="22"/>
      <c r="L41" s="22"/>
      <c r="M41" s="22"/>
      <c r="N41" s="22"/>
      <c r="O41" s="22"/>
      <c r="P41" s="22"/>
      <c r="Q41" s="22"/>
      <c r="R41" s="22"/>
      <c r="S41" s="22"/>
      <c r="T41" s="22"/>
      <c r="U41" s="22"/>
      <c r="V41" s="22"/>
      <c r="W41" s="22"/>
      <c r="X41" s="13"/>
      <c r="Y41" s="13"/>
      <c r="Z41" s="13"/>
      <c r="AA41" s="13" t="s">
        <v>365</v>
      </c>
    </row>
    <row r="42" spans="1:27" x14ac:dyDescent="0.25">
      <c r="A42" s="13">
        <v>40</v>
      </c>
      <c r="B42" s="104" t="s">
        <v>405</v>
      </c>
      <c r="C42" s="36"/>
      <c r="D42" s="13" t="s">
        <v>206</v>
      </c>
      <c r="E42" s="37"/>
      <c r="F42" s="37"/>
      <c r="G42" s="22"/>
      <c r="H42" s="22"/>
      <c r="I42" s="22"/>
      <c r="J42" s="22"/>
      <c r="K42" s="22"/>
      <c r="L42" s="22"/>
      <c r="M42" s="22"/>
      <c r="N42" s="22"/>
      <c r="O42" s="22"/>
      <c r="P42" s="22"/>
      <c r="Q42" s="22"/>
      <c r="R42" s="22"/>
      <c r="S42" s="22"/>
      <c r="T42" s="22"/>
      <c r="U42" s="22"/>
      <c r="V42" s="22"/>
      <c r="W42" s="22"/>
      <c r="X42" s="13"/>
      <c r="Y42" s="13"/>
      <c r="Z42" s="13"/>
      <c r="AA42" s="13" t="s">
        <v>365</v>
      </c>
    </row>
    <row r="43" spans="1:27" x14ac:dyDescent="0.25">
      <c r="A43" s="13">
        <v>41</v>
      </c>
      <c r="B43" s="104" t="s">
        <v>406</v>
      </c>
      <c r="C43" s="36"/>
      <c r="D43" s="13" t="s">
        <v>206</v>
      </c>
      <c r="E43" s="37"/>
      <c r="F43" s="37"/>
      <c r="G43" s="22"/>
      <c r="H43" s="22"/>
      <c r="I43" s="22"/>
      <c r="J43" s="22"/>
      <c r="K43" s="22"/>
      <c r="L43" s="22"/>
      <c r="M43" s="22"/>
      <c r="N43" s="22"/>
      <c r="O43" s="22"/>
      <c r="P43" s="22"/>
      <c r="Q43" s="22"/>
      <c r="R43" s="22"/>
      <c r="S43" s="22"/>
      <c r="T43" s="22"/>
      <c r="U43" s="22"/>
      <c r="V43" s="22"/>
      <c r="W43" s="22"/>
      <c r="X43" s="13"/>
      <c r="Y43" s="13"/>
      <c r="Z43" s="13"/>
      <c r="AA43" s="13" t="s">
        <v>365</v>
      </c>
    </row>
    <row r="44" spans="1:27" ht="75" x14ac:dyDescent="0.25">
      <c r="A44" s="13">
        <v>42</v>
      </c>
      <c r="B44" s="104" t="s">
        <v>407</v>
      </c>
      <c r="C44" s="36">
        <v>2019</v>
      </c>
      <c r="D44" s="13" t="s">
        <v>204</v>
      </c>
      <c r="E44" s="37" t="s">
        <v>724</v>
      </c>
      <c r="F44" s="37" t="s">
        <v>725</v>
      </c>
      <c r="G44" s="22">
        <v>0</v>
      </c>
      <c r="H44" s="22"/>
      <c r="I44" s="22"/>
      <c r="J44" s="22" t="s">
        <v>226</v>
      </c>
      <c r="K44" s="22" t="s">
        <v>226</v>
      </c>
      <c r="L44" s="22"/>
      <c r="M44" s="22"/>
      <c r="N44" s="22"/>
      <c r="O44" s="22"/>
      <c r="P44" s="22"/>
      <c r="Q44" s="22"/>
      <c r="R44" s="22"/>
      <c r="S44" s="22"/>
      <c r="T44" s="37" t="s">
        <v>727</v>
      </c>
      <c r="U44" s="22"/>
      <c r="V44" s="22" t="s">
        <v>226</v>
      </c>
      <c r="W44" s="22"/>
      <c r="X44" s="38" t="s">
        <v>726</v>
      </c>
      <c r="Y44" s="13">
        <v>10.199999999999999</v>
      </c>
      <c r="Z44" s="13">
        <v>0.85</v>
      </c>
      <c r="AA44" s="38" t="s">
        <v>365</v>
      </c>
    </row>
    <row r="45" spans="1:27" x14ac:dyDescent="0.25">
      <c r="A45" s="13">
        <v>43</v>
      </c>
      <c r="B45" s="104" t="s">
        <v>408</v>
      </c>
      <c r="C45" s="36"/>
      <c r="D45" s="13" t="s">
        <v>206</v>
      </c>
      <c r="E45" s="37"/>
      <c r="F45" s="37"/>
      <c r="G45" s="22"/>
      <c r="H45" s="22"/>
      <c r="I45" s="22"/>
      <c r="J45" s="22"/>
      <c r="K45" s="22"/>
      <c r="L45" s="22"/>
      <c r="M45" s="22"/>
      <c r="N45" s="22"/>
      <c r="O45" s="22"/>
      <c r="P45" s="22"/>
      <c r="Q45" s="22"/>
      <c r="R45" s="22"/>
      <c r="S45" s="22"/>
      <c r="T45" s="22"/>
      <c r="U45" s="22"/>
      <c r="V45" s="22"/>
      <c r="W45" s="22"/>
      <c r="X45" s="13"/>
      <c r="Y45" s="13"/>
      <c r="Z45" s="13"/>
      <c r="AA45" s="13" t="s">
        <v>365</v>
      </c>
    </row>
    <row r="46" spans="1:27" x14ac:dyDescent="0.25">
      <c r="A46" s="13">
        <v>44</v>
      </c>
      <c r="B46" s="104" t="s">
        <v>409</v>
      </c>
      <c r="C46" s="36"/>
      <c r="D46" s="13" t="s">
        <v>206</v>
      </c>
      <c r="E46" s="37"/>
      <c r="F46" s="37"/>
      <c r="G46" s="22"/>
      <c r="H46" s="22"/>
      <c r="I46" s="22"/>
      <c r="J46" s="22"/>
      <c r="K46" s="22"/>
      <c r="L46" s="22"/>
      <c r="M46" s="22"/>
      <c r="N46" s="22"/>
      <c r="O46" s="22"/>
      <c r="P46" s="22"/>
      <c r="Q46" s="22"/>
      <c r="R46" s="22"/>
      <c r="S46" s="22"/>
      <c r="T46" s="22"/>
      <c r="U46" s="22"/>
      <c r="V46" s="22"/>
      <c r="W46" s="22"/>
      <c r="X46" s="13"/>
      <c r="Y46" s="13"/>
      <c r="Z46" s="13"/>
      <c r="AA46" s="13" t="s">
        <v>365</v>
      </c>
    </row>
    <row r="47" spans="1:27" x14ac:dyDescent="0.25">
      <c r="A47" s="13">
        <v>45</v>
      </c>
      <c r="B47" s="104" t="s">
        <v>410</v>
      </c>
      <c r="C47" s="36"/>
      <c r="D47" s="13" t="s">
        <v>206</v>
      </c>
      <c r="E47" s="37"/>
      <c r="F47" s="37"/>
      <c r="G47" s="22"/>
      <c r="H47" s="22"/>
      <c r="I47" s="22"/>
      <c r="J47" s="22"/>
      <c r="K47" s="22"/>
      <c r="L47" s="22"/>
      <c r="M47" s="22"/>
      <c r="N47" s="22"/>
      <c r="O47" s="22"/>
      <c r="P47" s="22"/>
      <c r="Q47" s="22"/>
      <c r="R47" s="22"/>
      <c r="S47" s="22"/>
      <c r="T47" s="22"/>
      <c r="U47" s="22"/>
      <c r="V47" s="22"/>
      <c r="W47" s="22"/>
      <c r="X47" s="13"/>
      <c r="Y47" s="13"/>
      <c r="Z47" s="13"/>
      <c r="AA47" s="13" t="s">
        <v>365</v>
      </c>
    </row>
    <row r="48" spans="1:27" x14ac:dyDescent="0.25">
      <c r="A48" s="13">
        <v>46</v>
      </c>
      <c r="B48" s="104" t="s">
        <v>411</v>
      </c>
      <c r="C48" s="36"/>
      <c r="D48" s="13" t="s">
        <v>206</v>
      </c>
      <c r="E48" s="37"/>
      <c r="F48" s="37"/>
      <c r="G48" s="22"/>
      <c r="H48" s="22"/>
      <c r="I48" s="22"/>
      <c r="J48" s="22"/>
      <c r="K48" s="22"/>
      <c r="L48" s="22"/>
      <c r="M48" s="22"/>
      <c r="N48" s="22"/>
      <c r="O48" s="22"/>
      <c r="P48" s="22"/>
      <c r="Q48" s="22"/>
      <c r="R48" s="22"/>
      <c r="S48" s="22"/>
      <c r="T48" s="22"/>
      <c r="U48" s="22"/>
      <c r="V48" s="22"/>
      <c r="W48" s="22"/>
      <c r="X48" s="13"/>
      <c r="Y48" s="13"/>
      <c r="Z48" s="13"/>
      <c r="AA48" s="13" t="s">
        <v>365</v>
      </c>
    </row>
    <row r="49" spans="1:27" x14ac:dyDescent="0.25">
      <c r="A49" s="13">
        <v>47</v>
      </c>
      <c r="B49" s="104" t="s">
        <v>412</v>
      </c>
      <c r="C49" s="36"/>
      <c r="D49" s="13" t="s">
        <v>206</v>
      </c>
      <c r="E49" s="37"/>
      <c r="F49" s="37"/>
      <c r="G49" s="22"/>
      <c r="H49" s="22"/>
      <c r="I49" s="22"/>
      <c r="J49" s="22"/>
      <c r="K49" s="22"/>
      <c r="L49" s="22"/>
      <c r="M49" s="22"/>
      <c r="N49" s="22"/>
      <c r="O49" s="22"/>
      <c r="P49" s="22"/>
      <c r="Q49" s="22"/>
      <c r="R49" s="22"/>
      <c r="S49" s="22"/>
      <c r="T49" s="22"/>
      <c r="U49" s="22"/>
      <c r="V49" s="22"/>
      <c r="W49" s="22"/>
      <c r="X49" s="13"/>
      <c r="Y49" s="13"/>
      <c r="Z49" s="13"/>
      <c r="AA49" s="13" t="s">
        <v>365</v>
      </c>
    </row>
    <row r="50" spans="1:27" x14ac:dyDescent="0.25">
      <c r="A50" s="13">
        <v>48</v>
      </c>
      <c r="B50" s="104" t="s">
        <v>413</v>
      </c>
      <c r="C50" s="36"/>
      <c r="D50" s="13" t="s">
        <v>206</v>
      </c>
      <c r="E50" s="37"/>
      <c r="F50" s="37"/>
      <c r="G50" s="22"/>
      <c r="H50" s="22"/>
      <c r="I50" s="22"/>
      <c r="J50" s="22"/>
      <c r="K50" s="22"/>
      <c r="L50" s="22"/>
      <c r="M50" s="22"/>
      <c r="N50" s="22"/>
      <c r="O50" s="22"/>
      <c r="P50" s="22"/>
      <c r="Q50" s="22"/>
      <c r="R50" s="22"/>
      <c r="S50" s="22"/>
      <c r="T50" s="22"/>
      <c r="U50" s="22"/>
      <c r="V50" s="22"/>
      <c r="W50" s="22"/>
      <c r="X50" s="13"/>
      <c r="Y50" s="13"/>
      <c r="Z50" s="13"/>
      <c r="AA50" s="13" t="s">
        <v>365</v>
      </c>
    </row>
    <row r="51" spans="1:27" ht="45" x14ac:dyDescent="0.25">
      <c r="A51" s="13">
        <v>49</v>
      </c>
      <c r="B51" s="104" t="s">
        <v>414</v>
      </c>
      <c r="C51" s="36">
        <v>2020</v>
      </c>
      <c r="D51" s="13" t="s">
        <v>418</v>
      </c>
      <c r="E51" s="37" t="s">
        <v>729</v>
      </c>
      <c r="F51" s="37" t="s">
        <v>730</v>
      </c>
      <c r="G51" s="22">
        <v>1</v>
      </c>
      <c r="H51" s="22"/>
      <c r="I51" s="22"/>
      <c r="J51" s="22" t="s">
        <v>226</v>
      </c>
      <c r="K51" s="22" t="s">
        <v>226</v>
      </c>
      <c r="L51" s="22"/>
      <c r="M51" s="22"/>
      <c r="N51" s="22"/>
      <c r="O51" s="22"/>
      <c r="P51" s="22" t="s">
        <v>226</v>
      </c>
      <c r="Q51" s="22"/>
      <c r="R51" s="22"/>
      <c r="S51" s="22"/>
      <c r="T51" s="37" t="s">
        <v>731</v>
      </c>
      <c r="U51" s="22"/>
      <c r="V51" s="22" t="s">
        <v>226</v>
      </c>
      <c r="W51" s="22" t="s">
        <v>226</v>
      </c>
      <c r="X51" s="13"/>
      <c r="Y51" s="13">
        <v>0.5</v>
      </c>
      <c r="Z51" s="13">
        <v>0.85</v>
      </c>
      <c r="AA51" s="38" t="s">
        <v>365</v>
      </c>
    </row>
    <row r="52" spans="1:27" ht="45" x14ac:dyDescent="0.25">
      <c r="A52" s="13"/>
      <c r="B52" s="104"/>
      <c r="C52" s="36">
        <v>2020</v>
      </c>
      <c r="D52" s="13" t="s">
        <v>418</v>
      </c>
      <c r="E52" s="37" t="s">
        <v>728</v>
      </c>
      <c r="F52" s="37" t="s">
        <v>730</v>
      </c>
      <c r="G52" s="22">
        <v>1</v>
      </c>
      <c r="H52" s="22"/>
      <c r="I52" s="22" t="s">
        <v>226</v>
      </c>
      <c r="J52" s="22" t="s">
        <v>226</v>
      </c>
      <c r="K52" s="22" t="s">
        <v>226</v>
      </c>
      <c r="L52" s="22"/>
      <c r="M52" s="22" t="s">
        <v>226</v>
      </c>
      <c r="N52" s="22"/>
      <c r="O52" s="22"/>
      <c r="P52" s="22"/>
      <c r="Q52" s="22"/>
      <c r="R52" s="22" t="s">
        <v>226</v>
      </c>
      <c r="S52" s="22"/>
      <c r="T52" s="37" t="s">
        <v>731</v>
      </c>
      <c r="U52" s="22"/>
      <c r="V52" s="22" t="s">
        <v>226</v>
      </c>
      <c r="W52" s="22" t="s">
        <v>226</v>
      </c>
      <c r="X52" s="13"/>
      <c r="Y52" s="13">
        <v>0.5</v>
      </c>
      <c r="Z52" s="13">
        <v>0.85</v>
      </c>
      <c r="AA52" s="38" t="s">
        <v>365</v>
      </c>
    </row>
    <row r="53" spans="1:27" x14ac:dyDescent="0.25">
      <c r="A53" s="13">
        <v>50</v>
      </c>
      <c r="B53" s="104" t="s">
        <v>415</v>
      </c>
      <c r="C53" s="36"/>
      <c r="D53" s="13" t="s">
        <v>206</v>
      </c>
      <c r="E53" s="37"/>
      <c r="F53" s="37"/>
      <c r="G53" s="22"/>
      <c r="H53" s="22"/>
      <c r="I53" s="22"/>
      <c r="J53" s="22"/>
      <c r="K53" s="22"/>
      <c r="L53" s="22"/>
      <c r="M53" s="22"/>
      <c r="N53" s="22"/>
      <c r="O53" s="22"/>
      <c r="P53" s="22"/>
      <c r="Q53" s="22"/>
      <c r="R53" s="22"/>
      <c r="S53" s="22"/>
      <c r="T53" s="22"/>
      <c r="U53" s="22"/>
      <c r="V53" s="22"/>
      <c r="W53" s="22"/>
      <c r="X53" s="13"/>
      <c r="Y53" s="13"/>
      <c r="Z53" s="13"/>
      <c r="AA53" s="13" t="s">
        <v>365</v>
      </c>
    </row>
    <row r="54" spans="1:27" ht="45" x14ac:dyDescent="0.25">
      <c r="A54" s="13">
        <v>1</v>
      </c>
      <c r="B54" s="104" t="s">
        <v>420</v>
      </c>
      <c r="C54" s="36"/>
      <c r="D54" s="13" t="s">
        <v>215</v>
      </c>
      <c r="E54" s="37" t="s">
        <v>732</v>
      </c>
      <c r="F54" s="37"/>
      <c r="G54" s="22"/>
      <c r="H54" s="22"/>
      <c r="I54" s="22"/>
      <c r="J54" s="22"/>
      <c r="K54" s="22"/>
      <c r="L54" s="22"/>
      <c r="M54" s="22"/>
      <c r="N54" s="22"/>
      <c r="O54" s="22"/>
      <c r="P54" s="22"/>
      <c r="Q54" s="22"/>
      <c r="R54" s="22"/>
      <c r="S54" s="22"/>
      <c r="T54" s="37"/>
      <c r="U54" s="22"/>
      <c r="V54" s="22"/>
      <c r="W54" s="22"/>
      <c r="X54" s="13"/>
      <c r="Y54" s="13"/>
      <c r="Z54" s="13"/>
      <c r="AA54" s="13" t="s">
        <v>419</v>
      </c>
    </row>
    <row r="55" spans="1:27" ht="60" x14ac:dyDescent="0.25">
      <c r="A55" s="13">
        <v>2</v>
      </c>
      <c r="B55" s="104" t="s">
        <v>421</v>
      </c>
      <c r="C55" s="36">
        <v>2017</v>
      </c>
      <c r="D55" s="13" t="s">
        <v>204</v>
      </c>
      <c r="E55" s="37" t="s">
        <v>733</v>
      </c>
      <c r="F55" s="37" t="s">
        <v>734</v>
      </c>
      <c r="G55" s="22">
        <v>1</v>
      </c>
      <c r="H55" s="22"/>
      <c r="I55" s="22"/>
      <c r="J55" s="22" t="s">
        <v>226</v>
      </c>
      <c r="K55" s="22" t="s">
        <v>226</v>
      </c>
      <c r="L55" s="22"/>
      <c r="M55" s="22"/>
      <c r="N55" s="22"/>
      <c r="O55" s="22"/>
      <c r="P55" s="22"/>
      <c r="Q55" s="22" t="s">
        <v>226</v>
      </c>
      <c r="R55" s="22"/>
      <c r="S55" s="22"/>
      <c r="T55" s="37" t="s">
        <v>273</v>
      </c>
      <c r="U55" s="22"/>
      <c r="V55" s="22"/>
      <c r="W55" s="22" t="s">
        <v>226</v>
      </c>
      <c r="X55" s="13"/>
      <c r="Y55" s="13">
        <v>158.19999999999999</v>
      </c>
      <c r="Z55" s="13">
        <v>1</v>
      </c>
      <c r="AA55" s="38" t="s">
        <v>419</v>
      </c>
    </row>
    <row r="56" spans="1:27" x14ac:dyDescent="0.25">
      <c r="A56" s="13">
        <v>3</v>
      </c>
      <c r="B56" s="104" t="s">
        <v>422</v>
      </c>
      <c r="C56" s="36"/>
      <c r="D56" s="13" t="s">
        <v>206</v>
      </c>
      <c r="E56" s="37"/>
      <c r="F56" s="37"/>
      <c r="G56" s="22"/>
      <c r="H56" s="22"/>
      <c r="I56" s="22"/>
      <c r="J56" s="22"/>
      <c r="K56" s="22"/>
      <c r="L56" s="22"/>
      <c r="M56" s="22"/>
      <c r="N56" s="22"/>
      <c r="O56" s="22"/>
      <c r="P56" s="22"/>
      <c r="Q56" s="22"/>
      <c r="R56" s="22"/>
      <c r="S56" s="22"/>
      <c r="T56" s="22"/>
      <c r="U56" s="22"/>
      <c r="V56" s="22"/>
      <c r="W56" s="22"/>
      <c r="X56" s="13"/>
      <c r="Y56" s="13"/>
      <c r="Z56" s="13"/>
      <c r="AA56" s="13" t="s">
        <v>419</v>
      </c>
    </row>
    <row r="57" spans="1:27" ht="45" x14ac:dyDescent="0.25">
      <c r="A57" s="13">
        <v>4</v>
      </c>
      <c r="B57" s="104" t="s">
        <v>423</v>
      </c>
      <c r="C57" s="13"/>
      <c r="D57" s="13" t="s">
        <v>215</v>
      </c>
      <c r="E57" s="37" t="s">
        <v>512</v>
      </c>
      <c r="F57" s="37"/>
      <c r="G57" s="22"/>
      <c r="H57" s="22"/>
      <c r="I57" s="22"/>
      <c r="J57" s="22"/>
      <c r="K57" s="22"/>
      <c r="L57" s="22"/>
      <c r="M57" s="22"/>
      <c r="N57" s="22"/>
      <c r="O57" s="22"/>
      <c r="P57" s="22"/>
      <c r="Q57" s="22"/>
      <c r="R57" s="22"/>
      <c r="S57" s="22"/>
      <c r="T57" s="22"/>
      <c r="U57" s="22"/>
      <c r="V57" s="22"/>
      <c r="W57" s="22"/>
      <c r="X57" s="13"/>
      <c r="Y57" s="13"/>
      <c r="Z57" s="13"/>
      <c r="AA57" s="13" t="s">
        <v>419</v>
      </c>
    </row>
    <row r="58" spans="1:27" x14ac:dyDescent="0.25">
      <c r="A58" s="13">
        <v>5</v>
      </c>
      <c r="B58" s="104" t="s">
        <v>424</v>
      </c>
      <c r="C58" s="36"/>
      <c r="D58" s="13" t="s">
        <v>206</v>
      </c>
      <c r="E58" s="37"/>
      <c r="F58" s="37"/>
      <c r="G58" s="22"/>
      <c r="H58" s="22"/>
      <c r="I58" s="22"/>
      <c r="J58" s="22"/>
      <c r="K58" s="22"/>
      <c r="L58" s="22"/>
      <c r="M58" s="22"/>
      <c r="N58" s="22"/>
      <c r="O58" s="22"/>
      <c r="P58" s="22"/>
      <c r="Q58" s="22"/>
      <c r="R58" s="22"/>
      <c r="S58" s="22"/>
      <c r="T58" s="22"/>
      <c r="U58" s="22"/>
      <c r="V58" s="22"/>
      <c r="W58" s="22"/>
      <c r="X58" s="13"/>
      <c r="Y58" s="13"/>
      <c r="Z58" s="13"/>
      <c r="AA58" s="13" t="s">
        <v>419</v>
      </c>
    </row>
    <row r="59" spans="1:27" ht="60" x14ac:dyDescent="0.25">
      <c r="A59" s="13">
        <v>6</v>
      </c>
      <c r="B59" s="104" t="s">
        <v>425</v>
      </c>
      <c r="C59" s="36">
        <v>2015</v>
      </c>
      <c r="D59" s="13" t="s">
        <v>204</v>
      </c>
      <c r="E59" s="37" t="s">
        <v>735</v>
      </c>
      <c r="F59" s="37" t="s">
        <v>737</v>
      </c>
      <c r="G59" s="22">
        <v>1</v>
      </c>
      <c r="H59" s="22"/>
      <c r="I59" s="22"/>
      <c r="J59" s="22" t="s">
        <v>226</v>
      </c>
      <c r="K59" s="22" t="s">
        <v>226</v>
      </c>
      <c r="L59" s="22" t="s">
        <v>226</v>
      </c>
      <c r="M59" s="22"/>
      <c r="N59" s="22"/>
      <c r="O59" s="22" t="s">
        <v>226</v>
      </c>
      <c r="P59" s="22"/>
      <c r="Q59" s="22"/>
      <c r="R59" s="22"/>
      <c r="S59" s="22"/>
      <c r="T59" s="37" t="s">
        <v>736</v>
      </c>
      <c r="U59" s="22"/>
      <c r="V59" s="22" t="s">
        <v>226</v>
      </c>
      <c r="W59" s="22" t="s">
        <v>226</v>
      </c>
      <c r="X59" s="13"/>
      <c r="Y59" s="13">
        <v>73.8</v>
      </c>
      <c r="Z59" s="13">
        <v>1</v>
      </c>
      <c r="AA59" s="38" t="s">
        <v>419</v>
      </c>
    </row>
    <row r="60" spans="1:27" ht="75" x14ac:dyDescent="0.25">
      <c r="A60" s="13">
        <v>7</v>
      </c>
      <c r="B60" s="104" t="s">
        <v>426</v>
      </c>
      <c r="C60" s="36">
        <v>2018</v>
      </c>
      <c r="D60" s="13" t="s">
        <v>204</v>
      </c>
      <c r="E60" s="37" t="s">
        <v>739</v>
      </c>
      <c r="F60" s="37" t="s">
        <v>740</v>
      </c>
      <c r="G60" s="22">
        <v>1</v>
      </c>
      <c r="H60" s="22" t="s">
        <v>226</v>
      </c>
      <c r="I60" s="22" t="s">
        <v>226</v>
      </c>
      <c r="J60" s="22"/>
      <c r="K60" s="22"/>
      <c r="L60" s="22" t="s">
        <v>226</v>
      </c>
      <c r="M60" s="22"/>
      <c r="N60" s="22"/>
      <c r="O60" s="22" t="s">
        <v>226</v>
      </c>
      <c r="P60" s="22" t="s">
        <v>226</v>
      </c>
      <c r="Q60" s="22"/>
      <c r="R60" s="22"/>
      <c r="S60" s="22" t="s">
        <v>226</v>
      </c>
      <c r="T60" s="37" t="s">
        <v>738</v>
      </c>
      <c r="U60" s="22"/>
      <c r="V60" s="22"/>
      <c r="W60" s="22" t="s">
        <v>226</v>
      </c>
      <c r="X60" s="13"/>
      <c r="Y60" s="13">
        <v>14.2</v>
      </c>
      <c r="Z60" s="13">
        <v>1</v>
      </c>
      <c r="AA60" s="38" t="s">
        <v>419</v>
      </c>
    </row>
    <row r="61" spans="1:27" ht="45" x14ac:dyDescent="0.25">
      <c r="A61" s="13">
        <v>8</v>
      </c>
      <c r="B61" s="104" t="s">
        <v>427</v>
      </c>
      <c r="C61" s="36">
        <v>2015</v>
      </c>
      <c r="D61" s="13" t="s">
        <v>204</v>
      </c>
      <c r="E61" s="37" t="s">
        <v>741</v>
      </c>
      <c r="F61" s="37" t="s">
        <v>743</v>
      </c>
      <c r="G61" s="22">
        <v>1</v>
      </c>
      <c r="H61" s="22"/>
      <c r="I61" s="22"/>
      <c r="J61" s="22" t="s">
        <v>226</v>
      </c>
      <c r="K61" s="22" t="s">
        <v>226</v>
      </c>
      <c r="L61" s="22"/>
      <c r="M61" s="22"/>
      <c r="N61" s="22"/>
      <c r="O61" s="22"/>
      <c r="P61" s="22" t="s">
        <v>226</v>
      </c>
      <c r="Q61" s="22"/>
      <c r="R61" s="22"/>
      <c r="S61" s="22"/>
      <c r="T61" s="37" t="s">
        <v>742</v>
      </c>
      <c r="U61" s="22"/>
      <c r="V61" s="22" t="s">
        <v>226</v>
      </c>
      <c r="W61" s="22"/>
      <c r="X61" s="13"/>
      <c r="Y61" s="13">
        <v>27.7</v>
      </c>
      <c r="Z61" s="13">
        <v>1</v>
      </c>
      <c r="AA61" s="38" t="s">
        <v>419</v>
      </c>
    </row>
    <row r="62" spans="1:27" x14ac:dyDescent="0.25">
      <c r="A62" s="13">
        <v>9</v>
      </c>
      <c r="B62" s="104" t="s">
        <v>428</v>
      </c>
      <c r="C62" s="36"/>
      <c r="D62" s="13" t="s">
        <v>206</v>
      </c>
      <c r="E62" s="37"/>
      <c r="F62" s="37"/>
      <c r="G62" s="22"/>
      <c r="H62" s="22"/>
      <c r="I62" s="22"/>
      <c r="J62" s="22"/>
      <c r="K62" s="22"/>
      <c r="L62" s="22"/>
      <c r="M62" s="22"/>
      <c r="N62" s="22"/>
      <c r="O62" s="22"/>
      <c r="P62" s="22"/>
      <c r="Q62" s="22"/>
      <c r="R62" s="22"/>
      <c r="S62" s="22"/>
      <c r="T62" s="22"/>
      <c r="U62" s="22"/>
      <c r="V62" s="22"/>
      <c r="W62" s="22"/>
      <c r="X62" s="13"/>
      <c r="Y62" s="13"/>
      <c r="Z62" s="13"/>
      <c r="AA62" s="13" t="s">
        <v>419</v>
      </c>
    </row>
    <row r="63" spans="1:27" x14ac:dyDescent="0.25">
      <c r="A63" s="13">
        <v>10</v>
      </c>
      <c r="B63" s="104" t="s">
        <v>429</v>
      </c>
      <c r="C63" s="36"/>
      <c r="D63" s="13" t="s">
        <v>206</v>
      </c>
      <c r="E63" s="37"/>
      <c r="F63" s="37"/>
      <c r="G63" s="22"/>
      <c r="H63" s="22"/>
      <c r="I63" s="22"/>
      <c r="J63" s="22"/>
      <c r="K63" s="22"/>
      <c r="L63" s="22"/>
      <c r="M63" s="22"/>
      <c r="N63" s="22"/>
      <c r="O63" s="22"/>
      <c r="P63" s="22"/>
      <c r="Q63" s="22"/>
      <c r="R63" s="22"/>
      <c r="S63" s="22"/>
      <c r="T63" s="22"/>
      <c r="U63" s="22"/>
      <c r="V63" s="22"/>
      <c r="W63" s="22"/>
      <c r="X63" s="13"/>
      <c r="Y63" s="13"/>
      <c r="Z63" s="13"/>
      <c r="AA63" s="13" t="s">
        <v>419</v>
      </c>
    </row>
    <row r="64" spans="1:27" ht="26.25" x14ac:dyDescent="0.25">
      <c r="A64" s="13">
        <v>11</v>
      </c>
      <c r="B64" s="104" t="s">
        <v>430</v>
      </c>
      <c r="C64" s="36">
        <v>2017</v>
      </c>
      <c r="D64" s="13" t="s">
        <v>206</v>
      </c>
      <c r="E64" s="37"/>
      <c r="F64" s="37"/>
      <c r="G64" s="22"/>
      <c r="H64" s="22"/>
      <c r="I64" s="22"/>
      <c r="J64" s="22"/>
      <c r="K64" s="22"/>
      <c r="L64" s="22"/>
      <c r="M64" s="22"/>
      <c r="N64" s="22"/>
      <c r="O64" s="22"/>
      <c r="P64" s="22"/>
      <c r="Q64" s="22"/>
      <c r="R64" s="22"/>
      <c r="S64" s="22"/>
      <c r="T64" s="37"/>
      <c r="U64" s="22"/>
      <c r="V64" s="22"/>
      <c r="W64" s="22"/>
      <c r="X64" s="13"/>
      <c r="Y64" s="13"/>
      <c r="Z64" s="13"/>
      <c r="AA64" s="13" t="s">
        <v>419</v>
      </c>
    </row>
    <row r="65" spans="1:27" x14ac:dyDescent="0.25">
      <c r="A65" s="13">
        <v>12</v>
      </c>
      <c r="B65" s="104" t="s">
        <v>431</v>
      </c>
      <c r="C65" s="36"/>
      <c r="D65" s="13" t="s">
        <v>206</v>
      </c>
      <c r="E65" s="37"/>
      <c r="F65" s="37"/>
      <c r="G65" s="22"/>
      <c r="H65" s="22"/>
      <c r="I65" s="22"/>
      <c r="J65" s="22"/>
      <c r="K65" s="22"/>
      <c r="L65" s="22"/>
      <c r="M65" s="22"/>
      <c r="N65" s="22"/>
      <c r="O65" s="22"/>
      <c r="P65" s="22"/>
      <c r="Q65" s="22"/>
      <c r="R65" s="22"/>
      <c r="S65" s="22"/>
      <c r="T65" s="22"/>
      <c r="U65" s="22"/>
      <c r="V65" s="22"/>
      <c r="W65" s="22"/>
      <c r="X65" s="13"/>
      <c r="Y65" s="13"/>
      <c r="Z65" s="13"/>
      <c r="AA65" s="13" t="s">
        <v>419</v>
      </c>
    </row>
    <row r="66" spans="1:27" x14ac:dyDescent="0.25">
      <c r="A66" s="13">
        <v>13</v>
      </c>
      <c r="B66" s="104" t="s">
        <v>432</v>
      </c>
      <c r="C66" s="36"/>
      <c r="D66" s="13" t="s">
        <v>206</v>
      </c>
      <c r="E66" s="37"/>
      <c r="F66" s="37"/>
      <c r="G66" s="22"/>
      <c r="H66" s="22"/>
      <c r="I66" s="22"/>
      <c r="J66" s="22"/>
      <c r="K66" s="22"/>
      <c r="L66" s="22"/>
      <c r="M66" s="22"/>
      <c r="N66" s="22"/>
      <c r="O66" s="22"/>
      <c r="P66" s="22"/>
      <c r="Q66" s="22"/>
      <c r="R66" s="22"/>
      <c r="S66" s="22"/>
      <c r="T66" s="37"/>
      <c r="U66" s="22"/>
      <c r="V66" s="22"/>
      <c r="W66" s="22"/>
      <c r="X66" s="13"/>
      <c r="Y66" s="13"/>
      <c r="Z66" s="13"/>
      <c r="AA66" s="13" t="s">
        <v>419</v>
      </c>
    </row>
    <row r="67" spans="1:27" ht="30" x14ac:dyDescent="0.25">
      <c r="A67" s="13">
        <v>14</v>
      </c>
      <c r="B67" s="104" t="s">
        <v>433</v>
      </c>
      <c r="C67" s="36"/>
      <c r="D67" s="13" t="s">
        <v>215</v>
      </c>
      <c r="E67" s="37" t="s">
        <v>744</v>
      </c>
      <c r="F67" s="37"/>
      <c r="G67" s="22"/>
      <c r="H67" s="22"/>
      <c r="I67" s="22"/>
      <c r="J67" s="22"/>
      <c r="K67" s="22"/>
      <c r="L67" s="22"/>
      <c r="M67" s="22"/>
      <c r="N67" s="22"/>
      <c r="O67" s="22"/>
      <c r="P67" s="22"/>
      <c r="Q67" s="22"/>
      <c r="R67" s="22"/>
      <c r="S67" s="22"/>
      <c r="T67" s="37"/>
      <c r="U67" s="22"/>
      <c r="V67" s="22"/>
      <c r="W67" s="22"/>
      <c r="X67" s="13"/>
      <c r="Y67" s="13"/>
      <c r="Z67" s="13"/>
      <c r="AA67" s="13" t="s">
        <v>419</v>
      </c>
    </row>
    <row r="68" spans="1:27" x14ac:dyDescent="0.25">
      <c r="A68" s="13">
        <v>15</v>
      </c>
      <c r="B68" s="104" t="s">
        <v>434</v>
      </c>
      <c r="C68" s="36"/>
      <c r="D68" s="13" t="s">
        <v>206</v>
      </c>
      <c r="E68" s="37"/>
      <c r="F68" s="37"/>
      <c r="G68" s="22"/>
      <c r="H68" s="22"/>
      <c r="I68" s="22"/>
      <c r="J68" s="22"/>
      <c r="K68" s="22"/>
      <c r="L68" s="22"/>
      <c r="M68" s="22"/>
      <c r="N68" s="22"/>
      <c r="O68" s="22"/>
      <c r="P68" s="22"/>
      <c r="Q68" s="22"/>
      <c r="R68" s="22"/>
      <c r="S68" s="22"/>
      <c r="T68" s="22"/>
      <c r="U68" s="22"/>
      <c r="V68" s="22"/>
      <c r="W68" s="22"/>
      <c r="X68" s="13"/>
      <c r="Y68" s="13"/>
      <c r="Z68" s="13"/>
      <c r="AA68" s="13" t="s">
        <v>419</v>
      </c>
    </row>
    <row r="69" spans="1:27" x14ac:dyDescent="0.25">
      <c r="A69" s="13">
        <v>16</v>
      </c>
      <c r="B69" s="104" t="s">
        <v>435</v>
      </c>
      <c r="C69" s="36"/>
      <c r="D69" s="13" t="s">
        <v>206</v>
      </c>
      <c r="E69" s="37"/>
      <c r="F69" s="37"/>
      <c r="G69" s="22"/>
      <c r="H69" s="22"/>
      <c r="I69" s="22"/>
      <c r="J69" s="22"/>
      <c r="K69" s="22"/>
      <c r="L69" s="22"/>
      <c r="M69" s="22"/>
      <c r="N69" s="22"/>
      <c r="O69" s="22"/>
      <c r="P69" s="22"/>
      <c r="Q69" s="22"/>
      <c r="R69" s="22"/>
      <c r="S69" s="22"/>
      <c r="T69" s="22"/>
      <c r="U69" s="22"/>
      <c r="V69" s="22"/>
      <c r="W69" s="22"/>
      <c r="X69" s="13"/>
      <c r="Y69" s="13"/>
      <c r="Z69" s="13"/>
      <c r="AA69" s="13" t="s">
        <v>419</v>
      </c>
    </row>
    <row r="70" spans="1:27" x14ac:dyDescent="0.25">
      <c r="A70" s="13">
        <v>17</v>
      </c>
      <c r="B70" s="104" t="s">
        <v>436</v>
      </c>
      <c r="C70" s="36"/>
      <c r="D70" s="13" t="s">
        <v>206</v>
      </c>
      <c r="E70" s="37"/>
      <c r="F70" s="37"/>
      <c r="G70" s="22"/>
      <c r="H70" s="22"/>
      <c r="I70" s="22"/>
      <c r="J70" s="22"/>
      <c r="K70" s="22"/>
      <c r="L70" s="22"/>
      <c r="M70" s="22"/>
      <c r="N70" s="22"/>
      <c r="O70" s="22"/>
      <c r="P70" s="22"/>
      <c r="Q70" s="22"/>
      <c r="R70" s="22"/>
      <c r="S70" s="22"/>
      <c r="T70" s="22"/>
      <c r="U70" s="22"/>
      <c r="V70" s="22"/>
      <c r="W70" s="22"/>
      <c r="X70" s="13"/>
      <c r="Y70" s="13"/>
      <c r="Z70" s="13"/>
      <c r="AA70" s="13" t="s">
        <v>419</v>
      </c>
    </row>
    <row r="71" spans="1:27" ht="60" x14ac:dyDescent="0.25">
      <c r="A71" s="13">
        <v>18</v>
      </c>
      <c r="B71" s="104" t="s">
        <v>437</v>
      </c>
      <c r="C71" s="36">
        <v>2018</v>
      </c>
      <c r="D71" s="13" t="s">
        <v>204</v>
      </c>
      <c r="E71" s="37" t="s">
        <v>745</v>
      </c>
      <c r="F71" s="37" t="s">
        <v>743</v>
      </c>
      <c r="G71" s="22">
        <v>1</v>
      </c>
      <c r="H71" s="22"/>
      <c r="I71" s="22" t="s">
        <v>226</v>
      </c>
      <c r="J71" s="22" t="s">
        <v>226</v>
      </c>
      <c r="K71" s="22" t="s">
        <v>226</v>
      </c>
      <c r="L71" s="22"/>
      <c r="M71" s="22"/>
      <c r="N71" s="22"/>
      <c r="O71" s="22"/>
      <c r="P71" s="22"/>
      <c r="Q71" s="22"/>
      <c r="R71" s="22" t="s">
        <v>226</v>
      </c>
      <c r="S71" s="22"/>
      <c r="T71" s="37" t="s">
        <v>746</v>
      </c>
      <c r="U71" s="22" t="s">
        <v>226</v>
      </c>
      <c r="V71" s="22"/>
      <c r="W71" s="22" t="s">
        <v>226</v>
      </c>
      <c r="X71" s="105" t="s">
        <v>747</v>
      </c>
      <c r="Y71" s="13">
        <v>9.8000000000000007</v>
      </c>
      <c r="Z71" s="13">
        <v>1</v>
      </c>
      <c r="AA71" s="38" t="s">
        <v>419</v>
      </c>
    </row>
    <row r="72" spans="1:27" ht="45" x14ac:dyDescent="0.25">
      <c r="A72" s="13">
        <v>19</v>
      </c>
      <c r="B72" s="104" t="s">
        <v>438</v>
      </c>
      <c r="C72" s="36">
        <v>2016</v>
      </c>
      <c r="D72" s="13" t="s">
        <v>204</v>
      </c>
      <c r="E72" s="37" t="s">
        <v>748</v>
      </c>
      <c r="F72" s="37" t="s">
        <v>743</v>
      </c>
      <c r="G72" s="22">
        <v>1</v>
      </c>
      <c r="H72" s="22"/>
      <c r="I72" s="22"/>
      <c r="J72" s="22" t="s">
        <v>226</v>
      </c>
      <c r="K72" s="22" t="s">
        <v>226</v>
      </c>
      <c r="L72" s="22"/>
      <c r="M72" s="22"/>
      <c r="N72" s="22"/>
      <c r="O72" s="22" t="s">
        <v>226</v>
      </c>
      <c r="P72" s="22" t="s">
        <v>226</v>
      </c>
      <c r="Q72" s="22"/>
      <c r="R72" s="22"/>
      <c r="S72" s="22"/>
      <c r="T72" s="37" t="s">
        <v>749</v>
      </c>
      <c r="U72" s="22"/>
      <c r="V72" s="22"/>
      <c r="W72" s="22" t="s">
        <v>226</v>
      </c>
      <c r="X72" s="13"/>
      <c r="Y72" s="13">
        <v>26.6</v>
      </c>
      <c r="Z72" s="13">
        <v>1</v>
      </c>
      <c r="AA72" s="38" t="s">
        <v>419</v>
      </c>
    </row>
    <row r="73" spans="1:27" x14ac:dyDescent="0.25">
      <c r="A73" s="13">
        <v>20</v>
      </c>
      <c r="B73" s="104" t="s">
        <v>439</v>
      </c>
      <c r="C73" s="36"/>
      <c r="D73" s="13" t="s">
        <v>206</v>
      </c>
      <c r="E73" s="37"/>
      <c r="F73" s="37"/>
      <c r="G73" s="22"/>
      <c r="H73" s="22"/>
      <c r="I73" s="22"/>
      <c r="J73" s="22"/>
      <c r="K73" s="22"/>
      <c r="L73" s="22"/>
      <c r="M73" s="22"/>
      <c r="N73" s="22"/>
      <c r="O73" s="22"/>
      <c r="P73" s="22"/>
      <c r="Q73" s="22"/>
      <c r="R73" s="22"/>
      <c r="S73" s="22"/>
      <c r="T73" s="22"/>
      <c r="U73" s="22"/>
      <c r="V73" s="22"/>
      <c r="W73" s="22"/>
      <c r="X73" s="13"/>
      <c r="Y73" s="13"/>
      <c r="Z73" s="13"/>
      <c r="AA73" s="13" t="s">
        <v>419</v>
      </c>
    </row>
    <row r="74" spans="1:27" ht="45" x14ac:dyDescent="0.25">
      <c r="A74" s="13">
        <v>21</v>
      </c>
      <c r="B74" s="104" t="s">
        <v>440</v>
      </c>
      <c r="C74" s="36">
        <v>2017</v>
      </c>
      <c r="D74" s="13" t="s">
        <v>204</v>
      </c>
      <c r="E74" s="37" t="s">
        <v>750</v>
      </c>
      <c r="F74" s="37" t="s">
        <v>743</v>
      </c>
      <c r="G74" s="22">
        <v>1</v>
      </c>
      <c r="H74" s="22" t="s">
        <v>226</v>
      </c>
      <c r="I74" s="22"/>
      <c r="J74" s="22" t="s">
        <v>226</v>
      </c>
      <c r="K74" s="22" t="s">
        <v>226</v>
      </c>
      <c r="L74" s="22"/>
      <c r="M74" s="22"/>
      <c r="N74" s="22"/>
      <c r="O74" s="22" t="s">
        <v>226</v>
      </c>
      <c r="P74" s="22"/>
      <c r="Q74" s="22"/>
      <c r="R74" s="22"/>
      <c r="S74" s="22"/>
      <c r="T74" s="37" t="s">
        <v>751</v>
      </c>
      <c r="U74" s="22"/>
      <c r="V74" s="22" t="s">
        <v>226</v>
      </c>
      <c r="W74" s="22" t="s">
        <v>226</v>
      </c>
      <c r="X74" s="13"/>
      <c r="Y74" s="13">
        <v>12.7</v>
      </c>
      <c r="Z74" s="13">
        <v>1</v>
      </c>
      <c r="AA74" s="38" t="s">
        <v>419</v>
      </c>
    </row>
    <row r="75" spans="1:27" ht="60" x14ac:dyDescent="0.25">
      <c r="A75" s="13">
        <v>22</v>
      </c>
      <c r="B75" s="104" t="s">
        <v>441</v>
      </c>
      <c r="C75" s="36">
        <v>2015</v>
      </c>
      <c r="D75" s="13" t="s">
        <v>204</v>
      </c>
      <c r="E75" s="37" t="s">
        <v>752</v>
      </c>
      <c r="F75" s="37" t="s">
        <v>753</v>
      </c>
      <c r="G75" s="22">
        <v>1</v>
      </c>
      <c r="H75" s="22"/>
      <c r="I75" s="22"/>
      <c r="J75" s="22" t="s">
        <v>226</v>
      </c>
      <c r="K75" s="22"/>
      <c r="L75" s="22"/>
      <c r="M75" s="22"/>
      <c r="N75" s="22"/>
      <c r="O75" s="22" t="s">
        <v>226</v>
      </c>
      <c r="P75" s="22" t="s">
        <v>226</v>
      </c>
      <c r="Q75" s="22"/>
      <c r="R75" s="22"/>
      <c r="S75" s="22"/>
      <c r="T75" s="37" t="s">
        <v>342</v>
      </c>
      <c r="U75" s="22" t="s">
        <v>226</v>
      </c>
      <c r="V75" s="22"/>
      <c r="W75" s="22"/>
      <c r="X75" s="13"/>
      <c r="Y75" s="13">
        <v>19.8</v>
      </c>
      <c r="Z75" s="13">
        <v>1</v>
      </c>
      <c r="AA75" s="38" t="s">
        <v>419</v>
      </c>
    </row>
    <row r="76" spans="1:27" x14ac:dyDescent="0.25">
      <c r="A76" s="13">
        <v>23</v>
      </c>
      <c r="B76" s="104" t="s">
        <v>442</v>
      </c>
      <c r="C76" s="36"/>
      <c r="D76" s="13" t="s">
        <v>206</v>
      </c>
      <c r="E76" s="37"/>
      <c r="F76" s="37"/>
      <c r="G76" s="22"/>
      <c r="H76" s="22"/>
      <c r="I76" s="22"/>
      <c r="J76" s="22"/>
      <c r="K76" s="22"/>
      <c r="L76" s="22"/>
      <c r="M76" s="22"/>
      <c r="N76" s="22"/>
      <c r="O76" s="22"/>
      <c r="P76" s="22"/>
      <c r="Q76" s="22"/>
      <c r="R76" s="22"/>
      <c r="S76" s="22"/>
      <c r="T76" s="22"/>
      <c r="U76" s="22"/>
      <c r="V76" s="22"/>
      <c r="W76" s="22"/>
      <c r="X76" s="13"/>
      <c r="Y76" s="13"/>
      <c r="Z76" s="13"/>
      <c r="AA76" s="13" t="s">
        <v>419</v>
      </c>
    </row>
    <row r="77" spans="1:27" ht="60" x14ac:dyDescent="0.25">
      <c r="A77" s="13">
        <v>24</v>
      </c>
      <c r="B77" s="104" t="s">
        <v>443</v>
      </c>
      <c r="C77" s="36">
        <v>2019</v>
      </c>
      <c r="D77" s="13" t="s">
        <v>204</v>
      </c>
      <c r="E77" s="37" t="s">
        <v>754</v>
      </c>
      <c r="F77" s="37" t="s">
        <v>743</v>
      </c>
      <c r="G77" s="22">
        <v>1</v>
      </c>
      <c r="H77" s="22"/>
      <c r="I77" s="22"/>
      <c r="J77" s="22" t="s">
        <v>226</v>
      </c>
      <c r="K77" s="22" t="s">
        <v>226</v>
      </c>
      <c r="L77" s="22"/>
      <c r="M77" s="22"/>
      <c r="N77" s="22"/>
      <c r="O77" s="22" t="s">
        <v>226</v>
      </c>
      <c r="P77" s="22" t="s">
        <v>226</v>
      </c>
      <c r="Q77" s="22"/>
      <c r="R77" s="22"/>
      <c r="S77" s="22"/>
      <c r="T77" s="37" t="s">
        <v>342</v>
      </c>
      <c r="U77" s="22" t="s">
        <v>226</v>
      </c>
      <c r="V77" s="22"/>
      <c r="W77" s="22"/>
      <c r="X77" s="13"/>
      <c r="Y77" s="13">
        <v>4.5999999999999996</v>
      </c>
      <c r="Z77" s="13">
        <v>1</v>
      </c>
      <c r="AA77" s="38" t="s">
        <v>419</v>
      </c>
    </row>
    <row r="78" spans="1:27" x14ac:dyDescent="0.25">
      <c r="A78" s="13">
        <v>25</v>
      </c>
      <c r="B78" s="104" t="s">
        <v>444</v>
      </c>
      <c r="C78" s="36"/>
      <c r="D78" s="13" t="s">
        <v>206</v>
      </c>
      <c r="E78" s="37"/>
      <c r="F78" s="37"/>
      <c r="G78" s="22"/>
      <c r="H78" s="22"/>
      <c r="I78" s="22"/>
      <c r="J78" s="22"/>
      <c r="K78" s="22"/>
      <c r="L78" s="22"/>
      <c r="M78" s="22"/>
      <c r="N78" s="22"/>
      <c r="O78" s="22"/>
      <c r="P78" s="22"/>
      <c r="Q78" s="22"/>
      <c r="R78" s="22"/>
      <c r="S78" s="22"/>
      <c r="T78" s="22"/>
      <c r="U78" s="22"/>
      <c r="V78" s="22"/>
      <c r="W78" s="22"/>
      <c r="X78" s="13"/>
      <c r="Y78" s="13"/>
      <c r="Z78" s="13"/>
      <c r="AA78" s="13" t="s">
        <v>419</v>
      </c>
    </row>
    <row r="79" spans="1:27" x14ac:dyDescent="0.25">
      <c r="A79" s="13">
        <v>26</v>
      </c>
      <c r="B79" s="104" t="s">
        <v>445</v>
      </c>
      <c r="C79" s="36"/>
      <c r="D79" s="13" t="s">
        <v>206</v>
      </c>
      <c r="E79" s="37"/>
      <c r="F79" s="37"/>
      <c r="G79" s="22"/>
      <c r="H79" s="22"/>
      <c r="I79" s="22"/>
      <c r="J79" s="22"/>
      <c r="K79" s="22"/>
      <c r="L79" s="22"/>
      <c r="M79" s="22"/>
      <c r="N79" s="22"/>
      <c r="O79" s="22"/>
      <c r="P79" s="22"/>
      <c r="Q79" s="22"/>
      <c r="R79" s="22"/>
      <c r="S79" s="22"/>
      <c r="T79" s="22"/>
      <c r="U79" s="22"/>
      <c r="V79" s="22"/>
      <c r="W79" s="22"/>
      <c r="X79" s="13"/>
      <c r="Y79" s="13"/>
      <c r="Z79" s="13"/>
      <c r="AA79" s="13" t="s">
        <v>419</v>
      </c>
    </row>
    <row r="80" spans="1:27" x14ac:dyDescent="0.25">
      <c r="A80" s="13">
        <v>27</v>
      </c>
      <c r="B80" s="104" t="s">
        <v>446</v>
      </c>
      <c r="C80" s="36"/>
      <c r="D80" s="13" t="s">
        <v>206</v>
      </c>
      <c r="E80" s="37"/>
      <c r="F80" s="37"/>
      <c r="G80" s="22"/>
      <c r="H80" s="22"/>
      <c r="I80" s="22"/>
      <c r="J80" s="22"/>
      <c r="K80" s="22"/>
      <c r="L80" s="22"/>
      <c r="M80" s="22"/>
      <c r="N80" s="22"/>
      <c r="O80" s="22"/>
      <c r="P80" s="22"/>
      <c r="Q80" s="22"/>
      <c r="R80" s="22"/>
      <c r="S80" s="22"/>
      <c r="T80" s="22"/>
      <c r="U80" s="22"/>
      <c r="V80" s="22"/>
      <c r="W80" s="22"/>
      <c r="X80" s="13"/>
      <c r="Y80" s="13"/>
      <c r="Z80" s="13"/>
      <c r="AA80" s="13" t="s">
        <v>419</v>
      </c>
    </row>
    <row r="81" spans="1:27" ht="45" x14ac:dyDescent="0.25">
      <c r="A81" s="13">
        <v>28</v>
      </c>
      <c r="B81" s="104" t="s">
        <v>447</v>
      </c>
      <c r="C81" s="36">
        <v>2021</v>
      </c>
      <c r="D81" s="13" t="s">
        <v>204</v>
      </c>
      <c r="E81" s="37" t="s">
        <v>755</v>
      </c>
      <c r="F81" s="37" t="s">
        <v>756</v>
      </c>
      <c r="G81" s="22">
        <v>0</v>
      </c>
      <c r="H81" s="22"/>
      <c r="I81" s="22"/>
      <c r="J81" s="22" t="s">
        <v>226</v>
      </c>
      <c r="K81" s="22" t="s">
        <v>226</v>
      </c>
      <c r="L81" s="22"/>
      <c r="M81" s="22"/>
      <c r="N81" s="22"/>
      <c r="O81" s="22"/>
      <c r="P81" s="22"/>
      <c r="Q81" s="22" t="s">
        <v>226</v>
      </c>
      <c r="R81" s="22"/>
      <c r="S81" s="22"/>
      <c r="T81" s="37" t="s">
        <v>342</v>
      </c>
      <c r="U81" s="22" t="s">
        <v>226</v>
      </c>
      <c r="V81" s="22"/>
      <c r="W81" s="22"/>
      <c r="X81" s="13"/>
      <c r="Y81" s="13">
        <v>6.3</v>
      </c>
      <c r="Z81" s="13">
        <v>1</v>
      </c>
      <c r="AA81" s="38" t="s">
        <v>419</v>
      </c>
    </row>
    <row r="82" spans="1:27" x14ac:dyDescent="0.25">
      <c r="A82" s="13">
        <v>29</v>
      </c>
      <c r="B82" s="104" t="s">
        <v>448</v>
      </c>
      <c r="C82" s="36"/>
      <c r="D82" s="13" t="s">
        <v>206</v>
      </c>
      <c r="E82" s="37"/>
      <c r="F82" s="37"/>
      <c r="G82" s="22"/>
      <c r="H82" s="22"/>
      <c r="I82" s="22"/>
      <c r="J82" s="22"/>
      <c r="K82" s="22"/>
      <c r="L82" s="22"/>
      <c r="M82" s="22"/>
      <c r="N82" s="22"/>
      <c r="O82" s="22"/>
      <c r="P82" s="22"/>
      <c r="Q82" s="22"/>
      <c r="R82" s="22"/>
      <c r="S82" s="22"/>
      <c r="T82" s="22"/>
      <c r="U82" s="22"/>
      <c r="V82" s="22"/>
      <c r="W82" s="22"/>
      <c r="X82" s="13"/>
      <c r="Y82" s="13"/>
      <c r="Z82" s="13"/>
      <c r="AA82" s="13" t="s">
        <v>419</v>
      </c>
    </row>
    <row r="83" spans="1:27" x14ac:dyDescent="0.25">
      <c r="A83" s="13">
        <v>30</v>
      </c>
      <c r="B83" s="104" t="s">
        <v>449</v>
      </c>
      <c r="C83" s="36"/>
      <c r="D83" s="13" t="s">
        <v>206</v>
      </c>
      <c r="E83" s="37"/>
      <c r="F83" s="37"/>
      <c r="G83" s="22"/>
      <c r="H83" s="22"/>
      <c r="I83" s="22"/>
      <c r="J83" s="22"/>
      <c r="K83" s="22"/>
      <c r="L83" s="22"/>
      <c r="M83" s="22"/>
      <c r="N83" s="22"/>
      <c r="O83" s="22"/>
      <c r="P83" s="22"/>
      <c r="Q83" s="22"/>
      <c r="R83" s="22"/>
      <c r="S83" s="22"/>
      <c r="T83" s="22"/>
      <c r="U83" s="22"/>
      <c r="V83" s="22"/>
      <c r="W83" s="22"/>
      <c r="X83" s="13"/>
      <c r="Y83" s="13"/>
      <c r="Z83" s="13"/>
      <c r="AA83" s="13" t="s">
        <v>419</v>
      </c>
    </row>
    <row r="84" spans="1:27" ht="45" x14ac:dyDescent="0.25">
      <c r="A84" s="13">
        <v>31</v>
      </c>
      <c r="B84" s="104" t="s">
        <v>450</v>
      </c>
      <c r="C84" s="36">
        <v>2015</v>
      </c>
      <c r="D84" s="13" t="s">
        <v>204</v>
      </c>
      <c r="E84" s="37" t="s">
        <v>758</v>
      </c>
      <c r="F84" s="37" t="s">
        <v>757</v>
      </c>
      <c r="G84" s="22">
        <v>0</v>
      </c>
      <c r="H84" s="22"/>
      <c r="I84" s="22"/>
      <c r="J84" s="22" t="s">
        <v>226</v>
      </c>
      <c r="K84" s="22" t="s">
        <v>226</v>
      </c>
      <c r="L84" s="22" t="s">
        <v>226</v>
      </c>
      <c r="M84" s="22"/>
      <c r="N84" s="22"/>
      <c r="O84" s="22"/>
      <c r="P84" s="22"/>
      <c r="Q84" s="22" t="s">
        <v>226</v>
      </c>
      <c r="R84" s="22"/>
      <c r="S84" s="22"/>
      <c r="T84" s="37" t="s">
        <v>273</v>
      </c>
      <c r="U84" s="22"/>
      <c r="V84" s="22"/>
      <c r="W84" s="22" t="s">
        <v>226</v>
      </c>
      <c r="X84" s="13"/>
      <c r="Y84" s="13">
        <v>14.5</v>
      </c>
      <c r="Z84" s="13">
        <v>1</v>
      </c>
      <c r="AA84" s="38" t="s">
        <v>419</v>
      </c>
    </row>
    <row r="85" spans="1:27" x14ac:dyDescent="0.25">
      <c r="A85" s="13">
        <v>32</v>
      </c>
      <c r="B85" s="104" t="s">
        <v>451</v>
      </c>
      <c r="C85" s="36"/>
      <c r="D85" s="13" t="s">
        <v>206</v>
      </c>
      <c r="E85" s="37"/>
      <c r="F85" s="37"/>
      <c r="G85" s="22"/>
      <c r="H85" s="22"/>
      <c r="I85" s="22"/>
      <c r="J85" s="22"/>
      <c r="K85" s="22"/>
      <c r="L85" s="22"/>
      <c r="M85" s="22"/>
      <c r="N85" s="22"/>
      <c r="O85" s="22"/>
      <c r="P85" s="22"/>
      <c r="Q85" s="22"/>
      <c r="R85" s="22"/>
      <c r="S85" s="22"/>
      <c r="T85" s="22"/>
      <c r="U85" s="22"/>
      <c r="V85" s="22"/>
      <c r="W85" s="22"/>
      <c r="X85" s="13"/>
      <c r="Y85" s="13"/>
      <c r="Z85" s="13"/>
      <c r="AA85" s="13" t="s">
        <v>419</v>
      </c>
    </row>
    <row r="86" spans="1:27" x14ac:dyDescent="0.25">
      <c r="A86" s="13">
        <v>33</v>
      </c>
      <c r="B86" s="104" t="s">
        <v>452</v>
      </c>
      <c r="C86" s="36"/>
      <c r="D86" s="13" t="s">
        <v>206</v>
      </c>
      <c r="E86" s="37"/>
      <c r="F86" s="37"/>
      <c r="G86" s="22"/>
      <c r="H86" s="22"/>
      <c r="I86" s="22"/>
      <c r="J86" s="22"/>
      <c r="K86" s="22"/>
      <c r="L86" s="22"/>
      <c r="M86" s="22"/>
      <c r="N86" s="22"/>
      <c r="O86" s="22"/>
      <c r="P86" s="22"/>
      <c r="Q86" s="22"/>
      <c r="R86" s="22"/>
      <c r="S86" s="22"/>
      <c r="T86" s="22"/>
      <c r="U86" s="22"/>
      <c r="V86" s="22"/>
      <c r="W86" s="22"/>
      <c r="X86" s="13"/>
      <c r="Y86" s="13"/>
      <c r="Z86" s="13"/>
      <c r="AA86" s="13" t="s">
        <v>419</v>
      </c>
    </row>
    <row r="87" spans="1:27" x14ac:dyDescent="0.25">
      <c r="A87" s="13">
        <v>34</v>
      </c>
      <c r="B87" s="104" t="s">
        <v>453</v>
      </c>
      <c r="C87" s="36"/>
      <c r="D87" s="13" t="s">
        <v>206</v>
      </c>
      <c r="E87" s="37"/>
      <c r="F87" s="37"/>
      <c r="G87" s="22"/>
      <c r="H87" s="22"/>
      <c r="I87" s="22"/>
      <c r="J87" s="22"/>
      <c r="K87" s="22"/>
      <c r="L87" s="22"/>
      <c r="M87" s="22"/>
      <c r="N87" s="22"/>
      <c r="O87" s="22"/>
      <c r="P87" s="22"/>
      <c r="Q87" s="22"/>
      <c r="R87" s="22"/>
      <c r="S87" s="22"/>
      <c r="T87" s="22"/>
      <c r="U87" s="22"/>
      <c r="V87" s="22"/>
      <c r="W87" s="22"/>
      <c r="X87" s="13"/>
      <c r="Y87" s="13"/>
      <c r="Z87" s="13"/>
      <c r="AA87" s="13" t="s">
        <v>419</v>
      </c>
    </row>
    <row r="88" spans="1:27" ht="60" x14ac:dyDescent="0.25">
      <c r="A88" s="13">
        <v>35</v>
      </c>
      <c r="B88" s="104" t="s">
        <v>454</v>
      </c>
      <c r="C88" s="13"/>
      <c r="D88" s="13" t="s">
        <v>215</v>
      </c>
      <c r="E88" s="37" t="s">
        <v>513</v>
      </c>
      <c r="F88" s="37"/>
      <c r="G88" s="22"/>
      <c r="H88" s="22"/>
      <c r="I88" s="22"/>
      <c r="J88" s="22"/>
      <c r="K88" s="22"/>
      <c r="L88" s="22"/>
      <c r="M88" s="22"/>
      <c r="N88" s="22"/>
      <c r="O88" s="22"/>
      <c r="P88" s="22"/>
      <c r="Q88" s="22"/>
      <c r="R88" s="22"/>
      <c r="S88" s="22"/>
      <c r="T88" s="22"/>
      <c r="U88" s="22"/>
      <c r="V88" s="22"/>
      <c r="W88" s="22"/>
      <c r="X88" s="13"/>
      <c r="Y88" s="13"/>
      <c r="Z88" s="13"/>
      <c r="AA88" s="13" t="s">
        <v>419</v>
      </c>
    </row>
    <row r="89" spans="1:27" x14ac:dyDescent="0.25">
      <c r="A89" s="13">
        <v>36</v>
      </c>
      <c r="B89" s="104" t="s">
        <v>455</v>
      </c>
      <c r="C89" s="36"/>
      <c r="D89" s="13" t="s">
        <v>206</v>
      </c>
      <c r="E89" s="37"/>
      <c r="F89" s="37"/>
      <c r="G89" s="22"/>
      <c r="H89" s="22"/>
      <c r="I89" s="22"/>
      <c r="J89" s="22"/>
      <c r="K89" s="22"/>
      <c r="L89" s="22"/>
      <c r="M89" s="22"/>
      <c r="N89" s="22"/>
      <c r="O89" s="22"/>
      <c r="P89" s="22"/>
      <c r="Q89" s="22"/>
      <c r="R89" s="22"/>
      <c r="S89" s="22"/>
      <c r="T89" s="22"/>
      <c r="U89" s="22"/>
      <c r="V89" s="22"/>
      <c r="W89" s="22"/>
      <c r="X89" s="13"/>
      <c r="Y89" s="13"/>
      <c r="Z89" s="13"/>
      <c r="AA89" s="13" t="s">
        <v>419</v>
      </c>
    </row>
    <row r="90" spans="1:27" x14ac:dyDescent="0.25">
      <c r="A90" s="13">
        <v>37</v>
      </c>
      <c r="B90" s="104" t="s">
        <v>456</v>
      </c>
      <c r="C90" s="36"/>
      <c r="D90" s="13" t="s">
        <v>206</v>
      </c>
      <c r="E90" s="37"/>
      <c r="F90" s="37"/>
      <c r="G90" s="22"/>
      <c r="H90" s="22"/>
      <c r="I90" s="22"/>
      <c r="J90" s="22"/>
      <c r="K90" s="22"/>
      <c r="L90" s="22"/>
      <c r="M90" s="22"/>
      <c r="N90" s="22"/>
      <c r="O90" s="22"/>
      <c r="P90" s="22"/>
      <c r="Q90" s="22"/>
      <c r="R90" s="22"/>
      <c r="S90" s="22"/>
      <c r="T90" s="22"/>
      <c r="U90" s="22"/>
      <c r="V90" s="22"/>
      <c r="W90" s="22"/>
      <c r="X90" s="13"/>
      <c r="Y90" s="13"/>
      <c r="Z90" s="13"/>
      <c r="AA90" s="13" t="s">
        <v>419</v>
      </c>
    </row>
    <row r="91" spans="1:27" x14ac:dyDescent="0.25">
      <c r="A91" s="13">
        <v>38</v>
      </c>
      <c r="B91" s="104" t="s">
        <v>457</v>
      </c>
      <c r="C91" s="36"/>
      <c r="D91" s="13" t="s">
        <v>206</v>
      </c>
      <c r="E91" s="37"/>
      <c r="F91" s="37"/>
      <c r="G91" s="22"/>
      <c r="H91" s="22"/>
      <c r="I91" s="22"/>
      <c r="J91" s="22"/>
      <c r="K91" s="22"/>
      <c r="L91" s="22"/>
      <c r="M91" s="22"/>
      <c r="N91" s="22"/>
      <c r="O91" s="22"/>
      <c r="P91" s="22"/>
      <c r="Q91" s="22"/>
      <c r="R91" s="22"/>
      <c r="S91" s="22"/>
      <c r="T91" s="22"/>
      <c r="U91" s="22"/>
      <c r="V91" s="22"/>
      <c r="W91" s="22"/>
      <c r="X91" s="13"/>
      <c r="Y91" s="13"/>
      <c r="Z91" s="13"/>
      <c r="AA91" s="13" t="s">
        <v>419</v>
      </c>
    </row>
    <row r="92" spans="1:27" x14ac:dyDescent="0.25">
      <c r="A92" s="13">
        <v>39</v>
      </c>
      <c r="B92" s="104" t="s">
        <v>458</v>
      </c>
      <c r="C92" s="36"/>
      <c r="D92" s="13" t="s">
        <v>206</v>
      </c>
      <c r="E92" s="37"/>
      <c r="F92" s="37"/>
      <c r="G92" s="22"/>
      <c r="H92" s="22"/>
      <c r="I92" s="22"/>
      <c r="J92" s="22"/>
      <c r="K92" s="22"/>
      <c r="L92" s="22"/>
      <c r="M92" s="22"/>
      <c r="N92" s="22"/>
      <c r="O92" s="22"/>
      <c r="P92" s="22"/>
      <c r="Q92" s="22"/>
      <c r="R92" s="22"/>
      <c r="S92" s="22"/>
      <c r="T92" s="22"/>
      <c r="U92" s="22"/>
      <c r="V92" s="22"/>
      <c r="W92" s="22"/>
      <c r="X92" s="13"/>
      <c r="Y92" s="13"/>
      <c r="Z92" s="13"/>
      <c r="AA92" s="13" t="s">
        <v>419</v>
      </c>
    </row>
    <row r="93" spans="1:27" ht="75" x14ac:dyDescent="0.25">
      <c r="A93" s="13">
        <v>40</v>
      </c>
      <c r="B93" s="104" t="s">
        <v>459</v>
      </c>
      <c r="C93" s="13"/>
      <c r="D93" s="13" t="s">
        <v>215</v>
      </c>
      <c r="E93" s="37" t="s">
        <v>514</v>
      </c>
      <c r="F93" s="37"/>
      <c r="G93" s="22"/>
      <c r="H93" s="22"/>
      <c r="I93" s="22"/>
      <c r="J93" s="22"/>
      <c r="K93" s="22"/>
      <c r="L93" s="22"/>
      <c r="M93" s="22"/>
      <c r="N93" s="22"/>
      <c r="O93" s="22"/>
      <c r="P93" s="22"/>
      <c r="Q93" s="22"/>
      <c r="R93" s="22"/>
      <c r="S93" s="22"/>
      <c r="T93" s="22"/>
      <c r="U93" s="22"/>
      <c r="V93" s="22"/>
      <c r="W93" s="22"/>
      <c r="X93" s="13"/>
      <c r="Y93" s="13"/>
      <c r="Z93" s="13"/>
      <c r="AA93" s="13" t="s">
        <v>419</v>
      </c>
    </row>
    <row r="94" spans="1:27" x14ac:dyDescent="0.25">
      <c r="A94" s="13">
        <v>41</v>
      </c>
      <c r="B94" s="104" t="s">
        <v>460</v>
      </c>
      <c r="C94" s="36"/>
      <c r="D94" s="13" t="s">
        <v>206</v>
      </c>
      <c r="E94" s="37"/>
      <c r="F94" s="37"/>
      <c r="G94" s="22"/>
      <c r="H94" s="22"/>
      <c r="I94" s="22"/>
      <c r="J94" s="22"/>
      <c r="K94" s="22"/>
      <c r="L94" s="22"/>
      <c r="M94" s="22"/>
      <c r="N94" s="22"/>
      <c r="O94" s="22"/>
      <c r="P94" s="22"/>
      <c r="Q94" s="22"/>
      <c r="R94" s="22"/>
      <c r="S94" s="22"/>
      <c r="T94" s="22"/>
      <c r="U94" s="22"/>
      <c r="V94" s="22"/>
      <c r="W94" s="22"/>
      <c r="X94" s="13"/>
      <c r="Y94" s="13"/>
      <c r="Z94" s="13"/>
      <c r="AA94" s="13" t="s">
        <v>419</v>
      </c>
    </row>
    <row r="95" spans="1:27" x14ac:dyDescent="0.25">
      <c r="A95" s="13">
        <v>42</v>
      </c>
      <c r="B95" s="104" t="s">
        <v>461</v>
      </c>
      <c r="C95" s="36"/>
      <c r="D95" s="13" t="s">
        <v>206</v>
      </c>
      <c r="E95" s="37"/>
      <c r="F95" s="37"/>
      <c r="G95" s="22"/>
      <c r="H95" s="22"/>
      <c r="I95" s="22"/>
      <c r="J95" s="22"/>
      <c r="K95" s="22"/>
      <c r="L95" s="22"/>
      <c r="M95" s="22"/>
      <c r="N95" s="22"/>
      <c r="O95" s="22"/>
      <c r="P95" s="22"/>
      <c r="Q95" s="22"/>
      <c r="R95" s="22"/>
      <c r="S95" s="22"/>
      <c r="T95" s="22"/>
      <c r="U95" s="22"/>
      <c r="V95" s="22"/>
      <c r="W95" s="22"/>
      <c r="X95" s="13"/>
      <c r="Y95" s="13"/>
      <c r="Z95" s="13"/>
      <c r="AA95" s="13" t="s">
        <v>419</v>
      </c>
    </row>
    <row r="96" spans="1:27" ht="60" x14ac:dyDescent="0.25">
      <c r="A96" s="13">
        <v>43</v>
      </c>
      <c r="B96" s="104" t="s">
        <v>462</v>
      </c>
      <c r="C96" s="36">
        <v>2016</v>
      </c>
      <c r="D96" s="13" t="s">
        <v>215</v>
      </c>
      <c r="E96" s="37" t="s">
        <v>759</v>
      </c>
      <c r="F96" s="37"/>
      <c r="G96" s="22"/>
      <c r="H96" s="22"/>
      <c r="I96" s="22"/>
      <c r="J96" s="22"/>
      <c r="K96" s="22"/>
      <c r="L96" s="22"/>
      <c r="M96" s="22"/>
      <c r="N96" s="22"/>
      <c r="O96" s="22"/>
      <c r="P96" s="22"/>
      <c r="Q96" s="22"/>
      <c r="R96" s="22"/>
      <c r="S96" s="22"/>
      <c r="T96" s="37"/>
      <c r="U96" s="22"/>
      <c r="V96" s="22"/>
      <c r="W96" s="22"/>
      <c r="X96" s="38" t="s">
        <v>760</v>
      </c>
      <c r="Y96" s="13"/>
      <c r="Z96" s="13"/>
      <c r="AA96" s="13" t="s">
        <v>419</v>
      </c>
    </row>
    <row r="97" spans="1:27" ht="45" x14ac:dyDescent="0.25">
      <c r="A97" s="13">
        <v>44</v>
      </c>
      <c r="B97" s="104" t="s">
        <v>463</v>
      </c>
      <c r="C97" s="36"/>
      <c r="D97" s="13" t="s">
        <v>215</v>
      </c>
      <c r="E97" s="37" t="s">
        <v>761</v>
      </c>
      <c r="F97" s="37"/>
      <c r="G97" s="22"/>
      <c r="H97" s="22"/>
      <c r="I97" s="22"/>
      <c r="J97" s="22"/>
      <c r="K97" s="22"/>
      <c r="L97" s="22"/>
      <c r="M97" s="22"/>
      <c r="N97" s="22"/>
      <c r="O97" s="22"/>
      <c r="P97" s="22"/>
      <c r="Q97" s="22"/>
      <c r="R97" s="22"/>
      <c r="S97" s="22"/>
      <c r="T97" s="37"/>
      <c r="U97" s="22"/>
      <c r="V97" s="22"/>
      <c r="W97" s="22"/>
      <c r="X97" s="13"/>
      <c r="Y97" s="13"/>
      <c r="Z97" s="13"/>
      <c r="AA97" s="13" t="s">
        <v>419</v>
      </c>
    </row>
    <row r="98" spans="1:27" x14ac:dyDescent="0.25">
      <c r="A98" s="13">
        <v>45</v>
      </c>
      <c r="B98" s="104" t="s">
        <v>464</v>
      </c>
      <c r="C98" s="36"/>
      <c r="D98" s="13" t="s">
        <v>206</v>
      </c>
      <c r="E98" s="37"/>
      <c r="F98" s="37"/>
      <c r="G98" s="22"/>
      <c r="H98" s="22"/>
      <c r="I98" s="22"/>
      <c r="J98" s="22"/>
      <c r="K98" s="22"/>
      <c r="L98" s="22"/>
      <c r="M98" s="22"/>
      <c r="N98" s="22"/>
      <c r="O98" s="22"/>
      <c r="P98" s="22"/>
      <c r="Q98" s="22"/>
      <c r="R98" s="22"/>
      <c r="S98" s="22"/>
      <c r="T98" s="22"/>
      <c r="U98" s="22"/>
      <c r="V98" s="22"/>
      <c r="W98" s="22"/>
      <c r="X98" s="13"/>
      <c r="Y98" s="13"/>
      <c r="Z98" s="13"/>
      <c r="AA98" s="13" t="s">
        <v>419</v>
      </c>
    </row>
    <row r="99" spans="1:27" x14ac:dyDescent="0.25">
      <c r="A99" s="13">
        <v>46</v>
      </c>
      <c r="B99" s="104" t="s">
        <v>465</v>
      </c>
      <c r="C99" s="36"/>
      <c r="D99" s="13" t="s">
        <v>206</v>
      </c>
      <c r="E99" s="37"/>
      <c r="F99" s="37"/>
      <c r="G99" s="22"/>
      <c r="H99" s="22"/>
      <c r="I99" s="22"/>
      <c r="J99" s="22"/>
      <c r="K99" s="22"/>
      <c r="L99" s="22"/>
      <c r="M99" s="22"/>
      <c r="N99" s="22"/>
      <c r="O99" s="22"/>
      <c r="P99" s="22"/>
      <c r="Q99" s="22"/>
      <c r="R99" s="22"/>
      <c r="S99" s="22"/>
      <c r="T99" s="22"/>
      <c r="U99" s="22"/>
      <c r="V99" s="22"/>
      <c r="W99" s="22"/>
      <c r="X99" s="13"/>
      <c r="Y99" s="13"/>
      <c r="Z99" s="13"/>
      <c r="AA99" s="13" t="s">
        <v>419</v>
      </c>
    </row>
    <row r="100" spans="1:27" ht="60" x14ac:dyDescent="0.25">
      <c r="A100" s="13">
        <v>47</v>
      </c>
      <c r="B100" s="104" t="s">
        <v>466</v>
      </c>
      <c r="C100" s="36">
        <v>2014</v>
      </c>
      <c r="D100" s="13" t="s">
        <v>204</v>
      </c>
      <c r="E100" s="37" t="s">
        <v>762</v>
      </c>
      <c r="F100" s="37" t="s">
        <v>698</v>
      </c>
      <c r="G100" s="37" t="s">
        <v>698</v>
      </c>
      <c r="H100" s="22"/>
      <c r="I100" s="22"/>
      <c r="J100" s="22" t="s">
        <v>226</v>
      </c>
      <c r="K100" s="22" t="s">
        <v>226</v>
      </c>
      <c r="L100" s="22"/>
      <c r="M100" s="22"/>
      <c r="N100" s="22" t="s">
        <v>226</v>
      </c>
      <c r="O100" s="22"/>
      <c r="P100" s="22" t="s">
        <v>226</v>
      </c>
      <c r="Q100" s="22"/>
      <c r="R100" s="22" t="s">
        <v>226</v>
      </c>
      <c r="S100" s="22"/>
      <c r="T100" s="37" t="s">
        <v>698</v>
      </c>
      <c r="U100" s="22"/>
      <c r="V100" s="22"/>
      <c r="W100" s="22"/>
      <c r="X100" s="13"/>
      <c r="Y100" s="13">
        <v>11.7</v>
      </c>
      <c r="Z100" s="13">
        <v>1</v>
      </c>
      <c r="AA100" s="38" t="s">
        <v>419</v>
      </c>
    </row>
    <row r="101" spans="1:27" ht="45" x14ac:dyDescent="0.25">
      <c r="A101" s="13">
        <v>48</v>
      </c>
      <c r="B101" s="104" t="s">
        <v>467</v>
      </c>
      <c r="C101" s="36">
        <v>2021</v>
      </c>
      <c r="D101" s="13" t="s">
        <v>204</v>
      </c>
      <c r="E101" s="37" t="s">
        <v>763</v>
      </c>
      <c r="F101" s="37" t="s">
        <v>765</v>
      </c>
      <c r="G101" s="22">
        <v>1</v>
      </c>
      <c r="H101" s="22"/>
      <c r="I101" s="22"/>
      <c r="J101" s="22" t="s">
        <v>226</v>
      </c>
      <c r="K101" s="22" t="s">
        <v>226</v>
      </c>
      <c r="L101" s="22"/>
      <c r="M101" s="22"/>
      <c r="N101" s="22"/>
      <c r="O101" s="22"/>
      <c r="P101" s="22" t="s">
        <v>226</v>
      </c>
      <c r="Q101" s="22" t="s">
        <v>226</v>
      </c>
      <c r="R101" s="22"/>
      <c r="S101" s="22"/>
      <c r="T101" s="37" t="s">
        <v>764</v>
      </c>
      <c r="U101" s="22" t="s">
        <v>226</v>
      </c>
      <c r="V101" s="22" t="s">
        <v>226</v>
      </c>
      <c r="W101" s="22"/>
      <c r="X101" s="13"/>
      <c r="Y101" s="13">
        <v>6.7</v>
      </c>
      <c r="Z101" s="13">
        <v>1</v>
      </c>
      <c r="AA101" s="38" t="s">
        <v>419</v>
      </c>
    </row>
    <row r="102" spans="1:27" x14ac:dyDescent="0.25">
      <c r="A102" s="13">
        <v>49</v>
      </c>
      <c r="B102" s="104" t="s">
        <v>468</v>
      </c>
      <c r="C102" s="36"/>
      <c r="D102" s="13" t="s">
        <v>206</v>
      </c>
      <c r="E102" s="37"/>
      <c r="F102" s="37"/>
      <c r="G102" s="22"/>
      <c r="H102" s="22"/>
      <c r="I102" s="22"/>
      <c r="J102" s="22"/>
      <c r="K102" s="22"/>
      <c r="L102" s="22"/>
      <c r="M102" s="22"/>
      <c r="N102" s="22"/>
      <c r="O102" s="22"/>
      <c r="P102" s="22"/>
      <c r="Q102" s="22"/>
      <c r="R102" s="22"/>
      <c r="S102" s="22"/>
      <c r="T102" s="22"/>
      <c r="U102" s="22"/>
      <c r="V102" s="22"/>
      <c r="W102" s="22"/>
      <c r="X102" s="13"/>
      <c r="Y102" s="13"/>
      <c r="Z102" s="13"/>
      <c r="AA102" s="13" t="s">
        <v>419</v>
      </c>
    </row>
    <row r="103" spans="1:27" x14ac:dyDescent="0.25">
      <c r="A103" s="13">
        <v>50</v>
      </c>
      <c r="B103" s="104" t="s">
        <v>469</v>
      </c>
      <c r="C103" s="36"/>
      <c r="D103" s="13" t="s">
        <v>206</v>
      </c>
      <c r="E103" s="37"/>
      <c r="F103" s="37"/>
      <c r="G103" s="22"/>
      <c r="H103" s="22"/>
      <c r="I103" s="22"/>
      <c r="J103" s="22"/>
      <c r="K103" s="22"/>
      <c r="L103" s="22"/>
      <c r="M103" s="22"/>
      <c r="N103" s="22"/>
      <c r="O103" s="22"/>
      <c r="P103" s="22"/>
      <c r="Q103" s="22"/>
      <c r="R103" s="22"/>
      <c r="S103" s="22"/>
      <c r="T103" s="22"/>
      <c r="U103" s="22"/>
      <c r="V103" s="22"/>
      <c r="W103" s="22"/>
      <c r="X103" s="13"/>
      <c r="Y103" s="13"/>
      <c r="Z103" s="13"/>
      <c r="AA103" s="13" t="s">
        <v>419</v>
      </c>
    </row>
    <row r="104" spans="1:27" x14ac:dyDescent="0.25">
      <c r="A104" s="13">
        <v>51</v>
      </c>
      <c r="B104" s="104" t="s">
        <v>470</v>
      </c>
      <c r="C104" s="36"/>
      <c r="D104" s="13" t="s">
        <v>206</v>
      </c>
      <c r="E104" s="37"/>
      <c r="F104" s="37"/>
      <c r="G104" s="22"/>
      <c r="H104" s="22"/>
      <c r="I104" s="22"/>
      <c r="J104" s="22"/>
      <c r="K104" s="22"/>
      <c r="L104" s="22"/>
      <c r="M104" s="22"/>
      <c r="N104" s="22"/>
      <c r="O104" s="22"/>
      <c r="P104" s="22"/>
      <c r="Q104" s="22"/>
      <c r="R104" s="22"/>
      <c r="S104" s="22"/>
      <c r="T104" s="22"/>
      <c r="U104" s="22"/>
      <c r="V104" s="22"/>
      <c r="W104" s="22"/>
      <c r="X104" s="13"/>
      <c r="Y104" s="13"/>
      <c r="Z104" s="13"/>
      <c r="AA104" s="13" t="s">
        <v>419</v>
      </c>
    </row>
    <row r="105" spans="1:27" x14ac:dyDescent="0.25">
      <c r="A105" s="13">
        <v>52</v>
      </c>
      <c r="B105" s="104" t="s">
        <v>471</v>
      </c>
      <c r="C105" s="36"/>
      <c r="D105" s="13" t="s">
        <v>206</v>
      </c>
      <c r="E105" s="37"/>
      <c r="F105" s="37"/>
      <c r="G105" s="22"/>
      <c r="H105" s="22"/>
      <c r="I105" s="22"/>
      <c r="J105" s="22"/>
      <c r="K105" s="22"/>
      <c r="L105" s="22"/>
      <c r="M105" s="22"/>
      <c r="N105" s="22"/>
      <c r="O105" s="22"/>
      <c r="P105" s="22"/>
      <c r="Q105" s="22"/>
      <c r="R105" s="22"/>
      <c r="S105" s="22"/>
      <c r="T105" s="22"/>
      <c r="U105" s="22"/>
      <c r="V105" s="22"/>
      <c r="W105" s="22"/>
      <c r="X105" s="13"/>
      <c r="Y105" s="13"/>
      <c r="Z105" s="13"/>
      <c r="AA105" s="13" t="s">
        <v>419</v>
      </c>
    </row>
    <row r="106" spans="1:27" x14ac:dyDescent="0.25">
      <c r="A106" s="13">
        <v>53</v>
      </c>
      <c r="B106" s="104" t="s">
        <v>472</v>
      </c>
      <c r="C106" s="36"/>
      <c r="D106" s="13" t="s">
        <v>206</v>
      </c>
      <c r="E106" s="37"/>
      <c r="F106" s="37"/>
      <c r="G106" s="22"/>
      <c r="H106" s="22"/>
      <c r="I106" s="22"/>
      <c r="J106" s="22"/>
      <c r="K106" s="22"/>
      <c r="L106" s="22"/>
      <c r="M106" s="22"/>
      <c r="N106" s="22"/>
      <c r="O106" s="22"/>
      <c r="P106" s="22"/>
      <c r="Q106" s="22"/>
      <c r="R106" s="22"/>
      <c r="S106" s="22"/>
      <c r="T106" s="22"/>
      <c r="U106" s="22"/>
      <c r="V106" s="22"/>
      <c r="W106" s="22"/>
      <c r="X106" s="13"/>
      <c r="Y106" s="13"/>
      <c r="Z106" s="13"/>
      <c r="AA106" s="13" t="s">
        <v>419</v>
      </c>
    </row>
    <row r="107" spans="1:27" x14ac:dyDescent="0.25">
      <c r="A107" s="13">
        <v>54</v>
      </c>
      <c r="B107" s="104" t="s">
        <v>473</v>
      </c>
      <c r="C107" s="36"/>
      <c r="D107" s="13" t="s">
        <v>206</v>
      </c>
      <c r="E107" s="37"/>
      <c r="F107" s="37"/>
      <c r="G107" s="22"/>
      <c r="H107" s="22"/>
      <c r="I107" s="22"/>
      <c r="J107" s="22"/>
      <c r="K107" s="22"/>
      <c r="L107" s="22"/>
      <c r="M107" s="22"/>
      <c r="N107" s="22"/>
      <c r="O107" s="22"/>
      <c r="P107" s="22"/>
      <c r="Q107" s="22"/>
      <c r="R107" s="22"/>
      <c r="S107" s="22"/>
      <c r="T107" s="22"/>
      <c r="U107" s="22"/>
      <c r="V107" s="22"/>
      <c r="W107" s="22"/>
      <c r="X107" s="13"/>
      <c r="Y107" s="13"/>
      <c r="Z107" s="13"/>
      <c r="AA107" s="13" t="s">
        <v>419</v>
      </c>
    </row>
    <row r="108" spans="1:27" ht="15" customHeight="1" x14ac:dyDescent="0.5">
      <c r="A108" s="13">
        <v>55</v>
      </c>
      <c r="B108" s="104" t="s">
        <v>474</v>
      </c>
      <c r="C108" s="36"/>
      <c r="D108" s="13" t="s">
        <v>206</v>
      </c>
      <c r="E108" s="37"/>
      <c r="F108" s="37"/>
      <c r="G108" s="22"/>
      <c r="H108" s="22"/>
      <c r="I108" s="22"/>
      <c r="J108" s="22"/>
      <c r="K108" s="22"/>
      <c r="L108" s="22"/>
      <c r="M108" s="22"/>
      <c r="N108" s="22"/>
      <c r="O108" s="22"/>
      <c r="P108" s="22"/>
      <c r="Q108" s="22"/>
      <c r="R108" s="22"/>
      <c r="S108" s="22"/>
      <c r="T108" s="22"/>
      <c r="U108" s="22"/>
      <c r="V108" s="22"/>
      <c r="W108" s="22"/>
      <c r="X108" s="106"/>
      <c r="Y108" s="13"/>
      <c r="Z108" s="13"/>
      <c r="AA108" s="13" t="s">
        <v>419</v>
      </c>
    </row>
    <row r="109" spans="1:27" ht="15" customHeight="1" x14ac:dyDescent="0.5">
      <c r="A109" s="13">
        <v>56</v>
      </c>
      <c r="B109" s="104" t="s">
        <v>475</v>
      </c>
      <c r="C109" s="36"/>
      <c r="D109" s="13" t="s">
        <v>206</v>
      </c>
      <c r="E109" s="37"/>
      <c r="F109" s="37"/>
      <c r="G109" s="22"/>
      <c r="H109" s="22"/>
      <c r="I109" s="22"/>
      <c r="J109" s="22"/>
      <c r="K109" s="22"/>
      <c r="L109" s="22"/>
      <c r="M109" s="22"/>
      <c r="N109" s="22"/>
      <c r="O109" s="22"/>
      <c r="P109" s="22"/>
      <c r="Q109" s="22"/>
      <c r="R109" s="22"/>
      <c r="S109" s="22"/>
      <c r="T109" s="22"/>
      <c r="U109" s="22"/>
      <c r="V109" s="22"/>
      <c r="W109" s="22"/>
      <c r="X109" s="106"/>
      <c r="Y109" s="13"/>
      <c r="Z109" s="13"/>
      <c r="AA109" s="13" t="s">
        <v>419</v>
      </c>
    </row>
    <row r="110" spans="1:27" ht="34.5" customHeight="1" x14ac:dyDescent="0.25">
      <c r="A110" s="13">
        <v>57</v>
      </c>
      <c r="B110" s="104" t="s">
        <v>476</v>
      </c>
      <c r="C110" s="36">
        <v>2016</v>
      </c>
      <c r="D110" s="13" t="s">
        <v>204</v>
      </c>
      <c r="E110" s="37" t="s">
        <v>766</v>
      </c>
      <c r="F110" s="37" t="s">
        <v>756</v>
      </c>
      <c r="G110" s="22">
        <v>0</v>
      </c>
      <c r="H110" s="22"/>
      <c r="I110" s="22"/>
      <c r="J110" s="22" t="s">
        <v>226</v>
      </c>
      <c r="K110" s="22"/>
      <c r="L110" s="22"/>
      <c r="M110" s="22"/>
      <c r="N110" s="22"/>
      <c r="O110" s="22" t="s">
        <v>226</v>
      </c>
      <c r="P110" s="22"/>
      <c r="Q110" s="22"/>
      <c r="R110" s="22"/>
      <c r="S110" s="22"/>
      <c r="T110" s="37" t="s">
        <v>344</v>
      </c>
      <c r="U110" s="22"/>
      <c r="V110" s="22"/>
      <c r="W110" s="22" t="s">
        <v>226</v>
      </c>
      <c r="X110" s="13"/>
      <c r="Y110" s="13">
        <v>3.3</v>
      </c>
      <c r="Z110" s="13">
        <v>1</v>
      </c>
      <c r="AA110" s="38" t="s">
        <v>419</v>
      </c>
    </row>
    <row r="111" spans="1:27" x14ac:dyDescent="0.25">
      <c r="A111" s="13">
        <v>58</v>
      </c>
      <c r="B111" s="104" t="s">
        <v>477</v>
      </c>
      <c r="C111" s="36"/>
      <c r="D111" s="13" t="s">
        <v>206</v>
      </c>
      <c r="E111" s="37"/>
      <c r="F111" s="37"/>
      <c r="G111" s="22"/>
      <c r="H111" s="22"/>
      <c r="I111" s="22"/>
      <c r="J111" s="22"/>
      <c r="K111" s="22"/>
      <c r="L111" s="22"/>
      <c r="M111" s="22"/>
      <c r="N111" s="22"/>
      <c r="O111" s="22"/>
      <c r="P111" s="22"/>
      <c r="Q111" s="22"/>
      <c r="R111" s="22"/>
      <c r="S111" s="22"/>
      <c r="T111" s="22"/>
      <c r="U111" s="22"/>
      <c r="V111" s="22"/>
      <c r="W111" s="22"/>
      <c r="X111" s="13"/>
      <c r="Y111" s="13"/>
      <c r="Z111" s="13"/>
      <c r="AA111" s="13" t="s">
        <v>419</v>
      </c>
    </row>
    <row r="112" spans="1:27" x14ac:dyDescent="0.25">
      <c r="A112" s="13">
        <v>59</v>
      </c>
      <c r="B112" s="104" t="s">
        <v>478</v>
      </c>
      <c r="C112" s="36"/>
      <c r="D112" s="13" t="s">
        <v>206</v>
      </c>
      <c r="E112" s="37"/>
      <c r="F112" s="37"/>
      <c r="G112" s="22"/>
      <c r="H112" s="22"/>
      <c r="I112" s="22"/>
      <c r="J112" s="22"/>
      <c r="K112" s="22"/>
      <c r="L112" s="22"/>
      <c r="M112" s="22"/>
      <c r="N112" s="22"/>
      <c r="O112" s="22"/>
      <c r="P112" s="22"/>
      <c r="Q112" s="22"/>
      <c r="R112" s="22"/>
      <c r="S112" s="22"/>
      <c r="T112" s="22"/>
      <c r="U112" s="22"/>
      <c r="V112" s="22"/>
      <c r="W112" s="22"/>
      <c r="X112" s="13"/>
      <c r="Y112" s="13"/>
      <c r="Z112" s="13"/>
      <c r="AA112" s="13" t="s">
        <v>419</v>
      </c>
    </row>
    <row r="113" spans="1:27" x14ac:dyDescent="0.25">
      <c r="A113" s="13">
        <v>60</v>
      </c>
      <c r="B113" s="104" t="s">
        <v>479</v>
      </c>
      <c r="C113" s="36"/>
      <c r="D113" s="13" t="s">
        <v>206</v>
      </c>
      <c r="E113" s="37"/>
      <c r="F113" s="37"/>
      <c r="G113" s="22"/>
      <c r="H113" s="22"/>
      <c r="I113" s="22"/>
      <c r="J113" s="22"/>
      <c r="K113" s="22"/>
      <c r="L113" s="22"/>
      <c r="M113" s="22"/>
      <c r="N113" s="22"/>
      <c r="O113" s="22"/>
      <c r="P113" s="22"/>
      <c r="Q113" s="22"/>
      <c r="R113" s="22"/>
      <c r="S113" s="22"/>
      <c r="T113" s="22"/>
      <c r="U113" s="22"/>
      <c r="V113" s="22"/>
      <c r="W113" s="22"/>
      <c r="X113" s="13"/>
      <c r="Y113" s="13"/>
      <c r="Z113" s="13"/>
      <c r="AA113" s="13" t="s">
        <v>419</v>
      </c>
    </row>
    <row r="114" spans="1:27" x14ac:dyDescent="0.25">
      <c r="A114" s="13">
        <v>61</v>
      </c>
      <c r="B114" s="104" t="s">
        <v>480</v>
      </c>
      <c r="C114" s="36"/>
      <c r="D114" s="13" t="s">
        <v>206</v>
      </c>
      <c r="E114" s="37"/>
      <c r="F114" s="37"/>
      <c r="G114" s="22"/>
      <c r="H114" s="22"/>
      <c r="I114" s="22"/>
      <c r="J114" s="22"/>
      <c r="K114" s="22"/>
      <c r="L114" s="22"/>
      <c r="M114" s="22"/>
      <c r="N114" s="22"/>
      <c r="O114" s="22"/>
      <c r="P114" s="22"/>
      <c r="Q114" s="22"/>
      <c r="R114" s="22"/>
      <c r="S114" s="22"/>
      <c r="T114" s="22"/>
      <c r="U114" s="22"/>
      <c r="V114" s="22"/>
      <c r="W114" s="22"/>
      <c r="X114" s="13"/>
      <c r="Y114" s="13"/>
      <c r="Z114" s="13"/>
      <c r="AA114" s="13" t="s">
        <v>419</v>
      </c>
    </row>
    <row r="115" spans="1:27" ht="45" x14ac:dyDescent="0.25">
      <c r="A115" s="13">
        <v>62</v>
      </c>
      <c r="B115" s="104" t="s">
        <v>481</v>
      </c>
      <c r="C115" s="36">
        <v>2022</v>
      </c>
      <c r="D115" s="13" t="s">
        <v>204</v>
      </c>
      <c r="E115" s="37" t="s">
        <v>767</v>
      </c>
      <c r="F115" s="37" t="s">
        <v>756</v>
      </c>
      <c r="G115" s="22">
        <v>0</v>
      </c>
      <c r="H115" s="22"/>
      <c r="I115" s="22"/>
      <c r="J115" s="22" t="s">
        <v>226</v>
      </c>
      <c r="K115" s="22" t="s">
        <v>226</v>
      </c>
      <c r="L115" s="22"/>
      <c r="M115" s="22"/>
      <c r="N115" s="22"/>
      <c r="O115" s="22"/>
      <c r="P115" s="22"/>
      <c r="Q115" s="22"/>
      <c r="R115" s="22"/>
      <c r="S115" s="22"/>
      <c r="T115" s="37" t="s">
        <v>768</v>
      </c>
      <c r="U115" s="22"/>
      <c r="V115" s="22" t="s">
        <v>226</v>
      </c>
      <c r="W115" s="22" t="s">
        <v>226</v>
      </c>
      <c r="X115" s="13"/>
      <c r="Y115" s="13">
        <v>2.6</v>
      </c>
      <c r="Z115" s="13">
        <v>1</v>
      </c>
      <c r="AA115" s="38" t="s">
        <v>419</v>
      </c>
    </row>
    <row r="116" spans="1:27" x14ac:dyDescent="0.25">
      <c r="A116" s="13">
        <v>63</v>
      </c>
      <c r="B116" s="104" t="s">
        <v>482</v>
      </c>
      <c r="C116" s="36"/>
      <c r="D116" s="13" t="s">
        <v>206</v>
      </c>
      <c r="E116" s="37"/>
      <c r="F116" s="37"/>
      <c r="G116" s="22"/>
      <c r="H116" s="22"/>
      <c r="I116" s="22"/>
      <c r="J116" s="22"/>
      <c r="K116" s="22"/>
      <c r="L116" s="22"/>
      <c r="M116" s="22"/>
      <c r="N116" s="22"/>
      <c r="O116" s="22"/>
      <c r="P116" s="22"/>
      <c r="Q116" s="22"/>
      <c r="R116" s="22"/>
      <c r="S116" s="22"/>
      <c r="T116" s="22"/>
      <c r="U116" s="22"/>
      <c r="V116" s="22"/>
      <c r="W116" s="22"/>
      <c r="X116" s="13"/>
      <c r="Y116" s="13"/>
      <c r="Z116" s="13"/>
      <c r="AA116" s="13" t="s">
        <v>419</v>
      </c>
    </row>
    <row r="117" spans="1:27" ht="45" x14ac:dyDescent="0.25">
      <c r="A117" s="13">
        <v>64</v>
      </c>
      <c r="B117" s="104" t="s">
        <v>483</v>
      </c>
      <c r="C117" s="36">
        <v>2022</v>
      </c>
      <c r="D117" s="13" t="s">
        <v>204</v>
      </c>
      <c r="E117" s="37" t="s">
        <v>769</v>
      </c>
      <c r="F117" s="37" t="s">
        <v>770</v>
      </c>
      <c r="G117" s="22" t="s">
        <v>698</v>
      </c>
      <c r="H117" s="22" t="s">
        <v>226</v>
      </c>
      <c r="I117" s="22"/>
      <c r="J117" s="22" t="s">
        <v>226</v>
      </c>
      <c r="K117" s="22" t="s">
        <v>226</v>
      </c>
      <c r="L117" s="22"/>
      <c r="M117" s="22"/>
      <c r="N117" s="22"/>
      <c r="O117" s="22" t="s">
        <v>226</v>
      </c>
      <c r="P117" s="22"/>
      <c r="Q117" s="22"/>
      <c r="R117" s="22"/>
      <c r="S117" s="22"/>
      <c r="T117" s="37" t="s">
        <v>698</v>
      </c>
      <c r="U117" s="22"/>
      <c r="V117" s="22"/>
      <c r="W117" s="22"/>
      <c r="X117" s="13"/>
      <c r="Y117" s="13">
        <v>2.6</v>
      </c>
      <c r="Z117" s="13">
        <v>1</v>
      </c>
      <c r="AA117" s="38" t="s">
        <v>419</v>
      </c>
    </row>
    <row r="118" spans="1:27" ht="45" x14ac:dyDescent="0.25">
      <c r="A118" s="13">
        <v>65</v>
      </c>
      <c r="B118" s="104" t="s">
        <v>484</v>
      </c>
      <c r="C118" s="36">
        <v>2021</v>
      </c>
      <c r="D118" s="13" t="s">
        <v>204</v>
      </c>
      <c r="E118" s="37" t="s">
        <v>771</v>
      </c>
      <c r="F118" s="37" t="s">
        <v>773</v>
      </c>
      <c r="G118" s="22">
        <v>1</v>
      </c>
      <c r="H118" s="22"/>
      <c r="I118" s="22"/>
      <c r="J118" s="22" t="s">
        <v>226</v>
      </c>
      <c r="K118" s="22" t="s">
        <v>226</v>
      </c>
      <c r="L118" s="22"/>
      <c r="M118" s="22"/>
      <c r="N118" s="22" t="s">
        <v>226</v>
      </c>
      <c r="O118" s="22"/>
      <c r="P118" s="22" t="s">
        <v>226</v>
      </c>
      <c r="Q118" s="22"/>
      <c r="R118" s="22"/>
      <c r="S118" s="22"/>
      <c r="T118" s="37" t="s">
        <v>772</v>
      </c>
      <c r="U118" s="22"/>
      <c r="V118" s="22" t="s">
        <v>226</v>
      </c>
      <c r="W118" s="22"/>
      <c r="X118" s="13"/>
      <c r="Y118" s="13">
        <v>1.7</v>
      </c>
      <c r="Z118" s="13">
        <v>1</v>
      </c>
      <c r="AA118" s="38" t="s">
        <v>419</v>
      </c>
    </row>
    <row r="119" spans="1:27" ht="75" customHeight="1" x14ac:dyDescent="0.25">
      <c r="A119" s="13">
        <v>66</v>
      </c>
      <c r="B119" s="104" t="s">
        <v>485</v>
      </c>
      <c r="C119" s="36">
        <v>2021</v>
      </c>
      <c r="D119" s="13" t="s">
        <v>204</v>
      </c>
      <c r="E119" s="37" t="s">
        <v>775</v>
      </c>
      <c r="F119" s="37" t="s">
        <v>776</v>
      </c>
      <c r="G119" s="22">
        <v>1</v>
      </c>
      <c r="H119" s="22"/>
      <c r="I119" s="22" t="s">
        <v>226</v>
      </c>
      <c r="J119" s="22" t="s">
        <v>226</v>
      </c>
      <c r="K119" s="22" t="s">
        <v>226</v>
      </c>
      <c r="L119" s="22"/>
      <c r="M119" s="22"/>
      <c r="N119" s="22" t="s">
        <v>226</v>
      </c>
      <c r="O119" s="22"/>
      <c r="P119" s="22"/>
      <c r="Q119" s="22"/>
      <c r="R119" s="22"/>
      <c r="S119" s="22"/>
      <c r="T119" s="37" t="s">
        <v>774</v>
      </c>
      <c r="U119" s="22" t="s">
        <v>226</v>
      </c>
      <c r="V119" s="22" t="s">
        <v>226</v>
      </c>
      <c r="W119" s="22"/>
      <c r="X119" s="13"/>
      <c r="Y119" s="13">
        <v>3.3</v>
      </c>
      <c r="Z119" s="13">
        <v>1</v>
      </c>
      <c r="AA119" s="38" t="s">
        <v>419</v>
      </c>
    </row>
    <row r="120" spans="1:27" ht="45" x14ac:dyDescent="0.25">
      <c r="A120" s="13">
        <v>67</v>
      </c>
      <c r="B120" s="104" t="s">
        <v>486</v>
      </c>
      <c r="C120" s="36">
        <v>2021</v>
      </c>
      <c r="D120" s="13" t="s">
        <v>204</v>
      </c>
      <c r="E120" s="37" t="s">
        <v>777</v>
      </c>
      <c r="F120" s="37" t="s">
        <v>779</v>
      </c>
      <c r="G120" s="22">
        <v>1</v>
      </c>
      <c r="H120" s="22"/>
      <c r="I120" s="22" t="s">
        <v>226</v>
      </c>
      <c r="J120" s="22" t="s">
        <v>226</v>
      </c>
      <c r="K120" s="22"/>
      <c r="L120" s="22"/>
      <c r="M120" s="22"/>
      <c r="N120" s="22" t="s">
        <v>226</v>
      </c>
      <c r="O120" s="22"/>
      <c r="P120" s="22" t="s">
        <v>226</v>
      </c>
      <c r="Q120" s="22"/>
      <c r="R120" s="22"/>
      <c r="S120" s="22"/>
      <c r="T120" s="37" t="s">
        <v>778</v>
      </c>
      <c r="U120" s="22"/>
      <c r="V120" s="22"/>
      <c r="W120" s="22" t="s">
        <v>226</v>
      </c>
      <c r="X120" s="13"/>
      <c r="Y120" s="13">
        <v>4</v>
      </c>
      <c r="Z120" s="13">
        <v>1</v>
      </c>
      <c r="AA120" s="38" t="s">
        <v>419</v>
      </c>
    </row>
    <row r="121" spans="1:27" x14ac:dyDescent="0.25">
      <c r="A121" s="13">
        <v>68</v>
      </c>
      <c r="B121" s="104" t="s">
        <v>487</v>
      </c>
      <c r="C121" s="36"/>
      <c r="D121" s="13" t="s">
        <v>206</v>
      </c>
      <c r="E121" s="37"/>
      <c r="F121" s="37"/>
      <c r="G121" s="22"/>
      <c r="H121" s="22"/>
      <c r="I121" s="22"/>
      <c r="J121" s="22"/>
      <c r="K121" s="22"/>
      <c r="L121" s="22"/>
      <c r="M121" s="22"/>
      <c r="N121" s="22"/>
      <c r="O121" s="22"/>
      <c r="P121" s="22"/>
      <c r="Q121" s="22"/>
      <c r="R121" s="22"/>
      <c r="S121" s="22"/>
      <c r="T121" s="22"/>
      <c r="U121" s="22"/>
      <c r="V121" s="22"/>
      <c r="W121" s="22"/>
      <c r="X121" s="13"/>
      <c r="Y121" s="13"/>
      <c r="Z121" s="13"/>
      <c r="AA121" s="13" t="s">
        <v>419</v>
      </c>
    </row>
    <row r="122" spans="1:27" x14ac:dyDescent="0.25">
      <c r="A122" s="13">
        <v>69</v>
      </c>
      <c r="B122" s="104" t="s">
        <v>488</v>
      </c>
      <c r="C122" s="36"/>
      <c r="D122" s="13" t="s">
        <v>206</v>
      </c>
      <c r="E122" s="37"/>
      <c r="F122" s="37"/>
      <c r="G122" s="22"/>
      <c r="H122" s="22"/>
      <c r="I122" s="22"/>
      <c r="J122" s="22"/>
      <c r="K122" s="22"/>
      <c r="L122" s="22"/>
      <c r="M122" s="22"/>
      <c r="N122" s="22"/>
      <c r="O122" s="22"/>
      <c r="P122" s="22"/>
      <c r="Q122" s="22"/>
      <c r="R122" s="22"/>
      <c r="S122" s="22"/>
      <c r="T122" s="22"/>
      <c r="U122" s="22"/>
      <c r="V122" s="22"/>
      <c r="W122" s="22"/>
      <c r="X122" s="13"/>
      <c r="Y122" s="13"/>
      <c r="Z122" s="13"/>
      <c r="AA122" s="13" t="s">
        <v>419</v>
      </c>
    </row>
    <row r="123" spans="1:27" ht="45" x14ac:dyDescent="0.25">
      <c r="A123" s="13">
        <v>70</v>
      </c>
      <c r="B123" s="104" t="s">
        <v>489</v>
      </c>
      <c r="C123" s="13"/>
      <c r="D123" s="13" t="s">
        <v>215</v>
      </c>
      <c r="E123" s="37"/>
      <c r="F123" s="37"/>
      <c r="G123" s="22"/>
      <c r="H123" s="22"/>
      <c r="I123" s="22"/>
      <c r="J123" s="22"/>
      <c r="K123" s="22"/>
      <c r="L123" s="22"/>
      <c r="M123" s="22"/>
      <c r="N123" s="22"/>
      <c r="O123" s="22"/>
      <c r="P123" s="22"/>
      <c r="Q123" s="22"/>
      <c r="R123" s="22"/>
      <c r="S123" s="22"/>
      <c r="T123" s="22"/>
      <c r="U123" s="22"/>
      <c r="V123" s="22"/>
      <c r="W123" s="22"/>
      <c r="X123" s="37" t="s">
        <v>515</v>
      </c>
      <c r="Y123" s="13"/>
      <c r="Z123" s="13"/>
      <c r="AA123" s="13" t="s">
        <v>419</v>
      </c>
    </row>
    <row r="124" spans="1:27" x14ac:dyDescent="0.25">
      <c r="A124" s="13">
        <v>71</v>
      </c>
      <c r="B124" s="104" t="s">
        <v>490</v>
      </c>
      <c r="C124" s="36"/>
      <c r="D124" s="13" t="s">
        <v>206</v>
      </c>
      <c r="E124" s="37"/>
      <c r="F124" s="37"/>
      <c r="G124" s="22"/>
      <c r="H124" s="22"/>
      <c r="I124" s="22"/>
      <c r="J124" s="22"/>
      <c r="K124" s="22"/>
      <c r="L124" s="22"/>
      <c r="M124" s="22"/>
      <c r="N124" s="22"/>
      <c r="O124" s="22"/>
      <c r="P124" s="22"/>
      <c r="Q124" s="22"/>
      <c r="R124" s="22"/>
      <c r="S124" s="22"/>
      <c r="T124" s="22"/>
      <c r="U124" s="22"/>
      <c r="V124" s="22"/>
      <c r="W124" s="22"/>
      <c r="X124" s="13"/>
      <c r="Y124" s="13"/>
      <c r="Z124" s="13"/>
      <c r="AA124" s="13" t="s">
        <v>419</v>
      </c>
    </row>
    <row r="125" spans="1:27" ht="30" x14ac:dyDescent="0.25">
      <c r="A125" s="13">
        <v>72</v>
      </c>
      <c r="B125" s="104" t="s">
        <v>491</v>
      </c>
      <c r="C125" s="13"/>
      <c r="D125" s="13" t="s">
        <v>215</v>
      </c>
      <c r="E125" s="37"/>
      <c r="F125" s="37"/>
      <c r="G125" s="22"/>
      <c r="H125" s="22"/>
      <c r="I125" s="22"/>
      <c r="J125" s="22"/>
      <c r="K125" s="22"/>
      <c r="L125" s="22"/>
      <c r="M125" s="22"/>
      <c r="N125" s="22"/>
      <c r="O125" s="22"/>
      <c r="P125" s="22"/>
      <c r="Q125" s="22"/>
      <c r="R125" s="22"/>
      <c r="S125" s="22"/>
      <c r="T125" s="22"/>
      <c r="U125" s="22"/>
      <c r="V125" s="22"/>
      <c r="W125" s="22"/>
      <c r="X125" s="37" t="s">
        <v>516</v>
      </c>
      <c r="Y125" s="13"/>
      <c r="Z125" s="13"/>
      <c r="AA125" s="13" t="s">
        <v>419</v>
      </c>
    </row>
    <row r="126" spans="1:27" x14ac:dyDescent="0.25">
      <c r="A126" s="13">
        <v>73</v>
      </c>
      <c r="B126" s="104" t="s">
        <v>492</v>
      </c>
      <c r="C126" s="36"/>
      <c r="D126" s="13" t="s">
        <v>206</v>
      </c>
      <c r="E126" s="37"/>
      <c r="F126" s="37"/>
      <c r="G126" s="22"/>
      <c r="H126" s="22"/>
      <c r="I126" s="22"/>
      <c r="J126" s="22"/>
      <c r="K126" s="22"/>
      <c r="L126" s="22"/>
      <c r="M126" s="22"/>
      <c r="N126" s="22"/>
      <c r="O126" s="22"/>
      <c r="P126" s="22"/>
      <c r="Q126" s="22"/>
      <c r="R126" s="22"/>
      <c r="S126" s="22"/>
      <c r="T126" s="22"/>
      <c r="U126" s="22"/>
      <c r="V126" s="22"/>
      <c r="W126" s="22"/>
      <c r="X126" s="13"/>
      <c r="Y126" s="13"/>
      <c r="Z126" s="13"/>
      <c r="AA126" s="13" t="s">
        <v>419</v>
      </c>
    </row>
    <row r="127" spans="1:27" x14ac:dyDescent="0.25">
      <c r="A127" s="13">
        <v>74</v>
      </c>
      <c r="B127" s="104" t="s">
        <v>493</v>
      </c>
      <c r="C127" s="36"/>
      <c r="D127" s="13" t="s">
        <v>206</v>
      </c>
      <c r="E127" s="37"/>
      <c r="F127" s="37"/>
      <c r="G127" s="22"/>
      <c r="H127" s="22"/>
      <c r="I127" s="22"/>
      <c r="J127" s="22"/>
      <c r="K127" s="22"/>
      <c r="L127" s="22"/>
      <c r="M127" s="22"/>
      <c r="N127" s="22"/>
      <c r="O127" s="22"/>
      <c r="P127" s="22"/>
      <c r="Q127" s="22"/>
      <c r="R127" s="22"/>
      <c r="S127" s="22"/>
      <c r="T127" s="22"/>
      <c r="U127" s="22"/>
      <c r="V127" s="22"/>
      <c r="W127" s="22"/>
      <c r="X127" s="13"/>
      <c r="Y127" s="13"/>
      <c r="Z127" s="13"/>
      <c r="AA127" s="13" t="s">
        <v>419</v>
      </c>
    </row>
    <row r="128" spans="1:27" x14ac:dyDescent="0.25">
      <c r="A128" s="13">
        <v>75</v>
      </c>
      <c r="B128" s="104" t="s">
        <v>494</v>
      </c>
      <c r="C128" s="36"/>
      <c r="D128" s="13" t="s">
        <v>206</v>
      </c>
      <c r="E128" s="37"/>
      <c r="F128" s="37"/>
      <c r="G128" s="22"/>
      <c r="H128" s="22"/>
      <c r="I128" s="22"/>
      <c r="J128" s="22"/>
      <c r="K128" s="22"/>
      <c r="L128" s="22"/>
      <c r="M128" s="22"/>
      <c r="N128" s="22"/>
      <c r="O128" s="22"/>
      <c r="P128" s="22"/>
      <c r="Q128" s="22"/>
      <c r="R128" s="22"/>
      <c r="S128" s="22"/>
      <c r="T128" s="37"/>
      <c r="U128" s="22"/>
      <c r="V128" s="22"/>
      <c r="W128" s="22"/>
      <c r="X128" s="13"/>
      <c r="Y128" s="13"/>
      <c r="Z128" s="13"/>
      <c r="AA128" s="13" t="s">
        <v>419</v>
      </c>
    </row>
    <row r="129" spans="1:27" ht="60" x14ac:dyDescent="0.25">
      <c r="A129" s="13">
        <v>76</v>
      </c>
      <c r="B129" s="104" t="s">
        <v>495</v>
      </c>
      <c r="C129" s="13"/>
      <c r="D129" s="13" t="s">
        <v>215</v>
      </c>
      <c r="E129" s="37"/>
      <c r="F129" s="37"/>
      <c r="G129" s="22"/>
      <c r="H129" s="22"/>
      <c r="I129" s="22"/>
      <c r="J129" s="22"/>
      <c r="K129" s="22"/>
      <c r="L129" s="22"/>
      <c r="M129" s="22"/>
      <c r="N129" s="22"/>
      <c r="O129" s="22"/>
      <c r="P129" s="22"/>
      <c r="Q129" s="22"/>
      <c r="R129" s="22"/>
      <c r="S129" s="22"/>
      <c r="T129" s="22"/>
      <c r="U129" s="22"/>
      <c r="V129" s="22"/>
      <c r="W129" s="22"/>
      <c r="X129" s="37" t="s">
        <v>517</v>
      </c>
      <c r="Y129" s="13"/>
      <c r="Z129" s="13"/>
      <c r="AA129" s="13" t="s">
        <v>419</v>
      </c>
    </row>
    <row r="130" spans="1:27" ht="26.25" x14ac:dyDescent="0.25">
      <c r="A130" s="13">
        <v>77</v>
      </c>
      <c r="B130" s="104" t="s">
        <v>496</v>
      </c>
      <c r="C130" s="36">
        <v>2014</v>
      </c>
      <c r="D130" s="13" t="s">
        <v>206</v>
      </c>
      <c r="E130" s="37"/>
      <c r="F130" s="37"/>
      <c r="G130" s="22"/>
      <c r="H130" s="22"/>
      <c r="I130" s="22"/>
      <c r="J130" s="22"/>
      <c r="K130" s="22"/>
      <c r="L130" s="22"/>
      <c r="M130" s="22"/>
      <c r="N130" s="22"/>
      <c r="O130" s="22"/>
      <c r="P130" s="22"/>
      <c r="Q130" s="22"/>
      <c r="R130" s="22"/>
      <c r="S130" s="22"/>
      <c r="T130" s="37"/>
      <c r="U130" s="22"/>
      <c r="V130" s="22"/>
      <c r="W130" s="22"/>
      <c r="X130" s="13"/>
      <c r="Y130" s="13"/>
      <c r="Z130" s="13"/>
      <c r="AA130" s="13" t="s">
        <v>419</v>
      </c>
    </row>
    <row r="131" spans="1:27" x14ac:dyDescent="0.25">
      <c r="A131" s="13">
        <v>78</v>
      </c>
      <c r="B131" s="104" t="s">
        <v>497</v>
      </c>
      <c r="C131" s="36"/>
      <c r="D131" s="13" t="s">
        <v>206</v>
      </c>
      <c r="E131" s="37"/>
      <c r="F131" s="37"/>
      <c r="G131" s="22"/>
      <c r="H131" s="22"/>
      <c r="I131" s="22"/>
      <c r="J131" s="22"/>
      <c r="K131" s="22"/>
      <c r="L131" s="22"/>
      <c r="M131" s="22"/>
      <c r="N131" s="22"/>
      <c r="O131" s="22"/>
      <c r="P131" s="22"/>
      <c r="Q131" s="22"/>
      <c r="R131" s="22"/>
      <c r="S131" s="22"/>
      <c r="T131" s="22"/>
      <c r="U131" s="22"/>
      <c r="V131" s="22"/>
      <c r="W131" s="22"/>
      <c r="X131" s="13"/>
      <c r="Y131" s="13"/>
      <c r="Z131" s="13"/>
      <c r="AA131" s="13" t="s">
        <v>419</v>
      </c>
    </row>
    <row r="132" spans="1:27" x14ac:dyDescent="0.25">
      <c r="A132" s="13">
        <v>79</v>
      </c>
      <c r="B132" s="104" t="s">
        <v>498</v>
      </c>
      <c r="C132" s="36"/>
      <c r="D132" s="13" t="s">
        <v>206</v>
      </c>
      <c r="E132" s="37"/>
      <c r="F132" s="37"/>
      <c r="G132" s="22"/>
      <c r="H132" s="22"/>
      <c r="I132" s="22"/>
      <c r="J132" s="22"/>
      <c r="K132" s="22"/>
      <c r="L132" s="22"/>
      <c r="M132" s="22"/>
      <c r="N132" s="22"/>
      <c r="O132" s="22"/>
      <c r="P132" s="22"/>
      <c r="Q132" s="22"/>
      <c r="R132" s="22"/>
      <c r="S132" s="22"/>
      <c r="T132" s="22"/>
      <c r="U132" s="22"/>
      <c r="V132" s="22"/>
      <c r="W132" s="22"/>
      <c r="X132" s="13"/>
      <c r="Y132" s="13"/>
      <c r="Z132" s="13"/>
      <c r="AA132" s="13" t="s">
        <v>419</v>
      </c>
    </row>
    <row r="133" spans="1:27" x14ac:dyDescent="0.25">
      <c r="A133" s="13">
        <v>80</v>
      </c>
      <c r="B133" s="104" t="s">
        <v>499</v>
      </c>
      <c r="C133" s="36"/>
      <c r="D133" s="13" t="s">
        <v>206</v>
      </c>
      <c r="E133" s="37"/>
      <c r="F133" s="37"/>
      <c r="G133" s="22"/>
      <c r="H133" s="22"/>
      <c r="I133" s="22"/>
      <c r="J133" s="22"/>
      <c r="K133" s="22"/>
      <c r="L133" s="22"/>
      <c r="M133" s="22"/>
      <c r="N133" s="22"/>
      <c r="O133" s="22"/>
      <c r="P133" s="22"/>
      <c r="Q133" s="22"/>
      <c r="R133" s="22"/>
      <c r="S133" s="22"/>
      <c r="T133" s="22"/>
      <c r="U133" s="22"/>
      <c r="V133" s="22"/>
      <c r="W133" s="22"/>
      <c r="X133" s="13"/>
      <c r="Y133" s="13"/>
      <c r="Z133" s="13"/>
      <c r="AA133" s="13" t="s">
        <v>419</v>
      </c>
    </row>
    <row r="134" spans="1:27" x14ac:dyDescent="0.25">
      <c r="A134" s="13">
        <v>81</v>
      </c>
      <c r="B134" s="104" t="s">
        <v>500</v>
      </c>
      <c r="C134" s="36"/>
      <c r="D134" s="13" t="s">
        <v>206</v>
      </c>
      <c r="E134" s="37"/>
      <c r="F134" s="37"/>
      <c r="G134" s="22"/>
      <c r="H134" s="22"/>
      <c r="I134" s="22"/>
      <c r="J134" s="22"/>
      <c r="K134" s="22"/>
      <c r="L134" s="22"/>
      <c r="M134" s="22"/>
      <c r="N134" s="22"/>
      <c r="O134" s="22"/>
      <c r="P134" s="22"/>
      <c r="Q134" s="22"/>
      <c r="R134" s="22"/>
      <c r="S134" s="22"/>
      <c r="T134" s="22"/>
      <c r="U134" s="22"/>
      <c r="V134" s="22"/>
      <c r="W134" s="22"/>
      <c r="X134" s="13"/>
      <c r="Y134" s="13"/>
      <c r="Z134" s="13"/>
      <c r="AA134" s="13" t="s">
        <v>419</v>
      </c>
    </row>
    <row r="135" spans="1:27" x14ac:dyDescent="0.25">
      <c r="A135" s="13">
        <v>82</v>
      </c>
      <c r="B135" s="104" t="s">
        <v>501</v>
      </c>
      <c r="C135" s="36"/>
      <c r="D135" s="13" t="s">
        <v>206</v>
      </c>
      <c r="E135" s="37"/>
      <c r="F135" s="37"/>
      <c r="G135" s="22"/>
      <c r="H135" s="22"/>
      <c r="I135" s="22"/>
      <c r="J135" s="22"/>
      <c r="K135" s="22"/>
      <c r="L135" s="22"/>
      <c r="M135" s="22"/>
      <c r="N135" s="22"/>
      <c r="O135" s="22"/>
      <c r="P135" s="22"/>
      <c r="Q135" s="22"/>
      <c r="R135" s="22"/>
      <c r="S135" s="22"/>
      <c r="T135" s="22"/>
      <c r="U135" s="22"/>
      <c r="V135" s="22"/>
      <c r="W135" s="22"/>
      <c r="X135" s="13"/>
      <c r="Y135" s="13"/>
      <c r="Z135" s="13"/>
      <c r="AA135" s="13" t="s">
        <v>419</v>
      </c>
    </row>
    <row r="136" spans="1:27" x14ac:dyDescent="0.25">
      <c r="A136" s="13">
        <v>83</v>
      </c>
      <c r="B136" s="104" t="s">
        <v>502</v>
      </c>
      <c r="C136" s="36"/>
      <c r="D136" s="13" t="s">
        <v>206</v>
      </c>
      <c r="E136" s="37"/>
      <c r="F136" s="37"/>
      <c r="G136" s="22"/>
      <c r="H136" s="22"/>
      <c r="I136" s="22"/>
      <c r="J136" s="22"/>
      <c r="K136" s="22"/>
      <c r="L136" s="22"/>
      <c r="M136" s="22"/>
      <c r="N136" s="22"/>
      <c r="O136" s="22"/>
      <c r="P136" s="22"/>
      <c r="Q136" s="22"/>
      <c r="R136" s="22"/>
      <c r="S136" s="22"/>
      <c r="T136" s="22"/>
      <c r="U136" s="22"/>
      <c r="V136" s="22"/>
      <c r="W136" s="22"/>
      <c r="X136" s="13"/>
      <c r="Y136" s="13"/>
      <c r="Z136" s="13"/>
      <c r="AA136" s="13" t="s">
        <v>419</v>
      </c>
    </row>
    <row r="137" spans="1:27" ht="30" x14ac:dyDescent="0.25">
      <c r="A137" s="13">
        <v>84</v>
      </c>
      <c r="B137" s="104" t="s">
        <v>503</v>
      </c>
      <c r="C137" s="13"/>
      <c r="D137" s="13" t="s">
        <v>215</v>
      </c>
      <c r="E137" s="37"/>
      <c r="F137" s="37"/>
      <c r="G137" s="22"/>
      <c r="H137" s="22"/>
      <c r="I137" s="22"/>
      <c r="J137" s="22"/>
      <c r="K137" s="22"/>
      <c r="L137" s="22"/>
      <c r="M137" s="22"/>
      <c r="N137" s="22"/>
      <c r="O137" s="22"/>
      <c r="P137" s="22"/>
      <c r="Q137" s="22"/>
      <c r="R137" s="22"/>
      <c r="S137" s="22"/>
      <c r="T137" s="22"/>
      <c r="U137" s="22"/>
      <c r="V137" s="22"/>
      <c r="W137" s="22"/>
      <c r="X137" s="37" t="s">
        <v>518</v>
      </c>
      <c r="Y137" s="13"/>
      <c r="Z137" s="13"/>
      <c r="AA137" s="13" t="s">
        <v>419</v>
      </c>
    </row>
    <row r="138" spans="1:27" x14ac:dyDescent="0.25">
      <c r="A138" s="13">
        <v>85</v>
      </c>
      <c r="B138" s="104" t="s">
        <v>504</v>
      </c>
      <c r="C138" s="36"/>
      <c r="D138" s="13" t="s">
        <v>206</v>
      </c>
      <c r="E138" s="37"/>
      <c r="F138" s="37"/>
      <c r="G138" s="22"/>
      <c r="H138" s="22"/>
      <c r="I138" s="22"/>
      <c r="J138" s="22"/>
      <c r="K138" s="22"/>
      <c r="L138" s="22"/>
      <c r="M138" s="22"/>
      <c r="N138" s="22"/>
      <c r="O138" s="22"/>
      <c r="P138" s="22"/>
      <c r="Q138" s="22"/>
      <c r="R138" s="22"/>
      <c r="S138" s="22"/>
      <c r="T138" s="22"/>
      <c r="U138" s="22"/>
      <c r="V138" s="22"/>
      <c r="W138" s="22"/>
      <c r="X138" s="13"/>
      <c r="Y138" s="13"/>
      <c r="Z138" s="13"/>
      <c r="AA138" s="13" t="s">
        <v>419</v>
      </c>
    </row>
    <row r="139" spans="1:27" ht="60" x14ac:dyDescent="0.25">
      <c r="A139" s="13">
        <v>86</v>
      </c>
      <c r="B139" s="104" t="s">
        <v>505</v>
      </c>
      <c r="C139" s="13"/>
      <c r="D139" s="13" t="s">
        <v>215</v>
      </c>
      <c r="E139" s="37"/>
      <c r="F139" s="37"/>
      <c r="G139" s="22"/>
      <c r="H139" s="22"/>
      <c r="I139" s="22"/>
      <c r="J139" s="22"/>
      <c r="K139" s="22"/>
      <c r="L139" s="22"/>
      <c r="M139" s="22"/>
      <c r="N139" s="22"/>
      <c r="O139" s="22"/>
      <c r="P139" s="22"/>
      <c r="Q139" s="22"/>
      <c r="R139" s="22"/>
      <c r="S139" s="22"/>
      <c r="T139" s="22"/>
      <c r="U139" s="22"/>
      <c r="V139" s="22"/>
      <c r="W139" s="22"/>
      <c r="X139" s="37" t="s">
        <v>519</v>
      </c>
      <c r="Y139" s="37"/>
      <c r="Z139" s="13"/>
      <c r="AA139" s="13" t="s">
        <v>419</v>
      </c>
    </row>
    <row r="140" spans="1:27" ht="60" x14ac:dyDescent="0.25">
      <c r="A140" s="13">
        <v>87</v>
      </c>
      <c r="B140" s="104" t="s">
        <v>506</v>
      </c>
      <c r="C140" s="36">
        <v>2018</v>
      </c>
      <c r="D140" s="13" t="s">
        <v>204</v>
      </c>
      <c r="E140" s="37" t="s">
        <v>780</v>
      </c>
      <c r="F140" s="37" t="s">
        <v>781</v>
      </c>
      <c r="G140" s="22">
        <v>1</v>
      </c>
      <c r="H140" s="22"/>
      <c r="I140" s="22"/>
      <c r="J140" s="22" t="s">
        <v>226</v>
      </c>
      <c r="K140" s="22" t="s">
        <v>226</v>
      </c>
      <c r="L140" s="22"/>
      <c r="M140" s="22"/>
      <c r="N140" s="22" t="s">
        <v>226</v>
      </c>
      <c r="O140" s="22"/>
      <c r="P140" s="22"/>
      <c r="Q140" s="22"/>
      <c r="R140" s="22"/>
      <c r="S140" s="22"/>
      <c r="T140" s="37" t="s">
        <v>778</v>
      </c>
      <c r="U140" s="22"/>
      <c r="V140" s="22"/>
      <c r="W140" s="22" t="s">
        <v>226</v>
      </c>
      <c r="X140" s="13"/>
      <c r="Y140" s="13">
        <v>1.4</v>
      </c>
      <c r="Z140" s="13">
        <v>1</v>
      </c>
      <c r="AA140" s="38" t="s">
        <v>419</v>
      </c>
    </row>
    <row r="141" spans="1:27" ht="90" x14ac:dyDescent="0.25">
      <c r="A141" s="13">
        <v>88</v>
      </c>
      <c r="B141" s="104" t="s">
        <v>507</v>
      </c>
      <c r="C141" s="13"/>
      <c r="D141" s="13" t="s">
        <v>215</v>
      </c>
      <c r="E141" s="37"/>
      <c r="F141" s="37"/>
      <c r="G141" s="22"/>
      <c r="H141" s="22"/>
      <c r="I141" s="22"/>
      <c r="J141" s="22"/>
      <c r="K141" s="22"/>
      <c r="L141" s="22"/>
      <c r="M141" s="22"/>
      <c r="N141" s="22"/>
      <c r="O141" s="22"/>
      <c r="P141" s="22"/>
      <c r="Q141" s="22"/>
      <c r="R141" s="22"/>
      <c r="S141" s="22"/>
      <c r="T141" s="22"/>
      <c r="U141" s="22"/>
      <c r="V141" s="22"/>
      <c r="W141" s="22"/>
      <c r="X141" s="37" t="s">
        <v>520</v>
      </c>
      <c r="Y141" s="13"/>
      <c r="Z141" s="13"/>
      <c r="AA141" s="13" t="s">
        <v>419</v>
      </c>
    </row>
    <row r="142" spans="1:27" ht="26.25" x14ac:dyDescent="0.25">
      <c r="A142" s="13">
        <v>89</v>
      </c>
      <c r="B142" s="104" t="s">
        <v>508</v>
      </c>
      <c r="C142" s="36">
        <v>2020</v>
      </c>
      <c r="D142" s="13" t="s">
        <v>206</v>
      </c>
      <c r="E142" s="37"/>
      <c r="F142" s="37"/>
      <c r="G142" s="22"/>
      <c r="H142" s="22"/>
      <c r="I142" s="22"/>
      <c r="J142" s="22"/>
      <c r="K142" s="22"/>
      <c r="L142" s="22"/>
      <c r="M142" s="22"/>
      <c r="N142" s="22"/>
      <c r="O142" s="22"/>
      <c r="P142" s="22"/>
      <c r="Q142" s="22"/>
      <c r="R142" s="22"/>
      <c r="S142" s="22"/>
      <c r="T142" s="37" t="s">
        <v>778</v>
      </c>
      <c r="U142" s="22"/>
      <c r="V142" s="22"/>
      <c r="W142" s="22"/>
      <c r="X142" s="13"/>
      <c r="Y142" s="13"/>
      <c r="Z142" s="13"/>
      <c r="AA142" s="13" t="s">
        <v>419</v>
      </c>
    </row>
    <row r="143" spans="1:27" ht="75" x14ac:dyDescent="0.25">
      <c r="A143" s="13">
        <v>90</v>
      </c>
      <c r="B143" s="104" t="s">
        <v>509</v>
      </c>
      <c r="C143" s="36">
        <v>2015</v>
      </c>
      <c r="D143" s="13" t="s">
        <v>204</v>
      </c>
      <c r="E143" s="37" t="s">
        <v>782</v>
      </c>
      <c r="F143" s="37" t="s">
        <v>784</v>
      </c>
      <c r="G143" s="22">
        <v>1</v>
      </c>
      <c r="H143" s="22"/>
      <c r="I143" s="22"/>
      <c r="J143" s="22" t="s">
        <v>226</v>
      </c>
      <c r="K143" s="22" t="s">
        <v>226</v>
      </c>
      <c r="L143" s="22"/>
      <c r="M143" s="22"/>
      <c r="N143" s="22"/>
      <c r="O143" s="22"/>
      <c r="P143" s="22"/>
      <c r="Q143" s="22"/>
      <c r="R143" s="22"/>
      <c r="S143" s="22"/>
      <c r="T143" s="37" t="s">
        <v>783</v>
      </c>
      <c r="U143" s="22" t="s">
        <v>226</v>
      </c>
      <c r="V143" s="22"/>
      <c r="W143" s="22" t="s">
        <v>226</v>
      </c>
      <c r="X143" s="13"/>
      <c r="Y143" s="13">
        <v>41.7</v>
      </c>
      <c r="Z143" s="13">
        <v>1</v>
      </c>
      <c r="AA143" s="38" t="s">
        <v>419</v>
      </c>
    </row>
    <row r="144" spans="1:27" x14ac:dyDescent="0.25">
      <c r="A144" s="13">
        <v>91</v>
      </c>
      <c r="B144" s="104" t="s">
        <v>510</v>
      </c>
      <c r="C144" s="36"/>
      <c r="D144" s="13" t="s">
        <v>206</v>
      </c>
      <c r="E144" s="37"/>
      <c r="F144" s="37"/>
      <c r="G144" s="22"/>
      <c r="H144" s="22"/>
      <c r="I144" s="22"/>
      <c r="J144" s="22"/>
      <c r="K144" s="22"/>
      <c r="L144" s="22"/>
      <c r="M144" s="22"/>
      <c r="N144" s="22"/>
      <c r="O144" s="22"/>
      <c r="P144" s="22"/>
      <c r="Q144" s="22"/>
      <c r="R144" s="22"/>
      <c r="S144" s="22"/>
      <c r="T144" s="22"/>
      <c r="U144" s="22"/>
      <c r="V144" s="22"/>
      <c r="W144" s="22"/>
      <c r="X144" s="13"/>
      <c r="Y144" s="13"/>
      <c r="Z144" s="13"/>
      <c r="AA144" s="13" t="s">
        <v>419</v>
      </c>
    </row>
    <row r="145" spans="1:27" ht="37.5" customHeight="1" x14ac:dyDescent="0.25">
      <c r="A145" s="13">
        <v>92</v>
      </c>
      <c r="B145" s="104" t="s">
        <v>511</v>
      </c>
      <c r="C145" s="36">
        <v>2014</v>
      </c>
      <c r="D145" s="13" t="s">
        <v>204</v>
      </c>
      <c r="E145" s="37" t="s">
        <v>785</v>
      </c>
      <c r="F145" s="37" t="s">
        <v>787</v>
      </c>
      <c r="G145" s="22">
        <v>0</v>
      </c>
      <c r="H145" s="22" t="s">
        <v>226</v>
      </c>
      <c r="I145" s="22" t="s">
        <v>226</v>
      </c>
      <c r="J145" s="22"/>
      <c r="K145" s="22"/>
      <c r="L145" s="22"/>
      <c r="M145" s="22"/>
      <c r="N145" s="22"/>
      <c r="O145" s="22"/>
      <c r="P145" s="22"/>
      <c r="Q145" s="22"/>
      <c r="R145" s="22"/>
      <c r="S145" s="22"/>
      <c r="T145" s="37" t="s">
        <v>786</v>
      </c>
      <c r="U145" s="22"/>
      <c r="V145" s="22" t="s">
        <v>226</v>
      </c>
      <c r="W145" s="22"/>
      <c r="X145" s="13"/>
      <c r="Y145" s="13">
        <v>2.1</v>
      </c>
      <c r="Z145" s="13">
        <v>1</v>
      </c>
      <c r="AA145" s="38" t="s">
        <v>419</v>
      </c>
    </row>
    <row r="146" spans="1:27" x14ac:dyDescent="0.25">
      <c r="A146" s="13">
        <v>1</v>
      </c>
      <c r="B146" s="104" t="s">
        <v>522</v>
      </c>
      <c r="C146" s="36"/>
      <c r="D146" s="13" t="s">
        <v>206</v>
      </c>
      <c r="E146" s="37"/>
      <c r="F146" s="37"/>
      <c r="G146" s="22"/>
      <c r="H146" s="22"/>
      <c r="I146" s="22"/>
      <c r="J146" s="22"/>
      <c r="K146" s="22"/>
      <c r="L146" s="22"/>
      <c r="M146" s="22"/>
      <c r="N146" s="22"/>
      <c r="O146" s="22"/>
      <c r="P146" s="22"/>
      <c r="Q146" s="22"/>
      <c r="R146" s="22"/>
      <c r="S146" s="22"/>
      <c r="T146" s="37"/>
      <c r="U146" s="22"/>
      <c r="V146" s="22"/>
      <c r="W146" s="22"/>
      <c r="X146" s="13"/>
      <c r="Y146" s="13"/>
      <c r="Z146" s="13"/>
      <c r="AA146" s="13" t="s">
        <v>521</v>
      </c>
    </row>
    <row r="147" spans="1:27" x14ac:dyDescent="0.25">
      <c r="A147" s="13">
        <v>2</v>
      </c>
      <c r="B147" s="104" t="s">
        <v>523</v>
      </c>
      <c r="C147" s="36"/>
      <c r="D147" s="13" t="s">
        <v>215</v>
      </c>
      <c r="E147" s="37"/>
      <c r="F147" s="37"/>
      <c r="G147" s="22"/>
      <c r="H147" s="22"/>
      <c r="I147" s="22"/>
      <c r="J147" s="22"/>
      <c r="K147" s="22"/>
      <c r="L147" s="22"/>
      <c r="M147" s="22"/>
      <c r="N147" s="22"/>
      <c r="O147" s="22"/>
      <c r="P147" s="22"/>
      <c r="Q147" s="22"/>
      <c r="R147" s="22"/>
      <c r="S147" s="22"/>
      <c r="T147" s="22"/>
      <c r="U147" s="22"/>
      <c r="V147" s="22"/>
      <c r="W147" s="22"/>
      <c r="X147" s="13"/>
      <c r="Y147" s="13"/>
      <c r="Z147" s="13"/>
      <c r="AA147" s="13" t="s">
        <v>521</v>
      </c>
    </row>
    <row r="148" spans="1:27" x14ac:dyDescent="0.25">
      <c r="A148" s="13">
        <v>3</v>
      </c>
      <c r="B148" s="104" t="s">
        <v>524</v>
      </c>
      <c r="C148" s="36"/>
      <c r="D148" s="13" t="s">
        <v>206</v>
      </c>
      <c r="E148" s="37"/>
      <c r="F148" s="37"/>
      <c r="G148" s="22"/>
      <c r="H148" s="22"/>
      <c r="I148" s="22"/>
      <c r="J148" s="22"/>
      <c r="K148" s="22"/>
      <c r="L148" s="22"/>
      <c r="M148" s="22"/>
      <c r="N148" s="22"/>
      <c r="O148" s="22"/>
      <c r="P148" s="22"/>
      <c r="Q148" s="22"/>
      <c r="R148" s="22"/>
      <c r="S148" s="22"/>
      <c r="T148" s="22"/>
      <c r="U148" s="22"/>
      <c r="V148" s="22"/>
      <c r="W148" s="22"/>
      <c r="X148" s="13"/>
      <c r="Y148" s="13"/>
      <c r="Z148" s="13"/>
      <c r="AA148" s="13" t="s">
        <v>521</v>
      </c>
    </row>
    <row r="149" spans="1:27" ht="60" x14ac:dyDescent="0.25">
      <c r="A149" s="13">
        <v>4</v>
      </c>
      <c r="B149" s="104" t="s">
        <v>525</v>
      </c>
      <c r="C149" s="36">
        <v>2020</v>
      </c>
      <c r="D149" s="13" t="s">
        <v>204</v>
      </c>
      <c r="E149" s="37" t="s">
        <v>788</v>
      </c>
      <c r="F149" s="37" t="s">
        <v>790</v>
      </c>
      <c r="G149" s="22">
        <v>1</v>
      </c>
      <c r="H149" s="22"/>
      <c r="I149" s="22" t="s">
        <v>226</v>
      </c>
      <c r="J149" s="22" t="s">
        <v>226</v>
      </c>
      <c r="K149" s="22"/>
      <c r="L149" s="22"/>
      <c r="M149" s="22" t="s">
        <v>226</v>
      </c>
      <c r="N149" s="22" t="s">
        <v>226</v>
      </c>
      <c r="O149" s="22"/>
      <c r="P149" s="22"/>
      <c r="Q149" s="22"/>
      <c r="R149" s="22"/>
      <c r="S149" s="22" t="s">
        <v>226</v>
      </c>
      <c r="T149" s="37" t="s">
        <v>786</v>
      </c>
      <c r="U149" s="22"/>
      <c r="V149" s="22" t="s">
        <v>226</v>
      </c>
      <c r="W149" s="22"/>
      <c r="X149" s="38" t="s">
        <v>789</v>
      </c>
      <c r="Y149" s="13">
        <v>18.600000000000001</v>
      </c>
      <c r="Z149" s="13">
        <v>1.08</v>
      </c>
      <c r="AA149" s="38" t="s">
        <v>521</v>
      </c>
    </row>
    <row r="150" spans="1:27" ht="26.25" x14ac:dyDescent="0.25">
      <c r="A150" s="13">
        <v>5</v>
      </c>
      <c r="B150" s="104" t="s">
        <v>526</v>
      </c>
      <c r="C150" s="36">
        <v>2020</v>
      </c>
      <c r="D150" s="13" t="s">
        <v>206</v>
      </c>
      <c r="E150" s="37"/>
      <c r="F150" s="37"/>
      <c r="G150" s="22"/>
      <c r="H150" s="22"/>
      <c r="I150" s="22"/>
      <c r="J150" s="22"/>
      <c r="K150" s="22"/>
      <c r="L150" s="22"/>
      <c r="M150" s="22"/>
      <c r="N150" s="22"/>
      <c r="O150" s="22"/>
      <c r="P150" s="22"/>
      <c r="Q150" s="22"/>
      <c r="R150" s="22"/>
      <c r="S150" s="22"/>
      <c r="T150" s="37"/>
      <c r="U150" s="22"/>
      <c r="V150" s="22"/>
      <c r="W150" s="22"/>
      <c r="X150" s="13"/>
      <c r="Y150" s="13"/>
      <c r="Z150" s="13"/>
      <c r="AA150" s="13" t="s">
        <v>521</v>
      </c>
    </row>
    <row r="151" spans="1:27" x14ac:dyDescent="0.25">
      <c r="A151" s="13">
        <v>6</v>
      </c>
      <c r="B151" s="104" t="s">
        <v>527</v>
      </c>
      <c r="C151" s="36"/>
      <c r="D151" s="13" t="s">
        <v>206</v>
      </c>
      <c r="E151" s="37"/>
      <c r="F151" s="37"/>
      <c r="G151" s="22"/>
      <c r="H151" s="22"/>
      <c r="I151" s="22"/>
      <c r="J151" s="22"/>
      <c r="K151" s="22"/>
      <c r="L151" s="22"/>
      <c r="M151" s="22"/>
      <c r="N151" s="22"/>
      <c r="O151" s="22"/>
      <c r="P151" s="22"/>
      <c r="Q151" s="22"/>
      <c r="R151" s="22"/>
      <c r="S151" s="22"/>
      <c r="T151" s="22"/>
      <c r="U151" s="22"/>
      <c r="V151" s="22"/>
      <c r="W151" s="22"/>
      <c r="X151" s="13"/>
      <c r="Y151" s="13"/>
      <c r="Z151" s="13"/>
      <c r="AA151" s="13" t="s">
        <v>521</v>
      </c>
    </row>
    <row r="152" spans="1:27" ht="45" x14ac:dyDescent="0.25">
      <c r="A152" s="13">
        <v>7</v>
      </c>
      <c r="B152" s="104" t="s">
        <v>528</v>
      </c>
      <c r="C152" s="36">
        <v>2018</v>
      </c>
      <c r="D152" s="13" t="s">
        <v>204</v>
      </c>
      <c r="E152" s="37" t="s">
        <v>792</v>
      </c>
      <c r="F152" s="37" t="s">
        <v>791</v>
      </c>
      <c r="G152" s="22">
        <v>1</v>
      </c>
      <c r="H152" s="22"/>
      <c r="I152" s="22"/>
      <c r="J152" s="22" t="s">
        <v>226</v>
      </c>
      <c r="K152" s="22" t="s">
        <v>226</v>
      </c>
      <c r="L152" s="22"/>
      <c r="M152" s="22"/>
      <c r="N152" s="22"/>
      <c r="O152" s="22"/>
      <c r="P152" s="22"/>
      <c r="Q152" s="22"/>
      <c r="R152" s="22"/>
      <c r="S152" s="22"/>
      <c r="T152" s="37" t="s">
        <v>786</v>
      </c>
      <c r="U152" s="22"/>
      <c r="V152" s="22" t="s">
        <v>226</v>
      </c>
      <c r="W152" s="22"/>
      <c r="X152" s="13"/>
      <c r="Y152" s="13">
        <v>21.8</v>
      </c>
      <c r="Z152" s="13">
        <v>1.08</v>
      </c>
      <c r="AA152" s="38" t="s">
        <v>521</v>
      </c>
    </row>
    <row r="153" spans="1:27" ht="45" x14ac:dyDescent="0.25">
      <c r="A153" s="13">
        <v>8</v>
      </c>
      <c r="B153" s="104" t="s">
        <v>529</v>
      </c>
      <c r="C153" s="36">
        <v>2022</v>
      </c>
      <c r="D153" s="13" t="s">
        <v>204</v>
      </c>
      <c r="E153" s="37" t="s">
        <v>793</v>
      </c>
      <c r="F153" s="37" t="s">
        <v>794</v>
      </c>
      <c r="G153" s="22">
        <v>1</v>
      </c>
      <c r="H153" s="22"/>
      <c r="I153" s="22"/>
      <c r="J153" s="22" t="s">
        <v>226</v>
      </c>
      <c r="K153" s="22" t="s">
        <v>226</v>
      </c>
      <c r="L153" s="22"/>
      <c r="M153" s="22"/>
      <c r="N153" s="22"/>
      <c r="O153" s="22"/>
      <c r="P153" s="22" t="s">
        <v>226</v>
      </c>
      <c r="Q153" s="22" t="s">
        <v>226</v>
      </c>
      <c r="R153" s="22"/>
      <c r="S153" s="22"/>
      <c r="T153" s="37" t="s">
        <v>796</v>
      </c>
      <c r="U153" s="22"/>
      <c r="V153" s="22" t="s">
        <v>226</v>
      </c>
      <c r="W153" s="22" t="s">
        <v>226</v>
      </c>
      <c r="X153" s="13"/>
      <c r="Y153" s="13">
        <v>2.5</v>
      </c>
      <c r="Z153" s="13">
        <v>1.08</v>
      </c>
      <c r="AA153" s="38" t="s">
        <v>521</v>
      </c>
    </row>
    <row r="154" spans="1:27" x14ac:dyDescent="0.25">
      <c r="A154" s="13">
        <v>9</v>
      </c>
      <c r="B154" s="104" t="s">
        <v>530</v>
      </c>
      <c r="C154" s="36"/>
      <c r="D154" s="13" t="s">
        <v>206</v>
      </c>
      <c r="E154" s="37"/>
      <c r="F154" s="37"/>
      <c r="G154" s="22"/>
      <c r="H154" s="22"/>
      <c r="I154" s="22"/>
      <c r="J154" s="22"/>
      <c r="K154" s="22"/>
      <c r="L154" s="22"/>
      <c r="M154" s="22"/>
      <c r="N154" s="22"/>
      <c r="O154" s="22"/>
      <c r="P154" s="22"/>
      <c r="Q154" s="22"/>
      <c r="R154" s="22"/>
      <c r="S154" s="22"/>
      <c r="T154" s="22"/>
      <c r="U154" s="22"/>
      <c r="V154" s="22"/>
      <c r="W154" s="22"/>
      <c r="X154" s="13"/>
      <c r="Y154" s="13"/>
      <c r="Z154" s="13"/>
      <c r="AA154" s="13" t="s">
        <v>521</v>
      </c>
    </row>
    <row r="155" spans="1:27" ht="45" x14ac:dyDescent="0.25">
      <c r="A155" s="13">
        <v>10</v>
      </c>
      <c r="B155" s="104" t="s">
        <v>531</v>
      </c>
      <c r="C155" s="13"/>
      <c r="D155" s="13" t="s">
        <v>215</v>
      </c>
      <c r="E155" s="37"/>
      <c r="F155" s="37"/>
      <c r="G155" s="22"/>
      <c r="H155" s="22"/>
      <c r="I155" s="22"/>
      <c r="J155" s="22"/>
      <c r="K155" s="22"/>
      <c r="L155" s="22"/>
      <c r="M155" s="22"/>
      <c r="N155" s="22"/>
      <c r="O155" s="22"/>
      <c r="P155" s="22"/>
      <c r="Q155" s="22"/>
      <c r="R155" s="22"/>
      <c r="S155" s="22"/>
      <c r="T155" s="22"/>
      <c r="U155" s="22"/>
      <c r="V155" s="22"/>
      <c r="W155" s="22"/>
      <c r="X155" s="37" t="s">
        <v>554</v>
      </c>
      <c r="Y155" s="13"/>
      <c r="Z155" s="13"/>
      <c r="AA155" s="13" t="s">
        <v>521</v>
      </c>
    </row>
    <row r="156" spans="1:27" ht="45" x14ac:dyDescent="0.25">
      <c r="A156" s="13">
        <v>11</v>
      </c>
      <c r="B156" s="104" t="s">
        <v>532</v>
      </c>
      <c r="C156" s="36">
        <v>2014</v>
      </c>
      <c r="D156" s="13" t="s">
        <v>204</v>
      </c>
      <c r="E156" s="37" t="s">
        <v>795</v>
      </c>
      <c r="F156" s="37" t="s">
        <v>797</v>
      </c>
      <c r="G156" s="22">
        <v>1</v>
      </c>
      <c r="H156" s="22" t="s">
        <v>226</v>
      </c>
      <c r="I156" s="22"/>
      <c r="J156" s="22"/>
      <c r="K156" s="22"/>
      <c r="L156" s="22"/>
      <c r="M156" s="22"/>
      <c r="N156" s="22"/>
      <c r="O156" s="22"/>
      <c r="P156" s="22"/>
      <c r="Q156" s="22"/>
      <c r="R156" s="22"/>
      <c r="S156" s="22"/>
      <c r="T156" s="37" t="s">
        <v>798</v>
      </c>
      <c r="U156" s="22"/>
      <c r="V156" s="22"/>
      <c r="W156" s="22"/>
      <c r="X156" s="13"/>
      <c r="Y156" s="13">
        <v>195</v>
      </c>
      <c r="Z156" s="13">
        <v>1.08</v>
      </c>
      <c r="AA156" s="38" t="s">
        <v>521</v>
      </c>
    </row>
    <row r="157" spans="1:27" ht="60" x14ac:dyDescent="0.25">
      <c r="A157" s="13">
        <v>12</v>
      </c>
      <c r="B157" s="104" t="s">
        <v>533</v>
      </c>
      <c r="C157" s="36">
        <v>2022</v>
      </c>
      <c r="D157" s="13" t="s">
        <v>204</v>
      </c>
      <c r="E157" s="37" t="s">
        <v>799</v>
      </c>
      <c r="F157" s="37" t="s">
        <v>800</v>
      </c>
      <c r="G157" s="22">
        <v>1</v>
      </c>
      <c r="H157" s="22"/>
      <c r="I157" s="22"/>
      <c r="J157" s="22" t="s">
        <v>226</v>
      </c>
      <c r="K157" s="22" t="s">
        <v>226</v>
      </c>
      <c r="L157" s="22" t="s">
        <v>226</v>
      </c>
      <c r="M157" s="22"/>
      <c r="N157" s="22"/>
      <c r="O157" s="22" t="s">
        <v>226</v>
      </c>
      <c r="P157" s="22"/>
      <c r="Q157" s="22"/>
      <c r="R157" s="22"/>
      <c r="S157" s="22"/>
      <c r="T157" s="37" t="s">
        <v>796</v>
      </c>
      <c r="U157" s="22"/>
      <c r="V157" s="22" t="s">
        <v>226</v>
      </c>
      <c r="W157" s="22" t="s">
        <v>226</v>
      </c>
      <c r="X157" s="13"/>
      <c r="Y157" s="13">
        <v>0.6</v>
      </c>
      <c r="Z157" s="13">
        <v>1.08</v>
      </c>
      <c r="AA157" s="38" t="s">
        <v>521</v>
      </c>
    </row>
    <row r="158" spans="1:27" x14ac:dyDescent="0.25">
      <c r="A158" s="13">
        <v>13</v>
      </c>
      <c r="B158" s="104" t="s">
        <v>534</v>
      </c>
      <c r="C158" s="36"/>
      <c r="D158" s="13" t="s">
        <v>206</v>
      </c>
      <c r="E158" s="37"/>
      <c r="F158" s="37"/>
      <c r="G158" s="22"/>
      <c r="H158" s="22"/>
      <c r="I158" s="22"/>
      <c r="J158" s="22"/>
      <c r="K158" s="22"/>
      <c r="L158" s="22"/>
      <c r="M158" s="22"/>
      <c r="N158" s="22"/>
      <c r="O158" s="22"/>
      <c r="P158" s="22"/>
      <c r="Q158" s="22"/>
      <c r="R158" s="22"/>
      <c r="S158" s="22"/>
      <c r="T158" s="22"/>
      <c r="U158" s="22"/>
      <c r="V158" s="22"/>
      <c r="W158" s="22"/>
      <c r="X158" s="13"/>
      <c r="Y158" s="13"/>
      <c r="Z158" s="13"/>
      <c r="AA158" s="13" t="s">
        <v>521</v>
      </c>
    </row>
    <row r="159" spans="1:27" ht="135" x14ac:dyDescent="0.25">
      <c r="A159" s="13">
        <v>14</v>
      </c>
      <c r="B159" s="104" t="s">
        <v>535</v>
      </c>
      <c r="C159" s="13"/>
      <c r="D159" s="13" t="s">
        <v>215</v>
      </c>
      <c r="E159" s="37"/>
      <c r="F159" s="37"/>
      <c r="G159" s="22"/>
      <c r="H159" s="22"/>
      <c r="I159" s="22"/>
      <c r="J159" s="22"/>
      <c r="K159" s="22"/>
      <c r="L159" s="22"/>
      <c r="M159" s="22"/>
      <c r="N159" s="22"/>
      <c r="O159" s="22"/>
      <c r="P159" s="22"/>
      <c r="Q159" s="22"/>
      <c r="R159" s="22"/>
      <c r="S159" s="22"/>
      <c r="T159" s="22"/>
      <c r="U159" s="22"/>
      <c r="V159" s="22"/>
      <c r="W159" s="22"/>
      <c r="X159" s="37" t="s">
        <v>555</v>
      </c>
      <c r="Y159" s="13"/>
      <c r="Z159" s="13"/>
      <c r="AA159" s="13" t="s">
        <v>521</v>
      </c>
    </row>
    <row r="160" spans="1:27" ht="60" x14ac:dyDescent="0.25">
      <c r="A160" s="13">
        <v>15</v>
      </c>
      <c r="B160" s="104" t="s">
        <v>536</v>
      </c>
      <c r="C160" s="13"/>
      <c r="D160" s="13" t="s">
        <v>215</v>
      </c>
      <c r="E160" s="37"/>
      <c r="F160" s="37"/>
      <c r="G160" s="22"/>
      <c r="H160" s="22"/>
      <c r="I160" s="22"/>
      <c r="J160" s="22"/>
      <c r="K160" s="22"/>
      <c r="L160" s="22"/>
      <c r="M160" s="22"/>
      <c r="N160" s="22"/>
      <c r="O160" s="22"/>
      <c r="P160" s="22"/>
      <c r="Q160" s="22"/>
      <c r="R160" s="22"/>
      <c r="S160" s="22"/>
      <c r="T160" s="22"/>
      <c r="U160" s="22"/>
      <c r="V160" s="22"/>
      <c r="W160" s="22"/>
      <c r="X160" s="37" t="s">
        <v>556</v>
      </c>
      <c r="Y160" s="13"/>
      <c r="Z160" s="13"/>
      <c r="AA160" s="13" t="s">
        <v>521</v>
      </c>
    </row>
    <row r="161" spans="1:27" x14ac:dyDescent="0.25">
      <c r="A161" s="13">
        <v>16</v>
      </c>
      <c r="B161" s="104" t="s">
        <v>537</v>
      </c>
      <c r="C161" s="36"/>
      <c r="D161" s="13" t="s">
        <v>206</v>
      </c>
      <c r="E161" s="37"/>
      <c r="F161" s="37"/>
      <c r="G161" s="22"/>
      <c r="H161" s="22"/>
      <c r="I161" s="22"/>
      <c r="J161" s="22"/>
      <c r="K161" s="22"/>
      <c r="L161" s="22"/>
      <c r="M161" s="22"/>
      <c r="N161" s="22"/>
      <c r="O161" s="22"/>
      <c r="P161" s="22"/>
      <c r="Q161" s="22"/>
      <c r="R161" s="22"/>
      <c r="S161" s="22"/>
      <c r="T161" s="22"/>
      <c r="U161" s="22"/>
      <c r="V161" s="22"/>
      <c r="W161" s="22"/>
      <c r="X161" s="13"/>
      <c r="Y161" s="13"/>
      <c r="Z161" s="13"/>
      <c r="AA161" s="13" t="s">
        <v>521</v>
      </c>
    </row>
    <row r="162" spans="1:27" x14ac:dyDescent="0.25">
      <c r="A162" s="13">
        <v>17</v>
      </c>
      <c r="B162" s="104" t="s">
        <v>538</v>
      </c>
      <c r="C162" s="36"/>
      <c r="D162" s="13" t="s">
        <v>206</v>
      </c>
      <c r="E162" s="37"/>
      <c r="F162" s="37"/>
      <c r="G162" s="22"/>
      <c r="H162" s="22"/>
      <c r="I162" s="22"/>
      <c r="J162" s="22"/>
      <c r="K162" s="22"/>
      <c r="L162" s="22"/>
      <c r="M162" s="22"/>
      <c r="N162" s="22"/>
      <c r="O162" s="22"/>
      <c r="P162" s="22"/>
      <c r="Q162" s="22"/>
      <c r="R162" s="22"/>
      <c r="S162" s="22"/>
      <c r="T162" s="22"/>
      <c r="U162" s="22"/>
      <c r="V162" s="22"/>
      <c r="W162" s="22"/>
      <c r="X162" s="13"/>
      <c r="Y162" s="13"/>
      <c r="Z162" s="13"/>
      <c r="AA162" s="13" t="s">
        <v>521</v>
      </c>
    </row>
    <row r="163" spans="1:27" ht="45" x14ac:dyDescent="0.25">
      <c r="A163" s="13">
        <v>18</v>
      </c>
      <c r="B163" s="104" t="s">
        <v>539</v>
      </c>
      <c r="C163" s="13"/>
      <c r="D163" s="13" t="s">
        <v>215</v>
      </c>
      <c r="E163" s="37"/>
      <c r="F163" s="37"/>
      <c r="G163" s="22"/>
      <c r="H163" s="22"/>
      <c r="I163" s="22"/>
      <c r="J163" s="22"/>
      <c r="K163" s="22"/>
      <c r="L163" s="22"/>
      <c r="M163" s="22"/>
      <c r="N163" s="22"/>
      <c r="O163" s="22"/>
      <c r="P163" s="22"/>
      <c r="Q163" s="22"/>
      <c r="R163" s="22"/>
      <c r="S163" s="22"/>
      <c r="T163" s="22"/>
      <c r="U163" s="22"/>
      <c r="V163" s="22"/>
      <c r="W163" s="22"/>
      <c r="X163" s="37" t="s">
        <v>557</v>
      </c>
      <c r="Y163" s="13"/>
      <c r="Z163" s="13"/>
      <c r="AA163" s="13" t="s">
        <v>521</v>
      </c>
    </row>
    <row r="164" spans="1:27" x14ac:dyDescent="0.25">
      <c r="A164" s="13">
        <v>19</v>
      </c>
      <c r="B164" s="104" t="s">
        <v>540</v>
      </c>
      <c r="C164" s="36"/>
      <c r="D164" s="13" t="s">
        <v>206</v>
      </c>
      <c r="E164" s="37"/>
      <c r="F164" s="37"/>
      <c r="G164" s="22"/>
      <c r="H164" s="22"/>
      <c r="I164" s="22"/>
      <c r="J164" s="22"/>
      <c r="K164" s="22"/>
      <c r="L164" s="22"/>
      <c r="M164" s="22"/>
      <c r="N164" s="22"/>
      <c r="O164" s="22"/>
      <c r="P164" s="22"/>
      <c r="Q164" s="22"/>
      <c r="R164" s="22"/>
      <c r="S164" s="22"/>
      <c r="T164" s="22"/>
      <c r="U164" s="22"/>
      <c r="V164" s="22"/>
      <c r="W164" s="22"/>
      <c r="X164" s="13"/>
      <c r="Y164" s="13"/>
      <c r="Z164" s="13"/>
      <c r="AA164" s="13" t="s">
        <v>521</v>
      </c>
    </row>
    <row r="165" spans="1:27" ht="60" customHeight="1" x14ac:dyDescent="0.25">
      <c r="A165" s="13">
        <v>20</v>
      </c>
      <c r="B165" s="104" t="s">
        <v>541</v>
      </c>
      <c r="C165" s="36">
        <v>2019</v>
      </c>
      <c r="D165" s="13" t="s">
        <v>204</v>
      </c>
      <c r="E165" s="37" t="s">
        <v>801</v>
      </c>
      <c r="F165" s="37" t="s">
        <v>803</v>
      </c>
      <c r="G165" s="22">
        <v>0</v>
      </c>
      <c r="H165" s="22" t="s">
        <v>226</v>
      </c>
      <c r="I165" s="22"/>
      <c r="J165" s="22" t="s">
        <v>226</v>
      </c>
      <c r="K165" s="22" t="s">
        <v>226</v>
      </c>
      <c r="L165" s="22" t="s">
        <v>226</v>
      </c>
      <c r="M165" s="22"/>
      <c r="N165" s="22"/>
      <c r="O165" s="22" t="s">
        <v>226</v>
      </c>
      <c r="P165" s="22"/>
      <c r="Q165" s="22"/>
      <c r="R165" s="22"/>
      <c r="S165" s="22"/>
      <c r="T165" s="37" t="s">
        <v>802</v>
      </c>
      <c r="U165" s="22"/>
      <c r="V165" s="22" t="s">
        <v>226</v>
      </c>
      <c r="W165" s="22"/>
      <c r="X165" s="13"/>
      <c r="Y165" s="13">
        <v>20.6</v>
      </c>
      <c r="Z165" s="13">
        <v>1.08</v>
      </c>
      <c r="AA165" s="38" t="s">
        <v>521</v>
      </c>
    </row>
    <row r="166" spans="1:27" ht="45" x14ac:dyDescent="0.25">
      <c r="A166" s="13">
        <v>21</v>
      </c>
      <c r="B166" s="104" t="s">
        <v>542</v>
      </c>
      <c r="C166" s="13"/>
      <c r="D166" s="13" t="s">
        <v>215</v>
      </c>
      <c r="E166" s="37"/>
      <c r="F166" s="37"/>
      <c r="G166" s="22"/>
      <c r="H166" s="22"/>
      <c r="I166" s="22"/>
      <c r="J166" s="22"/>
      <c r="K166" s="22"/>
      <c r="L166" s="22"/>
      <c r="M166" s="22"/>
      <c r="N166" s="22"/>
      <c r="O166" s="22"/>
      <c r="P166" s="22"/>
      <c r="Q166" s="22"/>
      <c r="R166" s="22"/>
      <c r="S166" s="22"/>
      <c r="T166" s="22"/>
      <c r="U166" s="22"/>
      <c r="V166" s="22"/>
      <c r="W166" s="22"/>
      <c r="X166" s="37" t="s">
        <v>558</v>
      </c>
      <c r="Y166" s="13"/>
      <c r="Z166" s="13"/>
      <c r="AA166" s="13" t="s">
        <v>521</v>
      </c>
    </row>
    <row r="167" spans="1:27" x14ac:dyDescent="0.25">
      <c r="A167" s="13">
        <v>22</v>
      </c>
      <c r="B167" s="104" t="s">
        <v>543</v>
      </c>
      <c r="C167" s="36"/>
      <c r="D167" s="13" t="s">
        <v>206</v>
      </c>
      <c r="E167" s="37"/>
      <c r="F167" s="37"/>
      <c r="G167" s="22"/>
      <c r="H167" s="22"/>
      <c r="I167" s="22"/>
      <c r="J167" s="22"/>
      <c r="K167" s="22"/>
      <c r="L167" s="22"/>
      <c r="M167" s="22"/>
      <c r="N167" s="22"/>
      <c r="O167" s="22"/>
      <c r="P167" s="22"/>
      <c r="Q167" s="22"/>
      <c r="R167" s="22"/>
      <c r="S167" s="22"/>
      <c r="T167" s="22"/>
      <c r="U167" s="22"/>
      <c r="V167" s="22"/>
      <c r="W167" s="22"/>
      <c r="X167" s="13"/>
      <c r="Y167" s="13"/>
      <c r="Z167" s="13"/>
      <c r="AA167" s="13" t="s">
        <v>521</v>
      </c>
    </row>
    <row r="168" spans="1:27" x14ac:dyDescent="0.25">
      <c r="A168" s="13">
        <v>23</v>
      </c>
      <c r="B168" s="104" t="s">
        <v>544</v>
      </c>
      <c r="C168" s="36"/>
      <c r="D168" s="13" t="s">
        <v>206</v>
      </c>
      <c r="E168" s="37"/>
      <c r="F168" s="37"/>
      <c r="G168" s="22"/>
      <c r="H168" s="22"/>
      <c r="I168" s="22"/>
      <c r="J168" s="22"/>
      <c r="K168" s="22"/>
      <c r="L168" s="22"/>
      <c r="M168" s="22"/>
      <c r="N168" s="22"/>
      <c r="O168" s="22"/>
      <c r="P168" s="22"/>
      <c r="Q168" s="22"/>
      <c r="R168" s="22"/>
      <c r="S168" s="22"/>
      <c r="T168" s="22"/>
      <c r="U168" s="22"/>
      <c r="V168" s="22"/>
      <c r="W168" s="22"/>
      <c r="X168" s="13"/>
      <c r="Y168" s="13"/>
      <c r="Z168" s="13"/>
      <c r="AA168" s="13" t="s">
        <v>521</v>
      </c>
    </row>
    <row r="169" spans="1:27" ht="60" x14ac:dyDescent="0.25">
      <c r="A169" s="13">
        <v>24</v>
      </c>
      <c r="B169" s="104" t="s">
        <v>545</v>
      </c>
      <c r="C169" s="13"/>
      <c r="D169" s="13" t="s">
        <v>215</v>
      </c>
      <c r="E169" s="37"/>
      <c r="F169" s="37"/>
      <c r="G169" s="22"/>
      <c r="H169" s="22"/>
      <c r="I169" s="22"/>
      <c r="J169" s="22"/>
      <c r="K169" s="22"/>
      <c r="L169" s="22"/>
      <c r="M169" s="22"/>
      <c r="N169" s="22"/>
      <c r="O169" s="22"/>
      <c r="P169" s="22"/>
      <c r="Q169" s="22"/>
      <c r="R169" s="22"/>
      <c r="S169" s="22"/>
      <c r="T169" s="22"/>
      <c r="U169" s="22"/>
      <c r="V169" s="22"/>
      <c r="W169" s="22"/>
      <c r="X169" s="37" t="s">
        <v>559</v>
      </c>
      <c r="Y169" s="13"/>
      <c r="Z169" s="13"/>
      <c r="AA169" s="13" t="s">
        <v>521</v>
      </c>
    </row>
    <row r="170" spans="1:27" x14ac:dyDescent="0.25">
      <c r="A170" s="13">
        <v>25</v>
      </c>
      <c r="B170" s="104" t="s">
        <v>546</v>
      </c>
      <c r="C170" s="36"/>
      <c r="D170" s="13" t="s">
        <v>206</v>
      </c>
      <c r="E170" s="37"/>
      <c r="F170" s="37"/>
      <c r="G170" s="22"/>
      <c r="H170" s="22"/>
      <c r="I170" s="22"/>
      <c r="J170" s="22"/>
      <c r="K170" s="22"/>
      <c r="L170" s="22"/>
      <c r="M170" s="22"/>
      <c r="N170" s="22"/>
      <c r="O170" s="22"/>
      <c r="P170" s="22"/>
      <c r="Q170" s="22"/>
      <c r="R170" s="22"/>
      <c r="S170" s="22"/>
      <c r="T170" s="22"/>
      <c r="U170" s="22"/>
      <c r="V170" s="22"/>
      <c r="W170" s="22"/>
      <c r="X170" s="13"/>
      <c r="Y170" s="13"/>
      <c r="Z170" s="13"/>
      <c r="AA170" s="13" t="s">
        <v>521</v>
      </c>
    </row>
    <row r="171" spans="1:27" ht="28.5" customHeight="1" x14ac:dyDescent="0.25">
      <c r="A171" s="13">
        <v>26</v>
      </c>
      <c r="B171" s="104" t="s">
        <v>547</v>
      </c>
      <c r="C171" s="36">
        <v>2019</v>
      </c>
      <c r="D171" s="13" t="s">
        <v>204</v>
      </c>
      <c r="E171" s="37" t="s">
        <v>804</v>
      </c>
      <c r="F171" s="37" t="s">
        <v>805</v>
      </c>
      <c r="G171" s="22">
        <v>1</v>
      </c>
      <c r="H171" s="22" t="s">
        <v>226</v>
      </c>
      <c r="I171" s="22"/>
      <c r="J171" s="22"/>
      <c r="K171" s="22"/>
      <c r="L171" s="22" t="s">
        <v>226</v>
      </c>
      <c r="M171" s="22"/>
      <c r="N171" s="22"/>
      <c r="O171" s="22" t="s">
        <v>226</v>
      </c>
      <c r="P171" s="22"/>
      <c r="Q171" s="22"/>
      <c r="R171" s="22"/>
      <c r="S171" s="22"/>
      <c r="T171" s="37" t="s">
        <v>344</v>
      </c>
      <c r="U171" s="22"/>
      <c r="V171" s="22"/>
      <c r="W171" s="22" t="s">
        <v>226</v>
      </c>
      <c r="X171" s="13"/>
      <c r="Y171" s="13">
        <v>23.2</v>
      </c>
      <c r="Z171" s="13">
        <v>1.08</v>
      </c>
      <c r="AA171" s="38" t="s">
        <v>521</v>
      </c>
    </row>
    <row r="172" spans="1:27" x14ac:dyDescent="0.25">
      <c r="A172" s="13">
        <v>27</v>
      </c>
      <c r="B172" s="104" t="s">
        <v>548</v>
      </c>
      <c r="C172" s="36"/>
      <c r="D172" s="13" t="s">
        <v>206</v>
      </c>
      <c r="E172" s="37"/>
      <c r="F172" s="37"/>
      <c r="G172" s="22"/>
      <c r="H172" s="22"/>
      <c r="I172" s="22"/>
      <c r="J172" s="22"/>
      <c r="K172" s="22"/>
      <c r="L172" s="22"/>
      <c r="M172" s="22"/>
      <c r="N172" s="22"/>
      <c r="O172" s="22"/>
      <c r="P172" s="22"/>
      <c r="Q172" s="22"/>
      <c r="R172" s="22"/>
      <c r="S172" s="22"/>
      <c r="T172" s="22"/>
      <c r="U172" s="22"/>
      <c r="V172" s="22"/>
      <c r="W172" s="22"/>
      <c r="X172" s="13"/>
      <c r="Y172" s="13"/>
      <c r="Z172" s="13"/>
      <c r="AA172" s="13" t="s">
        <v>521</v>
      </c>
    </row>
    <row r="173" spans="1:27" ht="45" x14ac:dyDescent="0.25">
      <c r="A173" s="13">
        <v>28</v>
      </c>
      <c r="B173" s="104" t="s">
        <v>549</v>
      </c>
      <c r="C173" s="36">
        <v>2017</v>
      </c>
      <c r="D173" s="13" t="s">
        <v>204</v>
      </c>
      <c r="E173" s="37" t="s">
        <v>806</v>
      </c>
      <c r="F173" s="37" t="s">
        <v>808</v>
      </c>
      <c r="G173" s="22">
        <v>1</v>
      </c>
      <c r="H173" s="22"/>
      <c r="I173" s="22" t="s">
        <v>226</v>
      </c>
      <c r="J173" s="22"/>
      <c r="K173" s="22"/>
      <c r="L173" s="22"/>
      <c r="M173" s="22"/>
      <c r="N173" s="22" t="s">
        <v>226</v>
      </c>
      <c r="O173" s="22" t="s">
        <v>226</v>
      </c>
      <c r="P173" s="22"/>
      <c r="Q173" s="22"/>
      <c r="R173" s="22"/>
      <c r="S173" s="22" t="s">
        <v>226</v>
      </c>
      <c r="T173" s="37" t="s">
        <v>807</v>
      </c>
      <c r="U173" s="22"/>
      <c r="V173" s="22"/>
      <c r="W173" s="22" t="s">
        <v>226</v>
      </c>
      <c r="X173" s="13"/>
      <c r="Y173" s="13">
        <v>18.399999999999999</v>
      </c>
      <c r="Z173" s="13">
        <v>1.08</v>
      </c>
      <c r="AA173" s="38" t="s">
        <v>521</v>
      </c>
    </row>
    <row r="174" spans="1:27" ht="60" x14ac:dyDescent="0.25">
      <c r="A174" s="13">
        <v>29</v>
      </c>
      <c r="B174" s="104" t="s">
        <v>550</v>
      </c>
      <c r="C174" s="36">
        <v>2017</v>
      </c>
      <c r="D174" s="13" t="s">
        <v>204</v>
      </c>
      <c r="E174" s="37" t="s">
        <v>809</v>
      </c>
      <c r="F174" s="37" t="s">
        <v>812</v>
      </c>
      <c r="G174" s="22">
        <v>1</v>
      </c>
      <c r="H174" s="22" t="s">
        <v>226</v>
      </c>
      <c r="I174" s="22"/>
      <c r="J174" s="22"/>
      <c r="K174" s="22"/>
      <c r="L174" s="22" t="s">
        <v>226</v>
      </c>
      <c r="M174" s="22"/>
      <c r="N174" s="22"/>
      <c r="O174" s="22" t="s">
        <v>226</v>
      </c>
      <c r="P174" s="22"/>
      <c r="Q174" s="22"/>
      <c r="R174" s="22" t="s">
        <v>226</v>
      </c>
      <c r="S174" s="22"/>
      <c r="T174" s="37" t="s">
        <v>810</v>
      </c>
      <c r="U174" s="22"/>
      <c r="V174" s="22"/>
      <c r="W174" s="22" t="s">
        <v>226</v>
      </c>
      <c r="X174" s="38" t="s">
        <v>811</v>
      </c>
      <c r="Y174" s="13">
        <v>32.1</v>
      </c>
      <c r="Z174" s="13">
        <v>1.08</v>
      </c>
      <c r="AA174" s="38" t="s">
        <v>521</v>
      </c>
    </row>
    <row r="175" spans="1:27" x14ac:dyDescent="0.25">
      <c r="A175" s="13">
        <v>30</v>
      </c>
      <c r="B175" s="104" t="s">
        <v>551</v>
      </c>
      <c r="C175" s="36"/>
      <c r="D175" s="13" t="s">
        <v>206</v>
      </c>
      <c r="E175" s="37"/>
      <c r="F175" s="37"/>
      <c r="G175" s="22"/>
      <c r="H175" s="22"/>
      <c r="I175" s="22"/>
      <c r="J175" s="22"/>
      <c r="K175" s="22"/>
      <c r="L175" s="22"/>
      <c r="M175" s="22"/>
      <c r="N175" s="22"/>
      <c r="O175" s="22"/>
      <c r="P175" s="22"/>
      <c r="Q175" s="22"/>
      <c r="R175" s="22"/>
      <c r="S175" s="22"/>
      <c r="T175" s="22"/>
      <c r="U175" s="22"/>
      <c r="V175" s="22"/>
      <c r="W175" s="22"/>
      <c r="X175" s="13"/>
      <c r="Y175" s="13"/>
      <c r="Z175" s="13"/>
      <c r="AA175" s="13" t="s">
        <v>521</v>
      </c>
    </row>
    <row r="176" spans="1:27" x14ac:dyDescent="0.25">
      <c r="A176" s="13">
        <v>31</v>
      </c>
      <c r="B176" s="104" t="s">
        <v>552</v>
      </c>
      <c r="C176" s="36"/>
      <c r="D176" s="13" t="s">
        <v>206</v>
      </c>
      <c r="E176" s="37"/>
      <c r="F176" s="37"/>
      <c r="G176" s="22"/>
      <c r="H176" s="22"/>
      <c r="I176" s="22"/>
      <c r="J176" s="22"/>
      <c r="K176" s="22"/>
      <c r="L176" s="22"/>
      <c r="M176" s="22"/>
      <c r="N176" s="22"/>
      <c r="O176" s="22"/>
      <c r="P176" s="22"/>
      <c r="Q176" s="22"/>
      <c r="R176" s="22"/>
      <c r="S176" s="22"/>
      <c r="T176" s="22"/>
      <c r="U176" s="22"/>
      <c r="V176" s="22"/>
      <c r="W176" s="22"/>
      <c r="X176" s="13"/>
      <c r="Y176" s="13"/>
      <c r="Z176" s="13"/>
      <c r="AA176" s="13" t="s">
        <v>521</v>
      </c>
    </row>
    <row r="177" spans="1:27" x14ac:dyDescent="0.25">
      <c r="A177" s="13">
        <v>32</v>
      </c>
      <c r="B177" s="104" t="s">
        <v>553</v>
      </c>
      <c r="C177" s="36"/>
      <c r="D177" s="13" t="s">
        <v>206</v>
      </c>
      <c r="E177" s="37"/>
      <c r="F177" s="37"/>
      <c r="G177" s="22"/>
      <c r="H177" s="22"/>
      <c r="I177" s="22"/>
      <c r="J177" s="22"/>
      <c r="K177" s="22"/>
      <c r="L177" s="22"/>
      <c r="M177" s="22"/>
      <c r="N177" s="22"/>
      <c r="O177" s="22"/>
      <c r="P177" s="22"/>
      <c r="Q177" s="22"/>
      <c r="R177" s="22"/>
      <c r="S177" s="22"/>
      <c r="T177" s="22"/>
      <c r="U177" s="22"/>
      <c r="V177" s="22"/>
      <c r="W177" s="22"/>
      <c r="X177" s="13"/>
      <c r="Y177" s="13"/>
      <c r="Z177" s="13"/>
      <c r="AA177" s="13" t="s">
        <v>521</v>
      </c>
    </row>
    <row r="178" spans="1:27" x14ac:dyDescent="0.25">
      <c r="A178" s="13">
        <v>1</v>
      </c>
      <c r="B178" s="104" t="s">
        <v>561</v>
      </c>
      <c r="C178" s="36"/>
      <c r="D178" s="13" t="s">
        <v>206</v>
      </c>
      <c r="E178" s="37"/>
      <c r="F178" s="37"/>
      <c r="G178" s="22"/>
      <c r="H178" s="22"/>
      <c r="I178" s="22"/>
      <c r="J178" s="22"/>
      <c r="K178" s="22"/>
      <c r="L178" s="22"/>
      <c r="M178" s="22"/>
      <c r="N178" s="22"/>
      <c r="O178" s="22"/>
      <c r="P178" s="22"/>
      <c r="Q178" s="22"/>
      <c r="R178" s="22"/>
      <c r="S178" s="22"/>
      <c r="T178" s="22"/>
      <c r="U178" s="22"/>
      <c r="V178" s="22"/>
      <c r="W178" s="22"/>
      <c r="X178" s="13"/>
      <c r="Y178" s="13"/>
      <c r="Z178" s="13"/>
      <c r="AA178" s="13" t="s">
        <v>651</v>
      </c>
    </row>
    <row r="179" spans="1:27" ht="45" x14ac:dyDescent="0.25">
      <c r="A179" s="13">
        <v>2</v>
      </c>
      <c r="B179" s="104" t="s">
        <v>562</v>
      </c>
      <c r="C179" s="36">
        <v>2023</v>
      </c>
      <c r="D179" s="13" t="s">
        <v>204</v>
      </c>
      <c r="E179" s="37" t="s">
        <v>813</v>
      </c>
      <c r="F179" s="37" t="s">
        <v>743</v>
      </c>
      <c r="G179" s="22">
        <v>1</v>
      </c>
      <c r="H179" s="22"/>
      <c r="I179" s="22"/>
      <c r="J179" s="22"/>
      <c r="K179" s="22" t="s">
        <v>226</v>
      </c>
      <c r="L179" s="22" t="s">
        <v>226</v>
      </c>
      <c r="M179" s="22"/>
      <c r="N179" s="22" t="s">
        <v>226</v>
      </c>
      <c r="O179" s="22"/>
      <c r="P179" s="22"/>
      <c r="Q179" s="22"/>
      <c r="R179" s="22"/>
      <c r="S179" s="22"/>
      <c r="T179" s="37" t="s">
        <v>810</v>
      </c>
      <c r="U179" s="22"/>
      <c r="V179" s="22"/>
      <c r="W179" s="22" t="s">
        <v>226</v>
      </c>
      <c r="X179" s="13"/>
      <c r="Y179" s="13">
        <v>1.7</v>
      </c>
      <c r="Z179" s="13">
        <v>0.46</v>
      </c>
      <c r="AA179" s="38" t="s">
        <v>651</v>
      </c>
    </row>
    <row r="180" spans="1:27" x14ac:dyDescent="0.25">
      <c r="A180" s="13">
        <v>3</v>
      </c>
      <c r="B180" s="104" t="s">
        <v>563</v>
      </c>
      <c r="C180" s="36"/>
      <c r="D180" s="13" t="s">
        <v>206</v>
      </c>
      <c r="E180" s="37"/>
      <c r="F180" s="37"/>
      <c r="G180" s="22"/>
      <c r="H180" s="22"/>
      <c r="I180" s="22"/>
      <c r="J180" s="22"/>
      <c r="K180" s="22"/>
      <c r="L180" s="22"/>
      <c r="M180" s="22"/>
      <c r="N180" s="22"/>
      <c r="O180" s="22"/>
      <c r="P180" s="22"/>
      <c r="Q180" s="22"/>
      <c r="R180" s="22"/>
      <c r="S180" s="22"/>
      <c r="T180" s="22"/>
      <c r="U180" s="22"/>
      <c r="V180" s="22"/>
      <c r="W180" s="22"/>
      <c r="X180" s="13"/>
      <c r="Y180" s="13"/>
      <c r="Z180" s="13"/>
      <c r="AA180" s="13" t="s">
        <v>651</v>
      </c>
    </row>
    <row r="181" spans="1:27" ht="45" x14ac:dyDescent="0.25">
      <c r="A181" s="13">
        <v>4</v>
      </c>
      <c r="B181" s="104" t="s">
        <v>564</v>
      </c>
      <c r="C181" s="36">
        <v>2018</v>
      </c>
      <c r="D181" s="13" t="s">
        <v>204</v>
      </c>
      <c r="E181" s="37" t="s">
        <v>814</v>
      </c>
      <c r="F181" s="37" t="s">
        <v>743</v>
      </c>
      <c r="G181" s="22">
        <v>1</v>
      </c>
      <c r="H181" s="22"/>
      <c r="I181" s="22"/>
      <c r="J181" s="22" t="s">
        <v>226</v>
      </c>
      <c r="K181" s="22" t="s">
        <v>226</v>
      </c>
      <c r="L181" s="22"/>
      <c r="M181" s="22"/>
      <c r="N181" s="22"/>
      <c r="O181" s="22" t="s">
        <v>226</v>
      </c>
      <c r="P181" s="22" t="s">
        <v>226</v>
      </c>
      <c r="Q181" s="22"/>
      <c r="R181" s="22"/>
      <c r="S181" s="22"/>
      <c r="T181" s="37" t="s">
        <v>810</v>
      </c>
      <c r="U181" s="22"/>
      <c r="V181" s="22"/>
      <c r="W181" s="22" t="s">
        <v>226</v>
      </c>
      <c r="X181" s="13"/>
      <c r="Y181" s="13">
        <v>26.8</v>
      </c>
      <c r="Z181" s="13">
        <v>0.46</v>
      </c>
      <c r="AA181" s="38" t="s">
        <v>651</v>
      </c>
    </row>
    <row r="182" spans="1:27" x14ac:dyDescent="0.25">
      <c r="A182" s="13">
        <v>5</v>
      </c>
      <c r="B182" s="104" t="s">
        <v>565</v>
      </c>
      <c r="C182" s="36"/>
      <c r="D182" s="13" t="s">
        <v>206</v>
      </c>
      <c r="E182" s="37"/>
      <c r="F182" s="37"/>
      <c r="G182" s="22"/>
      <c r="H182" s="22"/>
      <c r="I182" s="22"/>
      <c r="J182" s="22"/>
      <c r="K182" s="22"/>
      <c r="L182" s="22"/>
      <c r="M182" s="22"/>
      <c r="N182" s="22"/>
      <c r="O182" s="22"/>
      <c r="P182" s="22"/>
      <c r="Q182" s="22"/>
      <c r="R182" s="22"/>
      <c r="S182" s="22"/>
      <c r="T182" s="22"/>
      <c r="U182" s="22"/>
      <c r="V182" s="22"/>
      <c r="W182" s="22"/>
      <c r="X182" s="13"/>
      <c r="Y182" s="13"/>
      <c r="Z182" s="13"/>
      <c r="AA182" s="13" t="s">
        <v>651</v>
      </c>
    </row>
    <row r="183" spans="1:27" ht="44.25" customHeight="1" x14ac:dyDescent="0.25">
      <c r="A183" s="13">
        <v>6</v>
      </c>
      <c r="B183" s="107" t="s">
        <v>652</v>
      </c>
      <c r="C183" s="36">
        <v>2022</v>
      </c>
      <c r="D183" s="13" t="s">
        <v>204</v>
      </c>
      <c r="E183" s="37" t="s">
        <v>815</v>
      </c>
      <c r="F183" s="37" t="s">
        <v>743</v>
      </c>
      <c r="G183" s="22">
        <v>1</v>
      </c>
      <c r="H183" s="22"/>
      <c r="I183" s="22"/>
      <c r="J183" s="22" t="s">
        <v>226</v>
      </c>
      <c r="K183" s="22" t="s">
        <v>226</v>
      </c>
      <c r="L183" s="22"/>
      <c r="M183" s="22"/>
      <c r="N183" s="22"/>
      <c r="O183" s="22" t="s">
        <v>226</v>
      </c>
      <c r="P183" s="22"/>
      <c r="Q183" s="22"/>
      <c r="R183" s="22"/>
      <c r="S183" s="22"/>
      <c r="T183" s="37" t="s">
        <v>810</v>
      </c>
      <c r="U183" s="22"/>
      <c r="V183" s="22"/>
      <c r="W183" s="22" t="s">
        <v>226</v>
      </c>
      <c r="X183" s="13"/>
      <c r="Y183" s="13">
        <v>0.7</v>
      </c>
      <c r="Z183" s="13">
        <v>0.46</v>
      </c>
      <c r="AA183" s="38" t="s">
        <v>651</v>
      </c>
    </row>
    <row r="184" spans="1:27" ht="75" x14ac:dyDescent="0.25">
      <c r="A184" s="13">
        <v>7</v>
      </c>
      <c r="B184" s="104" t="s">
        <v>566</v>
      </c>
      <c r="C184" s="13"/>
      <c r="D184" s="13" t="s">
        <v>215</v>
      </c>
      <c r="E184" s="37"/>
      <c r="F184" s="37"/>
      <c r="G184" s="22"/>
      <c r="H184" s="22"/>
      <c r="I184" s="22"/>
      <c r="J184" s="22"/>
      <c r="K184" s="22"/>
      <c r="L184" s="22"/>
      <c r="M184" s="22"/>
      <c r="N184" s="22"/>
      <c r="O184" s="22"/>
      <c r="P184" s="22"/>
      <c r="Q184" s="22"/>
      <c r="R184" s="22"/>
      <c r="S184" s="22"/>
      <c r="T184" s="22"/>
      <c r="U184" s="22"/>
      <c r="V184" s="22"/>
      <c r="W184" s="22"/>
      <c r="X184" s="37" t="s">
        <v>655</v>
      </c>
      <c r="Y184" s="13"/>
      <c r="Z184" s="13"/>
      <c r="AA184" s="13" t="s">
        <v>651</v>
      </c>
    </row>
    <row r="185" spans="1:27" x14ac:dyDescent="0.25">
      <c r="A185" s="13">
        <v>8</v>
      </c>
      <c r="B185" s="104" t="s">
        <v>567</v>
      </c>
      <c r="C185" s="36"/>
      <c r="D185" s="13" t="s">
        <v>206</v>
      </c>
      <c r="E185" s="37"/>
      <c r="F185" s="37"/>
      <c r="G185" s="22"/>
      <c r="H185" s="22"/>
      <c r="I185" s="22"/>
      <c r="J185" s="22"/>
      <c r="K185" s="22"/>
      <c r="L185" s="22"/>
      <c r="M185" s="22"/>
      <c r="N185" s="22"/>
      <c r="O185" s="22"/>
      <c r="P185" s="22"/>
      <c r="Q185" s="22"/>
      <c r="R185" s="22"/>
      <c r="S185" s="22"/>
      <c r="T185" s="22"/>
      <c r="U185" s="22"/>
      <c r="V185" s="22"/>
      <c r="W185" s="22"/>
      <c r="X185" s="13"/>
      <c r="Y185" s="13"/>
      <c r="Z185" s="13"/>
      <c r="AA185" s="13" t="s">
        <v>651</v>
      </c>
    </row>
    <row r="186" spans="1:27" ht="75" x14ac:dyDescent="0.25">
      <c r="A186" s="13">
        <v>9</v>
      </c>
      <c r="B186" s="104" t="s">
        <v>568</v>
      </c>
      <c r="C186" s="36">
        <v>2023</v>
      </c>
      <c r="D186" s="13" t="s">
        <v>204</v>
      </c>
      <c r="E186" s="37" t="s">
        <v>816</v>
      </c>
      <c r="F186" s="37" t="s">
        <v>819</v>
      </c>
      <c r="G186" s="22">
        <v>1</v>
      </c>
      <c r="H186" s="22"/>
      <c r="I186" s="22" t="s">
        <v>226</v>
      </c>
      <c r="J186" s="22" t="s">
        <v>226</v>
      </c>
      <c r="K186" s="22" t="s">
        <v>226</v>
      </c>
      <c r="L186" s="22"/>
      <c r="M186" s="22" t="s">
        <v>226</v>
      </c>
      <c r="N186" s="22"/>
      <c r="O186" s="22"/>
      <c r="P186" s="22"/>
      <c r="Q186" s="22"/>
      <c r="R186" s="22"/>
      <c r="S186" s="22" t="s">
        <v>226</v>
      </c>
      <c r="T186" s="37" t="s">
        <v>818</v>
      </c>
      <c r="U186" s="22" t="s">
        <v>226</v>
      </c>
      <c r="V186" s="22"/>
      <c r="W186" s="22" t="s">
        <v>226</v>
      </c>
      <c r="X186" s="38" t="s">
        <v>817</v>
      </c>
      <c r="Y186" s="13">
        <v>1.1000000000000001</v>
      </c>
      <c r="Z186" s="13">
        <v>0.46</v>
      </c>
      <c r="AA186" s="38" t="s">
        <v>651</v>
      </c>
    </row>
    <row r="187" spans="1:27" x14ac:dyDescent="0.25">
      <c r="A187" s="13">
        <v>10</v>
      </c>
      <c r="B187" s="104" t="s">
        <v>569</v>
      </c>
      <c r="C187" s="36"/>
      <c r="D187" s="13" t="s">
        <v>206</v>
      </c>
      <c r="E187" s="37"/>
      <c r="F187" s="37"/>
      <c r="G187" s="22"/>
      <c r="H187" s="22"/>
      <c r="I187" s="22"/>
      <c r="J187" s="22"/>
      <c r="K187" s="22"/>
      <c r="L187" s="22"/>
      <c r="M187" s="22"/>
      <c r="N187" s="22"/>
      <c r="O187" s="22"/>
      <c r="P187" s="22"/>
      <c r="Q187" s="22"/>
      <c r="R187" s="22"/>
      <c r="S187" s="22"/>
      <c r="T187" s="22"/>
      <c r="U187" s="22"/>
      <c r="V187" s="22"/>
      <c r="W187" s="22"/>
      <c r="X187" s="13"/>
      <c r="Y187" s="13"/>
      <c r="Z187" s="13"/>
      <c r="AA187" s="13" t="s">
        <v>651</v>
      </c>
    </row>
    <row r="188" spans="1:27" x14ac:dyDescent="0.25">
      <c r="A188" s="13">
        <v>11</v>
      </c>
      <c r="B188" s="104" t="s">
        <v>570</v>
      </c>
      <c r="C188" s="36"/>
      <c r="D188" s="13" t="s">
        <v>206</v>
      </c>
      <c r="E188" s="37"/>
      <c r="F188" s="37"/>
      <c r="G188" s="22"/>
      <c r="H188" s="22"/>
      <c r="I188" s="22"/>
      <c r="J188" s="22"/>
      <c r="K188" s="22"/>
      <c r="L188" s="22"/>
      <c r="M188" s="22"/>
      <c r="N188" s="22"/>
      <c r="O188" s="22"/>
      <c r="P188" s="22"/>
      <c r="Q188" s="22"/>
      <c r="R188" s="22"/>
      <c r="S188" s="22"/>
      <c r="T188" s="22"/>
      <c r="U188" s="22"/>
      <c r="V188" s="22"/>
      <c r="W188" s="22"/>
      <c r="X188" s="13"/>
      <c r="Y188" s="13"/>
      <c r="Z188" s="13"/>
      <c r="AA188" s="13" t="s">
        <v>651</v>
      </c>
    </row>
    <row r="189" spans="1:27" x14ac:dyDescent="0.25">
      <c r="A189" s="13">
        <v>12</v>
      </c>
      <c r="B189" s="104" t="s">
        <v>571</v>
      </c>
      <c r="C189" s="36"/>
      <c r="D189" s="13" t="s">
        <v>206</v>
      </c>
      <c r="E189" s="37"/>
      <c r="F189" s="37"/>
      <c r="G189" s="22"/>
      <c r="H189" s="22"/>
      <c r="I189" s="22"/>
      <c r="J189" s="22"/>
      <c r="K189" s="22"/>
      <c r="L189" s="22"/>
      <c r="M189" s="22"/>
      <c r="N189" s="22"/>
      <c r="O189" s="22"/>
      <c r="P189" s="22"/>
      <c r="Q189" s="22"/>
      <c r="R189" s="22"/>
      <c r="S189" s="22"/>
      <c r="T189" s="22"/>
      <c r="U189" s="22"/>
      <c r="V189" s="22"/>
      <c r="W189" s="22"/>
      <c r="X189" s="13"/>
      <c r="Y189" s="13"/>
      <c r="Z189" s="13"/>
      <c r="AA189" s="13" t="s">
        <v>651</v>
      </c>
    </row>
    <row r="190" spans="1:27" x14ac:dyDescent="0.25">
      <c r="A190" s="13">
        <v>13</v>
      </c>
      <c r="B190" s="104" t="s">
        <v>572</v>
      </c>
      <c r="C190" s="36"/>
      <c r="D190" s="13" t="s">
        <v>206</v>
      </c>
      <c r="E190" s="37"/>
      <c r="F190" s="37"/>
      <c r="G190" s="22"/>
      <c r="H190" s="22"/>
      <c r="I190" s="22"/>
      <c r="J190" s="22"/>
      <c r="K190" s="22"/>
      <c r="L190" s="22"/>
      <c r="M190" s="22"/>
      <c r="N190" s="22"/>
      <c r="O190" s="22"/>
      <c r="P190" s="22"/>
      <c r="Q190" s="22"/>
      <c r="R190" s="22"/>
      <c r="S190" s="22"/>
      <c r="T190" s="22"/>
      <c r="U190" s="22"/>
      <c r="V190" s="22"/>
      <c r="W190" s="22"/>
      <c r="X190" s="13"/>
      <c r="Y190" s="13"/>
      <c r="Z190" s="13"/>
      <c r="AA190" s="13" t="s">
        <v>651</v>
      </c>
    </row>
    <row r="191" spans="1:27" x14ac:dyDescent="0.25">
      <c r="A191" s="13">
        <v>14</v>
      </c>
      <c r="B191" s="104" t="s">
        <v>573</v>
      </c>
      <c r="C191" s="36"/>
      <c r="D191" s="13" t="s">
        <v>206</v>
      </c>
      <c r="E191" s="37"/>
      <c r="F191" s="37"/>
      <c r="G191" s="22"/>
      <c r="H191" s="22"/>
      <c r="I191" s="22"/>
      <c r="J191" s="22"/>
      <c r="K191" s="22"/>
      <c r="L191" s="22"/>
      <c r="M191" s="22"/>
      <c r="N191" s="22"/>
      <c r="O191" s="22"/>
      <c r="P191" s="22"/>
      <c r="Q191" s="22"/>
      <c r="R191" s="22"/>
      <c r="S191" s="22"/>
      <c r="T191" s="22"/>
      <c r="U191" s="22"/>
      <c r="V191" s="22"/>
      <c r="W191" s="22"/>
      <c r="X191" s="13"/>
      <c r="Y191" s="13"/>
      <c r="Z191" s="13"/>
      <c r="AA191" s="13" t="s">
        <v>651</v>
      </c>
    </row>
    <row r="192" spans="1:27" x14ac:dyDescent="0.25">
      <c r="A192" s="13">
        <v>15</v>
      </c>
      <c r="B192" s="104" t="s">
        <v>574</v>
      </c>
      <c r="C192" s="36"/>
      <c r="D192" s="13" t="s">
        <v>206</v>
      </c>
      <c r="E192" s="37"/>
      <c r="F192" s="37"/>
      <c r="G192" s="22"/>
      <c r="H192" s="22"/>
      <c r="I192" s="22"/>
      <c r="J192" s="22"/>
      <c r="K192" s="22"/>
      <c r="L192" s="22"/>
      <c r="M192" s="22"/>
      <c r="N192" s="22"/>
      <c r="O192" s="22"/>
      <c r="P192" s="22"/>
      <c r="Q192" s="22"/>
      <c r="R192" s="22"/>
      <c r="S192" s="22"/>
      <c r="T192" s="22"/>
      <c r="U192" s="22"/>
      <c r="V192" s="22"/>
      <c r="W192" s="22"/>
      <c r="X192" s="13"/>
      <c r="Y192" s="13"/>
      <c r="Z192" s="13"/>
      <c r="AA192" s="13" t="s">
        <v>651</v>
      </c>
    </row>
    <row r="193" spans="1:27" x14ac:dyDescent="0.25">
      <c r="A193" s="13">
        <v>16</v>
      </c>
      <c r="B193" s="104" t="s">
        <v>575</v>
      </c>
      <c r="C193" s="36"/>
      <c r="D193" s="13" t="s">
        <v>206</v>
      </c>
      <c r="E193" s="37"/>
      <c r="F193" s="37"/>
      <c r="G193" s="22"/>
      <c r="H193" s="22"/>
      <c r="I193" s="22"/>
      <c r="J193" s="22"/>
      <c r="K193" s="22"/>
      <c r="L193" s="22"/>
      <c r="M193" s="22"/>
      <c r="N193" s="22"/>
      <c r="O193" s="22"/>
      <c r="P193" s="22"/>
      <c r="Q193" s="22"/>
      <c r="R193" s="22"/>
      <c r="S193" s="22"/>
      <c r="T193" s="22"/>
      <c r="U193" s="22"/>
      <c r="V193" s="22"/>
      <c r="W193" s="22"/>
      <c r="X193" s="13"/>
      <c r="Y193" s="13"/>
      <c r="Z193" s="13"/>
      <c r="AA193" s="13" t="s">
        <v>651</v>
      </c>
    </row>
    <row r="194" spans="1:27" x14ac:dyDescent="0.25">
      <c r="A194" s="13">
        <v>17</v>
      </c>
      <c r="B194" s="104" t="s">
        <v>576</v>
      </c>
      <c r="C194" s="36"/>
      <c r="D194" s="13" t="s">
        <v>206</v>
      </c>
      <c r="E194" s="37"/>
      <c r="F194" s="37"/>
      <c r="G194" s="22"/>
      <c r="H194" s="22"/>
      <c r="I194" s="22"/>
      <c r="J194" s="22"/>
      <c r="K194" s="22"/>
      <c r="L194" s="22"/>
      <c r="M194" s="22"/>
      <c r="N194" s="22"/>
      <c r="O194" s="22"/>
      <c r="P194" s="22"/>
      <c r="Q194" s="22"/>
      <c r="R194" s="22"/>
      <c r="S194" s="22"/>
      <c r="T194" s="22"/>
      <c r="U194" s="22"/>
      <c r="V194" s="22"/>
      <c r="W194" s="22"/>
      <c r="X194" s="13"/>
      <c r="Y194" s="13"/>
      <c r="Z194" s="13"/>
      <c r="AA194" s="13" t="s">
        <v>651</v>
      </c>
    </row>
    <row r="195" spans="1:27" x14ac:dyDescent="0.25">
      <c r="A195" s="13">
        <v>18</v>
      </c>
      <c r="B195" s="104" t="s">
        <v>577</v>
      </c>
      <c r="C195" s="36"/>
      <c r="D195" s="13" t="s">
        <v>206</v>
      </c>
      <c r="E195" s="37"/>
      <c r="F195" s="37"/>
      <c r="G195" s="22"/>
      <c r="H195" s="22"/>
      <c r="I195" s="22"/>
      <c r="J195" s="22"/>
      <c r="K195" s="22"/>
      <c r="L195" s="22"/>
      <c r="M195" s="22"/>
      <c r="N195" s="22"/>
      <c r="O195" s="22"/>
      <c r="P195" s="22"/>
      <c r="Q195" s="22"/>
      <c r="R195" s="22"/>
      <c r="S195" s="22"/>
      <c r="T195" s="22"/>
      <c r="U195" s="22"/>
      <c r="V195" s="22"/>
      <c r="W195" s="22"/>
      <c r="X195" s="13"/>
      <c r="Y195" s="13"/>
      <c r="Z195" s="13"/>
      <c r="AA195" s="13" t="s">
        <v>651</v>
      </c>
    </row>
    <row r="196" spans="1:27" x14ac:dyDescent="0.25">
      <c r="A196" s="13">
        <v>19</v>
      </c>
      <c r="B196" s="104" t="s">
        <v>578</v>
      </c>
      <c r="C196" s="36"/>
      <c r="D196" s="13" t="s">
        <v>206</v>
      </c>
      <c r="E196" s="37"/>
      <c r="F196" s="37"/>
      <c r="G196" s="22"/>
      <c r="H196" s="22"/>
      <c r="I196" s="22"/>
      <c r="J196" s="22"/>
      <c r="K196" s="22"/>
      <c r="L196" s="22"/>
      <c r="M196" s="22"/>
      <c r="N196" s="22"/>
      <c r="O196" s="22"/>
      <c r="P196" s="22"/>
      <c r="Q196" s="22"/>
      <c r="R196" s="22"/>
      <c r="S196" s="22"/>
      <c r="T196" s="22"/>
      <c r="U196" s="22"/>
      <c r="V196" s="22"/>
      <c r="W196" s="22"/>
      <c r="X196" s="13"/>
      <c r="Y196" s="13"/>
      <c r="Z196" s="13"/>
      <c r="AA196" s="13" t="s">
        <v>651</v>
      </c>
    </row>
    <row r="197" spans="1:27" x14ac:dyDescent="0.25">
      <c r="A197" s="13">
        <v>20</v>
      </c>
      <c r="B197" s="104" t="s">
        <v>579</v>
      </c>
      <c r="C197" s="36"/>
      <c r="D197" s="13" t="s">
        <v>206</v>
      </c>
      <c r="E197" s="37"/>
      <c r="F197" s="37"/>
      <c r="G197" s="22"/>
      <c r="H197" s="22"/>
      <c r="I197" s="22"/>
      <c r="J197" s="22"/>
      <c r="K197" s="22"/>
      <c r="L197" s="22"/>
      <c r="M197" s="22"/>
      <c r="N197" s="22"/>
      <c r="O197" s="22"/>
      <c r="P197" s="22"/>
      <c r="Q197" s="22"/>
      <c r="R197" s="22"/>
      <c r="S197" s="22"/>
      <c r="T197" s="22"/>
      <c r="U197" s="22"/>
      <c r="V197" s="22"/>
      <c r="W197" s="22"/>
      <c r="X197" s="13"/>
      <c r="Y197" s="13"/>
      <c r="Z197" s="13"/>
      <c r="AA197" s="13" t="s">
        <v>651</v>
      </c>
    </row>
    <row r="198" spans="1:27" x14ac:dyDescent="0.25">
      <c r="A198" s="13">
        <v>21</v>
      </c>
      <c r="B198" s="104" t="s">
        <v>580</v>
      </c>
      <c r="C198" s="36"/>
      <c r="D198" s="13" t="s">
        <v>206</v>
      </c>
      <c r="E198" s="37"/>
      <c r="F198" s="37"/>
      <c r="G198" s="22"/>
      <c r="H198" s="22"/>
      <c r="I198" s="22"/>
      <c r="J198" s="22"/>
      <c r="K198" s="22"/>
      <c r="L198" s="22"/>
      <c r="M198" s="22"/>
      <c r="N198" s="22"/>
      <c r="O198" s="22"/>
      <c r="P198" s="22"/>
      <c r="Q198" s="22"/>
      <c r="R198" s="22"/>
      <c r="S198" s="22"/>
      <c r="T198" s="22"/>
      <c r="U198" s="22"/>
      <c r="V198" s="22"/>
      <c r="W198" s="22"/>
      <c r="X198" s="13"/>
      <c r="Y198" s="13"/>
      <c r="Z198" s="13"/>
      <c r="AA198" s="13" t="s">
        <v>651</v>
      </c>
    </row>
    <row r="199" spans="1:27" x14ac:dyDescent="0.25">
      <c r="A199" s="13">
        <v>22</v>
      </c>
      <c r="B199" s="104" t="s">
        <v>581</v>
      </c>
      <c r="C199" s="36"/>
      <c r="D199" s="13" t="s">
        <v>206</v>
      </c>
      <c r="E199" s="37"/>
      <c r="F199" s="37"/>
      <c r="G199" s="22"/>
      <c r="H199" s="22"/>
      <c r="I199" s="22"/>
      <c r="J199" s="22"/>
      <c r="K199" s="22"/>
      <c r="L199" s="22"/>
      <c r="M199" s="22"/>
      <c r="N199" s="22"/>
      <c r="O199" s="22"/>
      <c r="P199" s="22"/>
      <c r="Q199" s="22"/>
      <c r="R199" s="22"/>
      <c r="S199" s="22"/>
      <c r="T199" s="22"/>
      <c r="U199" s="22"/>
      <c r="V199" s="22"/>
      <c r="W199" s="22"/>
      <c r="X199" s="13"/>
      <c r="Y199" s="13"/>
      <c r="Z199" s="13"/>
      <c r="AA199" s="13" t="s">
        <v>651</v>
      </c>
    </row>
    <row r="200" spans="1:27" x14ac:dyDescent="0.25">
      <c r="A200" s="13">
        <v>23</v>
      </c>
      <c r="B200" s="104" t="s">
        <v>582</v>
      </c>
      <c r="C200" s="36"/>
      <c r="D200" s="13" t="s">
        <v>206</v>
      </c>
      <c r="E200" s="37"/>
      <c r="F200" s="37"/>
      <c r="G200" s="22"/>
      <c r="H200" s="22"/>
      <c r="I200" s="22"/>
      <c r="J200" s="22"/>
      <c r="K200" s="22"/>
      <c r="L200" s="22"/>
      <c r="M200" s="22"/>
      <c r="N200" s="22"/>
      <c r="O200" s="22"/>
      <c r="P200" s="22"/>
      <c r="Q200" s="22"/>
      <c r="R200" s="22"/>
      <c r="S200" s="22"/>
      <c r="T200" s="22"/>
      <c r="U200" s="22"/>
      <c r="V200" s="22"/>
      <c r="W200" s="22"/>
      <c r="X200" s="13"/>
      <c r="Y200" s="13"/>
      <c r="Z200" s="13"/>
      <c r="AA200" s="13" t="s">
        <v>651</v>
      </c>
    </row>
    <row r="201" spans="1:27" x14ac:dyDescent="0.25">
      <c r="A201" s="13">
        <v>24</v>
      </c>
      <c r="B201" s="104" t="s">
        <v>583</v>
      </c>
      <c r="C201" s="36"/>
      <c r="D201" s="13" t="s">
        <v>206</v>
      </c>
      <c r="E201" s="37"/>
      <c r="F201" s="37"/>
      <c r="G201" s="22"/>
      <c r="H201" s="22"/>
      <c r="I201" s="22"/>
      <c r="J201" s="22"/>
      <c r="K201" s="22"/>
      <c r="L201" s="22"/>
      <c r="M201" s="22"/>
      <c r="N201" s="22"/>
      <c r="O201" s="22"/>
      <c r="P201" s="22"/>
      <c r="Q201" s="22"/>
      <c r="R201" s="22"/>
      <c r="S201" s="22"/>
      <c r="T201" s="22"/>
      <c r="U201" s="22"/>
      <c r="V201" s="22"/>
      <c r="W201" s="22"/>
      <c r="X201" s="13"/>
      <c r="Y201" s="13"/>
      <c r="Z201" s="13"/>
      <c r="AA201" s="13" t="s">
        <v>651</v>
      </c>
    </row>
    <row r="202" spans="1:27" ht="75" x14ac:dyDescent="0.25">
      <c r="A202" s="13">
        <v>25</v>
      </c>
      <c r="B202" s="104" t="s">
        <v>584</v>
      </c>
      <c r="C202" s="36">
        <v>2021</v>
      </c>
      <c r="D202" s="13" t="s">
        <v>215</v>
      </c>
      <c r="E202" s="37"/>
      <c r="F202" s="37"/>
      <c r="G202" s="22"/>
      <c r="H202" s="22" t="s">
        <v>226</v>
      </c>
      <c r="I202" s="22"/>
      <c r="J202" s="22"/>
      <c r="K202" s="22"/>
      <c r="L202" s="22"/>
      <c r="M202" s="22"/>
      <c r="N202" s="22"/>
      <c r="O202" s="22" t="s">
        <v>226</v>
      </c>
      <c r="P202" s="22" t="s">
        <v>226</v>
      </c>
      <c r="Q202" s="22"/>
      <c r="R202" s="22" t="s">
        <v>226</v>
      </c>
      <c r="S202" s="22" t="s">
        <v>226</v>
      </c>
      <c r="T202" s="37"/>
      <c r="U202" s="22"/>
      <c r="V202" s="22"/>
      <c r="W202" s="22"/>
      <c r="X202" s="38" t="s">
        <v>820</v>
      </c>
      <c r="Y202" s="13"/>
      <c r="Z202" s="13"/>
      <c r="AA202" s="13" t="s">
        <v>651</v>
      </c>
    </row>
    <row r="203" spans="1:27" x14ac:dyDescent="0.25">
      <c r="A203" s="13">
        <v>26</v>
      </c>
      <c r="B203" s="104" t="s">
        <v>585</v>
      </c>
      <c r="C203" s="36"/>
      <c r="D203" s="13" t="s">
        <v>206</v>
      </c>
      <c r="E203" s="37"/>
      <c r="F203" s="37"/>
      <c r="G203" s="22"/>
      <c r="H203" s="22"/>
      <c r="I203" s="22"/>
      <c r="J203" s="22"/>
      <c r="K203" s="22"/>
      <c r="L203" s="22"/>
      <c r="M203" s="22"/>
      <c r="N203" s="22"/>
      <c r="O203" s="22"/>
      <c r="P203" s="22"/>
      <c r="Q203" s="22"/>
      <c r="R203" s="22"/>
      <c r="S203" s="22"/>
      <c r="T203" s="22"/>
      <c r="U203" s="22"/>
      <c r="V203" s="22"/>
      <c r="W203" s="22"/>
      <c r="X203" s="13"/>
      <c r="Y203" s="13"/>
      <c r="Z203" s="13"/>
      <c r="AA203" s="13" t="s">
        <v>651</v>
      </c>
    </row>
    <row r="204" spans="1:27" x14ac:dyDescent="0.25">
      <c r="A204" s="13">
        <v>27</v>
      </c>
      <c r="B204" s="104" t="s">
        <v>586</v>
      </c>
      <c r="C204" s="36"/>
      <c r="D204" s="13" t="s">
        <v>206</v>
      </c>
      <c r="E204" s="37"/>
      <c r="F204" s="37"/>
      <c r="G204" s="22"/>
      <c r="H204" s="22"/>
      <c r="I204" s="22"/>
      <c r="J204" s="22"/>
      <c r="K204" s="22"/>
      <c r="L204" s="22"/>
      <c r="M204" s="22"/>
      <c r="N204" s="22"/>
      <c r="O204" s="22"/>
      <c r="P204" s="22"/>
      <c r="Q204" s="22"/>
      <c r="R204" s="22"/>
      <c r="S204" s="22"/>
      <c r="T204" s="22"/>
      <c r="U204" s="22"/>
      <c r="V204" s="22"/>
      <c r="W204" s="22"/>
      <c r="X204" s="13"/>
      <c r="Y204" s="13"/>
      <c r="Z204" s="13"/>
      <c r="AA204" s="13" t="s">
        <v>651</v>
      </c>
    </row>
    <row r="205" spans="1:27" ht="36" customHeight="1" x14ac:dyDescent="0.25">
      <c r="A205" s="13">
        <v>28</v>
      </c>
      <c r="B205" s="104" t="s">
        <v>587</v>
      </c>
      <c r="C205" s="13"/>
      <c r="D205" s="13" t="s">
        <v>215</v>
      </c>
      <c r="E205" s="37" t="s">
        <v>821</v>
      </c>
      <c r="F205" s="37"/>
      <c r="G205" s="22"/>
      <c r="H205" s="22"/>
      <c r="I205" s="22"/>
      <c r="J205" s="22"/>
      <c r="K205" s="22"/>
      <c r="L205" s="22"/>
      <c r="M205" s="22"/>
      <c r="N205" s="22"/>
      <c r="O205" s="22"/>
      <c r="P205" s="22"/>
      <c r="Q205" s="22"/>
      <c r="R205" s="22"/>
      <c r="S205" s="22"/>
      <c r="T205" s="37"/>
      <c r="U205" s="22"/>
      <c r="V205" s="22"/>
      <c r="W205" s="22"/>
      <c r="X205" s="13"/>
      <c r="Y205" s="13"/>
      <c r="Z205" s="13"/>
      <c r="AA205" s="13" t="s">
        <v>651</v>
      </c>
    </row>
    <row r="206" spans="1:27" x14ac:dyDescent="0.25">
      <c r="A206" s="13">
        <v>29</v>
      </c>
      <c r="B206" s="104" t="s">
        <v>588</v>
      </c>
      <c r="C206" s="36"/>
      <c r="D206" s="13" t="s">
        <v>206</v>
      </c>
      <c r="E206" s="37"/>
      <c r="F206" s="37"/>
      <c r="G206" s="22"/>
      <c r="H206" s="22"/>
      <c r="I206" s="22"/>
      <c r="J206" s="22"/>
      <c r="K206" s="22"/>
      <c r="L206" s="22"/>
      <c r="M206" s="22"/>
      <c r="N206" s="22"/>
      <c r="O206" s="22"/>
      <c r="P206" s="22"/>
      <c r="Q206" s="22"/>
      <c r="R206" s="22"/>
      <c r="S206" s="22"/>
      <c r="T206" s="22"/>
      <c r="U206" s="22"/>
      <c r="V206" s="22"/>
      <c r="W206" s="22"/>
      <c r="X206" s="13"/>
      <c r="Y206" s="13"/>
      <c r="Z206" s="13"/>
      <c r="AA206" s="13" t="s">
        <v>651</v>
      </c>
    </row>
    <row r="207" spans="1:27" x14ac:dyDescent="0.25">
      <c r="A207" s="13">
        <v>30</v>
      </c>
      <c r="B207" s="104" t="s">
        <v>589</v>
      </c>
      <c r="C207" s="36"/>
      <c r="D207" s="13" t="s">
        <v>206</v>
      </c>
      <c r="E207" s="37"/>
      <c r="F207" s="37"/>
      <c r="G207" s="22"/>
      <c r="H207" s="22"/>
      <c r="I207" s="22"/>
      <c r="J207" s="22"/>
      <c r="K207" s="22"/>
      <c r="L207" s="22"/>
      <c r="M207" s="22"/>
      <c r="N207" s="22"/>
      <c r="O207" s="22"/>
      <c r="P207" s="22"/>
      <c r="Q207" s="22"/>
      <c r="R207" s="22"/>
      <c r="S207" s="22"/>
      <c r="T207" s="22"/>
      <c r="U207" s="22"/>
      <c r="V207" s="22"/>
      <c r="W207" s="22"/>
      <c r="X207" s="13"/>
      <c r="Y207" s="13"/>
      <c r="Z207" s="13"/>
      <c r="AA207" s="13" t="s">
        <v>651</v>
      </c>
    </row>
    <row r="208" spans="1:27" x14ac:dyDescent="0.25">
      <c r="A208" s="13">
        <v>31</v>
      </c>
      <c r="B208" s="104" t="s">
        <v>590</v>
      </c>
      <c r="C208" s="36"/>
      <c r="D208" s="13" t="s">
        <v>206</v>
      </c>
      <c r="E208" s="37"/>
      <c r="F208" s="37"/>
      <c r="G208" s="22"/>
      <c r="H208" s="22"/>
      <c r="I208" s="22"/>
      <c r="J208" s="22"/>
      <c r="K208" s="22"/>
      <c r="L208" s="22"/>
      <c r="M208" s="22"/>
      <c r="N208" s="22"/>
      <c r="O208" s="22"/>
      <c r="P208" s="22"/>
      <c r="Q208" s="22"/>
      <c r="R208" s="22"/>
      <c r="S208" s="22"/>
      <c r="T208" s="22"/>
      <c r="U208" s="22"/>
      <c r="V208" s="22"/>
      <c r="W208" s="22"/>
      <c r="X208" s="13"/>
      <c r="Y208" s="13"/>
      <c r="Z208" s="13"/>
      <c r="AA208" s="13" t="s">
        <v>651</v>
      </c>
    </row>
    <row r="209" spans="1:27" x14ac:dyDescent="0.25">
      <c r="A209" s="13">
        <v>32</v>
      </c>
      <c r="B209" s="104" t="s">
        <v>591</v>
      </c>
      <c r="C209" s="36"/>
      <c r="D209" s="13" t="s">
        <v>206</v>
      </c>
      <c r="E209" s="37"/>
      <c r="F209" s="37"/>
      <c r="G209" s="22"/>
      <c r="H209" s="22"/>
      <c r="I209" s="22"/>
      <c r="J209" s="22"/>
      <c r="K209" s="22"/>
      <c r="L209" s="22"/>
      <c r="M209" s="22"/>
      <c r="N209" s="22"/>
      <c r="O209" s="22"/>
      <c r="P209" s="22"/>
      <c r="Q209" s="22"/>
      <c r="R209" s="22"/>
      <c r="S209" s="22"/>
      <c r="T209" s="22"/>
      <c r="U209" s="22"/>
      <c r="V209" s="22"/>
      <c r="W209" s="22"/>
      <c r="X209" s="13"/>
      <c r="Y209" s="13"/>
      <c r="Z209" s="13"/>
      <c r="AA209" s="13" t="s">
        <v>651</v>
      </c>
    </row>
    <row r="210" spans="1:27" x14ac:dyDescent="0.25">
      <c r="A210" s="13">
        <v>33</v>
      </c>
      <c r="B210" s="104" t="s">
        <v>592</v>
      </c>
      <c r="C210" s="36"/>
      <c r="D210" s="13" t="s">
        <v>206</v>
      </c>
      <c r="E210" s="37"/>
      <c r="F210" s="37"/>
      <c r="G210" s="22"/>
      <c r="H210" s="22"/>
      <c r="I210" s="22"/>
      <c r="J210" s="22"/>
      <c r="K210" s="22"/>
      <c r="L210" s="22"/>
      <c r="M210" s="22"/>
      <c r="N210" s="22"/>
      <c r="O210" s="22"/>
      <c r="P210" s="22"/>
      <c r="Q210" s="22"/>
      <c r="R210" s="22"/>
      <c r="S210" s="22"/>
      <c r="T210" s="22"/>
      <c r="U210" s="22"/>
      <c r="V210" s="22"/>
      <c r="W210" s="22"/>
      <c r="X210" s="13"/>
      <c r="Y210" s="13"/>
      <c r="Z210" s="13"/>
      <c r="AA210" s="13" t="s">
        <v>651</v>
      </c>
    </row>
    <row r="211" spans="1:27" x14ac:dyDescent="0.25">
      <c r="A211" s="13">
        <v>34</v>
      </c>
      <c r="B211" s="104" t="s">
        <v>593</v>
      </c>
      <c r="C211" s="36"/>
      <c r="D211" s="13" t="s">
        <v>206</v>
      </c>
      <c r="E211" s="37"/>
      <c r="F211" s="37"/>
      <c r="G211" s="22"/>
      <c r="H211" s="22"/>
      <c r="I211" s="22"/>
      <c r="J211" s="22"/>
      <c r="K211" s="22"/>
      <c r="L211" s="22"/>
      <c r="M211" s="22"/>
      <c r="N211" s="22"/>
      <c r="O211" s="22"/>
      <c r="P211" s="22"/>
      <c r="Q211" s="22"/>
      <c r="R211" s="22"/>
      <c r="S211" s="22"/>
      <c r="T211" s="22"/>
      <c r="U211" s="22"/>
      <c r="V211" s="22"/>
      <c r="W211" s="22"/>
      <c r="X211" s="13"/>
      <c r="Y211" s="13"/>
      <c r="Z211" s="13"/>
      <c r="AA211" s="13" t="s">
        <v>651</v>
      </c>
    </row>
    <row r="212" spans="1:27" ht="41.25" customHeight="1" x14ac:dyDescent="0.25">
      <c r="A212" s="13">
        <v>35</v>
      </c>
      <c r="B212" s="104" t="s">
        <v>653</v>
      </c>
      <c r="C212" s="36">
        <v>2016</v>
      </c>
      <c r="D212" s="13" t="s">
        <v>204</v>
      </c>
      <c r="E212" s="37" t="s">
        <v>822</v>
      </c>
      <c r="F212" s="37" t="s">
        <v>825</v>
      </c>
      <c r="G212" s="22">
        <v>-1</v>
      </c>
      <c r="H212" s="22"/>
      <c r="I212" s="22"/>
      <c r="J212" s="22" t="s">
        <v>226</v>
      </c>
      <c r="K212" s="22" t="s">
        <v>226</v>
      </c>
      <c r="L212" s="22" t="s">
        <v>226</v>
      </c>
      <c r="M212" s="22"/>
      <c r="N212" s="22"/>
      <c r="O212" s="22" t="s">
        <v>226</v>
      </c>
      <c r="P212" s="22" t="s">
        <v>226</v>
      </c>
      <c r="Q212" s="22" t="s">
        <v>226</v>
      </c>
      <c r="R212" s="22"/>
      <c r="S212" s="22"/>
      <c r="T212" s="37" t="s">
        <v>823</v>
      </c>
      <c r="U212" s="22" t="s">
        <v>226</v>
      </c>
      <c r="V212" s="22"/>
      <c r="W212" s="22"/>
      <c r="X212" s="13" t="s">
        <v>824</v>
      </c>
      <c r="Y212" s="13">
        <v>11.2</v>
      </c>
      <c r="Z212" s="13">
        <v>0.46</v>
      </c>
      <c r="AA212" s="38" t="s">
        <v>651</v>
      </c>
    </row>
    <row r="213" spans="1:27" x14ac:dyDescent="0.25">
      <c r="A213" s="13">
        <v>36</v>
      </c>
      <c r="B213" s="104" t="s">
        <v>594</v>
      </c>
      <c r="C213" s="36"/>
      <c r="D213" s="13" t="s">
        <v>206</v>
      </c>
      <c r="E213" s="37"/>
      <c r="F213" s="37"/>
      <c r="G213" s="22"/>
      <c r="H213" s="22"/>
      <c r="I213" s="22"/>
      <c r="J213" s="22"/>
      <c r="K213" s="22"/>
      <c r="L213" s="22"/>
      <c r="M213" s="22"/>
      <c r="N213" s="22"/>
      <c r="O213" s="22"/>
      <c r="P213" s="22"/>
      <c r="Q213" s="22"/>
      <c r="R213" s="22"/>
      <c r="S213" s="22"/>
      <c r="T213" s="22"/>
      <c r="U213" s="22"/>
      <c r="V213" s="22"/>
      <c r="W213" s="22"/>
      <c r="X213" s="13"/>
      <c r="Y213" s="13"/>
      <c r="Z213" s="13"/>
      <c r="AA213" s="13" t="s">
        <v>651</v>
      </c>
    </row>
    <row r="214" spans="1:27" x14ac:dyDescent="0.25">
      <c r="A214" s="13">
        <v>37</v>
      </c>
      <c r="B214" s="104" t="s">
        <v>595</v>
      </c>
      <c r="C214" s="36"/>
      <c r="D214" s="13" t="s">
        <v>206</v>
      </c>
      <c r="E214" s="37"/>
      <c r="F214" s="37"/>
      <c r="G214" s="22"/>
      <c r="H214" s="22"/>
      <c r="I214" s="22"/>
      <c r="J214" s="22"/>
      <c r="K214" s="22"/>
      <c r="L214" s="22"/>
      <c r="M214" s="22"/>
      <c r="N214" s="22"/>
      <c r="O214" s="22"/>
      <c r="P214" s="22"/>
      <c r="Q214" s="22"/>
      <c r="R214" s="22"/>
      <c r="S214" s="22"/>
      <c r="T214" s="22"/>
      <c r="U214" s="22"/>
      <c r="V214" s="22"/>
      <c r="W214" s="22"/>
      <c r="X214" s="13"/>
      <c r="Y214" s="13"/>
      <c r="Z214" s="13"/>
      <c r="AA214" s="13" t="s">
        <v>651</v>
      </c>
    </row>
    <row r="215" spans="1:27" x14ac:dyDescent="0.25">
      <c r="A215" s="13">
        <v>38</v>
      </c>
      <c r="B215" s="104" t="s">
        <v>596</v>
      </c>
      <c r="C215" s="36"/>
      <c r="D215" s="13" t="s">
        <v>206</v>
      </c>
      <c r="E215" s="37"/>
      <c r="F215" s="37"/>
      <c r="G215" s="22"/>
      <c r="H215" s="22"/>
      <c r="I215" s="22"/>
      <c r="J215" s="22"/>
      <c r="K215" s="22"/>
      <c r="L215" s="22"/>
      <c r="M215" s="22"/>
      <c r="N215" s="22"/>
      <c r="O215" s="22"/>
      <c r="P215" s="22"/>
      <c r="Q215" s="22"/>
      <c r="R215" s="22"/>
      <c r="S215" s="22"/>
      <c r="T215" s="22"/>
      <c r="U215" s="22"/>
      <c r="V215" s="22"/>
      <c r="W215" s="22"/>
      <c r="X215" s="13"/>
      <c r="Y215" s="13"/>
      <c r="Z215" s="13"/>
      <c r="AA215" s="13" t="s">
        <v>651</v>
      </c>
    </row>
    <row r="216" spans="1:27" x14ac:dyDescent="0.25">
      <c r="A216" s="13">
        <v>39</v>
      </c>
      <c r="B216" s="104" t="s">
        <v>597</v>
      </c>
      <c r="C216" s="36"/>
      <c r="D216" s="13" t="s">
        <v>206</v>
      </c>
      <c r="E216" s="37"/>
      <c r="F216" s="37"/>
      <c r="G216" s="22"/>
      <c r="H216" s="22"/>
      <c r="I216" s="22"/>
      <c r="J216" s="22"/>
      <c r="K216" s="22"/>
      <c r="L216" s="22"/>
      <c r="M216" s="22"/>
      <c r="N216" s="22"/>
      <c r="O216" s="22"/>
      <c r="P216" s="22"/>
      <c r="Q216" s="22"/>
      <c r="R216" s="22"/>
      <c r="S216" s="22"/>
      <c r="T216" s="22"/>
      <c r="U216" s="22"/>
      <c r="V216" s="22"/>
      <c r="W216" s="22"/>
      <c r="X216" s="13"/>
      <c r="Y216" s="13"/>
      <c r="Z216" s="13"/>
      <c r="AA216" s="13" t="s">
        <v>651</v>
      </c>
    </row>
    <row r="217" spans="1:27" x14ac:dyDescent="0.25">
      <c r="A217" s="13">
        <v>40</v>
      </c>
      <c r="B217" s="104" t="s">
        <v>598</v>
      </c>
      <c r="C217" s="36"/>
      <c r="D217" s="13" t="s">
        <v>206</v>
      </c>
      <c r="E217" s="37"/>
      <c r="F217" s="37"/>
      <c r="G217" s="22"/>
      <c r="H217" s="22"/>
      <c r="I217" s="22"/>
      <c r="J217" s="22"/>
      <c r="K217" s="22"/>
      <c r="L217" s="22"/>
      <c r="M217" s="22"/>
      <c r="N217" s="22"/>
      <c r="O217" s="22"/>
      <c r="P217" s="22"/>
      <c r="Q217" s="22"/>
      <c r="R217" s="22"/>
      <c r="S217" s="22"/>
      <c r="T217" s="22"/>
      <c r="U217" s="22"/>
      <c r="V217" s="22"/>
      <c r="W217" s="22"/>
      <c r="X217" s="13"/>
      <c r="Y217" s="13"/>
      <c r="Z217" s="13"/>
      <c r="AA217" s="13" t="s">
        <v>651</v>
      </c>
    </row>
    <row r="218" spans="1:27" x14ac:dyDescent="0.25">
      <c r="A218" s="13">
        <v>41</v>
      </c>
      <c r="B218" s="104" t="s">
        <v>599</v>
      </c>
      <c r="C218" s="36"/>
      <c r="D218" s="13" t="s">
        <v>206</v>
      </c>
      <c r="E218" s="37"/>
      <c r="F218" s="37"/>
      <c r="G218" s="22"/>
      <c r="H218" s="22"/>
      <c r="I218" s="22"/>
      <c r="J218" s="22"/>
      <c r="K218" s="22"/>
      <c r="L218" s="22"/>
      <c r="M218" s="22"/>
      <c r="N218" s="22"/>
      <c r="O218" s="22"/>
      <c r="P218" s="22"/>
      <c r="Q218" s="22"/>
      <c r="R218" s="22"/>
      <c r="S218" s="22"/>
      <c r="T218" s="22"/>
      <c r="U218" s="22"/>
      <c r="V218" s="22"/>
      <c r="W218" s="22"/>
      <c r="X218" s="13"/>
      <c r="Y218" s="13"/>
      <c r="Z218" s="13"/>
      <c r="AA218" s="13" t="s">
        <v>651</v>
      </c>
    </row>
    <row r="219" spans="1:27" x14ac:dyDescent="0.25">
      <c r="A219" s="13">
        <v>42</v>
      </c>
      <c r="B219" s="104" t="s">
        <v>600</v>
      </c>
      <c r="C219" s="36"/>
      <c r="D219" s="13" t="s">
        <v>206</v>
      </c>
      <c r="E219" s="37"/>
      <c r="F219" s="37"/>
      <c r="G219" s="22"/>
      <c r="H219" s="22"/>
      <c r="I219" s="22"/>
      <c r="J219" s="22"/>
      <c r="K219" s="22"/>
      <c r="L219" s="22"/>
      <c r="M219" s="22"/>
      <c r="N219" s="22"/>
      <c r="O219" s="22"/>
      <c r="P219" s="22"/>
      <c r="Q219" s="22"/>
      <c r="R219" s="22"/>
      <c r="S219" s="22"/>
      <c r="T219" s="22"/>
      <c r="U219" s="22"/>
      <c r="V219" s="22"/>
      <c r="W219" s="22"/>
      <c r="X219" s="13"/>
      <c r="Y219" s="13"/>
      <c r="Z219" s="13"/>
      <c r="AA219" s="13" t="s">
        <v>651</v>
      </c>
    </row>
    <row r="220" spans="1:27" x14ac:dyDescent="0.25">
      <c r="A220" s="13">
        <v>43</v>
      </c>
      <c r="B220" s="104" t="s">
        <v>601</v>
      </c>
      <c r="C220" s="36"/>
      <c r="D220" s="13" t="s">
        <v>206</v>
      </c>
      <c r="E220" s="37"/>
      <c r="F220" s="37"/>
      <c r="G220" s="22"/>
      <c r="H220" s="22"/>
      <c r="I220" s="22"/>
      <c r="J220" s="22"/>
      <c r="K220" s="22"/>
      <c r="L220" s="22"/>
      <c r="M220" s="22"/>
      <c r="N220" s="22"/>
      <c r="O220" s="22"/>
      <c r="P220" s="22"/>
      <c r="Q220" s="22"/>
      <c r="R220" s="22"/>
      <c r="S220" s="22"/>
      <c r="T220" s="22"/>
      <c r="U220" s="22"/>
      <c r="V220" s="22"/>
      <c r="W220" s="22"/>
      <c r="X220" s="13"/>
      <c r="Y220" s="13"/>
      <c r="Z220" s="13"/>
      <c r="AA220" s="13" t="s">
        <v>651</v>
      </c>
    </row>
    <row r="221" spans="1:27" x14ac:dyDescent="0.25">
      <c r="A221" s="13">
        <v>44</v>
      </c>
      <c r="B221" s="104" t="s">
        <v>602</v>
      </c>
      <c r="C221" s="36"/>
      <c r="D221" s="13" t="s">
        <v>206</v>
      </c>
      <c r="E221" s="37"/>
      <c r="F221" s="37"/>
      <c r="G221" s="22"/>
      <c r="H221" s="22"/>
      <c r="I221" s="22"/>
      <c r="J221" s="22"/>
      <c r="K221" s="22"/>
      <c r="L221" s="22"/>
      <c r="M221" s="22"/>
      <c r="N221" s="22"/>
      <c r="O221" s="22"/>
      <c r="P221" s="22"/>
      <c r="Q221" s="22"/>
      <c r="R221" s="22"/>
      <c r="S221" s="22"/>
      <c r="T221" s="22"/>
      <c r="U221" s="22"/>
      <c r="V221" s="22"/>
      <c r="W221" s="22"/>
      <c r="X221" s="13"/>
      <c r="Y221" s="13"/>
      <c r="Z221" s="13"/>
      <c r="AA221" s="13" t="s">
        <v>651</v>
      </c>
    </row>
    <row r="222" spans="1:27" x14ac:dyDescent="0.25">
      <c r="A222" s="13">
        <v>45</v>
      </c>
      <c r="B222" s="104" t="s">
        <v>603</v>
      </c>
      <c r="C222" s="36"/>
      <c r="D222" s="13" t="s">
        <v>206</v>
      </c>
      <c r="E222" s="37"/>
      <c r="F222" s="37"/>
      <c r="G222" s="22"/>
      <c r="H222" s="22"/>
      <c r="I222" s="22"/>
      <c r="J222" s="22"/>
      <c r="K222" s="22"/>
      <c r="L222" s="22"/>
      <c r="M222" s="22"/>
      <c r="N222" s="22"/>
      <c r="O222" s="22"/>
      <c r="P222" s="22"/>
      <c r="Q222" s="22"/>
      <c r="R222" s="22"/>
      <c r="S222" s="22"/>
      <c r="T222" s="22"/>
      <c r="U222" s="22"/>
      <c r="V222" s="22"/>
      <c r="W222" s="22"/>
      <c r="X222" s="13"/>
      <c r="Y222" s="13"/>
      <c r="Z222" s="13"/>
      <c r="AA222" s="13" t="s">
        <v>651</v>
      </c>
    </row>
    <row r="223" spans="1:27" x14ac:dyDescent="0.25">
      <c r="A223" s="13">
        <v>46</v>
      </c>
      <c r="B223" s="104" t="s">
        <v>604</v>
      </c>
      <c r="C223" s="36"/>
      <c r="D223" s="13" t="s">
        <v>206</v>
      </c>
      <c r="E223" s="37"/>
      <c r="F223" s="37"/>
      <c r="G223" s="22"/>
      <c r="H223" s="22"/>
      <c r="I223" s="22"/>
      <c r="J223" s="22"/>
      <c r="K223" s="22"/>
      <c r="L223" s="22"/>
      <c r="M223" s="22"/>
      <c r="N223" s="22"/>
      <c r="O223" s="22"/>
      <c r="P223" s="22"/>
      <c r="Q223" s="22"/>
      <c r="R223" s="22"/>
      <c r="S223" s="22"/>
      <c r="T223" s="22"/>
      <c r="U223" s="22"/>
      <c r="V223" s="22"/>
      <c r="W223" s="22"/>
      <c r="X223" s="13"/>
      <c r="Y223" s="13"/>
      <c r="Z223" s="13"/>
      <c r="AA223" s="13" t="s">
        <v>651</v>
      </c>
    </row>
    <row r="224" spans="1:27" x14ac:dyDescent="0.25">
      <c r="A224" s="13">
        <v>47</v>
      </c>
      <c r="B224" s="104" t="s">
        <v>605</v>
      </c>
      <c r="C224" s="36"/>
      <c r="D224" s="13" t="s">
        <v>206</v>
      </c>
      <c r="E224" s="37"/>
      <c r="F224" s="37"/>
      <c r="G224" s="22"/>
      <c r="H224" s="22"/>
      <c r="I224" s="22"/>
      <c r="J224" s="22"/>
      <c r="K224" s="22"/>
      <c r="L224" s="22"/>
      <c r="M224" s="22"/>
      <c r="N224" s="22"/>
      <c r="O224" s="22"/>
      <c r="P224" s="22"/>
      <c r="Q224" s="22"/>
      <c r="R224" s="22"/>
      <c r="S224" s="22"/>
      <c r="T224" s="22"/>
      <c r="U224" s="22"/>
      <c r="V224" s="22"/>
      <c r="W224" s="22"/>
      <c r="X224" s="13"/>
      <c r="Y224" s="13"/>
      <c r="Z224" s="13"/>
      <c r="AA224" s="13" t="s">
        <v>651</v>
      </c>
    </row>
    <row r="225" spans="1:27" x14ac:dyDescent="0.25">
      <c r="A225" s="13">
        <v>48</v>
      </c>
      <c r="B225" s="104" t="s">
        <v>606</v>
      </c>
      <c r="C225" s="36"/>
      <c r="D225" s="13" t="s">
        <v>206</v>
      </c>
      <c r="E225" s="37"/>
      <c r="F225" s="37"/>
      <c r="G225" s="22"/>
      <c r="H225" s="22"/>
      <c r="I225" s="22"/>
      <c r="J225" s="22"/>
      <c r="K225" s="22"/>
      <c r="L225" s="22"/>
      <c r="M225" s="22"/>
      <c r="N225" s="22"/>
      <c r="O225" s="22"/>
      <c r="P225" s="22"/>
      <c r="Q225" s="22"/>
      <c r="R225" s="22"/>
      <c r="S225" s="22"/>
      <c r="T225" s="22"/>
      <c r="U225" s="22"/>
      <c r="V225" s="22"/>
      <c r="W225" s="22"/>
      <c r="X225" s="13"/>
      <c r="Y225" s="13"/>
      <c r="Z225" s="13"/>
      <c r="AA225" s="13" t="s">
        <v>651</v>
      </c>
    </row>
    <row r="226" spans="1:27" ht="60" x14ac:dyDescent="0.25">
      <c r="A226" s="13">
        <v>49</v>
      </c>
      <c r="B226" s="104" t="s">
        <v>607</v>
      </c>
      <c r="C226" s="36">
        <v>2020</v>
      </c>
      <c r="D226" s="13" t="s">
        <v>204</v>
      </c>
      <c r="E226" s="37" t="s">
        <v>826</v>
      </c>
      <c r="F226" s="37" t="s">
        <v>828</v>
      </c>
      <c r="G226" s="22">
        <v>0</v>
      </c>
      <c r="H226" s="22" t="s">
        <v>226</v>
      </c>
      <c r="I226" s="22"/>
      <c r="J226" s="22" t="s">
        <v>226</v>
      </c>
      <c r="K226" s="22" t="s">
        <v>226</v>
      </c>
      <c r="L226" s="22"/>
      <c r="M226" s="22"/>
      <c r="N226" s="22"/>
      <c r="O226" s="22" t="s">
        <v>226</v>
      </c>
      <c r="P226" s="22"/>
      <c r="Q226" s="22"/>
      <c r="R226" s="22"/>
      <c r="S226" s="22"/>
      <c r="T226" s="37" t="s">
        <v>827</v>
      </c>
      <c r="U226" s="22" t="s">
        <v>226</v>
      </c>
      <c r="V226" s="22"/>
      <c r="W226" s="22" t="s">
        <v>226</v>
      </c>
      <c r="X226" s="13"/>
      <c r="Y226" s="13">
        <v>8</v>
      </c>
      <c r="Z226" s="13">
        <v>0.46</v>
      </c>
      <c r="AA226" s="38" t="s">
        <v>651</v>
      </c>
    </row>
    <row r="227" spans="1:27" ht="60" x14ac:dyDescent="0.25">
      <c r="A227" s="13">
        <v>50</v>
      </c>
      <c r="B227" s="104" t="s">
        <v>608</v>
      </c>
      <c r="C227" s="36">
        <v>2017</v>
      </c>
      <c r="D227" s="13" t="s">
        <v>204</v>
      </c>
      <c r="E227" s="37" t="s">
        <v>829</v>
      </c>
      <c r="F227" s="37" t="s">
        <v>831</v>
      </c>
      <c r="G227" s="22">
        <v>1</v>
      </c>
      <c r="H227" s="22"/>
      <c r="I227" s="22"/>
      <c r="J227" s="22" t="s">
        <v>226</v>
      </c>
      <c r="K227" s="22" t="s">
        <v>226</v>
      </c>
      <c r="L227" s="22"/>
      <c r="M227" s="22"/>
      <c r="N227" s="22" t="s">
        <v>226</v>
      </c>
      <c r="O227" s="22" t="s">
        <v>226</v>
      </c>
      <c r="P227" s="22"/>
      <c r="Q227" s="22"/>
      <c r="R227" s="22"/>
      <c r="S227" s="22"/>
      <c r="T227" s="37" t="s">
        <v>830</v>
      </c>
      <c r="U227" s="22"/>
      <c r="V227" s="22"/>
      <c r="W227" s="22" t="s">
        <v>226</v>
      </c>
      <c r="X227" s="13"/>
      <c r="Y227" s="13">
        <v>9</v>
      </c>
      <c r="Z227" s="13">
        <v>0.46</v>
      </c>
      <c r="AA227" s="38" t="s">
        <v>651</v>
      </c>
    </row>
    <row r="228" spans="1:27" ht="90" x14ac:dyDescent="0.25">
      <c r="A228" s="13">
        <v>51</v>
      </c>
      <c r="B228" s="107" t="s">
        <v>654</v>
      </c>
      <c r="C228" s="36"/>
      <c r="D228" s="13" t="s">
        <v>206</v>
      </c>
      <c r="E228" s="37"/>
      <c r="F228" s="37"/>
      <c r="G228" s="22"/>
      <c r="H228" s="22"/>
      <c r="I228" s="22"/>
      <c r="J228" s="22"/>
      <c r="K228" s="22"/>
      <c r="L228" s="22"/>
      <c r="M228" s="22"/>
      <c r="N228" s="22"/>
      <c r="O228" s="22"/>
      <c r="P228" s="22"/>
      <c r="Q228" s="22"/>
      <c r="R228" s="22"/>
      <c r="S228" s="22"/>
      <c r="T228" s="22"/>
      <c r="U228" s="22"/>
      <c r="V228" s="22"/>
      <c r="W228" s="22"/>
      <c r="X228" s="13"/>
      <c r="Y228" s="13"/>
      <c r="Z228" s="13"/>
      <c r="AA228" s="13" t="s">
        <v>651</v>
      </c>
    </row>
    <row r="229" spans="1:27" x14ac:dyDescent="0.25">
      <c r="A229" s="13">
        <v>52</v>
      </c>
      <c r="B229" s="104" t="s">
        <v>609</v>
      </c>
      <c r="C229" s="36"/>
      <c r="D229" s="13" t="s">
        <v>206</v>
      </c>
      <c r="E229" s="37"/>
      <c r="F229" s="37"/>
      <c r="G229" s="22"/>
      <c r="H229" s="22"/>
      <c r="I229" s="22"/>
      <c r="J229" s="22"/>
      <c r="K229" s="22"/>
      <c r="L229" s="22"/>
      <c r="M229" s="22"/>
      <c r="N229" s="22"/>
      <c r="O229" s="22"/>
      <c r="P229" s="22"/>
      <c r="Q229" s="22"/>
      <c r="R229" s="22"/>
      <c r="S229" s="22"/>
      <c r="T229" s="22"/>
      <c r="U229" s="22"/>
      <c r="V229" s="22"/>
      <c r="W229" s="22"/>
      <c r="X229" s="13"/>
      <c r="Y229" s="13"/>
      <c r="Z229" s="13"/>
      <c r="AA229" s="13" t="s">
        <v>651</v>
      </c>
    </row>
    <row r="230" spans="1:27" x14ac:dyDescent="0.25">
      <c r="A230" s="13">
        <v>53</v>
      </c>
      <c r="B230" s="104" t="s">
        <v>610</v>
      </c>
      <c r="C230" s="36"/>
      <c r="D230" s="13" t="s">
        <v>206</v>
      </c>
      <c r="E230" s="37"/>
      <c r="F230" s="37"/>
      <c r="G230" s="22"/>
      <c r="H230" s="22"/>
      <c r="I230" s="22"/>
      <c r="J230" s="22"/>
      <c r="K230" s="22"/>
      <c r="L230" s="22"/>
      <c r="M230" s="22"/>
      <c r="N230" s="22"/>
      <c r="O230" s="22"/>
      <c r="P230" s="22"/>
      <c r="Q230" s="22"/>
      <c r="R230" s="22"/>
      <c r="S230" s="22"/>
      <c r="T230" s="22"/>
      <c r="U230" s="22"/>
      <c r="V230" s="22"/>
      <c r="W230" s="22"/>
      <c r="X230" s="13"/>
      <c r="Y230" s="13"/>
      <c r="Z230" s="13"/>
      <c r="AA230" s="13" t="s">
        <v>651</v>
      </c>
    </row>
    <row r="231" spans="1:27" ht="60" x14ac:dyDescent="0.25">
      <c r="A231" s="13">
        <v>54</v>
      </c>
      <c r="B231" s="104" t="s">
        <v>611</v>
      </c>
      <c r="C231" s="36">
        <v>2021</v>
      </c>
      <c r="D231" s="13" t="s">
        <v>204</v>
      </c>
      <c r="E231" s="37" t="s">
        <v>832</v>
      </c>
      <c r="F231" s="37" t="s">
        <v>834</v>
      </c>
      <c r="G231" s="22">
        <v>1</v>
      </c>
      <c r="H231" s="22" t="s">
        <v>226</v>
      </c>
      <c r="I231" s="22"/>
      <c r="J231" s="22" t="s">
        <v>226</v>
      </c>
      <c r="K231" s="22"/>
      <c r="L231" s="22"/>
      <c r="M231" s="22"/>
      <c r="N231" s="22"/>
      <c r="O231" s="22" t="s">
        <v>226</v>
      </c>
      <c r="P231" s="22" t="s">
        <v>226</v>
      </c>
      <c r="Q231" s="22"/>
      <c r="R231" s="22"/>
      <c r="S231" s="22"/>
      <c r="T231" s="37" t="s">
        <v>833</v>
      </c>
      <c r="U231" s="22"/>
      <c r="V231" s="22" t="s">
        <v>226</v>
      </c>
      <c r="W231" s="22"/>
      <c r="X231" s="13"/>
      <c r="Y231" s="13">
        <v>2.4</v>
      </c>
      <c r="Z231" s="13">
        <v>0.46</v>
      </c>
      <c r="AA231" s="38" t="s">
        <v>651</v>
      </c>
    </row>
    <row r="232" spans="1:27" x14ac:dyDescent="0.25">
      <c r="A232" s="13">
        <v>55</v>
      </c>
      <c r="B232" s="104" t="s">
        <v>612</v>
      </c>
      <c r="C232" s="36"/>
      <c r="D232" s="13" t="s">
        <v>206</v>
      </c>
      <c r="E232" s="37"/>
      <c r="F232" s="37"/>
      <c r="G232" s="22"/>
      <c r="H232" s="22"/>
      <c r="I232" s="22"/>
      <c r="J232" s="22"/>
      <c r="K232" s="22"/>
      <c r="L232" s="22"/>
      <c r="M232" s="22"/>
      <c r="N232" s="22"/>
      <c r="O232" s="22"/>
      <c r="P232" s="22"/>
      <c r="Q232" s="22"/>
      <c r="R232" s="22"/>
      <c r="S232" s="22"/>
      <c r="T232" s="22"/>
      <c r="U232" s="22"/>
      <c r="V232" s="22"/>
      <c r="W232" s="22"/>
      <c r="X232" s="13"/>
      <c r="Y232" s="13"/>
      <c r="Z232" s="13"/>
      <c r="AA232" s="13" t="s">
        <v>651</v>
      </c>
    </row>
    <row r="233" spans="1:27" ht="45" x14ac:dyDescent="0.25">
      <c r="A233" s="13">
        <v>56</v>
      </c>
      <c r="B233" s="104" t="s">
        <v>613</v>
      </c>
      <c r="C233" s="36">
        <v>2011</v>
      </c>
      <c r="D233" s="13" t="s">
        <v>204</v>
      </c>
      <c r="E233" s="37" t="s">
        <v>835</v>
      </c>
      <c r="F233" s="37" t="s">
        <v>836</v>
      </c>
      <c r="G233" s="22" t="s">
        <v>698</v>
      </c>
      <c r="H233" s="22"/>
      <c r="I233" s="22" t="s">
        <v>226</v>
      </c>
      <c r="J233" s="22" t="s">
        <v>226</v>
      </c>
      <c r="K233" s="22"/>
      <c r="L233" s="22" t="s">
        <v>226</v>
      </c>
      <c r="M233" s="22"/>
      <c r="N233" s="22"/>
      <c r="O233" s="22" t="s">
        <v>226</v>
      </c>
      <c r="P233" s="22"/>
      <c r="Q233" s="22"/>
      <c r="R233" s="22"/>
      <c r="S233" s="22"/>
      <c r="T233" s="37" t="s">
        <v>698</v>
      </c>
      <c r="U233" s="22"/>
      <c r="V233" s="22"/>
      <c r="W233" s="22"/>
      <c r="X233" s="13"/>
      <c r="Y233" s="13">
        <v>2.2999999999999998</v>
      </c>
      <c r="Z233" s="13">
        <v>0.46</v>
      </c>
      <c r="AA233" s="38" t="s">
        <v>651</v>
      </c>
    </row>
    <row r="234" spans="1:27" x14ac:dyDescent="0.25">
      <c r="A234" s="13">
        <v>57</v>
      </c>
      <c r="B234" s="104" t="s">
        <v>614</v>
      </c>
      <c r="C234" s="36"/>
      <c r="D234" s="13" t="s">
        <v>206</v>
      </c>
      <c r="E234" s="37"/>
      <c r="F234" s="37"/>
      <c r="G234" s="22"/>
      <c r="H234" s="22"/>
      <c r="I234" s="22"/>
      <c r="J234" s="22"/>
      <c r="K234" s="22"/>
      <c r="L234" s="22"/>
      <c r="M234" s="22"/>
      <c r="N234" s="22"/>
      <c r="O234" s="22"/>
      <c r="P234" s="22"/>
      <c r="Q234" s="22"/>
      <c r="R234" s="22"/>
      <c r="S234" s="22"/>
      <c r="T234" s="22"/>
      <c r="U234" s="22"/>
      <c r="V234" s="22"/>
      <c r="W234" s="22"/>
      <c r="X234" s="13"/>
      <c r="Y234" s="13"/>
      <c r="Z234" s="13"/>
      <c r="AA234" s="13" t="s">
        <v>651</v>
      </c>
    </row>
    <row r="235" spans="1:27" x14ac:dyDescent="0.25">
      <c r="A235" s="13">
        <v>58</v>
      </c>
      <c r="B235" s="104" t="s">
        <v>615</v>
      </c>
      <c r="C235" s="36"/>
      <c r="D235" s="13" t="s">
        <v>206</v>
      </c>
      <c r="E235" s="37"/>
      <c r="F235" s="37"/>
      <c r="G235" s="22"/>
      <c r="H235" s="22"/>
      <c r="I235" s="22"/>
      <c r="J235" s="22"/>
      <c r="K235" s="22"/>
      <c r="L235" s="22"/>
      <c r="M235" s="22"/>
      <c r="N235" s="22"/>
      <c r="O235" s="22"/>
      <c r="P235" s="22"/>
      <c r="Q235" s="22"/>
      <c r="R235" s="22"/>
      <c r="S235" s="22"/>
      <c r="T235" s="22"/>
      <c r="U235" s="22"/>
      <c r="V235" s="22"/>
      <c r="W235" s="22"/>
      <c r="X235" s="13"/>
      <c r="Y235" s="13"/>
      <c r="Z235" s="13"/>
      <c r="AA235" s="13" t="s">
        <v>651</v>
      </c>
    </row>
    <row r="236" spans="1:27" x14ac:dyDescent="0.25">
      <c r="A236" s="13">
        <v>59</v>
      </c>
      <c r="B236" s="104" t="s">
        <v>616</v>
      </c>
      <c r="C236" s="36"/>
      <c r="D236" s="13" t="s">
        <v>206</v>
      </c>
      <c r="E236" s="37"/>
      <c r="F236" s="37"/>
      <c r="G236" s="22"/>
      <c r="H236" s="22"/>
      <c r="I236" s="22"/>
      <c r="J236" s="22"/>
      <c r="K236" s="22"/>
      <c r="L236" s="22"/>
      <c r="M236" s="22"/>
      <c r="N236" s="22"/>
      <c r="O236" s="22"/>
      <c r="P236" s="22"/>
      <c r="Q236" s="22"/>
      <c r="R236" s="22"/>
      <c r="S236" s="22"/>
      <c r="T236" s="22"/>
      <c r="U236" s="22"/>
      <c r="V236" s="22"/>
      <c r="W236" s="22"/>
      <c r="X236" s="13"/>
      <c r="Y236" s="13"/>
      <c r="Z236" s="13"/>
      <c r="AA236" s="13" t="s">
        <v>651</v>
      </c>
    </row>
    <row r="237" spans="1:27" x14ac:dyDescent="0.25">
      <c r="A237" s="13">
        <v>60</v>
      </c>
      <c r="B237" s="104" t="s">
        <v>617</v>
      </c>
      <c r="C237" s="36"/>
      <c r="D237" s="13" t="s">
        <v>206</v>
      </c>
      <c r="E237" s="37"/>
      <c r="F237" s="37"/>
      <c r="G237" s="22"/>
      <c r="H237" s="22"/>
      <c r="I237" s="22"/>
      <c r="J237" s="22"/>
      <c r="K237" s="22"/>
      <c r="L237" s="22"/>
      <c r="M237" s="22"/>
      <c r="N237" s="22"/>
      <c r="O237" s="22"/>
      <c r="P237" s="22"/>
      <c r="Q237" s="22"/>
      <c r="R237" s="22"/>
      <c r="S237" s="22"/>
      <c r="T237" s="22"/>
      <c r="U237" s="22"/>
      <c r="V237" s="22"/>
      <c r="W237" s="22"/>
      <c r="X237" s="13"/>
      <c r="Y237" s="13"/>
      <c r="Z237" s="13"/>
      <c r="AA237" s="13" t="s">
        <v>651</v>
      </c>
    </row>
    <row r="238" spans="1:27" x14ac:dyDescent="0.25">
      <c r="A238" s="13">
        <v>61</v>
      </c>
      <c r="B238" s="104" t="s">
        <v>618</v>
      </c>
      <c r="C238" s="36"/>
      <c r="D238" s="13" t="s">
        <v>206</v>
      </c>
      <c r="E238" s="37"/>
      <c r="F238" s="37"/>
      <c r="G238" s="22"/>
      <c r="H238" s="22"/>
      <c r="I238" s="22"/>
      <c r="J238" s="22"/>
      <c r="K238" s="22"/>
      <c r="L238" s="22"/>
      <c r="M238" s="22"/>
      <c r="N238" s="22"/>
      <c r="O238" s="22"/>
      <c r="P238" s="22"/>
      <c r="Q238" s="22"/>
      <c r="R238" s="22"/>
      <c r="S238" s="22"/>
      <c r="T238" s="22"/>
      <c r="U238" s="22"/>
      <c r="V238" s="22"/>
      <c r="W238" s="22"/>
      <c r="X238" s="13"/>
      <c r="Y238" s="13"/>
      <c r="Z238" s="13"/>
      <c r="AA238" s="13" t="s">
        <v>651</v>
      </c>
    </row>
    <row r="239" spans="1:27" x14ac:dyDescent="0.25">
      <c r="A239" s="13">
        <v>62</v>
      </c>
      <c r="B239" s="104" t="s">
        <v>619</v>
      </c>
      <c r="C239" s="36"/>
      <c r="D239" s="13" t="s">
        <v>206</v>
      </c>
      <c r="E239" s="37"/>
      <c r="F239" s="37"/>
      <c r="G239" s="22"/>
      <c r="H239" s="22"/>
      <c r="I239" s="22"/>
      <c r="J239" s="22"/>
      <c r="K239" s="22"/>
      <c r="L239" s="22"/>
      <c r="M239" s="22"/>
      <c r="N239" s="22"/>
      <c r="O239" s="22"/>
      <c r="P239" s="22"/>
      <c r="Q239" s="22"/>
      <c r="R239" s="22"/>
      <c r="S239" s="22"/>
      <c r="T239" s="22"/>
      <c r="U239" s="22"/>
      <c r="V239" s="22"/>
      <c r="W239" s="22"/>
      <c r="X239" s="13"/>
      <c r="Y239" s="13"/>
      <c r="Z239" s="13"/>
      <c r="AA239" s="13" t="s">
        <v>651</v>
      </c>
    </row>
    <row r="240" spans="1:27" ht="60" x14ac:dyDescent="0.25">
      <c r="A240" s="13">
        <v>63</v>
      </c>
      <c r="B240" s="104" t="s">
        <v>620</v>
      </c>
      <c r="C240" s="36">
        <v>2019</v>
      </c>
      <c r="D240" s="13" t="s">
        <v>204</v>
      </c>
      <c r="E240" s="37" t="s">
        <v>837</v>
      </c>
      <c r="F240" s="37" t="s">
        <v>839</v>
      </c>
      <c r="G240" s="22">
        <v>1</v>
      </c>
      <c r="H240" s="22" t="s">
        <v>226</v>
      </c>
      <c r="I240" s="22" t="s">
        <v>226</v>
      </c>
      <c r="J240" s="22" t="s">
        <v>226</v>
      </c>
      <c r="K240" s="22" t="s">
        <v>226</v>
      </c>
      <c r="L240" s="22"/>
      <c r="M240" s="22"/>
      <c r="N240" s="22"/>
      <c r="O240" s="22" t="s">
        <v>226</v>
      </c>
      <c r="P240" s="22"/>
      <c r="Q240" s="22"/>
      <c r="R240" s="22"/>
      <c r="S240" s="22"/>
      <c r="T240" s="37" t="s">
        <v>838</v>
      </c>
      <c r="U240" s="22"/>
      <c r="V240" s="22" t="s">
        <v>226</v>
      </c>
      <c r="W240" s="22" t="s">
        <v>226</v>
      </c>
      <c r="X240" s="13"/>
      <c r="Y240" s="13">
        <v>3</v>
      </c>
      <c r="Z240" s="13">
        <v>0.46</v>
      </c>
      <c r="AA240" s="38" t="s">
        <v>651</v>
      </c>
    </row>
    <row r="241" spans="1:27" x14ac:dyDescent="0.25">
      <c r="A241" s="13">
        <v>64</v>
      </c>
      <c r="B241" s="104" t="s">
        <v>621</v>
      </c>
      <c r="C241" s="36"/>
      <c r="D241" s="13" t="s">
        <v>206</v>
      </c>
      <c r="E241" s="37"/>
      <c r="F241" s="37"/>
      <c r="G241" s="22"/>
      <c r="H241" s="22"/>
      <c r="I241" s="22"/>
      <c r="J241" s="22"/>
      <c r="K241" s="22"/>
      <c r="L241" s="22"/>
      <c r="M241" s="22"/>
      <c r="N241" s="22"/>
      <c r="O241" s="22"/>
      <c r="P241" s="22"/>
      <c r="Q241" s="22"/>
      <c r="R241" s="22"/>
      <c r="S241" s="22"/>
      <c r="T241" s="22"/>
      <c r="U241" s="22"/>
      <c r="V241" s="22"/>
      <c r="W241" s="22"/>
      <c r="X241" s="13"/>
      <c r="Y241" s="13"/>
      <c r="Z241" s="13"/>
      <c r="AA241" s="13" t="s">
        <v>651</v>
      </c>
    </row>
    <row r="242" spans="1:27" x14ac:dyDescent="0.25">
      <c r="A242" s="13">
        <v>65</v>
      </c>
      <c r="B242" s="104" t="s">
        <v>622</v>
      </c>
      <c r="C242" s="36"/>
      <c r="D242" s="13" t="s">
        <v>206</v>
      </c>
      <c r="E242" s="37"/>
      <c r="F242" s="37"/>
      <c r="G242" s="22"/>
      <c r="H242" s="22"/>
      <c r="I242" s="22"/>
      <c r="J242" s="22"/>
      <c r="K242" s="22"/>
      <c r="L242" s="22"/>
      <c r="M242" s="22"/>
      <c r="N242" s="22"/>
      <c r="O242" s="22"/>
      <c r="P242" s="22"/>
      <c r="Q242" s="22"/>
      <c r="R242" s="22"/>
      <c r="S242" s="22"/>
      <c r="T242" s="22"/>
      <c r="U242" s="22"/>
      <c r="V242" s="22"/>
      <c r="W242" s="22"/>
      <c r="X242" s="13"/>
      <c r="Y242" s="13"/>
      <c r="Z242" s="13"/>
      <c r="AA242" s="13" t="s">
        <v>651</v>
      </c>
    </row>
    <row r="243" spans="1:27" x14ac:dyDescent="0.25">
      <c r="A243" s="13">
        <v>66</v>
      </c>
      <c r="B243" s="104" t="s">
        <v>623</v>
      </c>
      <c r="C243" s="36"/>
      <c r="D243" s="13" t="s">
        <v>206</v>
      </c>
      <c r="E243" s="37"/>
      <c r="F243" s="37"/>
      <c r="G243" s="22"/>
      <c r="H243" s="22"/>
      <c r="I243" s="22"/>
      <c r="J243" s="22"/>
      <c r="K243" s="22"/>
      <c r="L243" s="22"/>
      <c r="M243" s="22"/>
      <c r="N243" s="22"/>
      <c r="O243" s="22"/>
      <c r="P243" s="22"/>
      <c r="Q243" s="22"/>
      <c r="R243" s="22"/>
      <c r="S243" s="22"/>
      <c r="T243" s="22"/>
      <c r="U243" s="22"/>
      <c r="V243" s="22"/>
      <c r="W243" s="22"/>
      <c r="X243" s="13"/>
      <c r="Y243" s="13"/>
      <c r="Z243" s="13"/>
      <c r="AA243" s="13" t="s">
        <v>651</v>
      </c>
    </row>
    <row r="244" spans="1:27" x14ac:dyDescent="0.25">
      <c r="A244" s="13">
        <v>67</v>
      </c>
      <c r="B244" s="104" t="s">
        <v>624</v>
      </c>
      <c r="C244" s="36"/>
      <c r="D244" s="13" t="s">
        <v>215</v>
      </c>
      <c r="E244" s="37"/>
      <c r="F244" s="37"/>
      <c r="G244" s="22"/>
      <c r="H244" s="22"/>
      <c r="I244" s="22"/>
      <c r="J244" s="22"/>
      <c r="K244" s="22"/>
      <c r="L244" s="22"/>
      <c r="M244" s="22"/>
      <c r="N244" s="22"/>
      <c r="O244" s="22"/>
      <c r="P244" s="22"/>
      <c r="Q244" s="22"/>
      <c r="R244" s="22"/>
      <c r="S244" s="22"/>
      <c r="T244" s="22"/>
      <c r="U244" s="22"/>
      <c r="V244" s="22"/>
      <c r="W244" s="22"/>
      <c r="X244" s="13"/>
      <c r="Y244" s="13"/>
      <c r="Z244" s="13"/>
      <c r="AA244" s="13" t="s">
        <v>651</v>
      </c>
    </row>
    <row r="245" spans="1:27" x14ac:dyDescent="0.25">
      <c r="A245" s="13">
        <v>68</v>
      </c>
      <c r="B245" s="104" t="s">
        <v>625</v>
      </c>
      <c r="C245" s="36"/>
      <c r="D245" s="13" t="s">
        <v>206</v>
      </c>
      <c r="E245" s="37"/>
      <c r="F245" s="37"/>
      <c r="G245" s="22"/>
      <c r="H245" s="22"/>
      <c r="I245" s="22"/>
      <c r="J245" s="22"/>
      <c r="K245" s="22"/>
      <c r="L245" s="22"/>
      <c r="M245" s="22"/>
      <c r="N245" s="22"/>
      <c r="O245" s="22"/>
      <c r="P245" s="22"/>
      <c r="Q245" s="22"/>
      <c r="R245" s="22"/>
      <c r="S245" s="22"/>
      <c r="T245" s="22"/>
      <c r="U245" s="22"/>
      <c r="V245" s="22"/>
      <c r="W245" s="22"/>
      <c r="X245" s="13"/>
      <c r="Y245" s="13"/>
      <c r="Z245" s="13"/>
      <c r="AA245" s="13" t="s">
        <v>651</v>
      </c>
    </row>
    <row r="246" spans="1:27" x14ac:dyDescent="0.25">
      <c r="A246" s="13">
        <v>69</v>
      </c>
      <c r="B246" s="104" t="s">
        <v>626</v>
      </c>
      <c r="C246" s="36"/>
      <c r="D246" s="13" t="s">
        <v>206</v>
      </c>
      <c r="E246" s="37"/>
      <c r="F246" s="37"/>
      <c r="G246" s="22"/>
      <c r="H246" s="22"/>
      <c r="I246" s="22"/>
      <c r="J246" s="22"/>
      <c r="K246" s="22"/>
      <c r="L246" s="22"/>
      <c r="M246" s="22"/>
      <c r="N246" s="22"/>
      <c r="O246" s="22"/>
      <c r="P246" s="22"/>
      <c r="Q246" s="22"/>
      <c r="R246" s="22"/>
      <c r="S246" s="22"/>
      <c r="T246" s="22"/>
      <c r="U246" s="22"/>
      <c r="V246" s="22"/>
      <c r="W246" s="22"/>
      <c r="X246" s="13"/>
      <c r="Y246" s="13"/>
      <c r="Z246" s="13"/>
      <c r="AA246" s="13" t="s">
        <v>651</v>
      </c>
    </row>
    <row r="247" spans="1:27" x14ac:dyDescent="0.25">
      <c r="A247" s="13">
        <v>70</v>
      </c>
      <c r="B247" s="104" t="s">
        <v>627</v>
      </c>
      <c r="C247" s="36"/>
      <c r="D247" s="13" t="s">
        <v>206</v>
      </c>
      <c r="E247" s="37"/>
      <c r="F247" s="37"/>
      <c r="G247" s="22"/>
      <c r="H247" s="22"/>
      <c r="I247" s="22"/>
      <c r="J247" s="22"/>
      <c r="K247" s="22"/>
      <c r="L247" s="22"/>
      <c r="M247" s="22"/>
      <c r="N247" s="22"/>
      <c r="O247" s="22"/>
      <c r="P247" s="22"/>
      <c r="Q247" s="22"/>
      <c r="R247" s="22"/>
      <c r="S247" s="22"/>
      <c r="T247" s="22"/>
      <c r="U247" s="22"/>
      <c r="V247" s="22"/>
      <c r="W247" s="22"/>
      <c r="X247" s="13"/>
      <c r="Y247" s="13"/>
      <c r="Z247" s="13"/>
      <c r="AA247" s="13" t="s">
        <v>651</v>
      </c>
    </row>
    <row r="248" spans="1:27" x14ac:dyDescent="0.25">
      <c r="A248" s="13">
        <v>71</v>
      </c>
      <c r="B248" s="104" t="s">
        <v>628</v>
      </c>
      <c r="C248" s="36"/>
      <c r="D248" s="13" t="s">
        <v>206</v>
      </c>
      <c r="E248" s="37"/>
      <c r="F248" s="37"/>
      <c r="G248" s="22"/>
      <c r="H248" s="22"/>
      <c r="I248" s="22"/>
      <c r="J248" s="22"/>
      <c r="K248" s="22"/>
      <c r="L248" s="22"/>
      <c r="M248" s="22"/>
      <c r="N248" s="22"/>
      <c r="O248" s="22"/>
      <c r="P248" s="22"/>
      <c r="Q248" s="22"/>
      <c r="R248" s="22"/>
      <c r="S248" s="22"/>
      <c r="T248" s="22"/>
      <c r="U248" s="22"/>
      <c r="V248" s="22"/>
      <c r="W248" s="22"/>
      <c r="X248" s="13"/>
      <c r="Y248" s="13"/>
      <c r="Z248" s="13"/>
      <c r="AA248" s="13" t="s">
        <v>651</v>
      </c>
    </row>
    <row r="249" spans="1:27" x14ac:dyDescent="0.25">
      <c r="A249" s="13">
        <v>72</v>
      </c>
      <c r="B249" s="104" t="s">
        <v>629</v>
      </c>
      <c r="C249" s="36"/>
      <c r="D249" s="13" t="s">
        <v>206</v>
      </c>
      <c r="E249" s="37"/>
      <c r="F249" s="37"/>
      <c r="G249" s="22"/>
      <c r="H249" s="22"/>
      <c r="I249" s="22"/>
      <c r="J249" s="22"/>
      <c r="K249" s="22"/>
      <c r="L249" s="22"/>
      <c r="M249" s="22"/>
      <c r="N249" s="22"/>
      <c r="O249" s="22"/>
      <c r="P249" s="22"/>
      <c r="Q249" s="22"/>
      <c r="R249" s="22"/>
      <c r="S249" s="22"/>
      <c r="T249" s="22"/>
      <c r="U249" s="22"/>
      <c r="V249" s="22"/>
      <c r="W249" s="22"/>
      <c r="X249" s="13"/>
      <c r="Y249" s="13"/>
      <c r="Z249" s="13"/>
      <c r="AA249" s="13" t="s">
        <v>651</v>
      </c>
    </row>
    <row r="250" spans="1:27" x14ac:dyDescent="0.25">
      <c r="A250" s="13">
        <v>73</v>
      </c>
      <c r="B250" s="104" t="s">
        <v>630</v>
      </c>
      <c r="C250" s="36"/>
      <c r="D250" s="13" t="s">
        <v>206</v>
      </c>
      <c r="E250" s="37"/>
      <c r="F250" s="37"/>
      <c r="G250" s="22"/>
      <c r="H250" s="22"/>
      <c r="I250" s="22"/>
      <c r="J250" s="22"/>
      <c r="K250" s="22"/>
      <c r="L250" s="22"/>
      <c r="M250" s="22"/>
      <c r="N250" s="22"/>
      <c r="O250" s="22"/>
      <c r="P250" s="22"/>
      <c r="Q250" s="22"/>
      <c r="R250" s="22"/>
      <c r="S250" s="22"/>
      <c r="T250" s="22"/>
      <c r="U250" s="22"/>
      <c r="V250" s="22"/>
      <c r="W250" s="22"/>
      <c r="X250" s="13"/>
      <c r="Y250" s="13"/>
      <c r="Z250" s="13"/>
      <c r="AA250" s="13" t="s">
        <v>651</v>
      </c>
    </row>
    <row r="251" spans="1:27" x14ac:dyDescent="0.25">
      <c r="A251" s="13">
        <v>74</v>
      </c>
      <c r="B251" s="104" t="s">
        <v>631</v>
      </c>
      <c r="C251" s="36"/>
      <c r="D251" s="13" t="s">
        <v>206</v>
      </c>
      <c r="E251" s="37"/>
      <c r="F251" s="37"/>
      <c r="G251" s="22"/>
      <c r="H251" s="22"/>
      <c r="I251" s="22"/>
      <c r="J251" s="22"/>
      <c r="K251" s="22"/>
      <c r="L251" s="22"/>
      <c r="M251" s="22"/>
      <c r="N251" s="22"/>
      <c r="O251" s="22"/>
      <c r="P251" s="22"/>
      <c r="Q251" s="22"/>
      <c r="R251" s="22"/>
      <c r="S251" s="22"/>
      <c r="T251" s="22"/>
      <c r="U251" s="22"/>
      <c r="V251" s="22"/>
      <c r="W251" s="22"/>
      <c r="X251" s="13"/>
      <c r="Y251" s="13"/>
      <c r="Z251" s="13"/>
      <c r="AA251" s="13" t="s">
        <v>651</v>
      </c>
    </row>
    <row r="252" spans="1:27" x14ac:dyDescent="0.25">
      <c r="A252" s="13">
        <v>75</v>
      </c>
      <c r="B252" s="104" t="s">
        <v>632</v>
      </c>
      <c r="C252" s="36"/>
      <c r="D252" s="13" t="s">
        <v>206</v>
      </c>
      <c r="E252" s="37"/>
      <c r="F252" s="37"/>
      <c r="G252" s="22"/>
      <c r="H252" s="22"/>
      <c r="I252" s="22"/>
      <c r="J252" s="22"/>
      <c r="K252" s="22"/>
      <c r="L252" s="22"/>
      <c r="M252" s="22"/>
      <c r="N252" s="22"/>
      <c r="O252" s="22"/>
      <c r="P252" s="22"/>
      <c r="Q252" s="22"/>
      <c r="R252" s="22"/>
      <c r="S252" s="22"/>
      <c r="T252" s="22"/>
      <c r="U252" s="22"/>
      <c r="V252" s="22"/>
      <c r="W252" s="22"/>
      <c r="X252" s="13"/>
      <c r="Y252" s="13"/>
      <c r="Z252" s="13"/>
      <c r="AA252" s="13" t="s">
        <v>651</v>
      </c>
    </row>
    <row r="253" spans="1:27" x14ac:dyDescent="0.25">
      <c r="A253" s="13">
        <v>76</v>
      </c>
      <c r="B253" s="104" t="s">
        <v>633</v>
      </c>
      <c r="C253" s="36"/>
      <c r="D253" s="13" t="s">
        <v>206</v>
      </c>
      <c r="E253" s="37"/>
      <c r="F253" s="37"/>
      <c r="G253" s="22"/>
      <c r="H253" s="22"/>
      <c r="I253" s="22"/>
      <c r="J253" s="22"/>
      <c r="K253" s="22"/>
      <c r="L253" s="22"/>
      <c r="M253" s="22"/>
      <c r="N253" s="22"/>
      <c r="O253" s="22"/>
      <c r="P253" s="22"/>
      <c r="Q253" s="22"/>
      <c r="R253" s="22"/>
      <c r="S253" s="22"/>
      <c r="T253" s="22"/>
      <c r="U253" s="22"/>
      <c r="V253" s="22"/>
      <c r="W253" s="22"/>
      <c r="X253" s="13"/>
      <c r="Y253" s="13"/>
      <c r="Z253" s="13"/>
      <c r="AA253" s="13" t="s">
        <v>651</v>
      </c>
    </row>
    <row r="254" spans="1:27" x14ac:dyDescent="0.25">
      <c r="A254" s="13">
        <v>77</v>
      </c>
      <c r="B254" s="104" t="s">
        <v>634</v>
      </c>
      <c r="C254" s="36"/>
      <c r="D254" s="13" t="s">
        <v>206</v>
      </c>
      <c r="E254" s="37"/>
      <c r="F254" s="37"/>
      <c r="G254" s="22"/>
      <c r="H254" s="22"/>
      <c r="I254" s="22"/>
      <c r="J254" s="22"/>
      <c r="K254" s="22"/>
      <c r="L254" s="22"/>
      <c r="M254" s="22"/>
      <c r="N254" s="22"/>
      <c r="O254" s="22"/>
      <c r="P254" s="22"/>
      <c r="Q254" s="22"/>
      <c r="R254" s="22"/>
      <c r="S254" s="22"/>
      <c r="T254" s="22"/>
      <c r="U254" s="22"/>
      <c r="V254" s="22"/>
      <c r="W254" s="22"/>
      <c r="X254" s="13"/>
      <c r="Y254" s="13"/>
      <c r="Z254" s="13"/>
      <c r="AA254" s="13" t="s">
        <v>651</v>
      </c>
    </row>
    <row r="255" spans="1:27" x14ac:dyDescent="0.25">
      <c r="A255" s="13">
        <v>78</v>
      </c>
      <c r="B255" s="104" t="s">
        <v>635</v>
      </c>
      <c r="C255" s="36"/>
      <c r="D255" s="13" t="s">
        <v>206</v>
      </c>
      <c r="E255" s="37"/>
      <c r="F255" s="37"/>
      <c r="G255" s="22"/>
      <c r="H255" s="22"/>
      <c r="I255" s="22"/>
      <c r="J255" s="22"/>
      <c r="K255" s="22"/>
      <c r="L255" s="22"/>
      <c r="M255" s="22"/>
      <c r="N255" s="22"/>
      <c r="O255" s="22"/>
      <c r="P255" s="22"/>
      <c r="Q255" s="22"/>
      <c r="R255" s="22"/>
      <c r="S255" s="22"/>
      <c r="T255" s="22"/>
      <c r="U255" s="22"/>
      <c r="V255" s="22"/>
      <c r="W255" s="22"/>
      <c r="X255" s="13"/>
      <c r="Y255" s="13"/>
      <c r="Z255" s="13"/>
      <c r="AA255" s="13" t="s">
        <v>651</v>
      </c>
    </row>
    <row r="256" spans="1:27" x14ac:dyDescent="0.25">
      <c r="A256" s="13">
        <v>79</v>
      </c>
      <c r="B256" s="104" t="s">
        <v>636</v>
      </c>
      <c r="C256" s="36"/>
      <c r="D256" s="13" t="s">
        <v>206</v>
      </c>
      <c r="E256" s="37"/>
      <c r="F256" s="37"/>
      <c r="G256" s="22"/>
      <c r="H256" s="22"/>
      <c r="I256" s="22"/>
      <c r="J256" s="22"/>
      <c r="K256" s="22"/>
      <c r="L256" s="22"/>
      <c r="M256" s="22"/>
      <c r="N256" s="22"/>
      <c r="O256" s="22"/>
      <c r="P256" s="22"/>
      <c r="Q256" s="22"/>
      <c r="R256" s="22"/>
      <c r="S256" s="22"/>
      <c r="T256" s="22"/>
      <c r="U256" s="22"/>
      <c r="V256" s="22"/>
      <c r="W256" s="22"/>
      <c r="X256" s="13"/>
      <c r="Y256" s="13"/>
      <c r="Z256" s="13"/>
      <c r="AA256" s="13" t="s">
        <v>651</v>
      </c>
    </row>
    <row r="257" spans="1:27" x14ac:dyDescent="0.25">
      <c r="A257" s="13">
        <v>80</v>
      </c>
      <c r="B257" s="104" t="s">
        <v>637</v>
      </c>
      <c r="C257" s="36"/>
      <c r="D257" s="13" t="s">
        <v>206</v>
      </c>
      <c r="E257" s="37"/>
      <c r="F257" s="37"/>
      <c r="G257" s="22"/>
      <c r="H257" s="22"/>
      <c r="I257" s="22"/>
      <c r="J257" s="22"/>
      <c r="K257" s="22"/>
      <c r="L257" s="22"/>
      <c r="M257" s="22"/>
      <c r="N257" s="22"/>
      <c r="O257" s="22"/>
      <c r="P257" s="22"/>
      <c r="Q257" s="22"/>
      <c r="R257" s="22"/>
      <c r="S257" s="22"/>
      <c r="T257" s="22"/>
      <c r="U257" s="22"/>
      <c r="V257" s="22"/>
      <c r="W257" s="22"/>
      <c r="X257" s="13"/>
      <c r="Y257" s="13"/>
      <c r="Z257" s="13"/>
      <c r="AA257" s="13" t="s">
        <v>651</v>
      </c>
    </row>
    <row r="258" spans="1:27" x14ac:dyDescent="0.25">
      <c r="A258" s="13">
        <v>81</v>
      </c>
      <c r="B258" s="104" t="s">
        <v>638</v>
      </c>
      <c r="C258" s="36"/>
      <c r="D258" s="13" t="s">
        <v>206</v>
      </c>
      <c r="E258" s="37"/>
      <c r="F258" s="37"/>
      <c r="G258" s="22"/>
      <c r="H258" s="22"/>
      <c r="I258" s="22"/>
      <c r="J258" s="22"/>
      <c r="K258" s="22"/>
      <c r="L258" s="22"/>
      <c r="M258" s="22"/>
      <c r="N258" s="22"/>
      <c r="O258" s="22"/>
      <c r="P258" s="22"/>
      <c r="Q258" s="22"/>
      <c r="R258" s="22"/>
      <c r="S258" s="22"/>
      <c r="T258" s="22"/>
      <c r="U258" s="22"/>
      <c r="V258" s="22"/>
      <c r="W258" s="22"/>
      <c r="X258" s="13"/>
      <c r="Y258" s="13"/>
      <c r="Z258" s="13"/>
      <c r="AA258" s="13" t="s">
        <v>651</v>
      </c>
    </row>
    <row r="259" spans="1:27" x14ac:dyDescent="0.25">
      <c r="A259" s="13">
        <v>82</v>
      </c>
      <c r="B259" s="104" t="s">
        <v>639</v>
      </c>
      <c r="C259" s="36"/>
      <c r="D259" s="13" t="s">
        <v>206</v>
      </c>
      <c r="E259" s="37"/>
      <c r="F259" s="37"/>
      <c r="G259" s="22"/>
      <c r="H259" s="22"/>
      <c r="I259" s="22"/>
      <c r="J259" s="22"/>
      <c r="K259" s="22"/>
      <c r="L259" s="22"/>
      <c r="M259" s="22"/>
      <c r="N259" s="22"/>
      <c r="O259" s="22"/>
      <c r="P259" s="22"/>
      <c r="Q259" s="22"/>
      <c r="R259" s="22"/>
      <c r="S259" s="22"/>
      <c r="T259" s="22"/>
      <c r="U259" s="22"/>
      <c r="V259" s="22"/>
      <c r="W259" s="22"/>
      <c r="X259" s="13"/>
      <c r="Y259" s="13"/>
      <c r="Z259" s="13"/>
      <c r="AA259" s="13" t="s">
        <v>651</v>
      </c>
    </row>
    <row r="260" spans="1:27" x14ac:dyDescent="0.25">
      <c r="A260" s="13">
        <v>83</v>
      </c>
      <c r="B260" s="104" t="s">
        <v>640</v>
      </c>
      <c r="C260" s="36"/>
      <c r="D260" s="13" t="s">
        <v>206</v>
      </c>
      <c r="E260" s="37"/>
      <c r="F260" s="37"/>
      <c r="G260" s="22"/>
      <c r="H260" s="22"/>
      <c r="I260" s="22"/>
      <c r="J260" s="22"/>
      <c r="K260" s="22"/>
      <c r="L260" s="22"/>
      <c r="M260" s="22"/>
      <c r="N260" s="22"/>
      <c r="O260" s="22"/>
      <c r="P260" s="22"/>
      <c r="Q260" s="22"/>
      <c r="R260" s="22"/>
      <c r="S260" s="22"/>
      <c r="T260" s="22"/>
      <c r="U260" s="22"/>
      <c r="V260" s="22"/>
      <c r="W260" s="22"/>
      <c r="X260" s="13"/>
      <c r="Y260" s="13"/>
      <c r="Z260" s="13"/>
      <c r="AA260" s="13" t="s">
        <v>651</v>
      </c>
    </row>
    <row r="261" spans="1:27" ht="30" x14ac:dyDescent="0.25">
      <c r="A261" s="13">
        <v>84</v>
      </c>
      <c r="B261" s="104" t="s">
        <v>641</v>
      </c>
      <c r="C261" s="13"/>
      <c r="D261" s="13" t="s">
        <v>215</v>
      </c>
      <c r="E261" s="37"/>
      <c r="F261" s="37"/>
      <c r="G261" s="22"/>
      <c r="H261" s="22"/>
      <c r="I261" s="22"/>
      <c r="J261" s="22"/>
      <c r="K261" s="22"/>
      <c r="L261" s="22"/>
      <c r="M261" s="22"/>
      <c r="N261" s="22"/>
      <c r="O261" s="22"/>
      <c r="P261" s="22"/>
      <c r="Q261" s="22"/>
      <c r="R261" s="22"/>
      <c r="S261" s="22"/>
      <c r="T261" s="22"/>
      <c r="U261" s="22"/>
      <c r="V261" s="22"/>
      <c r="W261" s="22"/>
      <c r="X261" s="37" t="s">
        <v>656</v>
      </c>
      <c r="Y261" s="13"/>
      <c r="Z261" s="13"/>
      <c r="AA261" s="13" t="s">
        <v>651</v>
      </c>
    </row>
    <row r="262" spans="1:27" x14ac:dyDescent="0.25">
      <c r="A262" s="13">
        <v>85</v>
      </c>
      <c r="B262" s="104" t="s">
        <v>642</v>
      </c>
      <c r="C262" s="36"/>
      <c r="D262" s="13" t="s">
        <v>206</v>
      </c>
      <c r="E262" s="37"/>
      <c r="F262" s="37"/>
      <c r="G262" s="22"/>
      <c r="H262" s="22"/>
      <c r="I262" s="22"/>
      <c r="J262" s="22"/>
      <c r="K262" s="22"/>
      <c r="L262" s="22"/>
      <c r="M262" s="22"/>
      <c r="N262" s="22"/>
      <c r="O262" s="22"/>
      <c r="P262" s="22"/>
      <c r="Q262" s="22"/>
      <c r="R262" s="22"/>
      <c r="S262" s="22"/>
      <c r="T262" s="22"/>
      <c r="U262" s="22"/>
      <c r="V262" s="22"/>
      <c r="W262" s="22"/>
      <c r="X262" s="13"/>
      <c r="Y262" s="13"/>
      <c r="Z262" s="13"/>
      <c r="AA262" s="13" t="s">
        <v>651</v>
      </c>
    </row>
    <row r="263" spans="1:27" x14ac:dyDescent="0.25">
      <c r="A263" s="13">
        <v>86</v>
      </c>
      <c r="B263" s="104" t="s">
        <v>643</v>
      </c>
      <c r="C263" s="36"/>
      <c r="D263" s="13" t="s">
        <v>206</v>
      </c>
      <c r="E263" s="37"/>
      <c r="F263" s="37"/>
      <c r="G263" s="22"/>
      <c r="H263" s="22"/>
      <c r="I263" s="22"/>
      <c r="J263" s="22"/>
      <c r="K263" s="22"/>
      <c r="L263" s="22"/>
      <c r="M263" s="22"/>
      <c r="N263" s="22"/>
      <c r="O263" s="22"/>
      <c r="P263" s="22"/>
      <c r="Q263" s="22"/>
      <c r="R263" s="22"/>
      <c r="S263" s="22"/>
      <c r="T263" s="22"/>
      <c r="U263" s="22"/>
      <c r="V263" s="22"/>
      <c r="W263" s="22"/>
      <c r="X263" s="13"/>
      <c r="Y263" s="13"/>
      <c r="Z263" s="13"/>
      <c r="AA263" s="13" t="s">
        <v>651</v>
      </c>
    </row>
    <row r="264" spans="1:27" x14ac:dyDescent="0.25">
      <c r="A264" s="13">
        <v>87</v>
      </c>
      <c r="B264" s="104" t="s">
        <v>644</v>
      </c>
      <c r="C264" s="36"/>
      <c r="D264" s="13" t="s">
        <v>206</v>
      </c>
      <c r="E264" s="37"/>
      <c r="F264" s="37"/>
      <c r="G264" s="22"/>
      <c r="H264" s="22"/>
      <c r="I264" s="22"/>
      <c r="J264" s="22"/>
      <c r="K264" s="22"/>
      <c r="L264" s="22"/>
      <c r="M264" s="22"/>
      <c r="N264" s="22"/>
      <c r="O264" s="22"/>
      <c r="P264" s="22"/>
      <c r="Q264" s="22"/>
      <c r="R264" s="22"/>
      <c r="S264" s="22"/>
      <c r="T264" s="22"/>
      <c r="U264" s="22"/>
      <c r="V264" s="22"/>
      <c r="W264" s="22"/>
      <c r="X264" s="13"/>
      <c r="Y264" s="13"/>
      <c r="Z264" s="13"/>
      <c r="AA264" s="13" t="s">
        <v>651</v>
      </c>
    </row>
    <row r="265" spans="1:27" x14ac:dyDescent="0.25">
      <c r="A265" s="13">
        <v>88</v>
      </c>
      <c r="B265" s="104" t="s">
        <v>645</v>
      </c>
      <c r="C265" s="36"/>
      <c r="D265" s="13" t="s">
        <v>206</v>
      </c>
      <c r="E265" s="37"/>
      <c r="F265" s="37"/>
      <c r="G265" s="22"/>
      <c r="H265" s="22"/>
      <c r="I265" s="22"/>
      <c r="J265" s="22"/>
      <c r="K265" s="22"/>
      <c r="L265" s="22"/>
      <c r="M265" s="22"/>
      <c r="N265" s="22"/>
      <c r="O265" s="22"/>
      <c r="P265" s="22"/>
      <c r="Q265" s="22"/>
      <c r="R265" s="22"/>
      <c r="S265" s="22"/>
      <c r="T265" s="22"/>
      <c r="U265" s="22"/>
      <c r="V265" s="22"/>
      <c r="W265" s="22"/>
      <c r="X265" s="13"/>
      <c r="Y265" s="13"/>
      <c r="Z265" s="13"/>
      <c r="AA265" s="13" t="s">
        <v>651</v>
      </c>
    </row>
    <row r="266" spans="1:27" x14ac:dyDescent="0.25">
      <c r="A266" s="13">
        <v>89</v>
      </c>
      <c r="B266" s="104" t="s">
        <v>646</v>
      </c>
      <c r="C266" s="36"/>
      <c r="D266" s="13" t="s">
        <v>206</v>
      </c>
      <c r="E266" s="37"/>
      <c r="F266" s="37"/>
      <c r="G266" s="22"/>
      <c r="H266" s="22"/>
      <c r="I266" s="22"/>
      <c r="J266" s="22"/>
      <c r="K266" s="22"/>
      <c r="L266" s="22"/>
      <c r="M266" s="22"/>
      <c r="N266" s="22"/>
      <c r="O266" s="22"/>
      <c r="P266" s="22"/>
      <c r="Q266" s="22"/>
      <c r="R266" s="22"/>
      <c r="S266" s="22"/>
      <c r="T266" s="22"/>
      <c r="U266" s="22"/>
      <c r="V266" s="22"/>
      <c r="W266" s="22"/>
      <c r="X266" s="13"/>
      <c r="Y266" s="13"/>
      <c r="Z266" s="13"/>
      <c r="AA266" s="13" t="s">
        <v>651</v>
      </c>
    </row>
    <row r="267" spans="1:27" x14ac:dyDescent="0.25">
      <c r="A267" s="13">
        <v>90</v>
      </c>
      <c r="B267" s="104" t="s">
        <v>647</v>
      </c>
      <c r="C267" s="36"/>
      <c r="D267" s="13" t="s">
        <v>206</v>
      </c>
      <c r="E267" s="37"/>
      <c r="F267" s="37"/>
      <c r="G267" s="22"/>
      <c r="H267" s="22"/>
      <c r="I267" s="22"/>
      <c r="J267" s="22"/>
      <c r="K267" s="22"/>
      <c r="L267" s="22"/>
      <c r="M267" s="22"/>
      <c r="N267" s="22"/>
      <c r="O267" s="22"/>
      <c r="P267" s="22"/>
      <c r="Q267" s="22"/>
      <c r="R267" s="22"/>
      <c r="S267" s="22"/>
      <c r="T267" s="22"/>
      <c r="U267" s="22"/>
      <c r="V267" s="22"/>
      <c r="W267" s="22"/>
      <c r="X267" s="13"/>
      <c r="Y267" s="13"/>
      <c r="Z267" s="13"/>
      <c r="AA267" s="13" t="s">
        <v>651</v>
      </c>
    </row>
    <row r="268" spans="1:27" x14ac:dyDescent="0.25">
      <c r="A268" s="13">
        <v>91</v>
      </c>
      <c r="B268" s="104" t="s">
        <v>648</v>
      </c>
      <c r="C268" s="36"/>
      <c r="D268" s="13" t="s">
        <v>206</v>
      </c>
      <c r="E268" s="37"/>
      <c r="F268" s="37"/>
      <c r="G268" s="22"/>
      <c r="H268" s="22"/>
      <c r="I268" s="22"/>
      <c r="J268" s="22"/>
      <c r="K268" s="22"/>
      <c r="L268" s="22"/>
      <c r="M268" s="22"/>
      <c r="N268" s="22"/>
      <c r="O268" s="22"/>
      <c r="P268" s="22"/>
      <c r="Q268" s="22"/>
      <c r="R268" s="22"/>
      <c r="S268" s="22"/>
      <c r="T268" s="22"/>
      <c r="U268" s="22"/>
      <c r="V268" s="22"/>
      <c r="W268" s="22"/>
      <c r="X268" s="13"/>
      <c r="Y268" s="13"/>
      <c r="Z268" s="13"/>
      <c r="AA268" s="13" t="s">
        <v>651</v>
      </c>
    </row>
    <row r="269" spans="1:27" ht="45" x14ac:dyDescent="0.25">
      <c r="A269" s="13">
        <v>92</v>
      </c>
      <c r="B269" s="104" t="s">
        <v>649</v>
      </c>
      <c r="C269" s="36">
        <v>2021</v>
      </c>
      <c r="D269" s="13" t="s">
        <v>204</v>
      </c>
      <c r="E269" s="37" t="s">
        <v>840</v>
      </c>
      <c r="F269" s="37" t="s">
        <v>743</v>
      </c>
      <c r="G269" s="22">
        <v>1</v>
      </c>
      <c r="H269" s="22"/>
      <c r="I269" s="22"/>
      <c r="J269" s="22" t="s">
        <v>226</v>
      </c>
      <c r="K269" s="22" t="s">
        <v>226</v>
      </c>
      <c r="L269" s="22"/>
      <c r="M269" s="22"/>
      <c r="N269" s="22" t="s">
        <v>226</v>
      </c>
      <c r="O269" s="22"/>
      <c r="P269" s="22" t="s">
        <v>226</v>
      </c>
      <c r="Q269" s="22"/>
      <c r="R269" s="22"/>
      <c r="S269" s="22"/>
      <c r="T269" s="37" t="s">
        <v>273</v>
      </c>
      <c r="U269" s="22"/>
      <c r="V269" s="22"/>
      <c r="W269" s="22" t="s">
        <v>226</v>
      </c>
      <c r="X269" s="13"/>
      <c r="Y269" s="13">
        <v>4.9000000000000004</v>
      </c>
      <c r="Z269" s="13">
        <v>0.46</v>
      </c>
      <c r="AA269" s="38" t="s">
        <v>651</v>
      </c>
    </row>
    <row r="270" spans="1:27" x14ac:dyDescent="0.25">
      <c r="A270" s="13">
        <v>93</v>
      </c>
      <c r="B270" s="104" t="s">
        <v>650</v>
      </c>
      <c r="C270" s="36"/>
      <c r="D270" s="13" t="s">
        <v>206</v>
      </c>
      <c r="E270" s="37"/>
      <c r="F270" s="37"/>
      <c r="G270" s="22"/>
      <c r="H270" s="22"/>
      <c r="I270" s="22"/>
      <c r="J270" s="22"/>
      <c r="K270" s="22"/>
      <c r="L270" s="22"/>
      <c r="M270" s="22"/>
      <c r="N270" s="22"/>
      <c r="O270" s="22"/>
      <c r="P270" s="22"/>
      <c r="Q270" s="22"/>
      <c r="R270" s="22"/>
      <c r="S270" s="22"/>
      <c r="T270" s="22"/>
      <c r="U270" s="22"/>
      <c r="V270" s="22"/>
      <c r="W270" s="22"/>
      <c r="X270" s="13"/>
      <c r="Y270" s="13"/>
      <c r="Z270" s="13"/>
      <c r="AA270" s="13" t="s">
        <v>651</v>
      </c>
    </row>
    <row r="271" spans="1:27" x14ac:dyDescent="0.25">
      <c r="A271" s="13">
        <v>1</v>
      </c>
      <c r="B271" s="104" t="s">
        <v>658</v>
      </c>
      <c r="C271" s="36"/>
      <c r="D271" s="13" t="s">
        <v>206</v>
      </c>
      <c r="E271" s="37"/>
      <c r="F271" s="37"/>
      <c r="G271" s="22"/>
      <c r="H271" s="22"/>
      <c r="I271" s="22"/>
      <c r="J271" s="22"/>
      <c r="K271" s="22"/>
      <c r="L271" s="22"/>
      <c r="M271" s="22"/>
      <c r="N271" s="22"/>
      <c r="O271" s="22"/>
      <c r="P271" s="22"/>
      <c r="Q271" s="22"/>
      <c r="R271" s="22"/>
      <c r="S271" s="22"/>
      <c r="T271" s="22"/>
      <c r="U271" s="22"/>
      <c r="V271" s="22"/>
      <c r="W271" s="22"/>
      <c r="X271" s="13"/>
      <c r="Y271" s="13"/>
      <c r="Z271" s="13"/>
      <c r="AA271" s="13" t="s">
        <v>657</v>
      </c>
    </row>
    <row r="272" spans="1:27" ht="45" x14ac:dyDescent="0.25">
      <c r="A272" s="13">
        <v>2</v>
      </c>
      <c r="B272" s="104" t="s">
        <v>659</v>
      </c>
      <c r="C272" s="36">
        <v>2018</v>
      </c>
      <c r="D272" s="13" t="s">
        <v>204</v>
      </c>
      <c r="E272" s="37" t="s">
        <v>841</v>
      </c>
      <c r="F272" s="37" t="s">
        <v>842</v>
      </c>
      <c r="G272" s="22">
        <v>1</v>
      </c>
      <c r="H272" s="22" t="s">
        <v>226</v>
      </c>
      <c r="I272" s="22"/>
      <c r="J272" s="22" t="s">
        <v>226</v>
      </c>
      <c r="K272" s="22"/>
      <c r="L272" s="22"/>
      <c r="M272" s="22"/>
      <c r="N272" s="22"/>
      <c r="O272" s="22" t="s">
        <v>226</v>
      </c>
      <c r="P272" s="22"/>
      <c r="Q272" s="22"/>
      <c r="R272" s="22" t="s">
        <v>226</v>
      </c>
      <c r="S272" s="22"/>
      <c r="T272" s="37" t="s">
        <v>843</v>
      </c>
      <c r="U272" s="22"/>
      <c r="V272" s="22"/>
      <c r="W272" s="22"/>
      <c r="X272" s="13"/>
      <c r="Y272" s="13">
        <v>81.7</v>
      </c>
      <c r="Z272" s="13">
        <v>3.75</v>
      </c>
      <c r="AA272" s="38" t="s">
        <v>657</v>
      </c>
    </row>
    <row r="273" spans="1:27" ht="45" x14ac:dyDescent="0.25">
      <c r="A273" s="13">
        <v>3</v>
      </c>
      <c r="B273" s="104" t="s">
        <v>660</v>
      </c>
      <c r="C273" s="36">
        <v>2018</v>
      </c>
      <c r="D273" s="13" t="s">
        <v>204</v>
      </c>
      <c r="E273" s="37" t="s">
        <v>844</v>
      </c>
      <c r="F273" s="37" t="s">
        <v>743</v>
      </c>
      <c r="G273" s="22">
        <v>1</v>
      </c>
      <c r="H273" s="22" t="s">
        <v>226</v>
      </c>
      <c r="I273" s="22"/>
      <c r="J273" s="22" t="s">
        <v>226</v>
      </c>
      <c r="K273" s="22"/>
      <c r="L273" s="22"/>
      <c r="M273" s="22"/>
      <c r="N273" s="13"/>
      <c r="O273" s="22" t="s">
        <v>226</v>
      </c>
      <c r="P273" s="22" t="s">
        <v>226</v>
      </c>
      <c r="Q273" s="22"/>
      <c r="R273" s="22"/>
      <c r="S273" s="22" t="s">
        <v>226</v>
      </c>
      <c r="T273" s="37" t="s">
        <v>802</v>
      </c>
      <c r="U273" s="22"/>
      <c r="V273" s="22" t="s">
        <v>226</v>
      </c>
      <c r="W273" s="22"/>
      <c r="X273" s="13"/>
      <c r="Y273" s="13">
        <v>32.799999999999997</v>
      </c>
      <c r="Z273" s="13">
        <v>3.75</v>
      </c>
      <c r="AA273" s="38" t="s">
        <v>657</v>
      </c>
    </row>
    <row r="274" spans="1:27" x14ac:dyDescent="0.25">
      <c r="A274" s="13">
        <v>4</v>
      </c>
      <c r="B274" s="104" t="s">
        <v>661</v>
      </c>
      <c r="C274" s="36"/>
      <c r="D274" s="13" t="s">
        <v>206</v>
      </c>
      <c r="E274" s="37"/>
      <c r="F274" s="37"/>
      <c r="G274" s="22"/>
      <c r="H274" s="22"/>
      <c r="I274" s="22"/>
      <c r="J274" s="22"/>
      <c r="K274" s="22"/>
      <c r="L274" s="22"/>
      <c r="M274" s="22"/>
      <c r="N274" s="22"/>
      <c r="O274" s="22"/>
      <c r="P274" s="22"/>
      <c r="Q274" s="22"/>
      <c r="R274" s="22"/>
      <c r="S274" s="22"/>
      <c r="T274" s="22"/>
      <c r="U274" s="22"/>
      <c r="V274" s="22"/>
      <c r="W274" s="22"/>
      <c r="X274" s="13"/>
      <c r="Y274" s="13"/>
      <c r="Z274" s="13"/>
      <c r="AA274" s="13" t="s">
        <v>657</v>
      </c>
    </row>
    <row r="275" spans="1:27" x14ac:dyDescent="0.25">
      <c r="A275" s="13">
        <v>5</v>
      </c>
      <c r="B275" s="104" t="s">
        <v>662</v>
      </c>
      <c r="C275" s="36"/>
      <c r="D275" s="13" t="s">
        <v>206</v>
      </c>
      <c r="E275" s="37"/>
      <c r="F275" s="37"/>
      <c r="G275" s="22"/>
      <c r="H275" s="22"/>
      <c r="I275" s="22"/>
      <c r="J275" s="22"/>
      <c r="K275" s="22"/>
      <c r="L275" s="22"/>
      <c r="M275" s="22"/>
      <c r="N275" s="22"/>
      <c r="O275" s="22"/>
      <c r="P275" s="22"/>
      <c r="Q275" s="22"/>
      <c r="R275" s="22"/>
      <c r="S275" s="22"/>
      <c r="T275" s="22"/>
      <c r="U275" s="22"/>
      <c r="V275" s="22"/>
      <c r="W275" s="22"/>
      <c r="X275" s="13"/>
      <c r="Y275" s="13"/>
      <c r="Z275" s="13"/>
      <c r="AA275" s="13" t="s">
        <v>657</v>
      </c>
    </row>
    <row r="276" spans="1:27" x14ac:dyDescent="0.25">
      <c r="A276" s="13">
        <v>6</v>
      </c>
      <c r="B276" s="104" t="s">
        <v>663</v>
      </c>
      <c r="C276" s="36"/>
      <c r="D276" s="13" t="s">
        <v>206</v>
      </c>
      <c r="E276" s="37"/>
      <c r="F276" s="37"/>
      <c r="G276" s="22"/>
      <c r="H276" s="22"/>
      <c r="I276" s="22"/>
      <c r="J276" s="22"/>
      <c r="K276" s="22"/>
      <c r="L276" s="22"/>
      <c r="M276" s="22"/>
      <c r="N276" s="22"/>
      <c r="O276" s="22"/>
      <c r="P276" s="22"/>
      <c r="Q276" s="22"/>
      <c r="R276" s="22"/>
      <c r="S276" s="22"/>
      <c r="T276" s="22"/>
      <c r="U276" s="22"/>
      <c r="V276" s="22"/>
      <c r="W276" s="22"/>
      <c r="X276" s="13"/>
      <c r="Y276" s="13"/>
      <c r="Z276" s="13"/>
      <c r="AA276" s="13" t="s">
        <v>657</v>
      </c>
    </row>
    <row r="277" spans="1:27" ht="26.25" x14ac:dyDescent="0.25">
      <c r="A277" s="13">
        <v>7</v>
      </c>
      <c r="B277" s="104" t="s">
        <v>664</v>
      </c>
      <c r="C277" s="36">
        <v>2015</v>
      </c>
      <c r="D277" s="13" t="s">
        <v>206</v>
      </c>
      <c r="E277" s="37"/>
      <c r="F277" s="37"/>
      <c r="G277" s="22"/>
      <c r="H277" s="22"/>
      <c r="I277" s="22"/>
      <c r="J277" s="22"/>
      <c r="K277" s="22"/>
      <c r="L277" s="22"/>
      <c r="M277" s="22"/>
      <c r="N277" s="22"/>
      <c r="O277" s="22"/>
      <c r="P277" s="22"/>
      <c r="Q277" s="22"/>
      <c r="R277" s="22"/>
      <c r="S277" s="22"/>
      <c r="T277" s="37"/>
      <c r="U277" s="22"/>
      <c r="V277" s="22"/>
      <c r="W277" s="22"/>
      <c r="X277" s="13"/>
      <c r="Y277" s="13"/>
      <c r="Z277" s="13"/>
      <c r="AA277" s="13" t="s">
        <v>657</v>
      </c>
    </row>
    <row r="278" spans="1:27" ht="30" x14ac:dyDescent="0.25">
      <c r="A278" s="13">
        <v>8</v>
      </c>
      <c r="B278" s="104" t="s">
        <v>665</v>
      </c>
      <c r="C278" s="36">
        <v>2018</v>
      </c>
      <c r="D278" s="13" t="s">
        <v>204</v>
      </c>
      <c r="E278" s="37" t="s">
        <v>845</v>
      </c>
      <c r="F278" s="37" t="s">
        <v>846</v>
      </c>
      <c r="G278" s="22">
        <v>1</v>
      </c>
      <c r="H278" s="22"/>
      <c r="I278" s="22" t="s">
        <v>226</v>
      </c>
      <c r="J278" s="22" t="s">
        <v>226</v>
      </c>
      <c r="K278" s="22" t="s">
        <v>226</v>
      </c>
      <c r="L278" s="22"/>
      <c r="M278" s="22"/>
      <c r="N278" s="22"/>
      <c r="O278" s="22"/>
      <c r="P278" s="22"/>
      <c r="Q278" s="22"/>
      <c r="R278" s="22" t="s">
        <v>226</v>
      </c>
      <c r="S278" s="22"/>
      <c r="T278" s="37" t="s">
        <v>810</v>
      </c>
      <c r="U278" s="22"/>
      <c r="V278" s="22"/>
      <c r="W278" s="22" t="s">
        <v>226</v>
      </c>
      <c r="X278" s="13"/>
      <c r="Y278" s="13">
        <v>23.1</v>
      </c>
      <c r="Z278" s="13">
        <v>3.75</v>
      </c>
      <c r="AA278" s="38" t="s">
        <v>657</v>
      </c>
    </row>
    <row r="279" spans="1:27" x14ac:dyDescent="0.25">
      <c r="A279" s="13">
        <v>9</v>
      </c>
      <c r="B279" s="104" t="s">
        <v>666</v>
      </c>
      <c r="C279" s="36"/>
      <c r="D279" s="13" t="s">
        <v>206</v>
      </c>
      <c r="E279" s="37"/>
      <c r="F279" s="37"/>
      <c r="G279" s="22"/>
      <c r="H279" s="22"/>
      <c r="I279" s="22"/>
      <c r="J279" s="22"/>
      <c r="K279" s="22"/>
      <c r="L279" s="22"/>
      <c r="M279" s="22"/>
      <c r="N279" s="22"/>
      <c r="O279" s="22"/>
      <c r="P279" s="22"/>
      <c r="Q279" s="22"/>
      <c r="R279" s="22"/>
      <c r="S279" s="22"/>
      <c r="T279" s="22"/>
      <c r="U279" s="22"/>
      <c r="V279" s="22"/>
      <c r="W279" s="22"/>
      <c r="X279" s="13"/>
      <c r="Y279" s="13"/>
      <c r="Z279" s="13"/>
      <c r="AA279" s="13" t="s">
        <v>657</v>
      </c>
    </row>
    <row r="280" spans="1:27" ht="60" x14ac:dyDescent="0.25">
      <c r="A280" s="13">
        <v>10</v>
      </c>
      <c r="B280" s="104" t="s">
        <v>667</v>
      </c>
      <c r="C280" s="36">
        <v>2023</v>
      </c>
      <c r="D280" s="13" t="s">
        <v>204</v>
      </c>
      <c r="E280" s="37" t="s">
        <v>847</v>
      </c>
      <c r="F280" s="37" t="s">
        <v>705</v>
      </c>
      <c r="G280" s="22">
        <v>1</v>
      </c>
      <c r="H280" s="22" t="s">
        <v>226</v>
      </c>
      <c r="I280" s="22"/>
      <c r="J280" s="22"/>
      <c r="K280" s="22"/>
      <c r="L280" s="22"/>
      <c r="M280" s="22"/>
      <c r="N280" s="22" t="s">
        <v>226</v>
      </c>
      <c r="O280" s="22" t="s">
        <v>226</v>
      </c>
      <c r="P280" s="22" t="s">
        <v>226</v>
      </c>
      <c r="Q280" s="22" t="s">
        <v>226</v>
      </c>
      <c r="R280" s="22" t="s">
        <v>226</v>
      </c>
      <c r="S280" s="22" t="s">
        <v>226</v>
      </c>
      <c r="T280" s="37" t="s">
        <v>810</v>
      </c>
      <c r="U280" s="22"/>
      <c r="V280" s="22"/>
      <c r="W280" s="22" t="s">
        <v>226</v>
      </c>
      <c r="X280" s="13"/>
      <c r="Y280" s="13">
        <v>1.6</v>
      </c>
      <c r="Z280" s="13">
        <v>3.75</v>
      </c>
      <c r="AA280" s="38" t="s">
        <v>657</v>
      </c>
    </row>
    <row r="281" spans="1:27" x14ac:dyDescent="0.25">
      <c r="A281" s="13">
        <v>11</v>
      </c>
      <c r="B281" s="104" t="s">
        <v>668</v>
      </c>
      <c r="C281" s="36"/>
      <c r="D281" s="13" t="s">
        <v>206</v>
      </c>
      <c r="E281" s="37"/>
      <c r="F281" s="37"/>
      <c r="G281" s="22"/>
      <c r="H281" s="22"/>
      <c r="I281" s="22"/>
      <c r="J281" s="22"/>
      <c r="K281" s="22"/>
      <c r="L281" s="22"/>
      <c r="M281" s="22"/>
      <c r="N281" s="22"/>
      <c r="O281" s="22"/>
      <c r="P281" s="22"/>
      <c r="Q281" s="22"/>
      <c r="R281" s="22"/>
      <c r="S281" s="22"/>
      <c r="T281" s="22"/>
      <c r="U281" s="22"/>
      <c r="V281" s="22"/>
      <c r="W281" s="22"/>
      <c r="X281" s="13"/>
      <c r="Y281" s="13"/>
      <c r="Z281" s="13"/>
      <c r="AA281" s="13" t="s">
        <v>657</v>
      </c>
    </row>
    <row r="282" spans="1:27" ht="26.25" x14ac:dyDescent="0.25">
      <c r="A282" s="13">
        <v>12</v>
      </c>
      <c r="B282" s="104" t="s">
        <v>669</v>
      </c>
      <c r="C282" s="36">
        <v>2022</v>
      </c>
      <c r="D282" s="13" t="s">
        <v>206</v>
      </c>
      <c r="E282" s="37"/>
      <c r="F282" s="37"/>
      <c r="G282" s="22"/>
      <c r="H282" s="22"/>
      <c r="I282" s="22"/>
      <c r="J282" s="22"/>
      <c r="K282" s="22"/>
      <c r="L282" s="22"/>
      <c r="M282" s="22"/>
      <c r="N282" s="22"/>
      <c r="O282" s="22"/>
      <c r="P282" s="22"/>
      <c r="Q282" s="22"/>
      <c r="R282" s="22"/>
      <c r="S282" s="22"/>
      <c r="T282" s="37"/>
      <c r="U282" s="22"/>
      <c r="V282" s="22"/>
      <c r="W282" s="22"/>
      <c r="X282" s="13"/>
      <c r="Y282" s="13"/>
      <c r="Z282" s="13"/>
      <c r="AA282" s="13" t="s">
        <v>657</v>
      </c>
    </row>
    <row r="283" spans="1:27" x14ac:dyDescent="0.25">
      <c r="A283" s="13">
        <v>13</v>
      </c>
      <c r="B283" s="104" t="s">
        <v>670</v>
      </c>
      <c r="C283" s="36"/>
      <c r="D283" s="13" t="s">
        <v>206</v>
      </c>
      <c r="E283" s="37"/>
      <c r="F283" s="37"/>
      <c r="G283" s="22"/>
      <c r="H283" s="22"/>
      <c r="I283" s="22"/>
      <c r="J283" s="22"/>
      <c r="K283" s="22"/>
      <c r="L283" s="22"/>
      <c r="M283" s="22"/>
      <c r="N283" s="22"/>
      <c r="O283" s="22"/>
      <c r="P283" s="22"/>
      <c r="Q283" s="22"/>
      <c r="R283" s="22"/>
      <c r="S283" s="22"/>
      <c r="T283" s="22"/>
      <c r="U283" s="22"/>
      <c r="V283" s="22"/>
      <c r="W283" s="22"/>
      <c r="X283" s="13"/>
      <c r="Y283" s="13"/>
      <c r="Z283" s="13"/>
      <c r="AA283" s="13" t="s">
        <v>657</v>
      </c>
    </row>
    <row r="284" spans="1:27" x14ac:dyDescent="0.25">
      <c r="A284" s="13">
        <v>14</v>
      </c>
      <c r="B284" s="104" t="s">
        <v>671</v>
      </c>
      <c r="C284" s="36"/>
      <c r="D284" s="13" t="s">
        <v>206</v>
      </c>
      <c r="E284" s="37"/>
      <c r="F284" s="37"/>
      <c r="G284" s="22"/>
      <c r="H284" s="22"/>
      <c r="I284" s="22"/>
      <c r="J284" s="22"/>
      <c r="K284" s="22"/>
      <c r="L284" s="22"/>
      <c r="M284" s="22"/>
      <c r="N284" s="22"/>
      <c r="O284" s="22"/>
      <c r="P284" s="22"/>
      <c r="Q284" s="22"/>
      <c r="R284" s="22"/>
      <c r="S284" s="22"/>
      <c r="T284" s="22"/>
      <c r="U284" s="22"/>
      <c r="V284" s="22"/>
      <c r="W284" s="22"/>
      <c r="X284" s="13"/>
      <c r="Y284" s="13"/>
      <c r="Z284" s="13"/>
      <c r="AA284" s="13" t="s">
        <v>657</v>
      </c>
    </row>
    <row r="285" spans="1:27" x14ac:dyDescent="0.25">
      <c r="A285" s="13">
        <v>15</v>
      </c>
      <c r="B285" s="104" t="s">
        <v>672</v>
      </c>
      <c r="C285" s="36"/>
      <c r="D285" s="13" t="s">
        <v>206</v>
      </c>
      <c r="E285" s="37"/>
      <c r="F285" s="37"/>
      <c r="G285" s="22"/>
      <c r="H285" s="22"/>
      <c r="I285" s="22"/>
      <c r="J285" s="22"/>
      <c r="K285" s="22"/>
      <c r="L285" s="22"/>
      <c r="M285" s="22"/>
      <c r="N285" s="22"/>
      <c r="O285" s="22"/>
      <c r="P285" s="22"/>
      <c r="Q285" s="22"/>
      <c r="R285" s="22"/>
      <c r="S285" s="22"/>
      <c r="T285" s="22"/>
      <c r="U285" s="22"/>
      <c r="V285" s="22"/>
      <c r="W285" s="22"/>
      <c r="X285" s="13"/>
      <c r="Y285" s="13"/>
      <c r="Z285" s="13"/>
      <c r="AA285" s="13" t="s">
        <v>657</v>
      </c>
    </row>
    <row r="286" spans="1:27" x14ac:dyDescent="0.25">
      <c r="A286" s="13">
        <v>16</v>
      </c>
      <c r="B286" s="104" t="s">
        <v>673</v>
      </c>
      <c r="C286" s="36"/>
      <c r="D286" s="13" t="s">
        <v>206</v>
      </c>
      <c r="E286" s="37"/>
      <c r="F286" s="37"/>
      <c r="G286" s="22"/>
      <c r="H286" s="22"/>
      <c r="I286" s="22"/>
      <c r="J286" s="22"/>
      <c r="K286" s="22"/>
      <c r="L286" s="22"/>
      <c r="M286" s="22"/>
      <c r="N286" s="22"/>
      <c r="O286" s="22"/>
      <c r="P286" s="22"/>
      <c r="Q286" s="22"/>
      <c r="R286" s="22"/>
      <c r="S286" s="22"/>
      <c r="T286" s="22"/>
      <c r="U286" s="22"/>
      <c r="V286" s="22"/>
      <c r="W286" s="22"/>
      <c r="X286" s="13"/>
      <c r="Y286" s="13"/>
      <c r="Z286" s="13"/>
      <c r="AA286" s="13" t="s">
        <v>657</v>
      </c>
    </row>
    <row r="287" spans="1:27" ht="60" x14ac:dyDescent="0.25">
      <c r="A287" s="13">
        <v>17</v>
      </c>
      <c r="B287" s="104" t="s">
        <v>674</v>
      </c>
      <c r="C287" s="36">
        <v>2016</v>
      </c>
      <c r="D287" s="13" t="s">
        <v>204</v>
      </c>
      <c r="E287" s="37" t="s">
        <v>849</v>
      </c>
      <c r="F287" s="37" t="s">
        <v>850</v>
      </c>
      <c r="G287" s="22">
        <v>0</v>
      </c>
      <c r="H287" s="22"/>
      <c r="I287" s="22"/>
      <c r="J287" s="22"/>
      <c r="K287" s="22"/>
      <c r="L287" s="22"/>
      <c r="M287" s="22"/>
      <c r="N287" s="22"/>
      <c r="O287" s="22"/>
      <c r="P287" s="22"/>
      <c r="Q287" s="22"/>
      <c r="R287" s="22"/>
      <c r="S287" s="22" t="s">
        <v>226</v>
      </c>
      <c r="T287" s="37" t="s">
        <v>848</v>
      </c>
      <c r="U287" s="22"/>
      <c r="V287" s="22"/>
      <c r="W287" s="22" t="s">
        <v>226</v>
      </c>
      <c r="X287" s="13"/>
      <c r="Y287" s="13">
        <v>122.6</v>
      </c>
      <c r="Z287" s="13">
        <v>3.75</v>
      </c>
      <c r="AA287" s="38" t="s">
        <v>657</v>
      </c>
    </row>
    <row r="288" spans="1:27" ht="75" x14ac:dyDescent="0.25">
      <c r="A288" s="13">
        <v>18</v>
      </c>
      <c r="B288" s="104" t="s">
        <v>675</v>
      </c>
      <c r="C288" s="36">
        <v>2015</v>
      </c>
      <c r="D288" s="13" t="s">
        <v>204</v>
      </c>
      <c r="E288" s="37" t="s">
        <v>851</v>
      </c>
      <c r="F288" s="37" t="s">
        <v>854</v>
      </c>
      <c r="G288" s="22">
        <v>-1</v>
      </c>
      <c r="H288" s="22" t="s">
        <v>226</v>
      </c>
      <c r="I288" s="22"/>
      <c r="J288" s="22"/>
      <c r="K288" s="22"/>
      <c r="L288" s="22"/>
      <c r="M288" s="22"/>
      <c r="N288" s="22"/>
      <c r="O288" s="22" t="s">
        <v>226</v>
      </c>
      <c r="P288" s="22"/>
      <c r="Q288" s="22"/>
      <c r="R288" s="22"/>
      <c r="S288" s="22" t="s">
        <v>226</v>
      </c>
      <c r="T288" s="37" t="s">
        <v>852</v>
      </c>
      <c r="U288" s="22"/>
      <c r="V288" s="22"/>
      <c r="W288" s="22" t="s">
        <v>226</v>
      </c>
      <c r="X288" s="13"/>
      <c r="Y288" s="13">
        <v>761</v>
      </c>
      <c r="Z288" s="13">
        <v>3.75</v>
      </c>
      <c r="AA288" s="38" t="s">
        <v>657</v>
      </c>
    </row>
    <row r="289" spans="1:27" ht="30" x14ac:dyDescent="0.25">
      <c r="A289" s="13">
        <v>19</v>
      </c>
      <c r="B289" s="104" t="s">
        <v>676</v>
      </c>
      <c r="C289" s="36">
        <v>2022</v>
      </c>
      <c r="D289" s="13" t="s">
        <v>204</v>
      </c>
      <c r="E289" s="37" t="s">
        <v>853</v>
      </c>
      <c r="F289" s="37" t="s">
        <v>856</v>
      </c>
      <c r="G289" s="22">
        <v>1</v>
      </c>
      <c r="H289" s="22"/>
      <c r="I289" s="22" t="s">
        <v>226</v>
      </c>
      <c r="J289" s="22" t="s">
        <v>226</v>
      </c>
      <c r="K289" s="22" t="s">
        <v>226</v>
      </c>
      <c r="L289" s="22"/>
      <c r="M289" s="22"/>
      <c r="N289" s="22"/>
      <c r="O289" s="22"/>
      <c r="P289" s="22"/>
      <c r="Q289" s="22"/>
      <c r="R289" s="22" t="s">
        <v>226</v>
      </c>
      <c r="S289" s="22"/>
      <c r="T289" s="37" t="s">
        <v>855</v>
      </c>
      <c r="U289" s="22" t="s">
        <v>226</v>
      </c>
      <c r="V289" s="22"/>
      <c r="W289" s="22" t="s">
        <v>226</v>
      </c>
      <c r="X289" s="13"/>
      <c r="Y289" s="13">
        <v>6.1</v>
      </c>
      <c r="Z289" s="13">
        <v>3.75</v>
      </c>
      <c r="AA289" s="38" t="s">
        <v>657</v>
      </c>
    </row>
    <row r="290" spans="1:27" ht="60" x14ac:dyDescent="0.25">
      <c r="A290" s="13">
        <v>20</v>
      </c>
      <c r="B290" s="104" t="s">
        <v>677</v>
      </c>
      <c r="C290" s="36">
        <v>2016</v>
      </c>
      <c r="D290" s="13" t="s">
        <v>204</v>
      </c>
      <c r="E290" s="37" t="s">
        <v>857</v>
      </c>
      <c r="F290" s="37" t="s">
        <v>743</v>
      </c>
      <c r="G290" s="22">
        <v>1</v>
      </c>
      <c r="H290" s="22" t="s">
        <v>226</v>
      </c>
      <c r="I290" s="22"/>
      <c r="J290" s="22"/>
      <c r="K290" s="22"/>
      <c r="L290" s="22"/>
      <c r="M290" s="22"/>
      <c r="N290" s="22"/>
      <c r="O290" s="22" t="s">
        <v>226</v>
      </c>
      <c r="P290" s="22" t="s">
        <v>226</v>
      </c>
      <c r="Q290" s="22"/>
      <c r="R290" s="22"/>
      <c r="S290" s="22"/>
      <c r="T290" s="37" t="s">
        <v>858</v>
      </c>
      <c r="U290" s="22"/>
      <c r="V290" s="22" t="s">
        <v>226</v>
      </c>
      <c r="W290" s="22"/>
      <c r="X290" s="13"/>
      <c r="Y290" s="13">
        <v>35.6</v>
      </c>
      <c r="Z290" s="13">
        <v>3.75</v>
      </c>
      <c r="AA290" s="38" t="s">
        <v>657</v>
      </c>
    </row>
    <row r="291" spans="1:27" ht="30" x14ac:dyDescent="0.25">
      <c r="A291" s="13">
        <v>21</v>
      </c>
      <c r="B291" s="104" t="s">
        <v>678</v>
      </c>
      <c r="C291" s="36">
        <v>2018</v>
      </c>
      <c r="D291" s="13" t="s">
        <v>204</v>
      </c>
      <c r="E291" s="37" t="s">
        <v>859</v>
      </c>
      <c r="F291" s="37" t="s">
        <v>860</v>
      </c>
      <c r="G291" s="22">
        <v>0</v>
      </c>
      <c r="H291" s="22" t="s">
        <v>226</v>
      </c>
      <c r="I291" s="22"/>
      <c r="J291" s="22"/>
      <c r="K291" s="22"/>
      <c r="L291" s="22"/>
      <c r="M291" s="22"/>
      <c r="N291" s="22"/>
      <c r="O291" s="22" t="s">
        <v>226</v>
      </c>
      <c r="P291" s="13"/>
      <c r="Q291" s="22"/>
      <c r="R291" s="22"/>
      <c r="S291" s="22" t="s">
        <v>226</v>
      </c>
      <c r="T291" s="37" t="s">
        <v>778</v>
      </c>
      <c r="U291" s="22"/>
      <c r="V291" s="22"/>
      <c r="W291" s="22" t="s">
        <v>226</v>
      </c>
      <c r="X291" s="13"/>
      <c r="Y291" s="13">
        <v>109.5</v>
      </c>
      <c r="Z291" s="13">
        <v>3.75</v>
      </c>
      <c r="AA291" s="38" t="s">
        <v>657</v>
      </c>
    </row>
    <row r="292" spans="1:27" x14ac:dyDescent="0.25">
      <c r="A292" s="13">
        <v>22</v>
      </c>
      <c r="B292" s="104" t="s">
        <v>679</v>
      </c>
      <c r="C292" s="36"/>
      <c r="D292" s="13" t="s">
        <v>206</v>
      </c>
      <c r="E292" s="37"/>
      <c r="F292" s="37"/>
      <c r="G292" s="22"/>
      <c r="H292" s="22"/>
      <c r="I292" s="22"/>
      <c r="J292" s="22"/>
      <c r="K292" s="22"/>
      <c r="L292" s="22"/>
      <c r="M292" s="22"/>
      <c r="N292" s="22"/>
      <c r="O292" s="22"/>
      <c r="P292" s="22"/>
      <c r="Q292" s="22"/>
      <c r="R292" s="22"/>
      <c r="S292" s="22"/>
      <c r="T292" s="22"/>
      <c r="U292" s="22"/>
      <c r="V292" s="22"/>
      <c r="W292" s="22"/>
      <c r="X292" s="13"/>
      <c r="Y292" s="13"/>
      <c r="Z292" s="13"/>
      <c r="AA292" s="13" t="s">
        <v>657</v>
      </c>
    </row>
    <row r="293" spans="1:27" x14ac:dyDescent="0.25">
      <c r="A293" s="13">
        <v>23</v>
      </c>
      <c r="B293" s="104" t="s">
        <v>680</v>
      </c>
      <c r="C293" s="36"/>
      <c r="D293" s="13" t="s">
        <v>206</v>
      </c>
      <c r="E293" s="37"/>
      <c r="F293" s="37"/>
      <c r="G293" s="22"/>
      <c r="H293" s="22"/>
      <c r="I293" s="22"/>
      <c r="J293" s="22"/>
      <c r="K293" s="22"/>
      <c r="L293" s="22"/>
      <c r="M293" s="22"/>
      <c r="N293" s="22"/>
      <c r="O293" s="22"/>
      <c r="P293" s="22"/>
      <c r="Q293" s="22"/>
      <c r="R293" s="22"/>
      <c r="S293" s="22"/>
      <c r="T293" s="22"/>
      <c r="U293" s="22"/>
      <c r="V293" s="22"/>
      <c r="W293" s="22"/>
      <c r="X293" s="13"/>
      <c r="Y293" s="13"/>
      <c r="Z293" s="13"/>
      <c r="AA293" s="13" t="s">
        <v>657</v>
      </c>
    </row>
    <row r="294" spans="1:27" x14ac:dyDescent="0.25">
      <c r="A294" s="13">
        <v>24</v>
      </c>
      <c r="B294" s="104" t="s">
        <v>681</v>
      </c>
      <c r="C294" s="36"/>
      <c r="D294" s="13" t="s">
        <v>206</v>
      </c>
      <c r="E294" s="37"/>
      <c r="F294" s="37"/>
      <c r="G294" s="22"/>
      <c r="H294" s="22"/>
      <c r="I294" s="22"/>
      <c r="J294" s="22"/>
      <c r="K294" s="22"/>
      <c r="L294" s="22"/>
      <c r="M294" s="22"/>
      <c r="N294" s="22"/>
      <c r="O294" s="22"/>
      <c r="P294" s="22"/>
      <c r="Q294" s="22"/>
      <c r="R294" s="22"/>
      <c r="S294" s="22"/>
      <c r="T294" s="22"/>
      <c r="U294" s="22"/>
      <c r="V294" s="22"/>
      <c r="W294" s="22"/>
      <c r="X294" s="13"/>
      <c r="Y294" s="13"/>
      <c r="Z294" s="13"/>
      <c r="AA294" s="13" t="s">
        <v>657</v>
      </c>
    </row>
    <row r="295" spans="1:27" ht="60" x14ac:dyDescent="0.25">
      <c r="A295" s="13">
        <v>25</v>
      </c>
      <c r="B295" s="104" t="s">
        <v>682</v>
      </c>
      <c r="C295" s="36">
        <v>2020</v>
      </c>
      <c r="D295" s="13" t="s">
        <v>204</v>
      </c>
      <c r="E295" s="37" t="s">
        <v>861</v>
      </c>
      <c r="F295" s="37" t="s">
        <v>862</v>
      </c>
      <c r="G295" s="22">
        <v>1</v>
      </c>
      <c r="H295" s="22" t="s">
        <v>226</v>
      </c>
      <c r="I295" s="22"/>
      <c r="J295" s="22" t="s">
        <v>226</v>
      </c>
      <c r="K295" s="22" t="s">
        <v>226</v>
      </c>
      <c r="L295" s="22"/>
      <c r="M295" s="22"/>
      <c r="N295" s="22" t="s">
        <v>226</v>
      </c>
      <c r="O295" s="22"/>
      <c r="P295" s="22" t="s">
        <v>226</v>
      </c>
      <c r="Q295" s="22"/>
      <c r="R295" s="22" t="s">
        <v>226</v>
      </c>
      <c r="S295" s="22"/>
      <c r="T295" s="37" t="s">
        <v>810</v>
      </c>
      <c r="U295" s="22"/>
      <c r="V295" s="22"/>
      <c r="W295" s="22" t="s">
        <v>226</v>
      </c>
      <c r="X295" s="13"/>
      <c r="Y295" s="13">
        <v>47.4</v>
      </c>
      <c r="Z295" s="13">
        <v>3.75</v>
      </c>
      <c r="AA295" s="38" t="s">
        <v>657</v>
      </c>
    </row>
    <row r="296" spans="1:27" x14ac:dyDescent="0.25">
      <c r="A296" s="13">
        <v>26</v>
      </c>
      <c r="B296" s="104" t="s">
        <v>683</v>
      </c>
      <c r="C296" s="36"/>
      <c r="D296" s="13" t="s">
        <v>206</v>
      </c>
      <c r="E296" s="37"/>
      <c r="F296" s="37"/>
      <c r="G296" s="22"/>
      <c r="H296" s="22"/>
      <c r="I296" s="22"/>
      <c r="J296" s="22"/>
      <c r="K296" s="22"/>
      <c r="L296" s="22"/>
      <c r="M296" s="22"/>
      <c r="N296" s="22"/>
      <c r="O296" s="22"/>
      <c r="P296" s="22"/>
      <c r="Q296" s="22"/>
      <c r="R296" s="22"/>
      <c r="S296" s="22"/>
      <c r="T296" s="22"/>
      <c r="U296" s="22"/>
      <c r="V296" s="22"/>
      <c r="W296" s="22"/>
      <c r="X296" s="13"/>
      <c r="Y296" s="13"/>
      <c r="Z296" s="13"/>
      <c r="AA296" s="13" t="s">
        <v>657</v>
      </c>
    </row>
    <row r="297" spans="1:27" x14ac:dyDescent="0.25">
      <c r="A297" s="13">
        <v>27</v>
      </c>
      <c r="B297" s="104" t="s">
        <v>684</v>
      </c>
      <c r="C297" s="36"/>
      <c r="D297" s="13" t="s">
        <v>206</v>
      </c>
      <c r="E297" s="37"/>
      <c r="F297" s="37"/>
      <c r="G297" s="22"/>
      <c r="H297" s="22"/>
      <c r="I297" s="22"/>
      <c r="J297" s="22"/>
      <c r="K297" s="22"/>
      <c r="L297" s="22"/>
      <c r="M297" s="22"/>
      <c r="N297" s="22"/>
      <c r="O297" s="22"/>
      <c r="P297" s="22"/>
      <c r="Q297" s="22"/>
      <c r="R297" s="22"/>
      <c r="S297" s="22"/>
      <c r="T297" s="22"/>
      <c r="U297" s="22"/>
      <c r="V297" s="22"/>
      <c r="W297" s="22"/>
      <c r="X297" s="13"/>
      <c r="Y297" s="13"/>
      <c r="Z297" s="13"/>
      <c r="AA297" s="13" t="s">
        <v>657</v>
      </c>
    </row>
    <row r="298" spans="1:27" ht="26.25" x14ac:dyDescent="0.25">
      <c r="A298" s="13">
        <v>28</v>
      </c>
      <c r="B298" s="104" t="s">
        <v>685</v>
      </c>
      <c r="C298" s="36">
        <v>2017</v>
      </c>
      <c r="D298" s="13" t="s">
        <v>206</v>
      </c>
      <c r="E298" s="37"/>
      <c r="F298" s="37"/>
      <c r="G298" s="22"/>
      <c r="H298" s="22"/>
      <c r="I298" s="22"/>
      <c r="J298" s="22"/>
      <c r="K298" s="22"/>
      <c r="L298" s="22"/>
      <c r="M298" s="22"/>
      <c r="N298" s="22"/>
      <c r="O298" s="22"/>
      <c r="P298" s="22"/>
      <c r="Q298" s="22"/>
      <c r="R298" s="22"/>
      <c r="S298" s="22"/>
      <c r="T298" s="37"/>
      <c r="U298" s="22"/>
      <c r="V298" s="22"/>
      <c r="W298" s="22"/>
      <c r="X298" s="13"/>
      <c r="Y298" s="13"/>
      <c r="Z298" s="13"/>
      <c r="AA298" s="13" t="s">
        <v>657</v>
      </c>
    </row>
    <row r="299" spans="1:27" x14ac:dyDescent="0.25">
      <c r="A299" s="13">
        <v>29</v>
      </c>
      <c r="B299" s="104" t="s">
        <v>686</v>
      </c>
      <c r="C299" s="36"/>
      <c r="D299" s="13" t="s">
        <v>206</v>
      </c>
      <c r="E299" s="37"/>
      <c r="F299" s="37"/>
      <c r="G299" s="22"/>
      <c r="H299" s="22"/>
      <c r="I299" s="22"/>
      <c r="J299" s="22"/>
      <c r="K299" s="22"/>
      <c r="L299" s="22"/>
      <c r="M299" s="22"/>
      <c r="N299" s="22"/>
      <c r="O299" s="22"/>
      <c r="P299" s="22"/>
      <c r="Q299" s="22"/>
      <c r="R299" s="22"/>
      <c r="S299" s="22"/>
      <c r="T299" s="22"/>
      <c r="U299" s="22"/>
      <c r="V299" s="22"/>
      <c r="W299" s="22"/>
      <c r="X299" s="13"/>
      <c r="Y299" s="13"/>
      <c r="Z299" s="13"/>
      <c r="AA299" s="13" t="s">
        <v>657</v>
      </c>
    </row>
    <row r="300" spans="1:27" x14ac:dyDescent="0.25">
      <c r="A300" s="13">
        <v>30</v>
      </c>
      <c r="B300" s="104" t="s">
        <v>687</v>
      </c>
      <c r="C300" s="36"/>
      <c r="D300" s="13" t="s">
        <v>206</v>
      </c>
      <c r="E300" s="37"/>
      <c r="F300" s="37"/>
      <c r="G300" s="22"/>
      <c r="H300" s="22"/>
      <c r="I300" s="22"/>
      <c r="J300" s="22"/>
      <c r="K300" s="22"/>
      <c r="L300" s="22"/>
      <c r="M300" s="22"/>
      <c r="N300" s="22"/>
      <c r="O300" s="22"/>
      <c r="P300" s="22"/>
      <c r="Q300" s="22"/>
      <c r="R300" s="22"/>
      <c r="S300" s="22"/>
      <c r="T300" s="22"/>
      <c r="U300" s="22"/>
      <c r="V300" s="22"/>
      <c r="W300" s="22"/>
      <c r="X300" s="13"/>
      <c r="Y300" s="13"/>
      <c r="Z300" s="13"/>
      <c r="AA300" s="13" t="s">
        <v>657</v>
      </c>
    </row>
    <row r="301" spans="1:27" x14ac:dyDescent="0.25">
      <c r="A301" s="13">
        <v>31</v>
      </c>
      <c r="B301" s="104" t="s">
        <v>688</v>
      </c>
      <c r="C301" s="36"/>
      <c r="D301" s="13" t="s">
        <v>206</v>
      </c>
      <c r="E301" s="37"/>
      <c r="F301" s="37"/>
      <c r="G301" s="22"/>
      <c r="H301" s="22"/>
      <c r="I301" s="22"/>
      <c r="J301" s="22"/>
      <c r="K301" s="22"/>
      <c r="L301" s="22"/>
      <c r="M301" s="22"/>
      <c r="N301" s="22"/>
      <c r="O301" s="22"/>
      <c r="P301" s="22"/>
      <c r="Q301" s="22"/>
      <c r="R301" s="22"/>
      <c r="S301" s="22"/>
      <c r="T301" s="22"/>
      <c r="U301" s="22"/>
      <c r="V301" s="22"/>
      <c r="W301" s="22"/>
      <c r="X301" s="13"/>
      <c r="Y301" s="13"/>
      <c r="Z301" s="13"/>
      <c r="AA301" s="13" t="s">
        <v>657</v>
      </c>
    </row>
    <row r="302" spans="1:27" x14ac:dyDescent="0.25">
      <c r="A302" s="13">
        <v>32</v>
      </c>
      <c r="B302" s="104" t="s">
        <v>689</v>
      </c>
      <c r="C302" s="36"/>
      <c r="D302" s="13" t="s">
        <v>206</v>
      </c>
      <c r="E302" s="37"/>
      <c r="F302" s="37"/>
      <c r="G302" s="22"/>
      <c r="H302" s="22"/>
      <c r="I302" s="22"/>
      <c r="J302" s="22"/>
      <c r="K302" s="22"/>
      <c r="L302" s="22"/>
      <c r="M302" s="22"/>
      <c r="N302" s="22"/>
      <c r="O302" s="22"/>
      <c r="P302" s="22"/>
      <c r="Q302" s="22"/>
      <c r="R302" s="22"/>
      <c r="S302" s="22"/>
      <c r="T302" s="22"/>
      <c r="U302" s="22"/>
      <c r="V302" s="22"/>
      <c r="W302" s="22"/>
      <c r="X302" s="13"/>
      <c r="Y302" s="13"/>
      <c r="Z302" s="13"/>
      <c r="AA302" s="13" t="s">
        <v>657</v>
      </c>
    </row>
    <row r="303" spans="1:27" ht="60" x14ac:dyDescent="0.25">
      <c r="A303" s="13">
        <v>33</v>
      </c>
      <c r="B303" s="104" t="s">
        <v>690</v>
      </c>
      <c r="C303" s="36">
        <v>2014</v>
      </c>
      <c r="D303" s="13" t="s">
        <v>204</v>
      </c>
      <c r="E303" s="37" t="s">
        <v>864</v>
      </c>
      <c r="F303" s="37" t="s">
        <v>865</v>
      </c>
      <c r="G303" s="22">
        <v>-1</v>
      </c>
      <c r="H303" s="22" t="s">
        <v>226</v>
      </c>
      <c r="I303" s="22" t="s">
        <v>226</v>
      </c>
      <c r="J303" s="22"/>
      <c r="K303" s="22"/>
      <c r="L303" s="22"/>
      <c r="M303" s="22" t="s">
        <v>226</v>
      </c>
      <c r="N303" s="22"/>
      <c r="O303" s="22"/>
      <c r="P303" s="22"/>
      <c r="Q303" s="22"/>
      <c r="R303" s="22"/>
      <c r="S303" s="22" t="s">
        <v>226</v>
      </c>
      <c r="T303" s="37" t="s">
        <v>863</v>
      </c>
      <c r="U303" s="22"/>
      <c r="V303" s="22" t="s">
        <v>226</v>
      </c>
      <c r="W303" s="22"/>
      <c r="X303" s="13"/>
      <c r="Y303" s="13">
        <v>308.3</v>
      </c>
      <c r="Z303" s="13">
        <v>3.75</v>
      </c>
      <c r="AA303" s="38" t="s">
        <v>657</v>
      </c>
    </row>
    <row r="304" spans="1:27" ht="30" x14ac:dyDescent="0.25">
      <c r="A304" s="13">
        <v>34</v>
      </c>
      <c r="B304" s="104" t="s">
        <v>691</v>
      </c>
      <c r="C304" s="36">
        <v>2020</v>
      </c>
      <c r="D304" s="13" t="s">
        <v>204</v>
      </c>
      <c r="E304" s="37" t="s">
        <v>866</v>
      </c>
      <c r="F304" s="37" t="s">
        <v>868</v>
      </c>
      <c r="G304" s="22">
        <v>1</v>
      </c>
      <c r="H304" s="22" t="s">
        <v>226</v>
      </c>
      <c r="I304" s="22" t="s">
        <v>226</v>
      </c>
      <c r="J304" s="22" t="s">
        <v>226</v>
      </c>
      <c r="K304" s="22" t="s">
        <v>226</v>
      </c>
      <c r="L304" s="22"/>
      <c r="M304" s="22"/>
      <c r="N304" s="22" t="s">
        <v>226</v>
      </c>
      <c r="O304" s="22" t="s">
        <v>226</v>
      </c>
      <c r="P304" s="22" t="s">
        <v>226</v>
      </c>
      <c r="Q304" s="22"/>
      <c r="R304" s="22" t="s">
        <v>226</v>
      </c>
      <c r="S304" s="22" t="s">
        <v>226</v>
      </c>
      <c r="T304" s="37" t="s">
        <v>869</v>
      </c>
      <c r="U304" s="22" t="s">
        <v>226</v>
      </c>
      <c r="V304" s="22"/>
      <c r="W304" s="22"/>
      <c r="X304" s="13" t="s">
        <v>867</v>
      </c>
      <c r="Y304" s="13">
        <v>30.7</v>
      </c>
      <c r="Z304" s="13">
        <v>3.75</v>
      </c>
      <c r="AA304" s="38" t="s">
        <v>657</v>
      </c>
    </row>
    <row r="305" spans="1:27" ht="45" x14ac:dyDescent="0.25">
      <c r="A305" s="13">
        <v>35</v>
      </c>
      <c r="B305" s="104" t="s">
        <v>692</v>
      </c>
      <c r="C305" s="36">
        <v>2020</v>
      </c>
      <c r="D305" s="13" t="s">
        <v>204</v>
      </c>
      <c r="E305" s="37" t="s">
        <v>870</v>
      </c>
      <c r="F305" s="37" t="s">
        <v>872</v>
      </c>
      <c r="G305" s="22">
        <v>1</v>
      </c>
      <c r="H305" s="22"/>
      <c r="I305" s="22"/>
      <c r="J305" s="22"/>
      <c r="K305" s="22"/>
      <c r="L305" s="22" t="s">
        <v>226</v>
      </c>
      <c r="M305" s="22"/>
      <c r="N305" s="22"/>
      <c r="O305" s="22" t="s">
        <v>226</v>
      </c>
      <c r="P305" s="22"/>
      <c r="Q305" s="22"/>
      <c r="R305" s="22"/>
      <c r="S305" s="22"/>
      <c r="T305" s="37" t="s">
        <v>871</v>
      </c>
      <c r="U305" s="22"/>
      <c r="V305" s="22" t="s">
        <v>226</v>
      </c>
      <c r="W305" s="22"/>
      <c r="X305" s="13"/>
      <c r="Y305" s="13">
        <v>129.6</v>
      </c>
      <c r="Z305" s="13">
        <v>3.75</v>
      </c>
      <c r="AA305" s="38" t="s">
        <v>657</v>
      </c>
    </row>
    <row r="306" spans="1:27" x14ac:dyDescent="0.25">
      <c r="A306" s="13">
        <v>36</v>
      </c>
      <c r="B306" s="104" t="s">
        <v>693</v>
      </c>
      <c r="C306" s="36"/>
      <c r="D306" s="13" t="s">
        <v>206</v>
      </c>
      <c r="E306" s="37"/>
      <c r="F306" s="37"/>
      <c r="G306" s="22"/>
      <c r="H306" s="22"/>
      <c r="I306" s="22"/>
      <c r="J306" s="22"/>
      <c r="K306" s="22"/>
      <c r="L306" s="22"/>
      <c r="M306" s="22"/>
      <c r="N306" s="22"/>
      <c r="O306" s="22"/>
      <c r="P306" s="22"/>
      <c r="Q306" s="22"/>
      <c r="R306" s="22"/>
      <c r="S306" s="22"/>
      <c r="T306" s="22"/>
      <c r="U306" s="22"/>
      <c r="V306" s="22"/>
      <c r="W306" s="22"/>
      <c r="X306" s="13"/>
      <c r="Y306" s="13"/>
      <c r="Z306" s="13"/>
      <c r="AA306" s="13" t="s">
        <v>657</v>
      </c>
    </row>
    <row r="307" spans="1:27" x14ac:dyDescent="0.25">
      <c r="A307" s="13">
        <v>37</v>
      </c>
      <c r="B307" s="104" t="s">
        <v>694</v>
      </c>
      <c r="C307" s="36"/>
      <c r="D307" s="13" t="s">
        <v>206</v>
      </c>
      <c r="E307" s="37"/>
      <c r="F307" s="37"/>
      <c r="G307" s="22"/>
      <c r="H307" s="22"/>
      <c r="I307" s="22"/>
      <c r="J307" s="22"/>
      <c r="K307" s="22"/>
      <c r="L307" s="22"/>
      <c r="M307" s="22"/>
      <c r="N307" s="22"/>
      <c r="O307" s="22"/>
      <c r="P307" s="22"/>
      <c r="Q307" s="22"/>
      <c r="R307" s="22"/>
      <c r="S307" s="22"/>
      <c r="T307" s="22"/>
      <c r="U307" s="22"/>
      <c r="V307" s="22"/>
      <c r="W307" s="22"/>
      <c r="X307" s="13"/>
      <c r="Y307" s="13"/>
      <c r="Z307" s="13"/>
      <c r="AA307" s="13" t="s">
        <v>657</v>
      </c>
    </row>
    <row r="308" spans="1:27" ht="45" x14ac:dyDescent="0.25">
      <c r="A308" s="13">
        <v>38</v>
      </c>
      <c r="B308" s="104" t="s">
        <v>695</v>
      </c>
      <c r="C308" s="36">
        <v>2021</v>
      </c>
      <c r="D308" s="13" t="s">
        <v>204</v>
      </c>
      <c r="E308" s="37" t="s">
        <v>873</v>
      </c>
      <c r="F308" s="37" t="s">
        <v>874</v>
      </c>
      <c r="G308" s="22">
        <v>1</v>
      </c>
      <c r="H308" s="22"/>
      <c r="I308" s="22"/>
      <c r="J308" s="22" t="s">
        <v>226</v>
      </c>
      <c r="K308" s="22"/>
      <c r="L308" s="22"/>
      <c r="M308" s="22"/>
      <c r="N308" s="22"/>
      <c r="O308" s="22" t="s">
        <v>226</v>
      </c>
      <c r="P308" s="22" t="s">
        <v>226</v>
      </c>
      <c r="Q308" s="22"/>
      <c r="R308" s="22"/>
      <c r="S308" s="22"/>
      <c r="T308" s="37" t="s">
        <v>273</v>
      </c>
      <c r="U308" s="22"/>
      <c r="V308" s="22"/>
      <c r="W308" s="22" t="s">
        <v>226</v>
      </c>
      <c r="X308" s="13"/>
      <c r="Y308" s="13">
        <v>11.8</v>
      </c>
      <c r="Z308" s="13">
        <v>3.75</v>
      </c>
      <c r="AA308" s="38" t="s">
        <v>657</v>
      </c>
    </row>
    <row r="309" spans="1:27" ht="60" x14ac:dyDescent="0.25">
      <c r="A309" s="13">
        <v>39</v>
      </c>
      <c r="B309" s="104" t="s">
        <v>696</v>
      </c>
      <c r="C309" s="36">
        <v>2019</v>
      </c>
      <c r="D309" s="13" t="s">
        <v>204</v>
      </c>
      <c r="E309" s="37" t="s">
        <v>875</v>
      </c>
      <c r="F309" s="37" t="s">
        <v>743</v>
      </c>
      <c r="G309" s="22">
        <v>1</v>
      </c>
      <c r="H309" s="22"/>
      <c r="I309" s="22" t="s">
        <v>226</v>
      </c>
      <c r="J309" s="22"/>
      <c r="K309" s="22"/>
      <c r="L309" s="22"/>
      <c r="M309" s="22"/>
      <c r="N309" s="22"/>
      <c r="O309" s="22" t="s">
        <v>226</v>
      </c>
      <c r="P309" s="22" t="s">
        <v>226</v>
      </c>
      <c r="Q309" s="22"/>
      <c r="R309" s="22"/>
      <c r="S309" s="22"/>
      <c r="T309" s="37" t="s">
        <v>876</v>
      </c>
      <c r="U309" s="22"/>
      <c r="V309" s="22" t="s">
        <v>226</v>
      </c>
      <c r="W309" s="22" t="s">
        <v>226</v>
      </c>
      <c r="X309" s="13"/>
      <c r="Y309" s="13">
        <v>15.1</v>
      </c>
      <c r="Z309" s="13">
        <v>3.75</v>
      </c>
      <c r="AA309" s="38" t="s">
        <v>657</v>
      </c>
    </row>
    <row r="310" spans="1:27" x14ac:dyDescent="0.25">
      <c r="A310" s="13">
        <v>40</v>
      </c>
      <c r="B310" s="104" t="s">
        <v>697</v>
      </c>
      <c r="C310" s="13"/>
      <c r="D310" s="13" t="s">
        <v>206</v>
      </c>
      <c r="E310" s="13"/>
      <c r="F310" s="13"/>
      <c r="G310" s="13"/>
      <c r="H310" s="13"/>
      <c r="I310" s="13"/>
      <c r="J310" s="13"/>
      <c r="K310" s="13"/>
      <c r="L310" s="13"/>
      <c r="M310" s="13"/>
      <c r="N310" s="13"/>
      <c r="O310" s="13"/>
      <c r="P310" s="13"/>
      <c r="Q310" s="13"/>
      <c r="R310" s="13"/>
      <c r="S310" s="13"/>
      <c r="T310" s="13"/>
      <c r="U310" s="13"/>
      <c r="V310" s="13"/>
      <c r="W310" s="13"/>
      <c r="X310" s="13"/>
      <c r="Y310" s="13"/>
      <c r="Z310" s="13"/>
      <c r="AA310" s="13" t="s">
        <v>657</v>
      </c>
    </row>
  </sheetData>
  <autoFilter ref="A1:X310" xr:uid="{9BFBF66F-D305-4574-AD28-6C2432357FA4}">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autoFilter>
  <mergeCells count="13">
    <mergeCell ref="Y1:Y2"/>
    <mergeCell ref="Z1:Z2"/>
    <mergeCell ref="AA1:AA2"/>
    <mergeCell ref="G1:G2"/>
    <mergeCell ref="A1:A2"/>
    <mergeCell ref="B1:B2"/>
    <mergeCell ref="D1:D2"/>
    <mergeCell ref="C1:C2"/>
    <mergeCell ref="E1:E2"/>
    <mergeCell ref="F1:F2"/>
    <mergeCell ref="H1:S1"/>
    <mergeCell ref="T1:T2"/>
    <mergeCell ref="X1:X2"/>
  </mergeCells>
  <conditionalFormatting sqref="C5:C122 C124 C126:C128 C130:C136 C138 C140 C142:C154 C156:C158 C161:C162 C164:C165 C167:C168 C170:C183 C185:C260 C262:C309 X123 X125 X129 X137 X139:Y139 X141 X155 X159:X160 X163 X166 X169 X184 X261">
    <cfRule type="colorScale" priority="10">
      <colorScale>
        <cfvo type="min"/>
        <cfvo type="percentile" val="50"/>
        <cfvo type="max"/>
        <color rgb="FFF8696B"/>
        <color rgb="FFFFEB84"/>
        <color rgb="FF63BE7B"/>
      </colorScale>
    </cfRule>
  </conditionalFormatting>
  <conditionalFormatting sqref="D3:D310">
    <cfRule type="cellIs" dxfId="38" priority="23" operator="equal">
      <formula>"Cita"</formula>
    </cfRule>
    <cfRule type="cellIs" dxfId="37" priority="24" operator="equal">
      <formula>"Sí"</formula>
    </cfRule>
    <cfRule type="cellIs" dxfId="36" priority="25" operator="equal">
      <formula>"No"</formula>
    </cfRule>
  </conditionalFormatting>
  <conditionalFormatting sqref="E26:F309">
    <cfRule type="cellIs" dxfId="35" priority="11" operator="equal">
      <formula>"Cita"</formula>
    </cfRule>
    <cfRule type="cellIs" dxfId="34" priority="12" operator="equal">
      <formula>"Sí"</formula>
    </cfRule>
    <cfRule type="cellIs" dxfId="33" priority="13" operator="equal">
      <formula>"No"</formula>
    </cfRule>
  </conditionalFormatting>
  <conditionalFormatting sqref="F5:F9 E10:F24">
    <cfRule type="cellIs" dxfId="32" priority="17" operator="equal">
      <formula>"Cita"</formula>
    </cfRule>
    <cfRule type="cellIs" dxfId="31" priority="18" operator="equal">
      <formula>"Sí"</formula>
    </cfRule>
    <cfRule type="cellIs" dxfId="30" priority="19" operator="equal">
      <formula>"No"</formula>
    </cfRule>
  </conditionalFormatting>
  <conditionalFormatting sqref="F25">
    <cfRule type="cellIs" dxfId="29" priority="14" operator="equal">
      <formula>"Cita"</formula>
    </cfRule>
    <cfRule type="cellIs" dxfId="28" priority="15" operator="equal">
      <formula>"Sí"</formula>
    </cfRule>
    <cfRule type="cellIs" dxfId="27" priority="16" operator="equal">
      <formula>"No"</formula>
    </cfRule>
  </conditionalFormatting>
  <conditionalFormatting sqref="G100">
    <cfRule type="cellIs" dxfId="26" priority="1" operator="equal">
      <formula>"Cita"</formula>
    </cfRule>
    <cfRule type="cellIs" dxfId="25" priority="2" operator="equal">
      <formula>"Sí"</formula>
    </cfRule>
    <cfRule type="cellIs" dxfId="24" priority="3" operator="equal">
      <formula>"No"</formula>
    </cfRule>
  </conditionalFormatting>
  <conditionalFormatting sqref="T100">
    <cfRule type="cellIs" dxfId="23" priority="4" operator="equal">
      <formula>"Cita"</formula>
    </cfRule>
    <cfRule type="cellIs" dxfId="22" priority="5" operator="equal">
      <formula>"Sí"</formula>
    </cfRule>
    <cfRule type="cellIs" dxfId="21" priority="6" operator="equal">
      <formula>"No"</formula>
    </cfRule>
  </conditionalFormatting>
  <hyperlinks>
    <hyperlink ref="B3" r:id="rId1" display="https://www.webofscience.com/wos/woscc/full-record/WOS:000474904300002" xr:uid="{6BC2CE34-BBAF-47EB-9B16-1433068B78C3}"/>
    <hyperlink ref="B4" r:id="rId2" display="https://www.webofscience.com/wos/woscc/full-record/WOS:000549890800014" xr:uid="{5011399F-5988-4D0F-A245-FF0C0FAB03C7}"/>
    <hyperlink ref="B5" r:id="rId3" display="https://www.webofscience.com/wos/woscc/full-record/WOS:000549890800020" xr:uid="{D77791EA-573D-4ABA-A193-D37910B3BE10}"/>
    <hyperlink ref="B6" r:id="rId4" display="https://www.webofscience.com/wos/woscc/full-record/WOS:000463836500005" xr:uid="{82E349AC-9DC6-4088-B7D1-B1D4FA17F7A9}"/>
    <hyperlink ref="B7" r:id="rId5" display="https://www.webofscience.com/wos/woscc/full-record/WOS:000523267400008" xr:uid="{211AA919-B2B3-4A3E-9DDC-45EFFA8057F0}"/>
    <hyperlink ref="B8" r:id="rId6" display="https://www.webofscience.com/wos/woscc/full-record/WOS:000626173500014" xr:uid="{BCE22EDB-9C15-4D8C-9B25-C023ED79EAC4}"/>
    <hyperlink ref="B9" r:id="rId7" display="https://www.webofscience.com/wos/woscc/full-record/WOS:000626173500018" xr:uid="{19D2C164-5544-40B3-9AB8-24DDD047AFCF}"/>
    <hyperlink ref="B10" r:id="rId8" display="https://www.webofscience.com/wos/woscc/full-record/WOS:000523267400003" xr:uid="{B66C494A-0529-4E51-9F45-B1C6F85A7460}"/>
    <hyperlink ref="B11" r:id="rId9" display="https://www.webofscience.com/wos/woscc/full-record/WOS:000582396800019" xr:uid="{33C0F1BB-7508-4E39-B434-3FE1FE276651}"/>
    <hyperlink ref="B12" r:id="rId10" display="https://www.webofscience.com/wos/woscc/full-record/WOS:000463836500003" xr:uid="{AE2B71A9-9CCC-49F9-AFB7-19A4E5264ADB}"/>
    <hyperlink ref="B13" r:id="rId11" display="https://www.webofscience.com/wos/woscc/full-record/WOS:000474904300005" xr:uid="{2F007CEE-B892-4082-ABD3-AFCCBFCF48CE}"/>
    <hyperlink ref="B14" r:id="rId12" display="https://www.webofscience.com/wos/woscc/full-record/WOS:000463836500001" xr:uid="{D683FB52-DA72-4852-8AE5-274933A68660}"/>
    <hyperlink ref="B15" r:id="rId13" display="https://www.webofscience.com/wos/woscc/full-record/WOS:000463836500002" xr:uid="{4252B93C-AAD6-4462-A36E-BF63D3B17D44}"/>
    <hyperlink ref="B16" r:id="rId14" display="https://www.webofscience.com/wos/woscc/full-record/WOS:000463836500006" xr:uid="{8FD9006B-F503-4B7D-B77D-1716E9C38888}"/>
    <hyperlink ref="B17" r:id="rId15" display="https://www.webofscience.com/wos/woscc/full-record/WOS:000549890800013" xr:uid="{E9D9374A-3677-475A-8821-407AA3010DDE}"/>
    <hyperlink ref="B18" r:id="rId16" display="https://www.webofscience.com/wos/woscc/full-record/WOS:000474904300009" xr:uid="{2EB53E74-4AB1-439B-B1DA-A2854742F370}"/>
    <hyperlink ref="B19" r:id="rId17" display="https://www.webofscience.com/wos/woscc/full-record/WOS:000505785700002" xr:uid="{D1C4B239-6F01-4D41-87F3-97D31968A68B}"/>
    <hyperlink ref="B20" r:id="rId18" display="https://www.webofscience.com/wos/woscc/full-record/WOS:000549890800003" xr:uid="{455CF33B-EAE2-4B92-B6F2-5A071CA54C04}"/>
    <hyperlink ref="B21" r:id="rId19" display="https://www.webofscience.com/wos/woscc/full-record/WOS:000490326100007" xr:uid="{BC8B23BA-C622-4CFA-BB19-727138CB740F}"/>
    <hyperlink ref="B22" r:id="rId20" display="https://www.webofscience.com/wos/woscc/full-record/WOS:000474904300014" xr:uid="{A7937294-C601-44C0-A2FE-7967BA4D7D31}"/>
    <hyperlink ref="B23" r:id="rId21" display="https://www.webofscience.com/wos/woscc/full-record/WOS:000474904300001" xr:uid="{D5D42C32-C180-479F-B16A-11D0D13127EF}"/>
    <hyperlink ref="B24" r:id="rId22" display="https://www.webofscience.com/wos/woscc/full-record/WOS:000463836500007" xr:uid="{99B18725-E8E8-440D-8115-E18878D573CD}"/>
    <hyperlink ref="B25" r:id="rId23" display="https://www.webofscience.com/wos/woscc/full-record/WOS:000629136000004" xr:uid="{F9826021-D667-44BB-B19B-B9774F936468}"/>
    <hyperlink ref="B26" r:id="rId24" display="https://www.webofscience.com/wos/woscc/full-record/WOS:000626173500019" xr:uid="{517E83B4-9C1C-4094-A86D-E07B6D4F011C}"/>
    <hyperlink ref="B27" r:id="rId25" display="https://www.webofscience.com/wos/woscc/full-record/WOS:000582396700003" xr:uid="{33EEBFB4-1B89-43B2-B775-D83DAF26F8DA}"/>
    <hyperlink ref="B28" r:id="rId26" display="https://www.webofscience.com/wos/woscc/full-record/WOS:000549890800002" xr:uid="{1E2DE8C7-B4CE-4BE8-B6B9-37AE3A7839BB}"/>
    <hyperlink ref="B29" r:id="rId27" display="https://www.webofscience.com/wos/woscc/full-record/WOS:000523267400002" xr:uid="{E7565EAB-E01D-4654-B81F-434AB692B328}"/>
    <hyperlink ref="B30" r:id="rId28" display="https://www.webofscience.com/wos/woscc/full-record/WOS:000474904300008" xr:uid="{76282A54-9BF2-4E01-AD66-A98273EAA5E3}"/>
    <hyperlink ref="B31" r:id="rId29" display="https://www.webofscience.com/wos/woscc/full-record/WOS:000626173500007" xr:uid="{0EBF3E82-3803-45ED-8C25-53985CFCFAB7}"/>
    <hyperlink ref="B32" r:id="rId30" display="https://www.webofscience.com/wos/woscc/full-record/WOS:000549890800016" xr:uid="{DAE0CBCB-BF2A-4D62-8DFE-58794EA249B1}"/>
    <hyperlink ref="B33" r:id="rId31" display="https://www.webofscience.com/wos/woscc/full-record/WOS:000626173500003" xr:uid="{1A47E090-BBA6-4D54-A434-E9584DB12E3F}"/>
    <hyperlink ref="B34" r:id="rId32" display="https://www.webofscience.com/wos/woscc/full-record/WOS:000549890800004" xr:uid="{33A9528B-5B55-4E6A-B3D0-EE5842ECB61E}"/>
    <hyperlink ref="B35" r:id="rId33" display="https://www.webofscience.com/wos/woscc/full-record/WOS:000626173500016" xr:uid="{3E6F65E5-10A7-43FB-9DA2-D800E9BDB123}"/>
    <hyperlink ref="B36" r:id="rId34" display="https://www.webofscience.com/wos/woscc/full-record/WOS:000626173500008" xr:uid="{BB70E6DB-E4A2-4DC4-BB91-39ED40E00F6D}"/>
    <hyperlink ref="B37" r:id="rId35" display="https://www.webofscience.com/wos/woscc/full-record/WOS:000523267400001" xr:uid="{ADD2D122-7790-47AD-AC02-E776F4C9FB94}"/>
    <hyperlink ref="B38" r:id="rId36" display="https://www.webofscience.com/wos/woscc/full-record/WOS:000490326100009" xr:uid="{6103162A-3F69-4AA0-96FE-400342DFAC4A}"/>
    <hyperlink ref="B39" r:id="rId37" display="https://www.webofscience.com/wos/woscc/full-record/WOS:000474904300015" xr:uid="{F2CD2818-44D7-42EE-971B-FAC572F8AA51}"/>
    <hyperlink ref="B40" r:id="rId38" display="https://www.webofscience.com/wos/woscc/full-record/WOS:000582396800027" xr:uid="{BDB0EEAF-9F35-4FA0-90CD-24A667A01B27}"/>
    <hyperlink ref="B41" r:id="rId39" display="https://www.webofscience.com/wos/woscc/full-record/WOS:000628230500001" xr:uid="{392709BC-4156-4C7A-BB80-4C1534C01B78}"/>
    <hyperlink ref="B42" r:id="rId40" display="https://www.webofscience.com/wos/woscc/full-record/WOS:000632268800009" xr:uid="{2C38AD54-DABB-4690-9A35-431412799625}"/>
    <hyperlink ref="B43" r:id="rId41" display="https://www.webofscience.com/wos/woscc/full-record/WOS:000549890800021" xr:uid="{136AD042-A0EE-4C96-8612-DCB3C0EA97CA}"/>
    <hyperlink ref="B44" r:id="rId42" display="https://www.webofscience.com/wos/woscc/full-record/WOS:000490326100008" xr:uid="{BFD6674F-3802-4E31-8362-848AA66123A7}"/>
    <hyperlink ref="B45" r:id="rId43" display="https://www.webofscience.com/wos/woscc/full-record/WOS:000490326100003" xr:uid="{84A2D623-A416-45A6-BF38-7FE0E57BED23}"/>
    <hyperlink ref="B46" r:id="rId44" display="https://www.webofscience.com/wos/woscc/full-record/WOS:000474904300011" xr:uid="{AD2337DB-11C8-4502-AFEC-F85B56D3BA61}"/>
    <hyperlink ref="B47" r:id="rId45" display="https://www.webofscience.com/wos/woscc/full-record/WOS:000629136000011" xr:uid="{80FEFE27-5C4B-4226-AB74-C87D9220085A}"/>
    <hyperlink ref="B48" r:id="rId46" display="https://www.webofscience.com/wos/woscc/full-record/WOS:000629136000012" xr:uid="{A234D0D3-3FE3-465F-B60B-CB94F8F65B65}"/>
    <hyperlink ref="B49" r:id="rId47" display="https://www.webofscience.com/wos/woscc/full-record/WOS:000626173500006" xr:uid="{71453991-CED8-48E9-848D-4641F7A6BC2E}"/>
    <hyperlink ref="B50" r:id="rId48" display="https://www.webofscience.com/wos/woscc/full-record/WOS:000626173500004" xr:uid="{74AC1F57-93D1-4779-A485-ACA472F669A3}"/>
    <hyperlink ref="B51" r:id="rId49" display="https://www.webofscience.com/wos/woscc/full-record/WOS:000549890800009" xr:uid="{F0B4E3AD-16D2-42D1-B4DC-DA6F046F3C7E}"/>
    <hyperlink ref="B53" r:id="rId50" display="https://www.webofscience.com/wos/woscc/full-record/WOS:000549890800018" xr:uid="{90046F2C-15A2-40F8-A010-F4DABCBB6FB1}"/>
    <hyperlink ref="B55" r:id="rId51" display="https://www.webofscience.com/wos/alldb/full-record/WOS:000419348300008" xr:uid="{3C208323-B5A1-4A65-AFA6-D0281237C245}"/>
    <hyperlink ref="B56" r:id="rId52" display="https://www.webofscience.com/wos/alldb/full-record/WOS:000218561100003" xr:uid="{9BFD099D-C791-4361-9A3B-BEDF4C7120C3}"/>
    <hyperlink ref="B57" r:id="rId53" display="https://www.webofscience.com/wos/alldb/full-record/WOS:000436530800003" xr:uid="{18B4BBBB-099B-440F-B0BD-AC091C588542}"/>
    <hyperlink ref="B58" r:id="rId54" display="https://www.webofscience.com/wos/alldb/full-record/WOS:000218582300002" xr:uid="{F1E07C47-EFCD-4B26-B27B-4CB19E0009B7}"/>
    <hyperlink ref="B59" r:id="rId55" display="https://www.webofscience.com/wos/alldb/full-record/WOS:000218587300004" xr:uid="{C4CDB180-802C-41E4-B165-EE7B711DAFC7}"/>
    <hyperlink ref="B60" r:id="rId56" display="https://www.webofscience.com/wos/alldb/full-record/WOS:000445815100003" xr:uid="{19A24C2C-F3EA-477A-9F86-7573173BE20E}"/>
    <hyperlink ref="B61" r:id="rId57" display="https://www.webofscience.com/wos/alldb/full-record/WOS:000218587300002" xr:uid="{6278309C-1051-41A2-ADE0-0E045AE15F6D}"/>
    <hyperlink ref="B62" r:id="rId58" display="https://www.webofscience.com/wos/alldb/full-record/WOS:000218566300005" xr:uid="{6A458DC8-31CE-4D38-A18F-49D47785FF84}"/>
    <hyperlink ref="B63" r:id="rId59" display="https://www.webofscience.com/wos/alldb/full-record/WOS:000218557000005" xr:uid="{CFD2D8A4-1D15-491C-BBB2-DBD259799733}"/>
    <hyperlink ref="B64" r:id="rId60" display="https://www.webofscience.com/wos/alldb/full-record/WOS:000406163900005" xr:uid="{FDE022A9-395B-42D0-8056-879EC535B066}"/>
    <hyperlink ref="B65" r:id="rId61" display="https://www.webofscience.com/wos/alldb/full-record/WOS:000218566300006" xr:uid="{C7F4F6C0-6DD7-4385-BF95-50A8A0EB4491}"/>
    <hyperlink ref="B66" r:id="rId62" display="https://www.webofscience.com/wos/alldb/full-record/WOS:000218557000004" xr:uid="{B3DB2926-4DC7-4B37-AD9B-65B53EC91A2F}"/>
    <hyperlink ref="B67" r:id="rId63" display="https://www.webofscience.com/wos/alldb/full-record/WOS:000218558400005" xr:uid="{F80D4416-3260-4029-9688-D86ACDA9288B}"/>
    <hyperlink ref="B68" r:id="rId64" display="https://www.webofscience.com/wos/alldb/full-record/WOS:000419348300004" xr:uid="{83F4E33D-CB63-4414-A620-A963F6F7C747}"/>
    <hyperlink ref="B69" r:id="rId65" display="https://www.webofscience.com/wos/alldb/full-record/WOS:000218558400004" xr:uid="{FEB1E718-06C8-40A8-B8AE-DC094FE239F3}"/>
    <hyperlink ref="B70" r:id="rId66" display="https://www.webofscience.com/wos/alldb/full-record/WOS:000218553500003" xr:uid="{A5D6C1F5-33A0-48AF-97E8-17E79549E557}"/>
    <hyperlink ref="B71" r:id="rId67" display="https://www.webofscience.com/wos/alldb/full-record/WOS:000436530800002" xr:uid="{277D0C13-BC60-4AF2-A790-BFD7CF104B11}"/>
    <hyperlink ref="B72" r:id="rId68" display="https://www.webofscience.com/wos/alldb/full-record/WOS:000391064600003" xr:uid="{9D26333D-E1D9-4C05-901A-6772D37F8AE0}"/>
    <hyperlink ref="B73" r:id="rId69" display="https://www.webofscience.com/wos/alldb/full-record/WOS:000379385900005" xr:uid="{0212268C-8986-4CB7-A1D2-31EAC16F5743}"/>
    <hyperlink ref="B74" r:id="rId70" display="https://www.webofscience.com/wos/alldb/full-record/WOS:000419351500006" xr:uid="{C83D0CEB-38E9-4D5B-9A33-858BEDF0B96D}"/>
    <hyperlink ref="B75" r:id="rId71" display="https://www.webofscience.com/wos/alldb/full-record/WOS:000218587300005" xr:uid="{00B2E34E-B7D3-4BE8-969A-3C2D44FFD577}"/>
    <hyperlink ref="B76" r:id="rId72" display="https://www.webofscience.com/wos/alldb/full-record/WOS:000489555400003" xr:uid="{6002C055-A915-4482-A32C-3880F2E9F10C}"/>
    <hyperlink ref="B77" r:id="rId73" display="https://www.webofscience.com/wos/alldb/full-record/WOS:000503419500004" xr:uid="{F6D729AF-099A-4682-8538-219B798455AF}"/>
    <hyperlink ref="B78" r:id="rId74" display="https://www.webofscience.com/wos/alldb/full-record/WOS:000445815100005" xr:uid="{0982DB66-EAD5-4693-A7E6-9C1655614B0B}"/>
    <hyperlink ref="B79" r:id="rId75" display="https://www.webofscience.com/wos/alldb/full-record/WOS:000400678500002" xr:uid="{C6123CCB-4B0F-4904-A99D-731C104495D6}"/>
    <hyperlink ref="B80" r:id="rId76" display="https://www.webofscience.com/wos/alldb/full-record/WOS:000218553500002" xr:uid="{C376A5DB-20AC-4FCF-850E-2592FCAE023D}"/>
    <hyperlink ref="B81" r:id="rId77" display="https://www.webofscience.com/wos/alldb/full-record/WOS:000627771100005" xr:uid="{693F9660-CDF4-4BA6-92B3-82DE9640C902}"/>
    <hyperlink ref="B82" r:id="rId78" display="https://www.webofscience.com/wos/alldb/full-record/WOS:000419348300003" xr:uid="{BAA74218-F8CA-4911-8FAF-0E5F27714A79}"/>
    <hyperlink ref="B83" r:id="rId79" display="https://www.webofscience.com/wos/alldb/full-record/WOS:000218566300003" xr:uid="{094FD80F-7B8A-4572-A44A-8C2D78AA506B}"/>
    <hyperlink ref="B84" r:id="rId80" display="https://www.webofscience.com/wos/alldb/full-record/WOS:000218566300004" xr:uid="{8C9C1A60-7712-448B-B4EC-4B4BC1E75A61}"/>
    <hyperlink ref="B85" r:id="rId81" display="https://www.webofscience.com/wos/alldb/full-record/WOS:000596602800002" xr:uid="{60345E7A-BEDD-412A-AC50-7B6C8A8F9521}"/>
    <hyperlink ref="B86" r:id="rId82" display="https://www.webofscience.com/wos/alldb/full-record/WOS:000489555400009" xr:uid="{63BCEAB9-4210-4F1E-9157-8C28EE756BC8}"/>
    <hyperlink ref="B87" r:id="rId83" display="https://www.webofscience.com/wos/alldb/full-record/WOS:000472720500007" xr:uid="{F1140454-3902-4FC8-95D8-3AA440CE9E50}"/>
    <hyperlink ref="B88" r:id="rId84" display="https://www.webofscience.com/wos/alldb/full-record/WOS:000391064600004" xr:uid="{3BA24D9C-8485-41E4-AD54-135878ECCC93}"/>
    <hyperlink ref="B89" r:id="rId85" display="https://www.webofscience.com/wos/alldb/full-record/WOS:000391064600005" xr:uid="{CC25159A-2FB3-46E5-B460-0616CCB0F029}"/>
    <hyperlink ref="B90" r:id="rId86" display="https://www.webofscience.com/wos/alldb/full-record/WOS:000218585500006" xr:uid="{8B8558CF-57BC-4163-BC79-60EA96DB2C67}"/>
    <hyperlink ref="B91" r:id="rId87" display="https://www.webofscience.com/wos/alldb/full-record/WOS:000807342900002" xr:uid="{4985A30A-8C88-4E5A-B2CF-E5296276D6A7}"/>
    <hyperlink ref="B92" r:id="rId88" display="https://www.webofscience.com/wos/alldb/full-record/WOS:000697706500005" xr:uid="{54CA488C-19CB-42B8-A9CB-CD1D14AA7CE5}"/>
    <hyperlink ref="B93" r:id="rId89" display="https://www.webofscience.com/wos/alldb/full-record/WOS:000627771100003" xr:uid="{1AE49AD4-F12F-4EFE-BB92-7269A1982502}"/>
    <hyperlink ref="B94" r:id="rId90" display="https://www.webofscience.com/wos/alldb/full-record/WOS:000489555400005" xr:uid="{A3225F15-8A98-4014-AD26-ED6B213DE08E}"/>
    <hyperlink ref="B95" r:id="rId91" display="https://www.webofscience.com/wos/alldb/full-record/WOS:000428428700004" xr:uid="{6CF5E804-4D39-4DF0-B926-A88F9734A061}"/>
    <hyperlink ref="B96" r:id="rId92" display="https://www.webofscience.com/wos/alldb/full-record/WOS:000391063800005" xr:uid="{8BE7FB93-5D8E-4E26-B8A8-E7FC2778CD27}"/>
    <hyperlink ref="B97" r:id="rId93" display="https://www.webofscience.com/wos/alldb/full-record/WOS:000379385900003" xr:uid="{725C7C9A-028B-4804-9693-42231AF89484}"/>
    <hyperlink ref="B98" r:id="rId94" display="https://www.webofscience.com/wos/alldb/full-record/WOS:000218587300006" xr:uid="{C42577F8-A8F2-461D-9BF8-2358B455459D}"/>
    <hyperlink ref="B99" r:id="rId95" display="https://www.webofscience.com/wos/alldb/full-record/WOS:000218585500003" xr:uid="{575D60E4-AD9F-4292-A3A5-3994DEDAE2EB}"/>
    <hyperlink ref="B100" r:id="rId96" display="https://www.webofscience.com/wos/alldb/full-record/WOS:000218557000003" xr:uid="{6AB610E6-823C-4C24-9C6C-7448A1997957}"/>
    <hyperlink ref="B101" r:id="rId97" display="https://www.webofscience.com/wos/alldb/full-record/WOS:000697706500003" xr:uid="{F1AA1D6F-3354-45DA-A07D-C036048AD4DB}"/>
    <hyperlink ref="B102" r:id="rId98" display="https://www.webofscience.com/wos/alldb/full-record/WOS:000697706500004" xr:uid="{33ABB239-8784-46FF-A200-7A25E202CB1C}"/>
    <hyperlink ref="B103" r:id="rId99" display="https://www.webofscience.com/wos/alldb/full-record/WOS:000596602800005" xr:uid="{D26247E0-EEF7-4989-9822-E61A6E9CF2B3}"/>
    <hyperlink ref="B104" r:id="rId100" display="https://www.webofscience.com/wos/alldb/full-record/WOS:000520488100006" xr:uid="{8682AE4F-8A6F-4FF8-9742-E1AA98B8FDD2}"/>
    <hyperlink ref="B105" r:id="rId101" display="https://www.webofscience.com/wos/alldb/full-record/WOS:000503419500003" xr:uid="{ADEAF67A-BB46-491A-90DC-486DE927A7C4}"/>
    <hyperlink ref="B106" r:id="rId102" display="https://www.webofscience.com/wos/alldb/full-record/WOS:000489555400006" xr:uid="{39D341DA-4E7A-40BC-8CA6-CA2BA8591C04}"/>
    <hyperlink ref="B107" r:id="rId103" display="https://www.webofscience.com/wos/alldb/full-record/WOS:000445815100007" xr:uid="{831AF8CD-E05C-4DA8-BB93-A17F4862EA21}"/>
    <hyperlink ref="B108" r:id="rId104" display="https://www.webofscience.com/wos/alldb/full-record/WOS:000400678500003" xr:uid="{956A2E43-9265-4D6A-8904-5CC5BB4ED678}"/>
    <hyperlink ref="B109" r:id="rId105" display="https://www.webofscience.com/wos/alldb/full-record/WOS:000379385900004" xr:uid="{E60D7070-F828-4B1A-9611-EF96EAAF4F47}"/>
    <hyperlink ref="B110" r:id="rId106" display="https://www.webofscience.com/wos/alldb/full-record/WOS:000379385900002" xr:uid="{E7C58431-F720-4B59-8737-D25C2F4DBB84}"/>
    <hyperlink ref="B111" r:id="rId107" display="https://www.webofscience.com/wos/alldb/full-record/WOS:000218585500002" xr:uid="{CF1ED577-6ED6-4CBC-B261-EE77B7409D25}"/>
    <hyperlink ref="B112" r:id="rId108" display="https://www.webofscience.com/wos/alldb/full-record/WOS:000218553500007" xr:uid="{81E3D6AD-1F63-4731-9FE5-E3B370FD6D28}"/>
    <hyperlink ref="B113" r:id="rId109" display="https://www.webofscience.com/wos/alldb/full-record/WOS:000909980700007" xr:uid="{902E34E1-3A9F-480C-8BDA-274C466137F0}"/>
    <hyperlink ref="B114" r:id="rId110" display="https://www.webofscience.com/wos/alldb/full-record/WOS:000909980700003" xr:uid="{EBC6771A-F43F-46E2-9721-556C4DBE02C4}"/>
    <hyperlink ref="B115" r:id="rId111" display="https://www.webofscience.com/wos/alldb/full-record/WOS:000909980700004" xr:uid="{6FFAAA9C-AD20-4D50-BEA9-2C8D16B46B32}"/>
    <hyperlink ref="B116" r:id="rId112" display="https://www.webofscience.com/wos/alldb/full-record/WOS:000909980700002" xr:uid="{2507DB5B-10EF-4D3F-85B7-F93D4010746F}"/>
    <hyperlink ref="B117" r:id="rId113" display="https://www.webofscience.com/wos/alldb/full-record/WOS:000807342900003" xr:uid="{586FB888-E6CA-41A5-882A-389F8B0F227E}"/>
    <hyperlink ref="B118" r:id="rId114" display="https://www.webofscience.com/wos/alldb/full-record/WOS:000725711000004" xr:uid="{F7E24438-F108-4566-8292-D63C3EA5CCE5}"/>
    <hyperlink ref="B119" r:id="rId115" display="https://www.webofscience.com/wos/alldb/full-record/WOS:000725711000005" xr:uid="{DFF0EEEF-2340-4B7A-A341-F289B9630106}"/>
    <hyperlink ref="B120" r:id="rId116" display="https://www.webofscience.com/wos/alldb/full-record/WOS:000697706500002" xr:uid="{086B5D5A-9648-4EC3-BE7B-9CB3FF35A9CA}"/>
    <hyperlink ref="B121" r:id="rId117" display="https://www.webofscience.com/wos/alldb/full-record/WOS:000659285000005" xr:uid="{4DE53C8A-01EA-4A62-A056-89BBE63BF321}"/>
    <hyperlink ref="B122" r:id="rId118" display="https://www.webofscience.com/wos/alldb/full-record/WOS:000596602800004" xr:uid="{97D7DE9E-9119-488F-ACD1-C1AE7EC307A7}"/>
    <hyperlink ref="B123" r:id="rId119" display="https://www.webofscience.com/wos/alldb/full-record/WOS:000541823600004" xr:uid="{CA53D017-3343-44D2-9999-6365003F4D8E}"/>
    <hyperlink ref="B124" r:id="rId120" display="https://www.webofscience.com/wos/alldb/full-record/WOS:000520488100003" xr:uid="{D8471ADE-CD44-4183-9C54-8AB0B814BFE9}"/>
    <hyperlink ref="B125" r:id="rId121" display="https://www.webofscience.com/wos/alldb/full-record/WOS:000503419500002" xr:uid="{8A5EDAB7-3835-41C2-9AF1-B8CBFC3E03BC}"/>
    <hyperlink ref="B126" r:id="rId122" display="https://www.webofscience.com/wos/alldb/full-record/WOS:000489555400008" xr:uid="{4CD1852E-7CA4-431E-AEBA-E76D9127BC0D}"/>
    <hyperlink ref="B127" r:id="rId123" display="https://www.webofscience.com/wos/alldb/full-record/WOS:000472720500005" xr:uid="{49821599-B70A-4459-AAB3-D98CD8CF3D3B}"/>
    <hyperlink ref="B128" r:id="rId124" display="https://www.webofscience.com/wos/alldb/full-record/WOS:000428428700005" xr:uid="{53394455-3E59-4700-AE93-5911DBEABCA4}"/>
    <hyperlink ref="B129" r:id="rId125" display="https://www.webofscience.com/wos/alldb/full-record/WOS:000218558400003" xr:uid="{5FA5DDD9-6F5F-4D46-A0B5-B24B0E041313}"/>
    <hyperlink ref="B130" r:id="rId126" display="https://www.webofscience.com/wos/alldb/full-record/WOS:000218557000006" xr:uid="{BF6A25DB-02F7-4927-832F-27FBDCEACE9A}"/>
    <hyperlink ref="B131" r:id="rId127" display="https://www.webofscience.com/wos/alldb/full-record/WOS:000218561100002" xr:uid="{E0D760E4-7862-4921-8D3C-99F340F02FB2}"/>
    <hyperlink ref="B132" r:id="rId128" display="https://www.webofscience.com/wos/alldb/full-record/WOS:000218558400002" xr:uid="{BFBCCB81-7BF6-4AE2-BF76-33CD8D6D55E6}"/>
    <hyperlink ref="B133" r:id="rId129" display="https://www.webofscience.com/wos/alldb/full-record/WOS:000858941000002" xr:uid="{6F069B30-9E93-49CB-8B30-E56D18EE4C86}"/>
    <hyperlink ref="B134" r:id="rId130" display="https://www.webofscience.com/wos/alldb/full-record/WOS:000858941000003" xr:uid="{7758430E-9B72-412F-A4D9-3C3F2FBF6ED0}"/>
    <hyperlink ref="B135" r:id="rId131" display="https://www.webofscience.com/wos/alldb/full-record/WOS:000807342900006" xr:uid="{D7B25CA4-4A68-4DC6-A5AB-1C4F0763F988}"/>
    <hyperlink ref="B136" r:id="rId132" display="https://www.webofscience.com/wos/alldb/full-record/WOS:000697706500006" xr:uid="{23821E93-C3FD-44E4-8DE8-7AFC1F8FD2CA}"/>
    <hyperlink ref="B137" r:id="rId133" display="https://www.webofscience.com/wos/alldb/full-record/WOS:000596602800006" xr:uid="{2E779901-38C4-44E3-B0A6-EF7A0CC1498D}"/>
    <hyperlink ref="B138" r:id="rId134" display="https://www.webofscience.com/wos/alldb/full-record/WOS:000575801300002" xr:uid="{965FA83B-4DF5-4518-8701-B39459B9493C}"/>
    <hyperlink ref="B139" r:id="rId135" display="https://www.webofscience.com/wos/alldb/full-record/WOS:000541823600002" xr:uid="{362D0710-0CA4-450C-B99E-357A3650FFBB}"/>
    <hyperlink ref="B140" r:id="rId136" display="https://www.webofscience.com/wos/alldb/full-record/WOS:000428428700007" xr:uid="{E3D40325-540E-400D-84D1-4D84D08E1FFE}"/>
    <hyperlink ref="B141" r:id="rId137" display="https://www.webofscience.com/wos/alldb/full-record/WOS:000391063800006" xr:uid="{79FBA14A-6B14-4B5B-9EEA-C6FA7300323B}"/>
    <hyperlink ref="B142" r:id="rId138" display="https://www.webofscience.com/wos/alldb/full-record/WOS:000575801300006" xr:uid="{6FBD1B88-B27B-4491-82A1-726E31776B29}"/>
    <hyperlink ref="B143" r:id="rId139" display="https://www.webofscience.com/wos/alldb/full-record/WOS:000218582300006" xr:uid="{A544F74C-3BE2-41A4-9D94-C4AC6C030B3F}"/>
    <hyperlink ref="B144" r:id="rId140" display="https://www.webofscience.com/wos/alldb/full-record/WOS:000218553500006" xr:uid="{3D0794DF-4E46-48BB-AAA3-B30382A45696}"/>
    <hyperlink ref="B145" r:id="rId141" display="https://www.webofscience.com/wos/alldb/full-record/WOS:000218561100001" xr:uid="{F68109B4-6A39-4D7A-B50A-04D5AD053151}"/>
    <hyperlink ref="B146" r:id="rId142" display="https://www.webofscience.com/wos/woscc/full-record/WOS:000409369800006" xr:uid="{7345ED9D-A3E1-41F7-9B0D-B5D516593782}"/>
    <hyperlink ref="B147" r:id="rId143" display="https://www.webofscience.com/wos/woscc/full-record/WOS:000409369100007" xr:uid="{5D807CE3-5982-4743-AC87-B25ACC448939}"/>
    <hyperlink ref="B148" r:id="rId144" display="https://www.webofscience.com/wos/woscc/full-record/WOS:000527977600001" xr:uid="{B390CC8E-4BA9-4BBE-9350-69B19F9910E0}"/>
    <hyperlink ref="B149" r:id="rId145" display="https://www.webofscience.com/wos/woscc/full-record/WOS:000496365200001" xr:uid="{2E147485-6BD8-47DB-B7A1-0462A2365E66}"/>
    <hyperlink ref="B150" r:id="rId146" display="https://www.webofscience.com/wos/woscc/full-record/WOS:000542265200001" xr:uid="{5432B202-3CF8-4295-A89D-5BCB14CE4206}"/>
    <hyperlink ref="B151" r:id="rId147" display="https://www.webofscience.com/wos/woscc/full-record/WOS:000665234800001" xr:uid="{EFDA7E85-A84C-4B6A-B4C4-ECEB223C704F}"/>
    <hyperlink ref="B152" r:id="rId148" display="https://www.webofscience.com/wos/woscc/full-record/WOS:000439614100003" xr:uid="{D2C072DD-EB3F-4811-9406-9A2D27677A0A}"/>
    <hyperlink ref="B153" r:id="rId149" display="https://www.webofscience.com/wos/woscc/full-record/WOS:000860823200001" xr:uid="{19D68187-75A2-4E60-822B-70513C5F3985}"/>
    <hyperlink ref="B154" r:id="rId150" display="https://www.webofscience.com/wos/woscc/full-record/WOS:000436069400008" xr:uid="{D822A143-6379-4747-B2A8-DD0454D6822A}"/>
    <hyperlink ref="B155" r:id="rId151" display="https://www.webofscience.com/wos/woscc/full-record/WOS:000409355200004" xr:uid="{4E2CC252-29F5-4A6F-83F3-22E7CC741B1F}"/>
    <hyperlink ref="B156" r:id="rId152" display="https://www.webofscience.com/wos/woscc/full-record/WOS:000445956800004" xr:uid="{44202BE2-323D-415F-8725-972FBFE0C11E}"/>
    <hyperlink ref="B157" r:id="rId153" display="https://www.webofscience.com/wos/woscc/full-record/WOS:000841976200001" xr:uid="{A5C4E714-1AA8-4052-BF32-6D5D13D80100}"/>
    <hyperlink ref="B158" r:id="rId154" display="https://www.webofscience.com/wos/woscc/full-record/WOS:000578583300001" xr:uid="{371E814B-70C4-481A-AB9D-E6AA04979C1A}"/>
    <hyperlink ref="B159" r:id="rId155" display="https://www.webofscience.com/wos/woscc/full-record/WOS:000409368600006" xr:uid="{26FDEC4C-20BF-421D-9339-F0F6DF05DBB6}"/>
    <hyperlink ref="B160" r:id="rId156" display="https://www.webofscience.com/wos/woscc/full-record/WOS:000483607500002" xr:uid="{D810AA10-8713-4097-A62F-25550E97D792}"/>
    <hyperlink ref="B161" r:id="rId157" display="https://www.webofscience.com/wos/woscc/full-record/WOS:000436069400006" xr:uid="{499A529C-7BC8-475D-AACC-2A6F29C2F395}"/>
    <hyperlink ref="B162" r:id="rId158" display="https://www.webofscience.com/wos/woscc/full-record/WOS:000445956800003" xr:uid="{70177AD8-004C-409D-BBC1-64CD5B5823AB}"/>
    <hyperlink ref="B163" r:id="rId159" display="https://www.webofscience.com/wos/woscc/full-record/WOS:000736321800001" xr:uid="{94013397-4EE7-4995-B235-50CF320AB84C}"/>
    <hyperlink ref="B164" r:id="rId160" display="https://www.webofscience.com/wos/woscc/full-record/WOS:000477645300004" xr:uid="{99115FA6-BCC4-44F6-A1D2-7ED3FE7373CC}"/>
    <hyperlink ref="B165" r:id="rId161" display="https://www.webofscience.com/wos/woscc/full-record/WOS:000454990600001" xr:uid="{BAAA6AB5-252A-467D-9CDD-0E0ADA91FC8A}"/>
    <hyperlink ref="B166" r:id="rId162" display="https://www.webofscience.com/wos/woscc/full-record/WOS:000810465600001" xr:uid="{F0445A60-DE61-4840-80AD-D54A36ECC69F}"/>
    <hyperlink ref="B167" r:id="rId163" display="https://www.webofscience.com/wos/woscc/full-record/WOS:000888406100001" xr:uid="{A2DBEFD4-0497-41C2-863B-64E4497EDC48}"/>
    <hyperlink ref="B168" r:id="rId164" display="https://www.webofscience.com/wos/woscc/full-record/WOS:000788510000001" xr:uid="{5322C767-5DD7-49A0-B7EE-78C9AF89B012}"/>
    <hyperlink ref="B169" r:id="rId165" display="https://www.webofscience.com/wos/woscc/full-record/WOS:000736326000001" xr:uid="{9A575E2A-91A9-4DC9-9F97-04FA35152B89}"/>
    <hyperlink ref="B170" r:id="rId166" display="https://www.webofscience.com/wos/woscc/full-record/WOS:000409363300002" xr:uid="{0A6BB250-5557-449D-B36D-1AE417DF39C7}"/>
    <hyperlink ref="B171" r:id="rId167" display="https://www.webofscience.com/wos/woscc/full-record/WOS:000491451800001" xr:uid="{EC1B5FD6-6D4C-4EBB-969E-9B74EE296215}"/>
    <hyperlink ref="B172" r:id="rId168" display="https://www.webofscience.com/wos/woscc/full-record/WOS:000483183800001" xr:uid="{67C0ADD5-370E-4C93-92CB-0BB30205ABC4}"/>
    <hyperlink ref="B173" r:id="rId169" display="https://www.webofscience.com/wos/woscc/full-record/WOS:000415010600007" xr:uid="{1CF5241F-11AF-488A-A01F-9A5907A6A10D}"/>
    <hyperlink ref="B174" r:id="rId170" display="https://www.webofscience.com/wos/woscc/full-record/WOS:000411090600004" xr:uid="{00A5F6F4-8A6F-44D2-9D61-E8A2E554FE12}"/>
    <hyperlink ref="B175" r:id="rId171" display="https://www.webofscience.com/wos/woscc/full-record/WOS:000445939100011" xr:uid="{354230F9-1D96-47C2-9821-9312CDD29E6C}"/>
    <hyperlink ref="B176" r:id="rId172" display="https://www.webofscience.com/wos/woscc/full-record/WOS:000823500400001" xr:uid="{1E482CC4-27E2-4B90-9B95-16596D948887}"/>
    <hyperlink ref="B177" r:id="rId173" display="https://www.webofscience.com/wos/woscc/full-record/WOS:000762959200001" xr:uid="{7D23F57F-E8C9-46DC-A6EC-C3AB97767A16}"/>
    <hyperlink ref="B54" r:id="rId174" display="https://www.webofscience.com/wos/alldb/full-record/WOS:000218561100005" xr:uid="{A3BF160D-9E7C-43D2-84B5-FDC3C71E6D40}"/>
    <hyperlink ref="B178" r:id="rId175" display="https://www.webofscience.com/wos/woscc/full-record/WOS:000214855100016" xr:uid="{1CF5C168-8821-4B18-BBC7-71CA192F743B}"/>
    <hyperlink ref="B179" r:id="rId176" display="https://www.webofscience.com/wos/woscc/full-record/WOS:000859744400003" xr:uid="{78EFCF61-9841-43E3-A0FC-3027A569354A}"/>
    <hyperlink ref="B180" r:id="rId177" display="https://www.webofscience.com/wos/woscc/full-record/WOS:000683547400001" xr:uid="{00F2048C-701F-4624-9FB2-2CDBA311EECC}"/>
    <hyperlink ref="B181" r:id="rId178" display="https://www.webofscience.com/wos/woscc/full-record/WOS:000432800100001" xr:uid="{4D9770C9-75FA-4785-85AE-5A0CE59E50AB}"/>
    <hyperlink ref="B182" r:id="rId179" display="https://www.webofscience.com/wos/woscc/full-record/WOS:000214855100018" xr:uid="{04BC18C0-496D-4B77-807C-AB7455A1FD18}"/>
    <hyperlink ref="B184" r:id="rId180" display="https://www.webofscience.com/wos/woscc/full-record/WOS:000618344300002" xr:uid="{E9B58940-0AFF-474E-A50A-BBE5904C02D1}"/>
    <hyperlink ref="B185" r:id="rId181" display="https://www.webofscience.com/wos/woscc/full-record/WOS:000504663900004" xr:uid="{F08B72E6-F337-4492-8F1C-523B359E043D}"/>
    <hyperlink ref="B186" r:id="rId182" display="https://www.webofscience.com/wos/woscc/full-record/WOS:000888057500002" xr:uid="{771005BF-CDC3-4C6A-88D2-58F7618649E2}"/>
    <hyperlink ref="B187" r:id="rId183" display="https://www.webofscience.com/wos/woscc/full-record/WOS:000797065200009" xr:uid="{371BA7E9-D299-4ED2-83B5-436AB0A2B005}"/>
    <hyperlink ref="B188" r:id="rId184" display="https://www.webofscience.com/wos/woscc/full-record/WOS:000797065200008" xr:uid="{9606D91D-764C-44FB-8A2A-E58B69EBC7CC}"/>
    <hyperlink ref="B189" r:id="rId185" display="https://www.webofscience.com/wos/woscc/full-record/WOS:000357603900001" xr:uid="{04E3AF12-8EE2-4962-933E-D5A50BCC567F}"/>
    <hyperlink ref="B190" r:id="rId186" display="https://www.webofscience.com/wos/woscc/full-record/WOS:000214850600002" xr:uid="{5CE1FA27-A39D-4769-84EF-BB285920359A}"/>
    <hyperlink ref="B191" r:id="rId187" display="https://www.webofscience.com/wos/woscc/full-record/WOS:000863189000003" xr:uid="{994DBE69-4627-482A-9F61-A7233438250D}"/>
    <hyperlink ref="B192" r:id="rId188" display="https://www.webofscience.com/wos/woscc/full-record/WOS:000440594100020" xr:uid="{3077843A-E6B3-4346-B616-06AE9FC81013}"/>
    <hyperlink ref="B193" r:id="rId189" display="https://www.webofscience.com/wos/woscc/full-record/WOS:000361905000004" xr:uid="{94EE7EAD-CE98-41BC-959A-3ABD56FCE7AE}"/>
    <hyperlink ref="B194" r:id="rId190" display="https://www.webofscience.com/wos/woscc/full-record/WOS:000214855100019" xr:uid="{B69AD768-90AB-455D-A85F-1D54D049A7C5}"/>
    <hyperlink ref="B195" r:id="rId191" display="https://www.webofscience.com/wos/woscc/full-record/WOS:000214846800004" xr:uid="{06ADD03D-CEB3-42FE-B68A-3DFD84382101}"/>
    <hyperlink ref="B196" r:id="rId192" display="https://www.webofscience.com/wos/woscc/full-record/WOS:000396408300001" xr:uid="{6153223D-65AE-4524-AC70-C8B210055BD9}"/>
    <hyperlink ref="B197" r:id="rId193" display="https://www.webofscience.com/wos/woscc/full-record/WOS:000214855100014" xr:uid="{4CFD9517-B225-4352-A317-F5BA28515419}"/>
    <hyperlink ref="B198" r:id="rId194" display="https://www.webofscience.com/wos/woscc/full-record/WOS:000214851800001" xr:uid="{BCE91543-6E92-447D-B219-C40011BFCAAB}"/>
    <hyperlink ref="B199" r:id="rId195" display="https://www.webofscience.com/wos/woscc/full-record/WOS:000214855100017" xr:uid="{5C765C93-7B5B-419A-A796-BD227071BE01}"/>
    <hyperlink ref="B200" r:id="rId196" display="https://www.webofscience.com/wos/woscc/full-record/WOS:000847853000003" xr:uid="{B2890727-89DF-4204-A655-B2B7BEC03812}"/>
    <hyperlink ref="B201" r:id="rId197" display="https://www.webofscience.com/wos/woscc/full-record/WOS:000863189000002" xr:uid="{AA19AF91-C8D6-446B-A77B-3DBB9569B70D}"/>
    <hyperlink ref="B202" r:id="rId198" display="https://www.webofscience.com/wos/woscc/full-record/WOS:000683547400005" xr:uid="{282A3AD9-D7D0-4C72-827B-0F8E91FD3601}"/>
    <hyperlink ref="B203" r:id="rId199" display="https://www.webofscience.com/wos/woscc/full-record/WOS:000467418800006" xr:uid="{9604FB21-6BE5-4DA7-A02D-A76BA5D0F778}"/>
    <hyperlink ref="B204" r:id="rId200" display="https://www.webofscience.com/wos/woscc/full-record/WOS:000214855100006" xr:uid="{C3CEE265-0A29-456E-9C9F-8A8F3288B0A4}"/>
    <hyperlink ref="B205" r:id="rId201" display="https://www.webofscience.com/wos/woscc/full-record/WOS:000214855100030" xr:uid="{50001925-3741-4E65-BEB7-6ED6B833CA6E}"/>
    <hyperlink ref="B206" r:id="rId202" display="https://www.webofscience.com/wos/woscc/full-record/WOS:000663077200007" xr:uid="{C7D42E03-84D9-4FAC-9EBF-1552DE918BC7}"/>
    <hyperlink ref="B207" r:id="rId203" display="https://www.webofscience.com/wos/woscc/full-record/WOS:000556161100002" xr:uid="{62A641DA-4B00-43F8-9E49-238876884B52}"/>
    <hyperlink ref="B208" r:id="rId204" display="https://www.webofscience.com/wos/woscc/full-record/WOS:000386869900005" xr:uid="{941CF69B-E346-4FAE-89AF-DA7EB9E3741C}"/>
    <hyperlink ref="B209" r:id="rId205" display="https://www.webofscience.com/wos/woscc/full-record/WOS:000214851200001" xr:uid="{C17E708B-EBAF-4559-9DF7-B7951D2700D1}"/>
    <hyperlink ref="B210" r:id="rId206" display="https://www.webofscience.com/wos/woscc/full-record/WOS:000214846800011" xr:uid="{00D4EB32-C0D4-4BF3-9769-D4436B1653EA}"/>
    <hyperlink ref="B211" r:id="rId207" display="https://www.webofscience.com/wos/woscc/full-record/WOS:000397389000001" xr:uid="{AF5BED08-9785-41C1-99F2-E93262119017}"/>
    <hyperlink ref="B213" r:id="rId208" display="https://www.webofscience.com/wos/woscc/full-record/WOS:000214848100004" xr:uid="{3C78F694-DE63-42E4-9B4C-3B6FF5230BCF}"/>
    <hyperlink ref="B214" r:id="rId209" display="https://www.webofscience.com/wos/woscc/full-record/WOS:000803811400001" xr:uid="{988F574A-7A70-4B0C-B291-DDC2B0EFC94A}"/>
    <hyperlink ref="B215" r:id="rId210" display="https://www.webofscience.com/wos/woscc/full-record/WOS:000797065200002" xr:uid="{D7F20A12-D3EE-4BA2-AB57-42561B026CF2}"/>
    <hyperlink ref="B216" r:id="rId211" display="https://www.webofscience.com/wos/woscc/full-record/WOS:000701780400002" xr:uid="{E97B4D8D-01BC-489F-B7E6-8981CD0DA0BB}"/>
    <hyperlink ref="B217" r:id="rId212" display="https://www.webofscience.com/wos/woscc/full-record/WOS:000651369300007" xr:uid="{EF485F75-5A2A-46CD-9041-319CD7117A4A}"/>
    <hyperlink ref="B218" r:id="rId213" display="https://www.webofscience.com/wos/woscc/full-record/WOS:000517565900003" xr:uid="{AF8BD771-F084-4DE3-88B9-1A47A5A79853}"/>
    <hyperlink ref="B219" r:id="rId214" display="https://www.webofscience.com/wos/woscc/full-record/WOS:000371269200004" xr:uid="{97762C29-9213-4894-8A18-FF6D181815FB}"/>
    <hyperlink ref="B220" r:id="rId215" display="https://www.webofscience.com/wos/woscc/full-record/WOS:000863189000004" xr:uid="{AE2AA911-FE58-4BA6-9500-B92A6E3D6BB3}"/>
    <hyperlink ref="B221" r:id="rId216" display="https://www.webofscience.com/wos/woscc/full-record/WOS:000807165600001" xr:uid="{A165964D-14BA-40B1-88B1-322F59FC89B6}"/>
    <hyperlink ref="B222" r:id="rId217" display="https://www.webofscience.com/wos/woscc/full-record/WOS:000504663900005" xr:uid="{58D4F188-75A8-4C27-9346-4FAC2D5CD53E}"/>
    <hyperlink ref="B223" r:id="rId218" display="https://www.webofscience.com/wos/woscc/full-record/WOS:000440594100017" xr:uid="{0F5CAD72-BEDE-453C-9912-BC7A0F0D74FB}"/>
    <hyperlink ref="B224" r:id="rId219" display="https://www.webofscience.com/wos/woscc/full-record/WOS:000822791600001" xr:uid="{B4E17D37-CEA6-426D-91D5-61DB7E7F7042}"/>
    <hyperlink ref="B225" r:id="rId220" display="https://www.webofscience.com/wos/woscc/full-record/WOS:000752793500001" xr:uid="{4CF3DAAC-563F-4920-A59A-52DDAAEED8CA}"/>
    <hyperlink ref="B226" r:id="rId221" display="https://www.webofscience.com/wos/woscc/full-record/WOS:000556161100005" xr:uid="{72B9E38A-79E3-4EBB-ADED-3DDC4412D8CE}"/>
    <hyperlink ref="B227" r:id="rId222" display="https://www.webofscience.com/wos/woscc/full-record/WOS:000397389000005" xr:uid="{9DA1FC6C-D878-4E2A-BE79-4B5C2AEBA6E6}"/>
    <hyperlink ref="B229" r:id="rId223" display="https://www.webofscience.com/wos/woscc/full-record/WOS:000396408300003" xr:uid="{38F9F8EC-DEED-44FD-8A07-51D842292677}"/>
    <hyperlink ref="B230" r:id="rId224" display="https://www.webofscience.com/wos/woscc/full-record/WOS:000214851500009" xr:uid="{8F905D8B-3FCE-4EC7-A100-3CCCCEEFE8A8}"/>
    <hyperlink ref="B231" r:id="rId225" display="https://www.webofscience.com/wos/woscc/full-record/WOS:000663077200006" xr:uid="{FA17B193-D4CD-467C-BE6C-2462EFB8B9A6}"/>
    <hyperlink ref="B232" r:id="rId226" display="https://www.webofscience.com/wos/woscc/full-record/WOS:000504663900008" xr:uid="{5E107BA0-A6EF-4F8C-864B-0C8ACF99E5C7}"/>
    <hyperlink ref="B233" r:id="rId227" display="https://www.webofscience.com/wos/woscc/full-record/WOS:000214846800008" xr:uid="{42155D03-AD9B-49DF-86DB-9F76953748AD}"/>
    <hyperlink ref="B234" r:id="rId228" display="https://www.webofscience.com/wos/woscc/full-record/WOS:000701780400006" xr:uid="{05F459E1-C928-4A7B-B990-3749350D6DD0}"/>
    <hyperlink ref="B235" r:id="rId229" display="https://www.webofscience.com/wos/woscc/full-record/WOS:000618344300001" xr:uid="{00A9FAF8-686E-46BA-8E3C-E0BE59A0E2E4}"/>
    <hyperlink ref="B236" r:id="rId230" display="https://www.webofscience.com/wos/woscc/full-record/WOS:000425850100001" xr:uid="{5C8A705D-0AD5-4DA7-9F98-0C71A776D752}"/>
    <hyperlink ref="B237" r:id="rId231" display="https://www.webofscience.com/wos/woscc/full-record/WOS:000797065200001" xr:uid="{B5FEFCE4-5B71-4926-8AEA-D3298C5E2FF4}"/>
    <hyperlink ref="B238" r:id="rId232" display="https://www.webofscience.com/wos/woscc/full-record/WOS:000663077200012" xr:uid="{CA304D7B-1B84-4AEC-A63C-4B1C8CA1C077}"/>
    <hyperlink ref="B239" r:id="rId233" display="https://www.webofscience.com/wos/woscc/full-record/WOS:000467418800003" xr:uid="{812CFEEE-3828-4B90-BA2D-0FCF11A1C549}"/>
    <hyperlink ref="B240" r:id="rId234" display="https://www.webofscience.com/wos/woscc/full-record/WOS:000458213700004" xr:uid="{DEEA43E1-046C-429C-8C8C-0CCFE1DA1123}"/>
    <hyperlink ref="B241" r:id="rId235" display="https://www.webofscience.com/wos/woscc/full-record/WOS:000711331600001" xr:uid="{5BE69B44-EA5A-4ABF-AACD-D6E32C9C6665}"/>
    <hyperlink ref="B242" r:id="rId236" display="https://www.webofscience.com/wos/woscc/full-record/WOS:000214846800005" xr:uid="{A0052EE4-17D9-44D9-9DCD-6A95785AEEC0}"/>
    <hyperlink ref="B243" r:id="rId237" display="https://www.webofscience.com/wos/woscc/full-record/WOS:000214855100015" xr:uid="{39198D53-CE6F-4F4C-8EF7-FA88BFEFD8B1}"/>
    <hyperlink ref="B244" r:id="rId238" display="https://www.webofscience.com/wos/woscc/full-record/WOS:000868483700002" xr:uid="{B9206255-4E79-4840-866C-190F92938F07}"/>
    <hyperlink ref="B245" r:id="rId239" display="https://www.webofscience.com/wos/woscc/full-record/WOS:000214848100002" xr:uid="{B31D482F-2524-49C3-B0FB-3CFE0FC22308}"/>
    <hyperlink ref="B246" r:id="rId240" display="https://www.webofscience.com/wos/woscc/full-record/WOS:000214846800009" xr:uid="{A5A8465A-1047-4A6A-96D3-EB52CC10D514}"/>
    <hyperlink ref="B247" r:id="rId241" display="https://www.webofscience.com/wos/woscc/full-record/WOS:000531087700005" xr:uid="{C59EB9E6-9A6F-4C31-A5B0-37F0F19F7089}"/>
    <hyperlink ref="B248" r:id="rId242" display="https://www.webofscience.com/wos/woscc/full-record/WOS:000504663900003" xr:uid="{7A9EE6A4-8044-4696-B8B8-70CB28553C30}"/>
    <hyperlink ref="B249" r:id="rId243" display="https://www.webofscience.com/wos/woscc/full-record/WOS:000467418800009" xr:uid="{3CFBBD7C-2109-4384-A7B8-AC1F49F49D9A}"/>
    <hyperlink ref="B250" r:id="rId244" display="https://www.webofscience.com/wos/woscc/full-record/WOS:000467418800008" xr:uid="{3DA68858-8E72-44ED-B935-95C2D14BEB6F}"/>
    <hyperlink ref="B251" r:id="rId245" display="https://www.webofscience.com/wos/woscc/full-record/WOS:000701780400005" xr:uid="{D96E1DB5-F821-462F-AF84-CF6698D3E6FC}"/>
    <hyperlink ref="B252" r:id="rId246" display="https://www.webofscience.com/wos/woscc/full-record/WOS:000531087700012" xr:uid="{61395FC6-1D5A-4F00-93B5-C5DEB7D06206}"/>
    <hyperlink ref="B253" r:id="rId247" display="https://www.webofscience.com/wos/woscc/full-record/WOS:000440594100003" xr:uid="{7DF9EB15-BAFB-47B2-88FB-3A7C3F394A49}"/>
    <hyperlink ref="B254" r:id="rId248" display="https://www.webofscience.com/wos/woscc/full-record/WOS:000418497800001" xr:uid="{71C728EF-2CFD-4985-953B-E5BC2D3D2B0E}"/>
    <hyperlink ref="B255" r:id="rId249" display="https://www.webofscience.com/wos/woscc/full-record/WOS:000375845200004" xr:uid="{070380F8-ABFB-4CDF-8FDA-A3F737C3121E}"/>
    <hyperlink ref="B256" r:id="rId250" display="https://www.webofscience.com/wos/woscc/full-record/WOS:000425850100005" xr:uid="{73ADF8EB-89C5-4590-9AB3-CEB1B0AADB18}"/>
    <hyperlink ref="B257" r:id="rId251" display="https://www.webofscience.com/wos/woscc/full-record/WOS:000214846800003" xr:uid="{73C948F6-41B1-4A88-B29D-E025AFBFCB66}"/>
    <hyperlink ref="B258" r:id="rId252" display="https://www.webofscience.com/wos/woscc/full-record/WOS:000797065200004" xr:uid="{2EE4D980-EC5E-42F0-9F72-2F4C043DFF61}"/>
    <hyperlink ref="B259" r:id="rId253" display="https://www.webofscience.com/wos/woscc/full-record/WOS:000618344300006" xr:uid="{D5F6E012-EE99-4102-AF8D-BDE9A920FF34}"/>
    <hyperlink ref="B260" r:id="rId254" display="https://www.webofscience.com/wos/woscc/full-record/WOS:000663077200010" xr:uid="{02F1B97F-FDC8-4871-91A1-28D63100F4F1}"/>
    <hyperlink ref="B261" r:id="rId255" display="https://www.webofscience.com/wos/woscc/full-record/WOS:000454250900010" xr:uid="{1D09BC93-F2ED-455F-B32A-4EFA5D7FDFF6}"/>
    <hyperlink ref="B262" r:id="rId256" display="https://www.webofscience.com/wos/woscc/full-record/WOS:000214842800004" xr:uid="{FB8B4A06-E043-4FAC-91BA-9CE780F63CD8}"/>
    <hyperlink ref="B263" r:id="rId257" display="https://www.webofscience.com/wos/woscc/full-record/WOS:000803811400004" xr:uid="{2A457850-14E9-4B00-8915-3BC2D01C4902}"/>
    <hyperlink ref="B264" r:id="rId258" display="https://www.webofscience.com/wos/woscc/full-record/WOS:000730986900002" xr:uid="{2488EC28-C740-420B-9584-07E38341BCBB}"/>
    <hyperlink ref="B265" r:id="rId259" display="https://www.webofscience.com/wos/woscc/full-record/WOS:000425850100004" xr:uid="{6072F65F-E784-489A-9DDB-8F1E160B8599}"/>
    <hyperlink ref="B266" r:id="rId260" display="https://www.webofscience.com/wos/woscc/full-record/WOS:000868483700001" xr:uid="{366A4323-2FF1-419F-B3AB-091EBD9B7ECF}"/>
    <hyperlink ref="B267" r:id="rId261" display="https://www.webofscience.com/wos/woscc/full-record/WOS:000711331600002" xr:uid="{F6FF7982-BC4C-4485-9BDE-D0D7357AB6DB}"/>
    <hyperlink ref="B268" r:id="rId262" display="https://www.webofscience.com/wos/woscc/full-record/WOS:000371269200006" xr:uid="{4173995B-8E38-4896-B528-87AF58D73FCD}"/>
    <hyperlink ref="B269" r:id="rId263" display="https://www.webofscience.com/wos/woscc/full-record/WOS:000663077200017" xr:uid="{86D8EA88-7870-4B35-86A4-07CBE36226CD}"/>
    <hyperlink ref="B270" r:id="rId264" display="https://www.webofscience.com/wos/woscc/full-record/WOS:000405728700007" xr:uid="{01AD67C7-2A11-47FB-AF01-2AF9C02F2548}"/>
    <hyperlink ref="B183" r:id="rId265" display="https://www.webofscience.com/wos/woscc/full-record/WOS:000878517700005" xr:uid="{B00FC229-FB6F-4041-9BE1-75E658FFDF5F}"/>
    <hyperlink ref="B212" r:id="rId266" display="https://www.webofscience.com/wos/woscc/full-record/WOS:000386869900001" xr:uid="{1C641456-2E14-4BA6-860D-A965D9708B14}"/>
    <hyperlink ref="B228" r:id="rId267" display="https://www.webofscience.com/wos/woscc/full-record/WOS:000397389000003" xr:uid="{5385629E-0C30-4149-AA9F-65D927309E8F}"/>
    <hyperlink ref="B271" r:id="rId268" display="https://www.webofscience.com/wos/alldb/full-record/WOS:000424171100003" xr:uid="{EEA721F7-FF99-4823-875A-515CB6856996}"/>
    <hyperlink ref="B272" r:id="rId269" display="https://www.webofscience.com/wos/alldb/full-record/WOS:000441494100032" xr:uid="{766D8C49-775D-4AD8-9FEA-1DAEC42DCC86}"/>
    <hyperlink ref="B273" r:id="rId270" display="https://www.webofscience.com/wos/alldb/full-record/WOS:000430038000005" xr:uid="{E1A4FF57-F28B-48D1-9C70-857CE20389CE}"/>
    <hyperlink ref="B274" r:id="rId271" display="https://www.webofscience.com/wos/alldb/full-record/WOS:000498327800003" xr:uid="{B02AB0D2-EF75-4132-BCB5-648D7044ECC1}"/>
    <hyperlink ref="B275" r:id="rId272" display="https://www.webofscience.com/wos/alldb/full-record/WOS:000472587800009" xr:uid="{A634266A-DBF1-4E4C-BEB1-9E04D54B8770}"/>
    <hyperlink ref="B276" r:id="rId273" display="https://www.webofscience.com/wos/alldb/full-record/WOS:000372686600008" xr:uid="{FFEA6DC4-B49F-4587-B495-B4630852646B}"/>
    <hyperlink ref="B277" r:id="rId274" display="https://www.webofscience.com/wos/alldb/full-record/WOS:000363818800007" xr:uid="{0F5E4B7F-A70F-4EFB-BBBB-9C06CFD2406E}"/>
    <hyperlink ref="B278" r:id="rId275" display="https://www.webofscience.com/wos/alldb/full-record/WOS:000436050800006" xr:uid="{F5C8E940-2E56-4F64-960B-C04CB300D328}"/>
    <hyperlink ref="B279" r:id="rId276" display="https://www.webofscience.com/wos/alldb/full-record/WOS:000317369900033" xr:uid="{513C10E2-CD6C-4D35-97CF-685415CFA8CF}"/>
    <hyperlink ref="B280" r:id="rId277" display="https://www.webofscience.com/wos/alldb/full-record/WOS:000901496100012" xr:uid="{0F809563-9C84-488F-BF5E-921B3B633297}"/>
    <hyperlink ref="B281" r:id="rId278" display="https://www.webofscience.com/wos/alldb/full-record/WOS:000805446000002" xr:uid="{E93050DE-DC5F-434E-BAAD-D391D4889BBB}"/>
    <hyperlink ref="B282" r:id="rId279" display="https://www.webofscience.com/wos/alldb/full-record/WOS:000793255300008" xr:uid="{1180C978-B21B-4D22-BAB6-4720D635A8AD}"/>
    <hyperlink ref="B283" r:id="rId280" display="https://www.webofscience.com/wos/alldb/full-record/WOS:000684549200006" xr:uid="{82616576-0315-43DE-BCD3-157BBC6890A9}"/>
    <hyperlink ref="B284" r:id="rId281" display="https://www.webofscience.com/wos/alldb/full-record/WOS:000515130200003" xr:uid="{4044166C-421C-4A0C-BBD3-70D8F3667C86}"/>
    <hyperlink ref="B285" r:id="rId282" display="https://www.webofscience.com/wos/alldb/full-record/WOS:000505184000018" xr:uid="{7ED62684-DB08-4738-BA61-14BFF524CE2C}"/>
    <hyperlink ref="B286" r:id="rId283" display="https://www.webofscience.com/wos/alldb/full-record/WOS:000441494100021" xr:uid="{2BA88D0F-6715-49D2-8FA8-70660E9FD4A4}"/>
    <hyperlink ref="B287" r:id="rId284" display="https://www.webofscience.com/wos/alldb/full-record/WOS:000366225800017" xr:uid="{504DAE06-8337-492E-BA13-9497791337EF}"/>
    <hyperlink ref="B288" r:id="rId285" display="https://www.webofscience.com/wos/alldb/full-record/WOS:000343844000014" xr:uid="{9E318570-71A1-46DE-A65F-ECC6DFEFD68E}"/>
    <hyperlink ref="B289" r:id="rId286" display="https://www.webofscience.com/wos/alldb/full-record/WOS:000862751700004" xr:uid="{98FC0CDD-7020-4809-9C53-E50B350DB3BD}"/>
    <hyperlink ref="B290" r:id="rId287" display="https://www.webofscience.com/wos/alldb/full-record/WOS:000389389300008" xr:uid="{21B52FEC-7030-4B95-9BF8-BF22F4E88A77}"/>
    <hyperlink ref="B291" r:id="rId288" display="https://www.webofscience.com/wos/alldb/full-record/WOS:000430038000001" xr:uid="{5325B3AC-B7E3-46C0-B3D0-BCF6E32076C9}"/>
    <hyperlink ref="B292" r:id="rId289" display="https://www.webofscience.com/wos/alldb/full-record/WOS:000684549200005" xr:uid="{E9C2F097-7F7B-4531-B17E-CBB820A00BB8}"/>
    <hyperlink ref="B293" r:id="rId290" display="https://www.webofscience.com/wos/alldb/full-record/WOS:000392038300005" xr:uid="{1C0E5C35-C608-4FA0-94CB-5C363D2ED276}"/>
    <hyperlink ref="B294" r:id="rId291" display="https://www.webofscience.com/wos/alldb/full-record/WOS:000335618000013" xr:uid="{E7938D75-4B0B-4D66-B9F6-CDAC76BD30CD}"/>
    <hyperlink ref="B295" r:id="rId292" display="https://www.webofscience.com/wos/alldb/full-record/WOS:000515130200004" xr:uid="{3997B95C-104E-4B3C-996C-C12E87CD49F9}"/>
    <hyperlink ref="B296" r:id="rId293" display="https://www.webofscience.com/wos/alldb/full-record/WOS:000341675100007" xr:uid="{FA1CB939-3D5B-4B0D-ADDA-4755DC2C4EC1}"/>
    <hyperlink ref="B297" r:id="rId294" display="https://www.webofscience.com/wos/alldb/full-record/WOS:000445311100007" xr:uid="{49DA087B-CEA9-4D31-B3EF-C07C45E28FE8}"/>
    <hyperlink ref="B298" r:id="rId295" display="https://www.webofscience.com/wos/alldb/full-record/WOS:000402213300012" xr:uid="{DEB2E68D-ACDB-465F-8E65-DFD270D29930}"/>
    <hyperlink ref="B299" r:id="rId296" display="https://www.webofscience.com/wos/alldb/full-record/WOS:000448635800020" xr:uid="{1F525283-C324-44CF-8393-BFDCCA8D75D8}"/>
    <hyperlink ref="B300" r:id="rId297" display="https://www.webofscience.com/wos/alldb/full-record/WOS:000350186400006" xr:uid="{06EEBEB6-5A5B-4A95-8407-A19C0DD4F484}"/>
    <hyperlink ref="B301" r:id="rId298" display="https://www.webofscience.com/wos/alldb/full-record/WOS:000515130200008" xr:uid="{AD844C8B-954A-49C9-B272-D478A23C51AE}"/>
    <hyperlink ref="B302" r:id="rId299" display="https://www.webofscience.com/wos/alldb/full-record/WOS:000406728400003" xr:uid="{8D3472AD-20A5-476C-940C-638996F110A0}"/>
    <hyperlink ref="B303" r:id="rId300" display="https://www.webofscience.com/wos/alldb/full-record/WOS:000335618000008" xr:uid="{D3F66D23-3C63-4539-B0DD-2002EFE3781E}"/>
    <hyperlink ref="B304" r:id="rId301" display="https://www.webofscience.com/wos/alldb/full-record/WOS:000535686800003" xr:uid="{BAEFEB97-930C-4793-A5C7-486A0F2D4D14}"/>
    <hyperlink ref="B305" r:id="rId302" display="https://www.webofscience.com/wos/alldb/full-record/WOS:000498327800018" xr:uid="{CD49D8A8-4360-41DE-86E6-2C71737B92CB}"/>
    <hyperlink ref="B306" r:id="rId303" display="https://www.webofscience.com/wos/alldb/full-record/WOS:000465152600001" xr:uid="{30E078B6-1C22-445C-9148-028B2AA10076}"/>
    <hyperlink ref="B307" r:id="rId304" display="https://www.webofscience.com/wos/alldb/full-record/WOS:000412785900012" xr:uid="{C63B8462-92BB-4B29-9ACF-B98B0C40C942}"/>
    <hyperlink ref="B308" r:id="rId305" display="https://www.webofscience.com/wos/alldb/full-record/WOS:000600750200004" xr:uid="{D1214A2C-59C8-4A42-AF83-B166E6E372E5}"/>
    <hyperlink ref="B309" r:id="rId306" display="https://www.webofscience.com/wos/alldb/full-record/WOS:000487568200007" xr:uid="{42A4EC50-B2B7-433D-859D-B94523722390}"/>
    <hyperlink ref="B310" r:id="rId307" display="https://www.webofscience.com/wos/alldb/full-record/WOS:000465152600002" xr:uid="{05A434F1-65F4-47B2-8BA9-E200E4BFF18B}"/>
  </hyperlinks>
  <pageMargins left="0.7" right="0.7" top="0.75" bottom="0.75" header="0.3" footer="0.3"/>
  <pageSetup paperSize="9" orientation="portrait" r:id="rId308"/>
  <extLst>
    <ext xmlns:x14="http://schemas.microsoft.com/office/spreadsheetml/2009/9/main" uri="{CCE6A557-97BC-4b89-ADB6-D9C93CAAB3DF}">
      <x14:dataValidations xmlns:xm="http://schemas.microsoft.com/office/excel/2006/main" count="1">
        <x14:dataValidation type="list" allowBlank="1" showInputMessage="1" showErrorMessage="1" xr:uid="{E6EAE3F2-B807-4F8B-8136-F5B4AE48D380}">
          <x14:formula1>
            <xm:f>Apoyo!$A$1:$A$3</xm:f>
          </x14:formula1>
          <xm:sqref>D3:D310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78DA-9E91-4482-8CB9-CCAA5F77F463}">
  <sheetPr>
    <pageSetUpPr fitToPage="1"/>
  </sheetPr>
  <dimension ref="A1:AW108"/>
  <sheetViews>
    <sheetView tabSelected="1" workbookViewId="0"/>
  </sheetViews>
  <sheetFormatPr baseColWidth="10" defaultRowHeight="15" x14ac:dyDescent="0.25"/>
  <cols>
    <col min="1" max="1" width="6.28515625" style="7" customWidth="1"/>
    <col min="2" max="2" width="33.7109375" customWidth="1"/>
    <col min="3" max="3" width="4.28515625" customWidth="1"/>
    <col min="4" max="4" width="4.5703125" customWidth="1"/>
    <col min="5" max="5" width="27.5703125" customWidth="1"/>
    <col min="6" max="6" width="25.85546875" customWidth="1"/>
    <col min="7" max="7" width="5.5703125" customWidth="1"/>
    <col min="8" max="8" width="8" customWidth="1"/>
    <col min="9" max="9" width="3.7109375" customWidth="1"/>
    <col min="10" max="10" width="6.42578125" customWidth="1"/>
    <col min="11" max="11" width="6.28515625" customWidth="1"/>
    <col min="12" max="12" width="6.5703125" customWidth="1"/>
    <col min="13" max="13" width="3.5703125" customWidth="1"/>
    <col min="14" max="14" width="3.85546875" customWidth="1"/>
    <col min="15" max="15" width="3.7109375" customWidth="1"/>
    <col min="16" max="16" width="3.42578125" customWidth="1"/>
    <col min="17" max="17" width="3.5703125" customWidth="1"/>
    <col min="18" max="18" width="3.85546875" customWidth="1"/>
    <col min="19" max="19" width="6" customWidth="1"/>
    <col min="20" max="20" width="4.140625" customWidth="1"/>
    <col min="21" max="21" width="17" customWidth="1"/>
    <col min="22" max="22" width="5.28515625" customWidth="1"/>
    <col min="23" max="23" width="4.7109375" customWidth="1"/>
    <col min="24" max="24" width="4.85546875" customWidth="1"/>
    <col min="25" max="38" width="11.42578125" customWidth="1"/>
    <col min="39" max="39" width="15.42578125" customWidth="1"/>
    <col min="40" max="40" width="48.85546875" customWidth="1"/>
    <col min="41" max="41" width="5.5703125" customWidth="1"/>
    <col min="42" max="42" width="7.5703125" customWidth="1"/>
    <col min="43" max="43" width="14.28515625" customWidth="1"/>
    <col min="44" max="44" width="21.42578125" customWidth="1"/>
    <col min="45" max="45" width="17" customWidth="1"/>
    <col min="46" max="46" width="13.42578125" customWidth="1"/>
    <col min="47" max="47" width="15.140625" customWidth="1"/>
    <col min="48" max="48" width="12.7109375" customWidth="1"/>
    <col min="49" max="49" width="11.42578125" customWidth="1"/>
  </cols>
  <sheetData>
    <row r="1" spans="1:49" ht="19.5" customHeight="1" x14ac:dyDescent="0.25">
      <c r="A1" s="82"/>
      <c r="B1" s="81"/>
      <c r="C1" s="83"/>
      <c r="D1" s="84"/>
      <c r="E1" s="84"/>
      <c r="F1" s="81"/>
      <c r="G1" s="83"/>
      <c r="H1" s="84"/>
      <c r="I1" s="122" t="s">
        <v>220</v>
      </c>
      <c r="J1" s="112"/>
      <c r="K1" s="112"/>
      <c r="L1" s="112"/>
      <c r="M1" s="112"/>
      <c r="N1" s="112"/>
      <c r="O1" s="112"/>
      <c r="P1" s="112"/>
      <c r="Q1" s="112"/>
      <c r="R1" s="112"/>
      <c r="S1" s="112"/>
      <c r="T1" s="112"/>
      <c r="U1" s="84"/>
      <c r="V1" s="83" t="s">
        <v>342</v>
      </c>
      <c r="W1" s="83" t="s">
        <v>343</v>
      </c>
      <c r="X1" s="88" t="s">
        <v>1198</v>
      </c>
      <c r="Y1" s="112" t="s">
        <v>1197</v>
      </c>
      <c r="Z1" s="112"/>
      <c r="AA1" s="112"/>
      <c r="AB1" s="112"/>
      <c r="AC1" s="112"/>
      <c r="AD1" s="112"/>
      <c r="AE1" s="112"/>
      <c r="AF1" s="112"/>
      <c r="AG1" s="112"/>
      <c r="AH1" s="112"/>
      <c r="AI1" s="112"/>
      <c r="AJ1" s="112"/>
      <c r="AK1" s="81"/>
      <c r="AL1" s="83"/>
      <c r="AM1" s="83"/>
      <c r="AN1" s="83"/>
      <c r="AO1" s="83"/>
      <c r="AP1" s="112" t="s">
        <v>1171</v>
      </c>
      <c r="AQ1" s="112"/>
      <c r="AR1" s="112"/>
      <c r="AS1" s="112"/>
      <c r="AT1" s="112"/>
      <c r="AU1" s="112"/>
      <c r="AV1" s="89"/>
      <c r="AW1" s="89"/>
    </row>
    <row r="2" spans="1:49" ht="115.5" customHeight="1" x14ac:dyDescent="0.25">
      <c r="A2" s="68" t="s">
        <v>216</v>
      </c>
      <c r="B2" s="68" t="s">
        <v>0</v>
      </c>
      <c r="C2" s="69" t="s">
        <v>1203</v>
      </c>
      <c r="D2" s="69" t="s">
        <v>205</v>
      </c>
      <c r="E2" s="68" t="s">
        <v>202</v>
      </c>
      <c r="F2" s="68" t="s">
        <v>203</v>
      </c>
      <c r="G2" s="69" t="s">
        <v>335</v>
      </c>
      <c r="H2" s="90" t="s">
        <v>1008</v>
      </c>
      <c r="I2" s="70" t="s">
        <v>219</v>
      </c>
      <c r="J2" s="70" t="s">
        <v>283</v>
      </c>
      <c r="K2" s="70" t="s">
        <v>889</v>
      </c>
      <c r="L2" s="70" t="s">
        <v>1003</v>
      </c>
      <c r="M2" s="53" t="s">
        <v>224</v>
      </c>
      <c r="N2" s="53" t="s">
        <v>232</v>
      </c>
      <c r="O2" s="53" t="s">
        <v>233</v>
      </c>
      <c r="P2" s="53" t="s">
        <v>234</v>
      </c>
      <c r="Q2" s="53" t="s">
        <v>258</v>
      </c>
      <c r="R2" s="53" t="s">
        <v>257</v>
      </c>
      <c r="S2" s="70" t="s">
        <v>244</v>
      </c>
      <c r="T2" s="53" t="s">
        <v>235</v>
      </c>
      <c r="U2" s="62" t="s">
        <v>221</v>
      </c>
      <c r="V2" s="69" t="s">
        <v>342</v>
      </c>
      <c r="W2" s="85" t="s">
        <v>343</v>
      </c>
      <c r="X2" s="85" t="s">
        <v>344</v>
      </c>
      <c r="Y2" s="70" t="s">
        <v>1019</v>
      </c>
      <c r="Z2" s="70" t="s">
        <v>1020</v>
      </c>
      <c r="AA2" s="70" t="s">
        <v>1021</v>
      </c>
      <c r="AB2" s="70" t="s">
        <v>1056</v>
      </c>
      <c r="AC2" s="70" t="s">
        <v>1029</v>
      </c>
      <c r="AD2" s="70" t="s">
        <v>1025</v>
      </c>
      <c r="AE2" s="70" t="s">
        <v>1055</v>
      </c>
      <c r="AF2" s="70" t="s">
        <v>1057</v>
      </c>
      <c r="AG2" s="70" t="s">
        <v>1036</v>
      </c>
      <c r="AH2" s="70" t="s">
        <v>1054</v>
      </c>
      <c r="AI2" s="70" t="s">
        <v>1023</v>
      </c>
      <c r="AJ2" s="70" t="s">
        <v>1053</v>
      </c>
      <c r="AK2" s="91" t="s">
        <v>350</v>
      </c>
      <c r="AL2" s="69" t="s">
        <v>1201</v>
      </c>
      <c r="AM2" s="69" t="s">
        <v>353</v>
      </c>
      <c r="AN2" s="69" t="s">
        <v>904</v>
      </c>
      <c r="AO2" s="69" t="s">
        <v>1004</v>
      </c>
      <c r="AP2" s="54" t="s">
        <v>1121</v>
      </c>
      <c r="AQ2" s="54" t="s">
        <v>1202</v>
      </c>
      <c r="AR2" s="54" t="s">
        <v>1172</v>
      </c>
      <c r="AS2" s="54" t="s">
        <v>1173</v>
      </c>
      <c r="AT2" s="54" t="s">
        <v>1123</v>
      </c>
      <c r="AU2" s="54" t="s">
        <v>1124</v>
      </c>
      <c r="AV2" s="69" t="s">
        <v>230</v>
      </c>
      <c r="AW2" s="69" t="s">
        <v>1196</v>
      </c>
    </row>
    <row r="3" spans="1:49" ht="80.099999999999994" customHeight="1" x14ac:dyDescent="0.25">
      <c r="A3" s="92">
        <v>1</v>
      </c>
      <c r="B3" s="94" t="s">
        <v>368</v>
      </c>
      <c r="C3" s="76">
        <v>2020</v>
      </c>
      <c r="D3" s="77" t="s">
        <v>204</v>
      </c>
      <c r="E3" s="97" t="s">
        <v>700</v>
      </c>
      <c r="F3" s="97" t="s">
        <v>699</v>
      </c>
      <c r="G3" s="78" t="s">
        <v>698</v>
      </c>
      <c r="H3" s="78" t="s">
        <v>698</v>
      </c>
      <c r="I3" s="96"/>
      <c r="J3" s="96"/>
      <c r="K3" s="96" t="s">
        <v>226</v>
      </c>
      <c r="L3" s="96" t="s">
        <v>226</v>
      </c>
      <c r="M3" s="96" t="s">
        <v>226</v>
      </c>
      <c r="N3" s="96"/>
      <c r="O3" s="96"/>
      <c r="P3" s="96" t="s">
        <v>226</v>
      </c>
      <c r="Q3" s="96"/>
      <c r="R3" s="96"/>
      <c r="S3" s="96"/>
      <c r="T3" s="96"/>
      <c r="U3" s="78" t="s">
        <v>698</v>
      </c>
      <c r="V3" s="78"/>
      <c r="W3" s="78"/>
      <c r="X3" s="78"/>
      <c r="Y3" s="99" t="s">
        <v>1024</v>
      </c>
      <c r="Z3" s="99">
        <v>33</v>
      </c>
      <c r="AA3" s="99"/>
      <c r="AB3" s="99"/>
      <c r="AC3" s="99"/>
      <c r="AD3" s="99"/>
      <c r="AE3" s="99"/>
      <c r="AF3" s="99"/>
      <c r="AG3" s="99"/>
      <c r="AH3" s="99"/>
      <c r="AI3" s="99"/>
      <c r="AJ3" s="99"/>
      <c r="AK3" s="77">
        <v>12.7</v>
      </c>
      <c r="AL3" s="77">
        <v>0.85</v>
      </c>
      <c r="AM3" s="79" t="s">
        <v>365</v>
      </c>
      <c r="AN3" s="80" t="s">
        <v>905</v>
      </c>
      <c r="AO3" s="77" t="str">
        <f t="shared" ref="AO3:AO13" si="0">_xlfn.CONCAT("[",A3+36,"]")</f>
        <v>[37]</v>
      </c>
      <c r="AP3" s="87" t="s">
        <v>1174</v>
      </c>
      <c r="AQ3" s="87">
        <v>4.1429999999999998</v>
      </c>
      <c r="AR3" s="87">
        <v>1</v>
      </c>
      <c r="AS3" s="87"/>
      <c r="AT3" s="87"/>
      <c r="AU3" s="87" t="s">
        <v>226</v>
      </c>
      <c r="AV3" s="38"/>
      <c r="AW3" s="38"/>
    </row>
    <row r="4" spans="1:49" ht="80.099999999999994" customHeight="1" x14ac:dyDescent="0.25">
      <c r="A4" s="93">
        <v>2</v>
      </c>
      <c r="B4" s="95" t="s">
        <v>375</v>
      </c>
      <c r="C4" s="36">
        <v>2019</v>
      </c>
      <c r="D4" s="13" t="s">
        <v>204</v>
      </c>
      <c r="E4" s="98" t="s">
        <v>703</v>
      </c>
      <c r="F4" s="98" t="s">
        <v>705</v>
      </c>
      <c r="G4" s="22">
        <v>1</v>
      </c>
      <c r="H4" s="22">
        <v>2</v>
      </c>
      <c r="I4" s="86"/>
      <c r="J4" s="86"/>
      <c r="K4" s="86" t="s">
        <v>226</v>
      </c>
      <c r="L4" s="86" t="s">
        <v>226</v>
      </c>
      <c r="M4" s="86"/>
      <c r="N4" s="86"/>
      <c r="O4" s="86"/>
      <c r="P4" s="86"/>
      <c r="Q4" s="86"/>
      <c r="R4" s="86" t="s">
        <v>226</v>
      </c>
      <c r="S4" s="86"/>
      <c r="T4" s="86"/>
      <c r="U4" s="37" t="s">
        <v>704</v>
      </c>
      <c r="V4" s="22"/>
      <c r="W4" s="22" t="s">
        <v>226</v>
      </c>
      <c r="X4" s="22" t="s">
        <v>226</v>
      </c>
      <c r="Y4" s="87" t="s">
        <v>1022</v>
      </c>
      <c r="Z4" s="87">
        <v>140</v>
      </c>
      <c r="AA4" s="87"/>
      <c r="AB4" s="87" t="str">
        <f t="shared" ref="AB4:AB13" si="1">IF(AA4&lt;&gt;"", (Z4-AC4)/(AA4-COUNT(AC4)),"")</f>
        <v/>
      </c>
      <c r="AC4" s="87"/>
      <c r="AD4" s="87"/>
      <c r="AE4" s="87">
        <v>1</v>
      </c>
      <c r="AF4" s="87"/>
      <c r="AG4" s="87">
        <v>35</v>
      </c>
      <c r="AH4" s="87">
        <v>90</v>
      </c>
      <c r="AI4" s="87">
        <v>1</v>
      </c>
      <c r="AJ4" s="87">
        <v>30</v>
      </c>
      <c r="AK4" s="13">
        <v>22.8</v>
      </c>
      <c r="AL4" s="13">
        <v>0.85</v>
      </c>
      <c r="AM4" s="38" t="s">
        <v>365</v>
      </c>
      <c r="AN4" s="39" t="s">
        <v>906</v>
      </c>
      <c r="AO4" s="13" t="str">
        <f t="shared" si="0"/>
        <v>[38]</v>
      </c>
      <c r="AP4" s="87" t="s">
        <v>1174</v>
      </c>
      <c r="AQ4" s="87">
        <v>3.5259999999999998</v>
      </c>
      <c r="AR4" s="87">
        <v>2</v>
      </c>
      <c r="AS4" s="87"/>
      <c r="AT4" s="87"/>
      <c r="AU4" s="87" t="s">
        <v>226</v>
      </c>
      <c r="AV4" s="38"/>
      <c r="AW4" s="38"/>
    </row>
    <row r="5" spans="1:49" ht="80.099999999999994" customHeight="1" x14ac:dyDescent="0.25">
      <c r="A5" s="93">
        <v>3</v>
      </c>
      <c r="B5" s="95" t="s">
        <v>378</v>
      </c>
      <c r="C5" s="36">
        <v>2019</v>
      </c>
      <c r="D5" s="13" t="s">
        <v>204</v>
      </c>
      <c r="E5" s="98" t="s">
        <v>706</v>
      </c>
      <c r="F5" s="98" t="s">
        <v>708</v>
      </c>
      <c r="G5" s="22">
        <v>1</v>
      </c>
      <c r="H5" s="22">
        <v>1</v>
      </c>
      <c r="I5" s="86"/>
      <c r="J5" s="86"/>
      <c r="K5" s="86" t="s">
        <v>226</v>
      </c>
      <c r="L5" s="86" t="s">
        <v>226</v>
      </c>
      <c r="M5" s="86"/>
      <c r="N5" s="86"/>
      <c r="O5" s="86"/>
      <c r="P5" s="86" t="s">
        <v>226</v>
      </c>
      <c r="Q5" s="86"/>
      <c r="R5" s="86"/>
      <c r="S5" s="86"/>
      <c r="T5" s="86"/>
      <c r="U5" s="37" t="s">
        <v>707</v>
      </c>
      <c r="V5" s="22"/>
      <c r="W5" s="22" t="s">
        <v>226</v>
      </c>
      <c r="X5" s="22" t="s">
        <v>226</v>
      </c>
      <c r="Y5" s="87" t="s">
        <v>1024</v>
      </c>
      <c r="Z5" s="87">
        <v>473</v>
      </c>
      <c r="AA5" s="87">
        <v>26</v>
      </c>
      <c r="AB5" s="87">
        <f t="shared" si="1"/>
        <v>18.192307692307693</v>
      </c>
      <c r="AC5" s="87"/>
      <c r="AD5" s="87" t="s">
        <v>1026</v>
      </c>
      <c r="AE5" s="87">
        <v>1</v>
      </c>
      <c r="AF5" s="87"/>
      <c r="AG5" s="87">
        <v>1</v>
      </c>
      <c r="AH5" s="87"/>
      <c r="AI5" s="87">
        <f t="shared" ref="AI5:AI13" si="2">IF(AG5&lt;&gt;"",AG5,"")</f>
        <v>1</v>
      </c>
      <c r="AJ5" s="87"/>
      <c r="AK5" s="13">
        <v>11.4</v>
      </c>
      <c r="AL5" s="13">
        <v>0.85</v>
      </c>
      <c r="AM5" s="38" t="s">
        <v>365</v>
      </c>
      <c r="AN5" s="39" t="s">
        <v>907</v>
      </c>
      <c r="AO5" s="13" t="str">
        <f t="shared" si="0"/>
        <v>[39]</v>
      </c>
      <c r="AP5" s="87" t="s">
        <v>1174</v>
      </c>
      <c r="AQ5" s="87">
        <v>3.5259999999999998</v>
      </c>
      <c r="AR5" s="87">
        <v>2</v>
      </c>
      <c r="AS5" s="87"/>
      <c r="AT5" s="87"/>
      <c r="AU5" s="87" t="s">
        <v>226</v>
      </c>
      <c r="AV5" s="38"/>
      <c r="AW5" s="38"/>
    </row>
    <row r="6" spans="1:49" ht="80.099999999999994" customHeight="1" x14ac:dyDescent="0.25">
      <c r="A6" s="93">
        <v>4</v>
      </c>
      <c r="B6" s="95" t="s">
        <v>1081</v>
      </c>
      <c r="C6" s="36">
        <v>2019</v>
      </c>
      <c r="D6" s="13" t="s">
        <v>204</v>
      </c>
      <c r="E6" s="98" t="s">
        <v>709</v>
      </c>
      <c r="F6" s="98" t="s">
        <v>1009</v>
      </c>
      <c r="G6" s="22">
        <v>1</v>
      </c>
      <c r="H6" s="22">
        <v>2</v>
      </c>
      <c r="I6" s="86"/>
      <c r="J6" s="86"/>
      <c r="K6" s="86" t="s">
        <v>226</v>
      </c>
      <c r="L6" s="86" t="s">
        <v>226</v>
      </c>
      <c r="M6" s="86"/>
      <c r="N6" s="86"/>
      <c r="O6" s="86"/>
      <c r="P6" s="86"/>
      <c r="Q6" s="86"/>
      <c r="R6" s="86"/>
      <c r="S6" s="86"/>
      <c r="T6" s="86"/>
      <c r="U6" s="37" t="s">
        <v>711</v>
      </c>
      <c r="V6" s="22"/>
      <c r="W6" s="22" t="s">
        <v>226</v>
      </c>
      <c r="X6" s="22"/>
      <c r="Y6" s="87" t="s">
        <v>1022</v>
      </c>
      <c r="Z6" s="87">
        <v>50</v>
      </c>
      <c r="AA6" s="87">
        <v>2</v>
      </c>
      <c r="AB6" s="87">
        <f t="shared" si="1"/>
        <v>25</v>
      </c>
      <c r="AC6" s="87"/>
      <c r="AD6" s="87" t="s">
        <v>1033</v>
      </c>
      <c r="AE6" s="87">
        <v>1</v>
      </c>
      <c r="AF6" s="87"/>
      <c r="AG6" s="87">
        <v>1</v>
      </c>
      <c r="AH6" s="87"/>
      <c r="AI6" s="87">
        <f t="shared" si="2"/>
        <v>1</v>
      </c>
      <c r="AJ6" s="87"/>
      <c r="AK6" s="13">
        <v>15.8</v>
      </c>
      <c r="AL6" s="13">
        <v>0.85</v>
      </c>
      <c r="AM6" s="38" t="s">
        <v>365</v>
      </c>
      <c r="AN6" s="39" t="s">
        <v>1082</v>
      </c>
      <c r="AO6" s="13" t="str">
        <f t="shared" si="0"/>
        <v>[40]</v>
      </c>
      <c r="AP6" s="87" t="s">
        <v>1174</v>
      </c>
      <c r="AQ6" s="87">
        <v>3.5259999999999998</v>
      </c>
      <c r="AR6" s="87">
        <v>2</v>
      </c>
      <c r="AS6" s="87"/>
      <c r="AT6" s="87"/>
      <c r="AU6" s="87" t="s">
        <v>226</v>
      </c>
      <c r="AV6" s="38"/>
      <c r="AW6" s="38"/>
    </row>
    <row r="7" spans="1:49" ht="80.099999999999994" customHeight="1" x14ac:dyDescent="0.25">
      <c r="A7" s="93">
        <v>5</v>
      </c>
      <c r="B7" s="95" t="s">
        <v>386</v>
      </c>
      <c r="C7" s="36">
        <v>2019</v>
      </c>
      <c r="D7" s="13" t="s">
        <v>204</v>
      </c>
      <c r="E7" s="98" t="s">
        <v>712</v>
      </c>
      <c r="F7" s="98" t="s">
        <v>713</v>
      </c>
      <c r="G7" s="22" t="s">
        <v>698</v>
      </c>
      <c r="H7" s="22" t="s">
        <v>698</v>
      </c>
      <c r="I7" s="86"/>
      <c r="J7" s="86"/>
      <c r="K7" s="86" t="s">
        <v>226</v>
      </c>
      <c r="L7" s="86" t="s">
        <v>226</v>
      </c>
      <c r="M7" s="86"/>
      <c r="N7" s="86"/>
      <c r="O7" s="86"/>
      <c r="P7" s="86" t="s">
        <v>226</v>
      </c>
      <c r="Q7" s="86" t="s">
        <v>226</v>
      </c>
      <c r="R7" s="86"/>
      <c r="S7" s="86" t="s">
        <v>226</v>
      </c>
      <c r="T7" s="86"/>
      <c r="U7" s="22" t="s">
        <v>698</v>
      </c>
      <c r="V7" s="22"/>
      <c r="W7" s="22"/>
      <c r="X7" s="22"/>
      <c r="Y7" s="87" t="s">
        <v>1024</v>
      </c>
      <c r="Z7" s="87">
        <v>40</v>
      </c>
      <c r="AA7" s="87">
        <v>2</v>
      </c>
      <c r="AB7" s="87">
        <f t="shared" si="1"/>
        <v>20</v>
      </c>
      <c r="AC7" s="87"/>
      <c r="AD7" s="87" t="s">
        <v>1026</v>
      </c>
      <c r="AE7" s="87">
        <v>1</v>
      </c>
      <c r="AF7" s="87"/>
      <c r="AG7" s="87">
        <v>1</v>
      </c>
      <c r="AH7" s="87">
        <v>120</v>
      </c>
      <c r="AI7" s="87">
        <f t="shared" si="2"/>
        <v>1</v>
      </c>
      <c r="AJ7" s="87">
        <v>120</v>
      </c>
      <c r="AK7" s="13">
        <v>11.5</v>
      </c>
      <c r="AL7" s="13">
        <v>0.85</v>
      </c>
      <c r="AM7" s="38" t="s">
        <v>365</v>
      </c>
      <c r="AN7" s="39" t="s">
        <v>908</v>
      </c>
      <c r="AO7" s="13" t="str">
        <f t="shared" si="0"/>
        <v>[41]</v>
      </c>
      <c r="AP7" s="87" t="s">
        <v>1174</v>
      </c>
      <c r="AQ7" s="87">
        <v>3.5259999999999998</v>
      </c>
      <c r="AR7" s="87">
        <v>2</v>
      </c>
      <c r="AS7" s="87"/>
      <c r="AT7" s="87"/>
      <c r="AU7" s="87" t="s">
        <v>226</v>
      </c>
      <c r="AV7" s="38"/>
      <c r="AW7" s="38"/>
    </row>
    <row r="8" spans="1:49" ht="80.099999999999994" customHeight="1" x14ac:dyDescent="0.25">
      <c r="A8" s="93">
        <v>6</v>
      </c>
      <c r="B8" s="95" t="s">
        <v>388</v>
      </c>
      <c r="C8" s="36">
        <v>2021</v>
      </c>
      <c r="D8" s="13" t="s">
        <v>204</v>
      </c>
      <c r="E8" s="98" t="s">
        <v>715</v>
      </c>
      <c r="F8" s="98" t="s">
        <v>699</v>
      </c>
      <c r="G8" s="22" t="s">
        <v>698</v>
      </c>
      <c r="H8" s="22" t="s">
        <v>698</v>
      </c>
      <c r="I8" s="86"/>
      <c r="J8" s="86"/>
      <c r="K8" s="86" t="s">
        <v>226</v>
      </c>
      <c r="L8" s="86" t="s">
        <v>226</v>
      </c>
      <c r="M8" s="86" t="s">
        <v>226</v>
      </c>
      <c r="N8" s="86"/>
      <c r="O8" s="86"/>
      <c r="P8" s="86" t="s">
        <v>226</v>
      </c>
      <c r="Q8" s="86"/>
      <c r="R8" s="86"/>
      <c r="S8" s="86"/>
      <c r="T8" s="86"/>
      <c r="U8" s="22" t="s">
        <v>698</v>
      </c>
      <c r="V8" s="22"/>
      <c r="W8" s="22"/>
      <c r="X8" s="22"/>
      <c r="Y8" s="87" t="s">
        <v>1024</v>
      </c>
      <c r="Z8" s="87"/>
      <c r="AA8" s="87"/>
      <c r="AB8" s="87" t="str">
        <f t="shared" si="1"/>
        <v/>
      </c>
      <c r="AC8" s="87"/>
      <c r="AD8" s="87"/>
      <c r="AE8" s="87"/>
      <c r="AF8" s="87"/>
      <c r="AG8" s="87"/>
      <c r="AH8" s="87"/>
      <c r="AI8" s="87" t="str">
        <f t="shared" si="2"/>
        <v/>
      </c>
      <c r="AJ8" s="87"/>
      <c r="AK8" s="13">
        <v>14.9</v>
      </c>
      <c r="AL8" s="13">
        <v>0.85</v>
      </c>
      <c r="AM8" s="38" t="s">
        <v>365</v>
      </c>
      <c r="AN8" s="39" t="s">
        <v>909</v>
      </c>
      <c r="AO8" s="13" t="str">
        <f t="shared" si="0"/>
        <v>[42]</v>
      </c>
      <c r="AP8" s="87" t="s">
        <v>1174</v>
      </c>
      <c r="AQ8" s="87">
        <v>3.3639999999999999</v>
      </c>
      <c r="AR8" s="87">
        <v>2</v>
      </c>
      <c r="AS8" s="87"/>
      <c r="AT8" s="87"/>
      <c r="AU8" s="87" t="s">
        <v>226</v>
      </c>
      <c r="AV8" s="38"/>
      <c r="AW8" s="38"/>
    </row>
    <row r="9" spans="1:49" ht="80.099999999999994" customHeight="1" x14ac:dyDescent="0.25">
      <c r="A9" s="93">
        <v>7</v>
      </c>
      <c r="B9" s="95" t="s">
        <v>391</v>
      </c>
      <c r="C9" s="36">
        <v>2020</v>
      </c>
      <c r="D9" s="13" t="s">
        <v>204</v>
      </c>
      <c r="E9" s="98" t="s">
        <v>716</v>
      </c>
      <c r="F9" s="98" t="s">
        <v>718</v>
      </c>
      <c r="G9" s="22">
        <v>1</v>
      </c>
      <c r="H9" s="22">
        <v>3</v>
      </c>
      <c r="I9" s="86"/>
      <c r="J9" s="86"/>
      <c r="K9" s="86" t="s">
        <v>226</v>
      </c>
      <c r="L9" s="86" t="s">
        <v>226</v>
      </c>
      <c r="M9" s="86"/>
      <c r="N9" s="86"/>
      <c r="O9" s="86"/>
      <c r="P9" s="86" t="s">
        <v>226</v>
      </c>
      <c r="Q9" s="86" t="s">
        <v>226</v>
      </c>
      <c r="R9" s="86"/>
      <c r="S9" s="86"/>
      <c r="T9" s="86"/>
      <c r="U9" s="37" t="s">
        <v>717</v>
      </c>
      <c r="V9" s="22"/>
      <c r="W9" s="22" t="s">
        <v>226</v>
      </c>
      <c r="X9" s="22" t="s">
        <v>226</v>
      </c>
      <c r="Y9" s="87" t="s">
        <v>1028</v>
      </c>
      <c r="Z9" s="87">
        <v>60</v>
      </c>
      <c r="AA9" s="87"/>
      <c r="AB9" s="87" t="str">
        <f t="shared" si="1"/>
        <v/>
      </c>
      <c r="AC9" s="87"/>
      <c r="AD9" s="87"/>
      <c r="AE9" s="87">
        <v>42</v>
      </c>
      <c r="AF9" s="87">
        <f>AG9/(AE9/7)</f>
        <v>2</v>
      </c>
      <c r="AG9" s="87">
        <v>12</v>
      </c>
      <c r="AH9" s="87"/>
      <c r="AI9" s="87">
        <f t="shared" si="2"/>
        <v>12</v>
      </c>
      <c r="AJ9" s="87"/>
      <c r="AK9" s="13">
        <v>10.1</v>
      </c>
      <c r="AL9" s="13">
        <v>0.85</v>
      </c>
      <c r="AM9" s="38" t="s">
        <v>365</v>
      </c>
      <c r="AN9" s="39" t="s">
        <v>910</v>
      </c>
      <c r="AO9" s="13" t="str">
        <f t="shared" si="0"/>
        <v>[43]</v>
      </c>
      <c r="AP9" s="87" t="s">
        <v>1174</v>
      </c>
      <c r="AQ9" s="87">
        <v>4.1429999999999998</v>
      </c>
      <c r="AR9" s="87">
        <v>1</v>
      </c>
      <c r="AS9" s="87"/>
      <c r="AT9" s="87"/>
      <c r="AU9" s="87" t="s">
        <v>226</v>
      </c>
      <c r="AV9" s="38"/>
      <c r="AW9" s="38"/>
    </row>
    <row r="10" spans="1:49" ht="80.099999999999994" customHeight="1" x14ac:dyDescent="0.25">
      <c r="A10" s="93">
        <v>8</v>
      </c>
      <c r="B10" s="95" t="s">
        <v>392</v>
      </c>
      <c r="C10" s="36">
        <v>2020</v>
      </c>
      <c r="D10" s="13" t="s">
        <v>204</v>
      </c>
      <c r="E10" s="98" t="s">
        <v>719</v>
      </c>
      <c r="F10" s="98" t="s">
        <v>699</v>
      </c>
      <c r="G10" s="22" t="s">
        <v>698</v>
      </c>
      <c r="H10" s="22" t="s">
        <v>698</v>
      </c>
      <c r="I10" s="86"/>
      <c r="J10" s="86" t="s">
        <v>226</v>
      </c>
      <c r="K10" s="86" t="s">
        <v>226</v>
      </c>
      <c r="L10" s="86" t="s">
        <v>226</v>
      </c>
      <c r="M10" s="86" t="s">
        <v>226</v>
      </c>
      <c r="N10" s="86"/>
      <c r="O10" s="86"/>
      <c r="P10" s="86"/>
      <c r="Q10" s="86"/>
      <c r="R10" s="86" t="s">
        <v>226</v>
      </c>
      <c r="S10" s="86"/>
      <c r="T10" s="86"/>
      <c r="U10" s="22" t="s">
        <v>698</v>
      </c>
      <c r="V10" s="22"/>
      <c r="W10" s="22"/>
      <c r="X10" s="22"/>
      <c r="Y10" s="87" t="s">
        <v>1024</v>
      </c>
      <c r="Z10" s="87">
        <v>86</v>
      </c>
      <c r="AA10" s="87"/>
      <c r="AB10" s="87" t="str">
        <f t="shared" si="1"/>
        <v/>
      </c>
      <c r="AC10" s="87"/>
      <c r="AD10" s="87"/>
      <c r="AE10" s="87">
        <v>240</v>
      </c>
      <c r="AF10" s="87">
        <f>AG10/(AE10/7)</f>
        <v>0.11666666666666667</v>
      </c>
      <c r="AG10" s="87">
        <v>4</v>
      </c>
      <c r="AH10" s="87"/>
      <c r="AI10" s="87">
        <f t="shared" si="2"/>
        <v>4</v>
      </c>
      <c r="AJ10" s="87"/>
      <c r="AK10" s="13">
        <v>11.2</v>
      </c>
      <c r="AL10" s="13">
        <v>0.85</v>
      </c>
      <c r="AM10" s="38" t="s">
        <v>365</v>
      </c>
      <c r="AN10" s="39" t="s">
        <v>911</v>
      </c>
      <c r="AO10" s="13" t="str">
        <f t="shared" si="0"/>
        <v>[44]</v>
      </c>
      <c r="AP10" s="87" t="s">
        <v>1174</v>
      </c>
      <c r="AQ10" s="87">
        <v>4.1429999999999998</v>
      </c>
      <c r="AR10" s="87">
        <v>1</v>
      </c>
      <c r="AS10" s="87"/>
      <c r="AT10" s="87"/>
      <c r="AU10" s="87" t="s">
        <v>226</v>
      </c>
      <c r="AV10" s="38"/>
      <c r="AW10" s="38"/>
    </row>
    <row r="11" spans="1:49" ht="80.099999999999994" customHeight="1" x14ac:dyDescent="0.25">
      <c r="A11" s="93">
        <v>9</v>
      </c>
      <c r="B11" s="95" t="s">
        <v>398</v>
      </c>
      <c r="C11" s="36">
        <v>2020</v>
      </c>
      <c r="D11" s="13" t="s">
        <v>204</v>
      </c>
      <c r="E11" s="98" t="s">
        <v>720</v>
      </c>
      <c r="F11" s="98" t="s">
        <v>722</v>
      </c>
      <c r="G11" s="22">
        <v>0</v>
      </c>
      <c r="H11" s="22">
        <v>0</v>
      </c>
      <c r="I11" s="86"/>
      <c r="J11" s="86"/>
      <c r="K11" s="86" t="s">
        <v>226</v>
      </c>
      <c r="L11" s="86" t="s">
        <v>226</v>
      </c>
      <c r="M11" s="86"/>
      <c r="N11" s="86"/>
      <c r="O11" s="86"/>
      <c r="P11" s="86"/>
      <c r="Q11" s="86"/>
      <c r="R11" s="86"/>
      <c r="S11" s="86"/>
      <c r="T11" s="86"/>
      <c r="U11" s="37" t="s">
        <v>721</v>
      </c>
      <c r="V11" s="22"/>
      <c r="W11" s="22" t="s">
        <v>226</v>
      </c>
      <c r="X11" s="22"/>
      <c r="Y11" s="87" t="s">
        <v>1022</v>
      </c>
      <c r="Z11" s="87">
        <v>18</v>
      </c>
      <c r="AA11" s="87">
        <v>9</v>
      </c>
      <c r="AB11" s="87">
        <f t="shared" si="1"/>
        <v>2</v>
      </c>
      <c r="AC11" s="87"/>
      <c r="AD11" s="87" t="s">
        <v>1033</v>
      </c>
      <c r="AE11" s="87">
        <v>1</v>
      </c>
      <c r="AF11" s="87"/>
      <c r="AG11" s="87">
        <v>1</v>
      </c>
      <c r="AH11" s="87">
        <v>55</v>
      </c>
      <c r="AI11" s="87">
        <f t="shared" si="2"/>
        <v>1</v>
      </c>
      <c r="AJ11" s="87">
        <v>55</v>
      </c>
      <c r="AK11" s="13">
        <v>22.1</v>
      </c>
      <c r="AL11" s="13">
        <v>0.85</v>
      </c>
      <c r="AM11" s="38" t="s">
        <v>365</v>
      </c>
      <c r="AN11" s="39" t="s">
        <v>912</v>
      </c>
      <c r="AO11" s="13" t="str">
        <f t="shared" si="0"/>
        <v>[45]</v>
      </c>
      <c r="AP11" s="87" t="s">
        <v>1174</v>
      </c>
      <c r="AQ11" s="87">
        <v>4.1429999999999998</v>
      </c>
      <c r="AR11" s="87">
        <v>1</v>
      </c>
      <c r="AS11" s="87"/>
      <c r="AT11" s="87"/>
      <c r="AU11" s="87" t="s">
        <v>226</v>
      </c>
      <c r="AV11" s="38"/>
      <c r="AW11" s="38"/>
    </row>
    <row r="12" spans="1:49" ht="80.099999999999994" customHeight="1" x14ac:dyDescent="0.25">
      <c r="A12" s="93">
        <v>10</v>
      </c>
      <c r="B12" s="95" t="s">
        <v>407</v>
      </c>
      <c r="C12" s="36">
        <v>2019</v>
      </c>
      <c r="D12" s="13" t="s">
        <v>204</v>
      </c>
      <c r="E12" s="98" t="s">
        <v>724</v>
      </c>
      <c r="F12" s="98" t="s">
        <v>725</v>
      </c>
      <c r="G12" s="22">
        <v>0</v>
      </c>
      <c r="H12" s="22">
        <v>0</v>
      </c>
      <c r="I12" s="86"/>
      <c r="J12" s="86"/>
      <c r="K12" s="86" t="s">
        <v>226</v>
      </c>
      <c r="L12" s="86" t="s">
        <v>226</v>
      </c>
      <c r="M12" s="86"/>
      <c r="N12" s="86"/>
      <c r="O12" s="86"/>
      <c r="P12" s="86"/>
      <c r="Q12" s="86"/>
      <c r="R12" s="86"/>
      <c r="S12" s="86"/>
      <c r="T12" s="86"/>
      <c r="U12" s="37" t="s">
        <v>727</v>
      </c>
      <c r="V12" s="22"/>
      <c r="W12" s="22" t="s">
        <v>226</v>
      </c>
      <c r="X12" s="22"/>
      <c r="Y12" s="87" t="s">
        <v>1030</v>
      </c>
      <c r="Z12" s="87">
        <v>46</v>
      </c>
      <c r="AA12" s="87">
        <v>2</v>
      </c>
      <c r="AB12" s="87">
        <f t="shared" si="1"/>
        <v>19</v>
      </c>
      <c r="AC12" s="87">
        <v>27</v>
      </c>
      <c r="AD12" s="87" t="s">
        <v>1033</v>
      </c>
      <c r="AE12" s="87">
        <v>70</v>
      </c>
      <c r="AF12" s="87"/>
      <c r="AG12" s="87"/>
      <c r="AH12" s="87"/>
      <c r="AI12" s="87" t="str">
        <f t="shared" si="2"/>
        <v/>
      </c>
      <c r="AJ12" s="87"/>
      <c r="AK12" s="13">
        <v>10.199999999999999</v>
      </c>
      <c r="AL12" s="13">
        <v>0.85</v>
      </c>
      <c r="AM12" s="38" t="s">
        <v>365</v>
      </c>
      <c r="AN12" s="39" t="s">
        <v>913</v>
      </c>
      <c r="AO12" s="13" t="str">
        <f t="shared" si="0"/>
        <v>[46]</v>
      </c>
      <c r="AP12" s="87" t="s">
        <v>1174</v>
      </c>
      <c r="AQ12" s="87">
        <v>3.5259999999999998</v>
      </c>
      <c r="AR12" s="87">
        <v>2</v>
      </c>
      <c r="AS12" s="87"/>
      <c r="AT12" s="87"/>
      <c r="AU12" s="87" t="s">
        <v>226</v>
      </c>
      <c r="AV12" s="38" t="s">
        <v>726</v>
      </c>
      <c r="AW12" s="38"/>
    </row>
    <row r="13" spans="1:49" ht="80.099999999999994" customHeight="1" x14ac:dyDescent="0.25">
      <c r="A13" s="93">
        <v>11</v>
      </c>
      <c r="B13" s="95" t="s">
        <v>414</v>
      </c>
      <c r="C13" s="36">
        <v>2020</v>
      </c>
      <c r="D13" s="13" t="s">
        <v>418</v>
      </c>
      <c r="E13" s="98" t="s">
        <v>729</v>
      </c>
      <c r="F13" s="98" t="s">
        <v>730</v>
      </c>
      <c r="G13" s="22">
        <v>1</v>
      </c>
      <c r="H13" s="22">
        <v>2</v>
      </c>
      <c r="I13" s="86"/>
      <c r="J13" s="86"/>
      <c r="K13" s="86" t="s">
        <v>226</v>
      </c>
      <c r="L13" s="86" t="s">
        <v>226</v>
      </c>
      <c r="M13" s="86"/>
      <c r="N13" s="86"/>
      <c r="O13" s="86"/>
      <c r="P13" s="86"/>
      <c r="Q13" s="86" t="s">
        <v>226</v>
      </c>
      <c r="R13" s="86"/>
      <c r="S13" s="86"/>
      <c r="T13" s="86"/>
      <c r="U13" s="37" t="s">
        <v>731</v>
      </c>
      <c r="V13" s="22"/>
      <c r="W13" s="22" t="s">
        <v>226</v>
      </c>
      <c r="X13" s="22" t="s">
        <v>226</v>
      </c>
      <c r="Y13" s="87" t="s">
        <v>1031</v>
      </c>
      <c r="Z13" s="87">
        <v>51</v>
      </c>
      <c r="AA13" s="87"/>
      <c r="AB13" s="87" t="str">
        <f t="shared" si="1"/>
        <v/>
      </c>
      <c r="AC13" s="87"/>
      <c r="AD13" s="87"/>
      <c r="AE13" s="87">
        <v>30</v>
      </c>
      <c r="AF13" s="87">
        <v>2</v>
      </c>
      <c r="AG13" s="87">
        <v>8</v>
      </c>
      <c r="AH13" s="87"/>
      <c r="AI13" s="87">
        <f t="shared" si="2"/>
        <v>8</v>
      </c>
      <c r="AJ13" s="87"/>
      <c r="AK13" s="13">
        <v>0.5</v>
      </c>
      <c r="AL13" s="13">
        <v>0.85</v>
      </c>
      <c r="AM13" s="38" t="s">
        <v>365</v>
      </c>
      <c r="AN13" s="39" t="s">
        <v>914</v>
      </c>
      <c r="AO13" s="13" t="str">
        <f t="shared" si="0"/>
        <v>[47]</v>
      </c>
      <c r="AP13" s="87" t="s">
        <v>1174</v>
      </c>
      <c r="AQ13" s="87">
        <v>4.1429999999999998</v>
      </c>
      <c r="AR13" s="87">
        <v>1</v>
      </c>
      <c r="AS13" s="87"/>
      <c r="AT13" s="87"/>
      <c r="AU13" s="87" t="s">
        <v>226</v>
      </c>
      <c r="AV13" s="38"/>
      <c r="AW13" s="38"/>
    </row>
    <row r="14" spans="1:49" ht="80.099999999999994" customHeight="1" x14ac:dyDescent="0.25">
      <c r="A14" s="93">
        <v>11.1</v>
      </c>
      <c r="B14" s="95"/>
      <c r="C14" s="36"/>
      <c r="D14" s="13" t="s">
        <v>418</v>
      </c>
      <c r="E14" s="98" t="s">
        <v>728</v>
      </c>
      <c r="F14" s="98" t="s">
        <v>730</v>
      </c>
      <c r="G14" s="22">
        <v>1</v>
      </c>
      <c r="H14" s="22">
        <v>2</v>
      </c>
      <c r="I14" s="86"/>
      <c r="J14" s="86" t="s">
        <v>226</v>
      </c>
      <c r="K14" s="86" t="s">
        <v>226</v>
      </c>
      <c r="L14" s="86" t="s">
        <v>226</v>
      </c>
      <c r="M14" s="86"/>
      <c r="N14" s="86" t="s">
        <v>226</v>
      </c>
      <c r="O14" s="86"/>
      <c r="P14" s="86"/>
      <c r="Q14" s="86"/>
      <c r="R14" s="86"/>
      <c r="S14" s="86" t="s">
        <v>226</v>
      </c>
      <c r="T14" s="86"/>
      <c r="U14" s="37" t="s">
        <v>731</v>
      </c>
      <c r="V14" s="22"/>
      <c r="W14" s="22" t="s">
        <v>226</v>
      </c>
      <c r="X14" s="22" t="s">
        <v>226</v>
      </c>
      <c r="Y14" s="87"/>
      <c r="Z14" s="87"/>
      <c r="AA14" s="87"/>
      <c r="AB14" s="87"/>
      <c r="AC14" s="87"/>
      <c r="AD14" s="87"/>
      <c r="AE14" s="87"/>
      <c r="AF14" s="87"/>
      <c r="AG14" s="87"/>
      <c r="AH14" s="87"/>
      <c r="AI14" s="87"/>
      <c r="AJ14" s="87"/>
      <c r="AK14" s="13">
        <v>0.5</v>
      </c>
      <c r="AL14" s="13">
        <v>0.85</v>
      </c>
      <c r="AM14" s="38" t="s">
        <v>365</v>
      </c>
      <c r="AN14" s="38"/>
      <c r="AO14" s="13"/>
      <c r="AP14" s="87" t="s">
        <v>1174</v>
      </c>
      <c r="AQ14" s="87">
        <v>4.1429999999999998</v>
      </c>
      <c r="AR14" s="87">
        <v>1</v>
      </c>
      <c r="AS14" s="87"/>
      <c r="AT14" s="87"/>
      <c r="AU14" s="87" t="s">
        <v>226</v>
      </c>
      <c r="AV14" s="38"/>
      <c r="AW14" s="38"/>
    </row>
    <row r="15" spans="1:49" ht="80.099999999999994" customHeight="1" x14ac:dyDescent="0.25">
      <c r="A15" s="93">
        <v>12</v>
      </c>
      <c r="B15" s="95" t="s">
        <v>421</v>
      </c>
      <c r="C15" s="36">
        <v>2017</v>
      </c>
      <c r="D15" s="13" t="s">
        <v>204</v>
      </c>
      <c r="E15" s="98" t="s">
        <v>733</v>
      </c>
      <c r="F15" s="98" t="s">
        <v>734</v>
      </c>
      <c r="G15" s="22">
        <v>1</v>
      </c>
      <c r="H15" s="22">
        <v>2</v>
      </c>
      <c r="I15" s="86"/>
      <c r="J15" s="86"/>
      <c r="K15" s="86" t="s">
        <v>226</v>
      </c>
      <c r="L15" s="86" t="s">
        <v>226</v>
      </c>
      <c r="M15" s="86"/>
      <c r="N15" s="86"/>
      <c r="O15" s="86"/>
      <c r="P15" s="86"/>
      <c r="Q15" s="86"/>
      <c r="R15" s="86" t="s">
        <v>226</v>
      </c>
      <c r="S15" s="86"/>
      <c r="T15" s="86"/>
      <c r="U15" s="37" t="s">
        <v>273</v>
      </c>
      <c r="V15" s="22"/>
      <c r="W15" s="22"/>
      <c r="X15" s="22" t="s">
        <v>226</v>
      </c>
      <c r="Y15" s="87" t="s">
        <v>1031</v>
      </c>
      <c r="Z15" s="87"/>
      <c r="AA15" s="87"/>
      <c r="AB15" s="87" t="str">
        <f t="shared" ref="AB15:AB25" si="3">IF(AA15&lt;&gt;"", (Z15-AC15)/(AA15-COUNT(AC15)),"")</f>
        <v/>
      </c>
      <c r="AC15" s="87"/>
      <c r="AD15" s="87"/>
      <c r="AE15" s="87"/>
      <c r="AF15" s="87"/>
      <c r="AG15" s="87"/>
      <c r="AH15" s="87"/>
      <c r="AI15" s="87" t="str">
        <f t="shared" ref="AI15:AI33" si="4">IF(AG15&lt;&gt;"",AG15,"")</f>
        <v/>
      </c>
      <c r="AJ15" s="87"/>
      <c r="AK15" s="13">
        <v>158.19999999999999</v>
      </c>
      <c r="AL15" s="13">
        <v>1</v>
      </c>
      <c r="AM15" s="38" t="s">
        <v>419</v>
      </c>
      <c r="AN15" s="40" t="s">
        <v>915</v>
      </c>
      <c r="AO15" s="13" t="str">
        <f t="shared" ref="AO15:AO46" si="5">_xlfn.CONCAT("[",A15+36,"]")</f>
        <v>[48]</v>
      </c>
      <c r="AP15" s="87"/>
      <c r="AQ15" s="87"/>
      <c r="AR15" s="87"/>
      <c r="AS15" s="87"/>
      <c r="AT15" s="87" t="s">
        <v>226</v>
      </c>
      <c r="AU15" s="87" t="s">
        <v>226</v>
      </c>
      <c r="AV15" s="38"/>
      <c r="AW15" s="38"/>
    </row>
    <row r="16" spans="1:49" ht="80.099999999999994" customHeight="1" x14ac:dyDescent="0.25">
      <c r="A16" s="93">
        <v>13</v>
      </c>
      <c r="B16" s="95" t="s">
        <v>425</v>
      </c>
      <c r="C16" s="36">
        <v>2015</v>
      </c>
      <c r="D16" s="13" t="s">
        <v>204</v>
      </c>
      <c r="E16" s="98" t="s">
        <v>735</v>
      </c>
      <c r="F16" s="98" t="s">
        <v>737</v>
      </c>
      <c r="G16" s="22">
        <v>1</v>
      </c>
      <c r="H16" s="22">
        <v>1</v>
      </c>
      <c r="I16" s="86"/>
      <c r="J16" s="86"/>
      <c r="K16" s="86" t="s">
        <v>226</v>
      </c>
      <c r="L16" s="86" t="s">
        <v>226</v>
      </c>
      <c r="M16" s="86" t="s">
        <v>226</v>
      </c>
      <c r="N16" s="86"/>
      <c r="O16" s="86"/>
      <c r="P16" s="86" t="s">
        <v>226</v>
      </c>
      <c r="Q16" s="86"/>
      <c r="R16" s="86"/>
      <c r="S16" s="86"/>
      <c r="T16" s="86"/>
      <c r="U16" s="110" t="s">
        <v>1255</v>
      </c>
      <c r="V16" s="22"/>
      <c r="W16" s="22" t="s">
        <v>226</v>
      </c>
      <c r="X16" s="22" t="s">
        <v>226</v>
      </c>
      <c r="Y16" s="87" t="s">
        <v>1032</v>
      </c>
      <c r="Z16" s="87">
        <v>26</v>
      </c>
      <c r="AA16" s="87"/>
      <c r="AB16" s="87" t="str">
        <f t="shared" si="3"/>
        <v/>
      </c>
      <c r="AC16" s="87"/>
      <c r="AD16" s="87"/>
      <c r="AE16" s="87">
        <v>49</v>
      </c>
      <c r="AF16" s="87">
        <v>1</v>
      </c>
      <c r="AG16" s="87">
        <v>7</v>
      </c>
      <c r="AH16" s="87">
        <v>40</v>
      </c>
      <c r="AI16" s="87">
        <f t="shared" si="4"/>
        <v>7</v>
      </c>
      <c r="AJ16" s="87">
        <v>40</v>
      </c>
      <c r="AK16" s="13">
        <v>73.8</v>
      </c>
      <c r="AL16" s="13">
        <v>1</v>
      </c>
      <c r="AM16" s="38" t="s">
        <v>419</v>
      </c>
      <c r="AN16" s="40" t="s">
        <v>916</v>
      </c>
      <c r="AO16" s="13" t="str">
        <f t="shared" si="5"/>
        <v>[49]</v>
      </c>
      <c r="AP16" s="87"/>
      <c r="AQ16" s="87"/>
      <c r="AR16" s="87"/>
      <c r="AS16" s="87"/>
      <c r="AT16" s="87" t="s">
        <v>226</v>
      </c>
      <c r="AU16" s="87" t="s">
        <v>226</v>
      </c>
      <c r="AV16" s="38"/>
      <c r="AW16" s="38"/>
    </row>
    <row r="17" spans="1:49" ht="80.099999999999994" customHeight="1" x14ac:dyDescent="0.25">
      <c r="A17" s="93">
        <v>14</v>
      </c>
      <c r="B17" s="95" t="s">
        <v>426</v>
      </c>
      <c r="C17" s="36">
        <v>2018</v>
      </c>
      <c r="D17" s="13" t="s">
        <v>204</v>
      </c>
      <c r="E17" s="98" t="s">
        <v>739</v>
      </c>
      <c r="F17" s="98" t="s">
        <v>740</v>
      </c>
      <c r="G17" s="22">
        <v>1</v>
      </c>
      <c r="H17" s="22">
        <v>2</v>
      </c>
      <c r="I17" s="86" t="s">
        <v>226</v>
      </c>
      <c r="J17" s="86" t="s">
        <v>226</v>
      </c>
      <c r="K17" s="86"/>
      <c r="L17" s="86"/>
      <c r="M17" s="86" t="s">
        <v>226</v>
      </c>
      <c r="N17" s="86"/>
      <c r="O17" s="86"/>
      <c r="P17" s="86" t="s">
        <v>226</v>
      </c>
      <c r="Q17" s="86" t="s">
        <v>226</v>
      </c>
      <c r="R17" s="86"/>
      <c r="S17" s="86"/>
      <c r="T17" s="86" t="s">
        <v>226</v>
      </c>
      <c r="U17" s="37" t="s">
        <v>738</v>
      </c>
      <c r="V17" s="22"/>
      <c r="W17" s="22"/>
      <c r="X17" s="22" t="s">
        <v>226</v>
      </c>
      <c r="Y17" s="87" t="s">
        <v>1031</v>
      </c>
      <c r="Z17" s="87">
        <v>15</v>
      </c>
      <c r="AA17" s="87"/>
      <c r="AB17" s="87" t="str">
        <f t="shared" si="3"/>
        <v/>
      </c>
      <c r="AC17" s="87"/>
      <c r="AD17" s="87"/>
      <c r="AE17" s="87">
        <v>1</v>
      </c>
      <c r="AF17" s="87"/>
      <c r="AG17" s="87">
        <v>1</v>
      </c>
      <c r="AH17" s="87"/>
      <c r="AI17" s="87">
        <f t="shared" si="4"/>
        <v>1</v>
      </c>
      <c r="AJ17" s="87"/>
      <c r="AK17" s="13">
        <v>14.2</v>
      </c>
      <c r="AL17" s="13">
        <v>1</v>
      </c>
      <c r="AM17" s="38" t="s">
        <v>419</v>
      </c>
      <c r="AN17" s="40" t="s">
        <v>917</v>
      </c>
      <c r="AO17" s="13" t="str">
        <f t="shared" si="5"/>
        <v>[50]</v>
      </c>
      <c r="AP17" s="87"/>
      <c r="AQ17" s="87"/>
      <c r="AR17" s="87"/>
      <c r="AS17" s="87"/>
      <c r="AT17" s="87" t="s">
        <v>226</v>
      </c>
      <c r="AU17" s="87" t="s">
        <v>226</v>
      </c>
      <c r="AV17" s="38"/>
      <c r="AW17" s="38"/>
    </row>
    <row r="18" spans="1:49" ht="80.099999999999994" customHeight="1" x14ac:dyDescent="0.25">
      <c r="A18" s="93">
        <v>15</v>
      </c>
      <c r="B18" s="95" t="s">
        <v>427</v>
      </c>
      <c r="C18" s="36">
        <v>2015</v>
      </c>
      <c r="D18" s="13" t="s">
        <v>204</v>
      </c>
      <c r="E18" s="98" t="s">
        <v>741</v>
      </c>
      <c r="F18" s="98" t="s">
        <v>743</v>
      </c>
      <c r="G18" s="22">
        <v>1</v>
      </c>
      <c r="H18" s="22">
        <v>2</v>
      </c>
      <c r="I18" s="86"/>
      <c r="J18" s="86"/>
      <c r="K18" s="86" t="s">
        <v>226</v>
      </c>
      <c r="L18" s="86" t="s">
        <v>226</v>
      </c>
      <c r="M18" s="86"/>
      <c r="N18" s="86"/>
      <c r="O18" s="86"/>
      <c r="P18" s="86"/>
      <c r="Q18" s="86" t="s">
        <v>226</v>
      </c>
      <c r="R18" s="86"/>
      <c r="S18" s="86"/>
      <c r="T18" s="86"/>
      <c r="U18" s="37" t="s">
        <v>742</v>
      </c>
      <c r="V18" s="22"/>
      <c r="W18" s="22" t="s">
        <v>226</v>
      </c>
      <c r="X18" s="22"/>
      <c r="Y18" s="87" t="s">
        <v>1032</v>
      </c>
      <c r="Z18" s="87">
        <v>59</v>
      </c>
      <c r="AA18" s="87">
        <v>2</v>
      </c>
      <c r="AB18" s="87">
        <f t="shared" si="3"/>
        <v>30</v>
      </c>
      <c r="AC18" s="87">
        <v>29</v>
      </c>
      <c r="AD18" s="87" t="s">
        <v>1033</v>
      </c>
      <c r="AE18" s="87">
        <v>28</v>
      </c>
      <c r="AF18" s="87">
        <v>3</v>
      </c>
      <c r="AG18" s="87">
        <v>12</v>
      </c>
      <c r="AH18" s="87">
        <v>10</v>
      </c>
      <c r="AI18" s="87">
        <f t="shared" si="4"/>
        <v>12</v>
      </c>
      <c r="AJ18" s="87">
        <v>10</v>
      </c>
      <c r="AK18" s="13">
        <v>27.7</v>
      </c>
      <c r="AL18" s="13">
        <v>1</v>
      </c>
      <c r="AM18" s="38" t="s">
        <v>419</v>
      </c>
      <c r="AN18" s="40" t="s">
        <v>918</v>
      </c>
      <c r="AO18" s="13" t="str">
        <f t="shared" si="5"/>
        <v>[51]</v>
      </c>
      <c r="AP18" s="87"/>
      <c r="AQ18" s="87"/>
      <c r="AR18" s="87"/>
      <c r="AS18" s="87"/>
      <c r="AT18" s="87" t="s">
        <v>226</v>
      </c>
      <c r="AU18" s="87" t="s">
        <v>226</v>
      </c>
      <c r="AV18" s="38"/>
      <c r="AW18" s="38"/>
    </row>
    <row r="19" spans="1:49" ht="80.099999999999994" customHeight="1" x14ac:dyDescent="0.25">
      <c r="A19" s="93">
        <v>16</v>
      </c>
      <c r="B19" s="95" t="s">
        <v>437</v>
      </c>
      <c r="C19" s="36">
        <v>2018</v>
      </c>
      <c r="D19" s="13" t="s">
        <v>204</v>
      </c>
      <c r="E19" s="98" t="s">
        <v>745</v>
      </c>
      <c r="F19" s="98" t="s">
        <v>743</v>
      </c>
      <c r="G19" s="22">
        <v>1</v>
      </c>
      <c r="H19" s="22">
        <v>1</v>
      </c>
      <c r="I19" s="86"/>
      <c r="J19" s="86" t="s">
        <v>226</v>
      </c>
      <c r="K19" s="86" t="s">
        <v>226</v>
      </c>
      <c r="L19" s="86" t="s">
        <v>226</v>
      </c>
      <c r="M19" s="86"/>
      <c r="N19" s="86"/>
      <c r="O19" s="86"/>
      <c r="P19" s="86"/>
      <c r="Q19" s="86"/>
      <c r="R19" s="86"/>
      <c r="S19" s="86" t="s">
        <v>226</v>
      </c>
      <c r="T19" s="86"/>
      <c r="U19" s="37" t="s">
        <v>746</v>
      </c>
      <c r="V19" s="22" t="s">
        <v>226</v>
      </c>
      <c r="W19" s="22"/>
      <c r="X19" s="22" t="s">
        <v>226</v>
      </c>
      <c r="Y19" s="87" t="s">
        <v>1034</v>
      </c>
      <c r="Z19" s="87">
        <v>64</v>
      </c>
      <c r="AA19" s="87">
        <v>2</v>
      </c>
      <c r="AB19" s="87">
        <f t="shared" si="3"/>
        <v>32</v>
      </c>
      <c r="AC19" s="87">
        <v>32</v>
      </c>
      <c r="AD19" s="87" t="s">
        <v>1033</v>
      </c>
      <c r="AE19" s="87">
        <v>1</v>
      </c>
      <c r="AF19" s="87"/>
      <c r="AG19" s="87">
        <v>1</v>
      </c>
      <c r="AH19" s="87">
        <v>30</v>
      </c>
      <c r="AI19" s="87">
        <f t="shared" si="4"/>
        <v>1</v>
      </c>
      <c r="AJ19" s="87">
        <v>30</v>
      </c>
      <c r="AK19" s="13">
        <v>9.8000000000000007</v>
      </c>
      <c r="AL19" s="13">
        <v>1</v>
      </c>
      <c r="AM19" s="38" t="s">
        <v>419</v>
      </c>
      <c r="AN19" s="40" t="s">
        <v>919</v>
      </c>
      <c r="AO19" s="13" t="str">
        <f t="shared" si="5"/>
        <v>[52]</v>
      </c>
      <c r="AP19" s="87"/>
      <c r="AQ19" s="87"/>
      <c r="AR19" s="87"/>
      <c r="AS19" s="87"/>
      <c r="AT19" s="87" t="s">
        <v>226</v>
      </c>
      <c r="AU19" s="87" t="s">
        <v>226</v>
      </c>
      <c r="AV19" s="38" t="s">
        <v>747</v>
      </c>
      <c r="AW19" s="38"/>
    </row>
    <row r="20" spans="1:49" ht="80.099999999999994" customHeight="1" x14ac:dyDescent="0.25">
      <c r="A20" s="93">
        <v>17</v>
      </c>
      <c r="B20" s="95" t="s">
        <v>438</v>
      </c>
      <c r="C20" s="36">
        <v>2016</v>
      </c>
      <c r="D20" s="13" t="s">
        <v>204</v>
      </c>
      <c r="E20" s="98" t="s">
        <v>748</v>
      </c>
      <c r="F20" s="98" t="s">
        <v>743</v>
      </c>
      <c r="G20" s="22">
        <v>1</v>
      </c>
      <c r="H20" s="22">
        <v>2</v>
      </c>
      <c r="I20" s="86"/>
      <c r="J20" s="86"/>
      <c r="K20" s="86" t="s">
        <v>226</v>
      </c>
      <c r="L20" s="86" t="s">
        <v>226</v>
      </c>
      <c r="M20" s="86"/>
      <c r="N20" s="86"/>
      <c r="O20" s="86"/>
      <c r="P20" s="86" t="s">
        <v>226</v>
      </c>
      <c r="Q20" s="86" t="s">
        <v>226</v>
      </c>
      <c r="R20" s="86"/>
      <c r="S20" s="86"/>
      <c r="T20" s="86"/>
      <c r="U20" s="37" t="s">
        <v>749</v>
      </c>
      <c r="V20" s="22"/>
      <c r="W20" s="22"/>
      <c r="X20" s="22" t="s">
        <v>226</v>
      </c>
      <c r="Y20" s="87" t="s">
        <v>1024</v>
      </c>
      <c r="Z20" s="87">
        <v>166</v>
      </c>
      <c r="AA20" s="87"/>
      <c r="AB20" s="87" t="str">
        <f t="shared" si="3"/>
        <v/>
      </c>
      <c r="AC20" s="87"/>
      <c r="AD20" s="87"/>
      <c r="AE20" s="87"/>
      <c r="AF20" s="87"/>
      <c r="AG20" s="87">
        <v>13</v>
      </c>
      <c r="AH20" s="87">
        <v>40</v>
      </c>
      <c r="AI20" s="87">
        <f t="shared" si="4"/>
        <v>13</v>
      </c>
      <c r="AJ20" s="87">
        <v>40</v>
      </c>
      <c r="AK20" s="13">
        <v>26.6</v>
      </c>
      <c r="AL20" s="13">
        <v>1</v>
      </c>
      <c r="AM20" s="38" t="s">
        <v>419</v>
      </c>
      <c r="AN20" s="40" t="s">
        <v>920</v>
      </c>
      <c r="AO20" s="13" t="str">
        <f t="shared" si="5"/>
        <v>[53]</v>
      </c>
      <c r="AP20" s="87"/>
      <c r="AQ20" s="87"/>
      <c r="AR20" s="87"/>
      <c r="AS20" s="87"/>
      <c r="AT20" s="87" t="s">
        <v>226</v>
      </c>
      <c r="AU20" s="87" t="s">
        <v>226</v>
      </c>
      <c r="AV20" s="38"/>
      <c r="AW20" s="38"/>
    </row>
    <row r="21" spans="1:49" ht="80.099999999999994" customHeight="1" x14ac:dyDescent="0.25">
      <c r="A21" s="93">
        <v>18</v>
      </c>
      <c r="B21" s="95" t="s">
        <v>440</v>
      </c>
      <c r="C21" s="36">
        <v>2017</v>
      </c>
      <c r="D21" s="13" t="s">
        <v>204</v>
      </c>
      <c r="E21" s="98" t="s">
        <v>750</v>
      </c>
      <c r="F21" s="98" t="s">
        <v>743</v>
      </c>
      <c r="G21" s="22">
        <v>1</v>
      </c>
      <c r="H21" s="22">
        <v>1</v>
      </c>
      <c r="I21" s="86" t="s">
        <v>226</v>
      </c>
      <c r="J21" s="86"/>
      <c r="K21" s="86" t="s">
        <v>226</v>
      </c>
      <c r="L21" s="86" t="s">
        <v>226</v>
      </c>
      <c r="M21" s="86"/>
      <c r="N21" s="86"/>
      <c r="O21" s="86"/>
      <c r="P21" s="86" t="s">
        <v>226</v>
      </c>
      <c r="Q21" s="86"/>
      <c r="R21" s="86"/>
      <c r="S21" s="86"/>
      <c r="T21" s="86"/>
      <c r="U21" s="37" t="s">
        <v>751</v>
      </c>
      <c r="V21" s="22"/>
      <c r="W21" s="22" t="s">
        <v>226</v>
      </c>
      <c r="X21" s="22" t="s">
        <v>226</v>
      </c>
      <c r="Y21" s="87" t="s">
        <v>1042</v>
      </c>
      <c r="Z21" s="87">
        <v>79</v>
      </c>
      <c r="AA21" s="87">
        <v>2</v>
      </c>
      <c r="AB21" s="87">
        <f t="shared" si="3"/>
        <v>39</v>
      </c>
      <c r="AC21" s="87">
        <v>40</v>
      </c>
      <c r="AD21" s="87" t="s">
        <v>1033</v>
      </c>
      <c r="AE21" s="87">
        <v>90</v>
      </c>
      <c r="AF21" s="87">
        <v>1</v>
      </c>
      <c r="AG21" s="87">
        <v>12</v>
      </c>
      <c r="AH21" s="87"/>
      <c r="AI21" s="87">
        <f t="shared" si="4"/>
        <v>12</v>
      </c>
      <c r="AJ21" s="87"/>
      <c r="AK21" s="13">
        <v>12.7</v>
      </c>
      <c r="AL21" s="13">
        <v>1</v>
      </c>
      <c r="AM21" s="38" t="s">
        <v>419</v>
      </c>
      <c r="AN21" s="40" t="s">
        <v>921</v>
      </c>
      <c r="AO21" s="13" t="str">
        <f t="shared" si="5"/>
        <v>[54]</v>
      </c>
      <c r="AP21" s="87"/>
      <c r="AQ21" s="87"/>
      <c r="AR21" s="87"/>
      <c r="AS21" s="87"/>
      <c r="AT21" s="87" t="s">
        <v>226</v>
      </c>
      <c r="AU21" s="87" t="s">
        <v>226</v>
      </c>
      <c r="AV21" s="38"/>
      <c r="AW21" s="38"/>
    </row>
    <row r="22" spans="1:49" ht="80.099999999999994" customHeight="1" x14ac:dyDescent="0.25">
      <c r="A22" s="93">
        <v>19</v>
      </c>
      <c r="B22" s="95" t="s">
        <v>441</v>
      </c>
      <c r="C22" s="36">
        <v>2015</v>
      </c>
      <c r="D22" s="13" t="s">
        <v>204</v>
      </c>
      <c r="E22" s="98" t="s">
        <v>752</v>
      </c>
      <c r="F22" s="98" t="s">
        <v>753</v>
      </c>
      <c r="G22" s="22">
        <v>1</v>
      </c>
      <c r="H22" s="22">
        <v>2</v>
      </c>
      <c r="I22" s="86"/>
      <c r="J22" s="86"/>
      <c r="K22" s="86" t="s">
        <v>226</v>
      </c>
      <c r="L22" s="86"/>
      <c r="M22" s="86"/>
      <c r="N22" s="86"/>
      <c r="O22" s="86"/>
      <c r="P22" s="86" t="s">
        <v>226</v>
      </c>
      <c r="Q22" s="86" t="s">
        <v>226</v>
      </c>
      <c r="R22" s="86"/>
      <c r="S22" s="86"/>
      <c r="T22" s="86"/>
      <c r="U22" s="37" t="s">
        <v>342</v>
      </c>
      <c r="V22" s="22" t="s">
        <v>226</v>
      </c>
      <c r="W22" s="22"/>
      <c r="X22" s="22"/>
      <c r="Y22" s="87" t="s">
        <v>1032</v>
      </c>
      <c r="Z22" s="87">
        <v>12</v>
      </c>
      <c r="AA22" s="87">
        <v>6</v>
      </c>
      <c r="AB22" s="87">
        <f t="shared" si="3"/>
        <v>2</v>
      </c>
      <c r="AC22" s="87"/>
      <c r="AD22" s="87" t="s">
        <v>1033</v>
      </c>
      <c r="AE22" s="87">
        <v>1</v>
      </c>
      <c r="AF22" s="87"/>
      <c r="AG22" s="87">
        <v>1</v>
      </c>
      <c r="AH22" s="87">
        <v>40</v>
      </c>
      <c r="AI22" s="87">
        <f t="shared" si="4"/>
        <v>1</v>
      </c>
      <c r="AJ22" s="87">
        <v>40</v>
      </c>
      <c r="AK22" s="13">
        <v>19.8</v>
      </c>
      <c r="AL22" s="13">
        <v>1</v>
      </c>
      <c r="AM22" s="38" t="s">
        <v>419</v>
      </c>
      <c r="AN22" s="40" t="s">
        <v>922</v>
      </c>
      <c r="AO22" s="13" t="str">
        <f t="shared" si="5"/>
        <v>[55]</v>
      </c>
      <c r="AP22" s="87"/>
      <c r="AQ22" s="87"/>
      <c r="AR22" s="87"/>
      <c r="AS22" s="87"/>
      <c r="AT22" s="87" t="s">
        <v>226</v>
      </c>
      <c r="AU22" s="87" t="s">
        <v>226</v>
      </c>
      <c r="AV22" s="38"/>
      <c r="AW22" s="38"/>
    </row>
    <row r="23" spans="1:49" ht="80.099999999999994" customHeight="1" x14ac:dyDescent="0.25">
      <c r="A23" s="93">
        <v>20</v>
      </c>
      <c r="B23" s="95" t="s">
        <v>443</v>
      </c>
      <c r="C23" s="36">
        <v>2019</v>
      </c>
      <c r="D23" s="13" t="s">
        <v>204</v>
      </c>
      <c r="E23" s="98" t="s">
        <v>754</v>
      </c>
      <c r="F23" s="98" t="s">
        <v>743</v>
      </c>
      <c r="G23" s="22">
        <v>1</v>
      </c>
      <c r="H23" s="22">
        <v>2</v>
      </c>
      <c r="I23" s="86"/>
      <c r="J23" s="86"/>
      <c r="K23" s="86" t="s">
        <v>226</v>
      </c>
      <c r="L23" s="86" t="s">
        <v>226</v>
      </c>
      <c r="M23" s="86"/>
      <c r="N23" s="86"/>
      <c r="O23" s="86"/>
      <c r="P23" s="86" t="s">
        <v>226</v>
      </c>
      <c r="Q23" s="86" t="s">
        <v>226</v>
      </c>
      <c r="R23" s="86"/>
      <c r="S23" s="86"/>
      <c r="T23" s="86"/>
      <c r="U23" s="37" t="s">
        <v>342</v>
      </c>
      <c r="V23" s="22" t="s">
        <v>226</v>
      </c>
      <c r="W23" s="22"/>
      <c r="X23" s="22"/>
      <c r="Y23" s="87" t="s">
        <v>1024</v>
      </c>
      <c r="Z23" s="87">
        <v>13</v>
      </c>
      <c r="AA23" s="87"/>
      <c r="AB23" s="87" t="str">
        <f t="shared" si="3"/>
        <v/>
      </c>
      <c r="AC23" s="87"/>
      <c r="AD23" s="87"/>
      <c r="AE23" s="87">
        <v>1</v>
      </c>
      <c r="AF23" s="87"/>
      <c r="AG23" s="87">
        <v>1</v>
      </c>
      <c r="AH23" s="87">
        <v>20</v>
      </c>
      <c r="AI23" s="87">
        <f t="shared" si="4"/>
        <v>1</v>
      </c>
      <c r="AJ23" s="87">
        <v>20</v>
      </c>
      <c r="AK23" s="13">
        <v>4.5999999999999996</v>
      </c>
      <c r="AL23" s="13">
        <v>1</v>
      </c>
      <c r="AM23" s="38" t="s">
        <v>419</v>
      </c>
      <c r="AN23" s="40" t="s">
        <v>923</v>
      </c>
      <c r="AO23" s="13" t="str">
        <f t="shared" si="5"/>
        <v>[56]</v>
      </c>
      <c r="AP23" s="87"/>
      <c r="AQ23" s="87"/>
      <c r="AR23" s="87"/>
      <c r="AS23" s="87"/>
      <c r="AT23" s="87" t="s">
        <v>226</v>
      </c>
      <c r="AU23" s="87" t="s">
        <v>226</v>
      </c>
      <c r="AV23" s="38"/>
      <c r="AW23" s="38"/>
    </row>
    <row r="24" spans="1:49" ht="80.099999999999994" customHeight="1" x14ac:dyDescent="0.25">
      <c r="A24" s="93">
        <v>21</v>
      </c>
      <c r="B24" s="95" t="s">
        <v>447</v>
      </c>
      <c r="C24" s="36">
        <v>2021</v>
      </c>
      <c r="D24" s="13" t="s">
        <v>204</v>
      </c>
      <c r="E24" s="98" t="s">
        <v>755</v>
      </c>
      <c r="F24" s="98" t="s">
        <v>756</v>
      </c>
      <c r="G24" s="22">
        <v>0</v>
      </c>
      <c r="H24" s="22">
        <v>0</v>
      </c>
      <c r="I24" s="86"/>
      <c r="J24" s="86"/>
      <c r="K24" s="86" t="s">
        <v>226</v>
      </c>
      <c r="L24" s="86" t="s">
        <v>226</v>
      </c>
      <c r="M24" s="86"/>
      <c r="N24" s="86"/>
      <c r="O24" s="86"/>
      <c r="P24" s="86"/>
      <c r="Q24" s="86"/>
      <c r="R24" s="86" t="s">
        <v>226</v>
      </c>
      <c r="S24" s="86"/>
      <c r="T24" s="86"/>
      <c r="U24" s="37" t="s">
        <v>342</v>
      </c>
      <c r="V24" s="22" t="s">
        <v>226</v>
      </c>
      <c r="W24" s="22"/>
      <c r="X24" s="22"/>
      <c r="Y24" s="87" t="s">
        <v>1035</v>
      </c>
      <c r="Z24" s="87">
        <v>81</v>
      </c>
      <c r="AA24" s="87"/>
      <c r="AB24" s="87" t="str">
        <f t="shared" si="3"/>
        <v/>
      </c>
      <c r="AC24" s="87"/>
      <c r="AD24" s="87"/>
      <c r="AE24" s="87"/>
      <c r="AF24" s="87"/>
      <c r="AG24" s="87"/>
      <c r="AH24" s="87">
        <v>40</v>
      </c>
      <c r="AI24" s="87" t="str">
        <f t="shared" si="4"/>
        <v/>
      </c>
      <c r="AJ24" s="87">
        <v>40</v>
      </c>
      <c r="AK24" s="13">
        <v>6.3</v>
      </c>
      <c r="AL24" s="13">
        <v>1</v>
      </c>
      <c r="AM24" s="38" t="s">
        <v>419</v>
      </c>
      <c r="AN24" s="40" t="s">
        <v>924</v>
      </c>
      <c r="AO24" s="13" t="str">
        <f t="shared" si="5"/>
        <v>[57]</v>
      </c>
      <c r="AP24" s="87"/>
      <c r="AQ24" s="87"/>
      <c r="AR24" s="87"/>
      <c r="AS24" s="87"/>
      <c r="AT24" s="87" t="s">
        <v>226</v>
      </c>
      <c r="AU24" s="87" t="s">
        <v>226</v>
      </c>
      <c r="AV24" s="38"/>
      <c r="AW24" s="38"/>
    </row>
    <row r="25" spans="1:49" ht="80.099999999999994" customHeight="1" x14ac:dyDescent="0.25">
      <c r="A25" s="93">
        <v>22</v>
      </c>
      <c r="B25" s="95" t="s">
        <v>450</v>
      </c>
      <c r="C25" s="36">
        <v>2015</v>
      </c>
      <c r="D25" s="13" t="s">
        <v>204</v>
      </c>
      <c r="E25" s="98" t="s">
        <v>758</v>
      </c>
      <c r="F25" s="98" t="s">
        <v>757</v>
      </c>
      <c r="G25" s="22">
        <v>0</v>
      </c>
      <c r="H25" s="22">
        <v>0</v>
      </c>
      <c r="I25" s="86"/>
      <c r="J25" s="86"/>
      <c r="K25" s="86" t="s">
        <v>226</v>
      </c>
      <c r="L25" s="86" t="s">
        <v>226</v>
      </c>
      <c r="M25" s="86" t="s">
        <v>226</v>
      </c>
      <c r="N25" s="86"/>
      <c r="O25" s="86"/>
      <c r="P25" s="86"/>
      <c r="Q25" s="86"/>
      <c r="R25" s="86" t="s">
        <v>226</v>
      </c>
      <c r="S25" s="86"/>
      <c r="T25" s="86"/>
      <c r="U25" s="37" t="s">
        <v>273</v>
      </c>
      <c r="V25" s="22"/>
      <c r="W25" s="22"/>
      <c r="X25" s="22" t="s">
        <v>226</v>
      </c>
      <c r="Y25" s="87" t="s">
        <v>1031</v>
      </c>
      <c r="Z25" s="87">
        <v>54</v>
      </c>
      <c r="AA25" s="87"/>
      <c r="AB25" s="87" t="str">
        <f t="shared" si="3"/>
        <v/>
      </c>
      <c r="AC25" s="87"/>
      <c r="AD25" s="87"/>
      <c r="AE25" s="87"/>
      <c r="AF25" s="87"/>
      <c r="AG25" s="87">
        <v>298</v>
      </c>
      <c r="AH25" s="87"/>
      <c r="AI25" s="87">
        <f t="shared" si="4"/>
        <v>298</v>
      </c>
      <c r="AJ25" s="87"/>
      <c r="AK25" s="13">
        <v>14.5</v>
      </c>
      <c r="AL25" s="13">
        <v>1</v>
      </c>
      <c r="AM25" s="38" t="s">
        <v>419</v>
      </c>
      <c r="AN25" s="40" t="s">
        <v>925</v>
      </c>
      <c r="AO25" s="13" t="str">
        <f t="shared" si="5"/>
        <v>[58]</v>
      </c>
      <c r="AP25" s="87"/>
      <c r="AQ25" s="87"/>
      <c r="AR25" s="87"/>
      <c r="AS25" s="87"/>
      <c r="AT25" s="87" t="s">
        <v>226</v>
      </c>
      <c r="AU25" s="87" t="s">
        <v>226</v>
      </c>
      <c r="AV25" s="38"/>
      <c r="AW25" s="38"/>
    </row>
    <row r="26" spans="1:49" ht="80.099999999999994" customHeight="1" x14ac:dyDescent="0.25">
      <c r="A26" s="93">
        <v>23</v>
      </c>
      <c r="B26" s="95" t="s">
        <v>466</v>
      </c>
      <c r="C26" s="36">
        <v>2014</v>
      </c>
      <c r="D26" s="13" t="s">
        <v>204</v>
      </c>
      <c r="E26" s="98" t="s">
        <v>762</v>
      </c>
      <c r="F26" s="98" t="s">
        <v>698</v>
      </c>
      <c r="G26" s="37" t="s">
        <v>698</v>
      </c>
      <c r="H26" s="37" t="s">
        <v>698</v>
      </c>
      <c r="I26" s="86"/>
      <c r="J26" s="86"/>
      <c r="K26" s="86" t="s">
        <v>226</v>
      </c>
      <c r="L26" s="86" t="s">
        <v>226</v>
      </c>
      <c r="M26" s="86"/>
      <c r="N26" s="86"/>
      <c r="O26" s="86" t="s">
        <v>226</v>
      </c>
      <c r="P26" s="86"/>
      <c r="Q26" s="86" t="s">
        <v>226</v>
      </c>
      <c r="R26" s="86"/>
      <c r="S26" s="86" t="s">
        <v>226</v>
      </c>
      <c r="T26" s="86"/>
      <c r="U26" s="37" t="s">
        <v>698</v>
      </c>
      <c r="V26" s="22"/>
      <c r="W26" s="22"/>
      <c r="X26" s="22"/>
      <c r="Y26" s="87" t="s">
        <v>1041</v>
      </c>
      <c r="Z26" s="87"/>
      <c r="AA26" s="87"/>
      <c r="AB26" s="87">
        <v>4</v>
      </c>
      <c r="AC26" s="87"/>
      <c r="AD26" s="87"/>
      <c r="AE26" s="87"/>
      <c r="AF26" s="87"/>
      <c r="AG26" s="87"/>
      <c r="AH26" s="87"/>
      <c r="AI26" s="87" t="str">
        <f t="shared" si="4"/>
        <v/>
      </c>
      <c r="AJ26" s="87"/>
      <c r="AK26" s="13">
        <v>11.7</v>
      </c>
      <c r="AL26" s="13">
        <v>1</v>
      </c>
      <c r="AM26" s="38" t="s">
        <v>419</v>
      </c>
      <c r="AN26" s="40" t="s">
        <v>926</v>
      </c>
      <c r="AO26" s="13" t="str">
        <f t="shared" si="5"/>
        <v>[59]</v>
      </c>
      <c r="AP26" s="87"/>
      <c r="AQ26" s="87"/>
      <c r="AR26" s="87"/>
      <c r="AS26" s="87"/>
      <c r="AT26" s="87" t="s">
        <v>226</v>
      </c>
      <c r="AU26" s="87" t="s">
        <v>226</v>
      </c>
      <c r="AV26" s="38"/>
      <c r="AW26" s="38"/>
    </row>
    <row r="27" spans="1:49" ht="80.099999999999994" customHeight="1" x14ac:dyDescent="0.25">
      <c r="A27" s="93">
        <v>24</v>
      </c>
      <c r="B27" s="95" t="s">
        <v>467</v>
      </c>
      <c r="C27" s="36">
        <v>2021</v>
      </c>
      <c r="D27" s="13" t="s">
        <v>204</v>
      </c>
      <c r="E27" s="98" t="s">
        <v>763</v>
      </c>
      <c r="F27" s="98" t="s">
        <v>765</v>
      </c>
      <c r="G27" s="22">
        <v>1</v>
      </c>
      <c r="H27" s="22">
        <v>2</v>
      </c>
      <c r="I27" s="86"/>
      <c r="J27" s="86"/>
      <c r="K27" s="86" t="s">
        <v>226</v>
      </c>
      <c r="L27" s="86" t="s">
        <v>226</v>
      </c>
      <c r="M27" s="86"/>
      <c r="N27" s="86"/>
      <c r="O27" s="86"/>
      <c r="P27" s="86"/>
      <c r="Q27" s="86" t="s">
        <v>226</v>
      </c>
      <c r="R27" s="86" t="s">
        <v>226</v>
      </c>
      <c r="S27" s="86"/>
      <c r="T27" s="86"/>
      <c r="U27" s="37" t="s">
        <v>764</v>
      </c>
      <c r="V27" s="22" t="s">
        <v>226</v>
      </c>
      <c r="W27" s="22" t="s">
        <v>226</v>
      </c>
      <c r="X27" s="22"/>
      <c r="Y27" s="87" t="s">
        <v>1032</v>
      </c>
      <c r="Z27" s="87">
        <v>73</v>
      </c>
      <c r="AA27" s="87"/>
      <c r="AB27" s="87" t="str">
        <f t="shared" ref="AB27:AB50" si="6">IF(AA27&lt;&gt;"", (Z27-AC27)/(AA27-COUNT(AC27)),"")</f>
        <v/>
      </c>
      <c r="AC27" s="87"/>
      <c r="AD27" s="87"/>
      <c r="AE27" s="87">
        <v>21</v>
      </c>
      <c r="AF27" s="87">
        <v>1</v>
      </c>
      <c r="AG27" s="87">
        <v>3</v>
      </c>
      <c r="AH27" s="87">
        <v>50</v>
      </c>
      <c r="AI27" s="87">
        <f t="shared" si="4"/>
        <v>3</v>
      </c>
      <c r="AJ27" s="87">
        <v>50</v>
      </c>
      <c r="AK27" s="13">
        <v>6.7</v>
      </c>
      <c r="AL27" s="13">
        <v>1</v>
      </c>
      <c r="AM27" s="38" t="s">
        <v>419</v>
      </c>
      <c r="AN27" s="40" t="s">
        <v>927</v>
      </c>
      <c r="AO27" s="13" t="str">
        <f t="shared" si="5"/>
        <v>[60]</v>
      </c>
      <c r="AP27" s="87"/>
      <c r="AQ27" s="87"/>
      <c r="AR27" s="87"/>
      <c r="AS27" s="87"/>
      <c r="AT27" s="87" t="s">
        <v>226</v>
      </c>
      <c r="AU27" s="87" t="s">
        <v>226</v>
      </c>
      <c r="AV27" s="38"/>
      <c r="AW27" s="38"/>
    </row>
    <row r="28" spans="1:49" ht="80.099999999999994" customHeight="1" x14ac:dyDescent="0.25">
      <c r="A28" s="93">
        <v>25</v>
      </c>
      <c r="B28" s="95" t="s">
        <v>476</v>
      </c>
      <c r="C28" s="36">
        <v>2016</v>
      </c>
      <c r="D28" s="13" t="s">
        <v>204</v>
      </c>
      <c r="E28" s="98" t="s">
        <v>766</v>
      </c>
      <c r="F28" s="98" t="s">
        <v>756</v>
      </c>
      <c r="G28" s="22">
        <v>0</v>
      </c>
      <c r="H28" s="22">
        <v>0</v>
      </c>
      <c r="I28" s="86"/>
      <c r="J28" s="86"/>
      <c r="K28" s="86" t="s">
        <v>226</v>
      </c>
      <c r="L28" s="86"/>
      <c r="M28" s="86"/>
      <c r="N28" s="86"/>
      <c r="O28" s="86"/>
      <c r="P28" s="86" t="s">
        <v>226</v>
      </c>
      <c r="Q28" s="86"/>
      <c r="R28" s="86"/>
      <c r="S28" s="86"/>
      <c r="T28" s="86"/>
      <c r="U28" s="37" t="s">
        <v>344</v>
      </c>
      <c r="V28" s="22"/>
      <c r="W28" s="22"/>
      <c r="X28" s="22" t="s">
        <v>226</v>
      </c>
      <c r="Y28" s="87" t="s">
        <v>1032</v>
      </c>
      <c r="Z28" s="87">
        <v>44</v>
      </c>
      <c r="AA28" s="87">
        <v>3</v>
      </c>
      <c r="AB28" s="87">
        <f t="shared" si="6"/>
        <v>14.666666666666666</v>
      </c>
      <c r="AC28" s="87"/>
      <c r="AD28" s="100" t="s">
        <v>1037</v>
      </c>
      <c r="AE28" s="87"/>
      <c r="AF28" s="87"/>
      <c r="AG28" s="87">
        <v>2</v>
      </c>
      <c r="AH28" s="87">
        <v>20</v>
      </c>
      <c r="AI28" s="87">
        <f t="shared" si="4"/>
        <v>2</v>
      </c>
      <c r="AJ28" s="87">
        <v>20</v>
      </c>
      <c r="AK28" s="13">
        <v>3.3</v>
      </c>
      <c r="AL28" s="13">
        <v>1</v>
      </c>
      <c r="AM28" s="38" t="s">
        <v>419</v>
      </c>
      <c r="AN28" s="40" t="s">
        <v>928</v>
      </c>
      <c r="AO28" s="13" t="str">
        <f t="shared" si="5"/>
        <v>[61]</v>
      </c>
      <c r="AP28" s="87"/>
      <c r="AQ28" s="87"/>
      <c r="AR28" s="87"/>
      <c r="AS28" s="87"/>
      <c r="AT28" s="87" t="s">
        <v>226</v>
      </c>
      <c r="AU28" s="87" t="s">
        <v>226</v>
      </c>
      <c r="AV28" s="38"/>
      <c r="AW28" s="38"/>
    </row>
    <row r="29" spans="1:49" ht="80.099999999999994" customHeight="1" x14ac:dyDescent="0.25">
      <c r="A29" s="93">
        <v>26</v>
      </c>
      <c r="B29" s="95" t="s">
        <v>481</v>
      </c>
      <c r="C29" s="36">
        <v>2022</v>
      </c>
      <c r="D29" s="13" t="s">
        <v>204</v>
      </c>
      <c r="E29" s="98" t="s">
        <v>767</v>
      </c>
      <c r="F29" s="98" t="s">
        <v>756</v>
      </c>
      <c r="G29" s="22">
        <v>0</v>
      </c>
      <c r="H29" s="22">
        <v>0</v>
      </c>
      <c r="I29" s="86"/>
      <c r="J29" s="86"/>
      <c r="K29" s="86" t="s">
        <v>226</v>
      </c>
      <c r="L29" s="86" t="s">
        <v>226</v>
      </c>
      <c r="M29" s="86"/>
      <c r="N29" s="86"/>
      <c r="O29" s="86"/>
      <c r="P29" s="86"/>
      <c r="Q29" s="86"/>
      <c r="R29" s="86"/>
      <c r="S29" s="86"/>
      <c r="T29" s="86"/>
      <c r="U29" s="37" t="s">
        <v>768</v>
      </c>
      <c r="V29" s="22"/>
      <c r="W29" s="22" t="s">
        <v>226</v>
      </c>
      <c r="X29" s="22" t="s">
        <v>226</v>
      </c>
      <c r="Y29" s="87" t="s">
        <v>1038</v>
      </c>
      <c r="Z29" s="87">
        <v>194</v>
      </c>
      <c r="AA29" s="87"/>
      <c r="AB29" s="87" t="str">
        <f t="shared" si="6"/>
        <v/>
      </c>
      <c r="AC29" s="87"/>
      <c r="AD29" s="87"/>
      <c r="AE29" s="87">
        <v>1</v>
      </c>
      <c r="AF29" s="87"/>
      <c r="AG29" s="87">
        <v>1</v>
      </c>
      <c r="AH29" s="87">
        <v>90</v>
      </c>
      <c r="AI29" s="87">
        <f t="shared" si="4"/>
        <v>1</v>
      </c>
      <c r="AJ29" s="87">
        <v>90</v>
      </c>
      <c r="AK29" s="13">
        <v>2.6</v>
      </c>
      <c r="AL29" s="13">
        <v>1</v>
      </c>
      <c r="AM29" s="38" t="s">
        <v>419</v>
      </c>
      <c r="AN29" s="40" t="s">
        <v>929</v>
      </c>
      <c r="AO29" s="13" t="str">
        <f t="shared" si="5"/>
        <v>[62]</v>
      </c>
      <c r="AP29" s="87"/>
      <c r="AQ29" s="87"/>
      <c r="AR29" s="87"/>
      <c r="AS29" s="87"/>
      <c r="AT29" s="87" t="s">
        <v>226</v>
      </c>
      <c r="AU29" s="87" t="s">
        <v>226</v>
      </c>
      <c r="AV29" s="38"/>
      <c r="AW29" s="38"/>
    </row>
    <row r="30" spans="1:49" ht="80.099999999999994" customHeight="1" x14ac:dyDescent="0.25">
      <c r="A30" s="93">
        <v>27</v>
      </c>
      <c r="B30" s="95" t="s">
        <v>483</v>
      </c>
      <c r="C30" s="36">
        <v>2022</v>
      </c>
      <c r="D30" s="13" t="s">
        <v>204</v>
      </c>
      <c r="E30" s="98" t="s">
        <v>769</v>
      </c>
      <c r="F30" s="98" t="s">
        <v>770</v>
      </c>
      <c r="G30" s="22" t="s">
        <v>698</v>
      </c>
      <c r="H30" s="22" t="s">
        <v>698</v>
      </c>
      <c r="I30" s="86" t="s">
        <v>226</v>
      </c>
      <c r="J30" s="86"/>
      <c r="K30" s="86" t="s">
        <v>226</v>
      </c>
      <c r="L30" s="86" t="s">
        <v>226</v>
      </c>
      <c r="M30" s="86"/>
      <c r="N30" s="86"/>
      <c r="O30" s="86"/>
      <c r="P30" s="86" t="s">
        <v>226</v>
      </c>
      <c r="Q30" s="86"/>
      <c r="R30" s="86"/>
      <c r="S30" s="86"/>
      <c r="T30" s="86"/>
      <c r="U30" s="37" t="s">
        <v>698</v>
      </c>
      <c r="V30" s="22"/>
      <c r="W30" s="22"/>
      <c r="X30" s="22"/>
      <c r="Y30" s="87" t="s">
        <v>1035</v>
      </c>
      <c r="Z30" s="87"/>
      <c r="AA30" s="87"/>
      <c r="AB30" s="87" t="str">
        <f t="shared" si="6"/>
        <v/>
      </c>
      <c r="AC30" s="87"/>
      <c r="AD30" s="87"/>
      <c r="AE30" s="87"/>
      <c r="AF30" s="87"/>
      <c r="AG30" s="87"/>
      <c r="AH30" s="87"/>
      <c r="AI30" s="87" t="str">
        <f t="shared" si="4"/>
        <v/>
      </c>
      <c r="AJ30" s="87"/>
      <c r="AK30" s="13">
        <v>2.6</v>
      </c>
      <c r="AL30" s="13">
        <v>1</v>
      </c>
      <c r="AM30" s="38" t="s">
        <v>419</v>
      </c>
      <c r="AN30" s="40" t="s">
        <v>930</v>
      </c>
      <c r="AO30" s="13" t="str">
        <f t="shared" si="5"/>
        <v>[63]</v>
      </c>
      <c r="AP30" s="87"/>
      <c r="AQ30" s="87"/>
      <c r="AR30" s="87"/>
      <c r="AS30" s="87"/>
      <c r="AT30" s="87" t="s">
        <v>226</v>
      </c>
      <c r="AU30" s="87" t="s">
        <v>226</v>
      </c>
      <c r="AV30" s="38"/>
      <c r="AW30" s="38"/>
    </row>
    <row r="31" spans="1:49" ht="80.099999999999994" customHeight="1" x14ac:dyDescent="0.25">
      <c r="A31" s="93">
        <v>28</v>
      </c>
      <c r="B31" s="95" t="s">
        <v>484</v>
      </c>
      <c r="C31" s="36">
        <v>2021</v>
      </c>
      <c r="D31" s="13" t="s">
        <v>204</v>
      </c>
      <c r="E31" s="98" t="s">
        <v>771</v>
      </c>
      <c r="F31" s="98" t="s">
        <v>773</v>
      </c>
      <c r="G31" s="22">
        <v>1</v>
      </c>
      <c r="H31" s="22">
        <v>3</v>
      </c>
      <c r="I31" s="86"/>
      <c r="J31" s="86"/>
      <c r="K31" s="86" t="s">
        <v>226</v>
      </c>
      <c r="L31" s="86" t="s">
        <v>226</v>
      </c>
      <c r="M31" s="86"/>
      <c r="N31" s="86"/>
      <c r="O31" s="86" t="s">
        <v>226</v>
      </c>
      <c r="P31" s="86"/>
      <c r="Q31" s="86" t="s">
        <v>226</v>
      </c>
      <c r="R31" s="86"/>
      <c r="S31" s="86"/>
      <c r="T31" s="86"/>
      <c r="U31" s="37" t="s">
        <v>772</v>
      </c>
      <c r="V31" s="22"/>
      <c r="W31" s="22" t="s">
        <v>226</v>
      </c>
      <c r="X31" s="22"/>
      <c r="Y31" s="87" t="s">
        <v>1039</v>
      </c>
      <c r="Z31" s="87">
        <v>15</v>
      </c>
      <c r="AA31" s="87"/>
      <c r="AB31" s="87" t="str">
        <f t="shared" si="6"/>
        <v/>
      </c>
      <c r="AC31" s="87"/>
      <c r="AD31" s="87"/>
      <c r="AE31" s="87">
        <v>1</v>
      </c>
      <c r="AF31" s="87"/>
      <c r="AG31" s="87">
        <v>1</v>
      </c>
      <c r="AH31" s="87">
        <v>150</v>
      </c>
      <c r="AI31" s="87">
        <f t="shared" si="4"/>
        <v>1</v>
      </c>
      <c r="AJ31" s="87">
        <v>150</v>
      </c>
      <c r="AK31" s="13">
        <v>1.7</v>
      </c>
      <c r="AL31" s="13">
        <v>1</v>
      </c>
      <c r="AM31" s="38" t="s">
        <v>419</v>
      </c>
      <c r="AN31" s="40" t="s">
        <v>931</v>
      </c>
      <c r="AO31" s="13" t="str">
        <f t="shared" si="5"/>
        <v>[64]</v>
      </c>
      <c r="AP31" s="87"/>
      <c r="AQ31" s="87"/>
      <c r="AR31" s="87"/>
      <c r="AS31" s="87"/>
      <c r="AT31" s="87" t="s">
        <v>226</v>
      </c>
      <c r="AU31" s="87" t="s">
        <v>226</v>
      </c>
      <c r="AV31" s="38"/>
      <c r="AW31" s="38"/>
    </row>
    <row r="32" spans="1:49" ht="80.099999999999994" customHeight="1" x14ac:dyDescent="0.25">
      <c r="A32" s="93">
        <v>29</v>
      </c>
      <c r="B32" s="95" t="s">
        <v>485</v>
      </c>
      <c r="C32" s="36">
        <v>2021</v>
      </c>
      <c r="D32" s="13" t="s">
        <v>204</v>
      </c>
      <c r="E32" s="98" t="s">
        <v>775</v>
      </c>
      <c r="F32" s="98" t="s">
        <v>776</v>
      </c>
      <c r="G32" s="22">
        <v>1</v>
      </c>
      <c r="H32" s="22">
        <v>2</v>
      </c>
      <c r="I32" s="86"/>
      <c r="J32" s="86" t="s">
        <v>226</v>
      </c>
      <c r="K32" s="86" t="s">
        <v>226</v>
      </c>
      <c r="L32" s="86" t="s">
        <v>226</v>
      </c>
      <c r="M32" s="86"/>
      <c r="N32" s="86"/>
      <c r="O32" s="86" t="s">
        <v>226</v>
      </c>
      <c r="P32" s="86"/>
      <c r="Q32" s="86"/>
      <c r="R32" s="86"/>
      <c r="S32" s="86"/>
      <c r="T32" s="86"/>
      <c r="U32" s="37" t="s">
        <v>774</v>
      </c>
      <c r="V32" s="22" t="s">
        <v>226</v>
      </c>
      <c r="W32" s="22" t="s">
        <v>226</v>
      </c>
      <c r="X32" s="22"/>
      <c r="Y32" s="87" t="s">
        <v>1040</v>
      </c>
      <c r="Z32" s="87"/>
      <c r="AA32" s="87"/>
      <c r="AB32" s="87" t="str">
        <f t="shared" si="6"/>
        <v/>
      </c>
      <c r="AC32" s="87"/>
      <c r="AD32" s="87"/>
      <c r="AE32" s="87">
        <v>70</v>
      </c>
      <c r="AF32" s="87">
        <v>1</v>
      </c>
      <c r="AG32" s="87">
        <v>10</v>
      </c>
      <c r="AH32" s="87">
        <v>60</v>
      </c>
      <c r="AI32" s="87">
        <f t="shared" si="4"/>
        <v>10</v>
      </c>
      <c r="AJ32" s="87">
        <v>60</v>
      </c>
      <c r="AK32" s="13">
        <v>3.3</v>
      </c>
      <c r="AL32" s="13">
        <v>1</v>
      </c>
      <c r="AM32" s="38" t="s">
        <v>419</v>
      </c>
      <c r="AN32" s="40" t="s">
        <v>932</v>
      </c>
      <c r="AO32" s="13" t="str">
        <f t="shared" si="5"/>
        <v>[65]</v>
      </c>
      <c r="AP32" s="87"/>
      <c r="AQ32" s="87"/>
      <c r="AR32" s="87"/>
      <c r="AS32" s="87"/>
      <c r="AT32" s="87" t="s">
        <v>226</v>
      </c>
      <c r="AU32" s="87" t="s">
        <v>226</v>
      </c>
      <c r="AV32" s="38"/>
      <c r="AW32" s="38"/>
    </row>
    <row r="33" spans="1:49" ht="80.099999999999994" customHeight="1" x14ac:dyDescent="0.25">
      <c r="A33" s="93">
        <v>30</v>
      </c>
      <c r="B33" s="95" t="s">
        <v>486</v>
      </c>
      <c r="C33" s="36">
        <v>2021</v>
      </c>
      <c r="D33" s="13" t="s">
        <v>204</v>
      </c>
      <c r="E33" s="98" t="s">
        <v>777</v>
      </c>
      <c r="F33" s="98" t="s">
        <v>779</v>
      </c>
      <c r="G33" s="22">
        <v>1</v>
      </c>
      <c r="H33" s="22">
        <v>1</v>
      </c>
      <c r="I33" s="86"/>
      <c r="J33" s="86" t="s">
        <v>226</v>
      </c>
      <c r="K33" s="86" t="s">
        <v>226</v>
      </c>
      <c r="L33" s="86"/>
      <c r="M33" s="86"/>
      <c r="N33" s="86"/>
      <c r="O33" s="86" t="s">
        <v>226</v>
      </c>
      <c r="P33" s="86"/>
      <c r="Q33" s="86" t="s">
        <v>226</v>
      </c>
      <c r="R33" s="86"/>
      <c r="S33" s="86"/>
      <c r="T33" s="86"/>
      <c r="U33" s="37" t="s">
        <v>778</v>
      </c>
      <c r="V33" s="22"/>
      <c r="W33" s="22"/>
      <c r="X33" s="22" t="s">
        <v>226</v>
      </c>
      <c r="Y33" s="87" t="s">
        <v>1035</v>
      </c>
      <c r="Z33" s="87">
        <v>103</v>
      </c>
      <c r="AA33" s="87"/>
      <c r="AB33" s="87" t="str">
        <f t="shared" si="6"/>
        <v/>
      </c>
      <c r="AC33" s="87"/>
      <c r="AD33" s="87"/>
      <c r="AE33" s="87">
        <v>1</v>
      </c>
      <c r="AF33" s="87"/>
      <c r="AG33" s="87">
        <v>1</v>
      </c>
      <c r="AH33" s="87"/>
      <c r="AI33" s="87">
        <f t="shared" si="4"/>
        <v>1</v>
      </c>
      <c r="AJ33" s="87"/>
      <c r="AK33" s="13">
        <v>4</v>
      </c>
      <c r="AL33" s="13">
        <v>1</v>
      </c>
      <c r="AM33" s="38" t="s">
        <v>419</v>
      </c>
      <c r="AN33" s="40" t="s">
        <v>933</v>
      </c>
      <c r="AO33" s="13" t="str">
        <f t="shared" si="5"/>
        <v>[66]</v>
      </c>
      <c r="AP33" s="87"/>
      <c r="AQ33" s="87"/>
      <c r="AR33" s="87"/>
      <c r="AS33" s="87"/>
      <c r="AT33" s="87" t="s">
        <v>226</v>
      </c>
      <c r="AU33" s="87" t="s">
        <v>226</v>
      </c>
      <c r="AV33" s="38"/>
      <c r="AW33" s="38"/>
    </row>
    <row r="34" spans="1:49" ht="80.099999999999994" customHeight="1" x14ac:dyDescent="0.25">
      <c r="A34" s="93">
        <v>31</v>
      </c>
      <c r="B34" s="95" t="s">
        <v>506</v>
      </c>
      <c r="C34" s="36">
        <v>2018</v>
      </c>
      <c r="D34" s="13" t="s">
        <v>204</v>
      </c>
      <c r="E34" s="98" t="s">
        <v>780</v>
      </c>
      <c r="F34" s="98" t="s">
        <v>781</v>
      </c>
      <c r="G34" s="22">
        <v>1</v>
      </c>
      <c r="H34" s="22">
        <v>1</v>
      </c>
      <c r="I34" s="86"/>
      <c r="J34" s="86"/>
      <c r="K34" s="86" t="s">
        <v>226</v>
      </c>
      <c r="L34" s="86" t="s">
        <v>226</v>
      </c>
      <c r="M34" s="86"/>
      <c r="N34" s="86"/>
      <c r="O34" s="86" t="s">
        <v>226</v>
      </c>
      <c r="P34" s="86"/>
      <c r="Q34" s="86"/>
      <c r="R34" s="86"/>
      <c r="S34" s="86"/>
      <c r="T34" s="86"/>
      <c r="U34" s="37" t="s">
        <v>778</v>
      </c>
      <c r="V34" s="22"/>
      <c r="W34" s="22"/>
      <c r="X34" s="22" t="s">
        <v>226</v>
      </c>
      <c r="Y34" s="87" t="s">
        <v>1041</v>
      </c>
      <c r="Z34" s="87">
        <v>341</v>
      </c>
      <c r="AA34" s="87"/>
      <c r="AB34" s="87" t="str">
        <f t="shared" si="6"/>
        <v/>
      </c>
      <c r="AC34" s="87"/>
      <c r="AD34" s="87"/>
      <c r="AE34" s="87">
        <v>1095</v>
      </c>
      <c r="AF34" s="87">
        <f>AG34/(AE34/7)</f>
        <v>8.9497716894977181E-2</v>
      </c>
      <c r="AG34" s="87">
        <v>14</v>
      </c>
      <c r="AH34" s="87"/>
      <c r="AI34" s="87">
        <v>1</v>
      </c>
      <c r="AJ34" s="87"/>
      <c r="AK34" s="13">
        <v>1.4</v>
      </c>
      <c r="AL34" s="13">
        <v>1</v>
      </c>
      <c r="AM34" s="38" t="s">
        <v>419</v>
      </c>
      <c r="AN34" s="40" t="s">
        <v>934</v>
      </c>
      <c r="AO34" s="13" t="str">
        <f t="shared" si="5"/>
        <v>[67]</v>
      </c>
      <c r="AP34" s="87"/>
      <c r="AQ34" s="87"/>
      <c r="AR34" s="87"/>
      <c r="AS34" s="87"/>
      <c r="AT34" s="87" t="s">
        <v>226</v>
      </c>
      <c r="AU34" s="87" t="s">
        <v>226</v>
      </c>
      <c r="AV34" s="38"/>
      <c r="AW34" s="38"/>
    </row>
    <row r="35" spans="1:49" ht="80.099999999999994" customHeight="1" x14ac:dyDescent="0.25">
      <c r="A35" s="93">
        <v>32</v>
      </c>
      <c r="B35" s="95" t="s">
        <v>509</v>
      </c>
      <c r="C35" s="36">
        <v>2015</v>
      </c>
      <c r="D35" s="13" t="s">
        <v>204</v>
      </c>
      <c r="E35" s="98" t="s">
        <v>782</v>
      </c>
      <c r="F35" s="98" t="s">
        <v>784</v>
      </c>
      <c r="G35" s="22">
        <v>1</v>
      </c>
      <c r="H35" s="22">
        <v>2</v>
      </c>
      <c r="I35" s="86"/>
      <c r="J35" s="86"/>
      <c r="K35" s="86" t="s">
        <v>226</v>
      </c>
      <c r="L35" s="86" t="s">
        <v>226</v>
      </c>
      <c r="M35" s="86"/>
      <c r="N35" s="86"/>
      <c r="O35" s="86"/>
      <c r="P35" s="86"/>
      <c r="Q35" s="86"/>
      <c r="R35" s="86"/>
      <c r="S35" s="86"/>
      <c r="T35" s="86"/>
      <c r="U35" s="37" t="s">
        <v>783</v>
      </c>
      <c r="V35" s="22" t="s">
        <v>226</v>
      </c>
      <c r="W35" s="22"/>
      <c r="X35" s="22" t="s">
        <v>226</v>
      </c>
      <c r="Y35" s="87" t="s">
        <v>1043</v>
      </c>
      <c r="Z35" s="87">
        <v>160</v>
      </c>
      <c r="AA35" s="87">
        <v>3</v>
      </c>
      <c r="AB35" s="87">
        <f t="shared" si="6"/>
        <v>40</v>
      </c>
      <c r="AC35" s="87">
        <v>80</v>
      </c>
      <c r="AD35" s="87" t="s">
        <v>1033</v>
      </c>
      <c r="AE35" s="87">
        <v>84</v>
      </c>
      <c r="AF35" s="87">
        <f>AG35/(AE35/7)</f>
        <v>0.33333333333333331</v>
      </c>
      <c r="AG35" s="87">
        <v>4</v>
      </c>
      <c r="AH35" s="87"/>
      <c r="AI35" s="87">
        <v>2</v>
      </c>
      <c r="AJ35" s="87"/>
      <c r="AK35" s="13">
        <v>41.7</v>
      </c>
      <c r="AL35" s="13">
        <v>1</v>
      </c>
      <c r="AM35" s="38" t="s">
        <v>419</v>
      </c>
      <c r="AN35" s="40" t="s">
        <v>935</v>
      </c>
      <c r="AO35" s="13" t="str">
        <f t="shared" si="5"/>
        <v>[68]</v>
      </c>
      <c r="AP35" s="87"/>
      <c r="AQ35" s="87"/>
      <c r="AR35" s="87"/>
      <c r="AS35" s="87"/>
      <c r="AT35" s="87" t="s">
        <v>226</v>
      </c>
      <c r="AU35" s="87" t="s">
        <v>226</v>
      </c>
      <c r="AV35" s="38"/>
      <c r="AW35" s="38"/>
    </row>
    <row r="36" spans="1:49" ht="80.099999999999994" customHeight="1" x14ac:dyDescent="0.25">
      <c r="A36" s="93">
        <v>33</v>
      </c>
      <c r="B36" s="95" t="s">
        <v>511</v>
      </c>
      <c r="C36" s="36">
        <v>2014</v>
      </c>
      <c r="D36" s="13" t="s">
        <v>204</v>
      </c>
      <c r="E36" s="98" t="s">
        <v>785</v>
      </c>
      <c r="F36" s="98" t="s">
        <v>787</v>
      </c>
      <c r="G36" s="22">
        <v>0</v>
      </c>
      <c r="H36" s="22">
        <v>0</v>
      </c>
      <c r="I36" s="86" t="s">
        <v>226</v>
      </c>
      <c r="J36" s="86" t="s">
        <v>226</v>
      </c>
      <c r="K36" s="86"/>
      <c r="L36" s="86"/>
      <c r="M36" s="86"/>
      <c r="N36" s="86"/>
      <c r="O36" s="86"/>
      <c r="P36" s="86"/>
      <c r="Q36" s="86"/>
      <c r="R36" s="86"/>
      <c r="S36" s="86"/>
      <c r="T36" s="86"/>
      <c r="U36" s="37" t="s">
        <v>786</v>
      </c>
      <c r="V36" s="22"/>
      <c r="W36" s="22" t="s">
        <v>226</v>
      </c>
      <c r="X36" s="22"/>
      <c r="Y36" s="87" t="s">
        <v>1031</v>
      </c>
      <c r="Z36" s="87">
        <v>246</v>
      </c>
      <c r="AA36" s="87"/>
      <c r="AB36" s="87" t="str">
        <f t="shared" si="6"/>
        <v/>
      </c>
      <c r="AC36" s="87"/>
      <c r="AD36" s="87"/>
      <c r="AE36" s="87"/>
      <c r="AF36" s="87"/>
      <c r="AG36" s="87"/>
      <c r="AH36" s="87"/>
      <c r="AI36" s="87" t="str">
        <f t="shared" ref="AI36:AI47" si="7">IF(AG36&lt;&gt;"",AG36,"")</f>
        <v/>
      </c>
      <c r="AJ36" s="87"/>
      <c r="AK36" s="13">
        <v>2.1</v>
      </c>
      <c r="AL36" s="13">
        <v>1</v>
      </c>
      <c r="AM36" s="38" t="s">
        <v>419</v>
      </c>
      <c r="AN36" s="40" t="s">
        <v>936</v>
      </c>
      <c r="AO36" s="13" t="str">
        <f t="shared" si="5"/>
        <v>[69]</v>
      </c>
      <c r="AP36" s="87"/>
      <c r="AQ36" s="87"/>
      <c r="AR36" s="87"/>
      <c r="AS36" s="87"/>
      <c r="AT36" s="87" t="s">
        <v>226</v>
      </c>
      <c r="AU36" s="87" t="s">
        <v>226</v>
      </c>
      <c r="AV36" s="38"/>
      <c r="AW36" s="38"/>
    </row>
    <row r="37" spans="1:49" ht="80.099999999999994" customHeight="1" x14ac:dyDescent="0.25">
      <c r="A37" s="93">
        <v>34</v>
      </c>
      <c r="B37" s="95" t="s">
        <v>525</v>
      </c>
      <c r="C37" s="36">
        <v>2020</v>
      </c>
      <c r="D37" s="13" t="s">
        <v>204</v>
      </c>
      <c r="E37" s="98" t="s">
        <v>788</v>
      </c>
      <c r="F37" s="98" t="s">
        <v>790</v>
      </c>
      <c r="G37" s="22">
        <v>1</v>
      </c>
      <c r="H37" s="22">
        <v>2</v>
      </c>
      <c r="I37" s="86"/>
      <c r="J37" s="86" t="s">
        <v>226</v>
      </c>
      <c r="K37" s="86" t="s">
        <v>226</v>
      </c>
      <c r="L37" s="86"/>
      <c r="M37" s="86"/>
      <c r="N37" s="86" t="s">
        <v>226</v>
      </c>
      <c r="O37" s="86" t="s">
        <v>226</v>
      </c>
      <c r="P37" s="86"/>
      <c r="Q37" s="86"/>
      <c r="R37" s="86"/>
      <c r="S37" s="86"/>
      <c r="T37" s="86" t="s">
        <v>226</v>
      </c>
      <c r="U37" s="37" t="s">
        <v>786</v>
      </c>
      <c r="V37" s="22"/>
      <c r="W37" s="22" t="s">
        <v>226</v>
      </c>
      <c r="X37" s="22"/>
      <c r="Y37" s="87" t="s">
        <v>1031</v>
      </c>
      <c r="Z37" s="87">
        <v>362</v>
      </c>
      <c r="AA37" s="87">
        <v>5</v>
      </c>
      <c r="AB37" s="87">
        <f t="shared" si="6"/>
        <v>87</v>
      </c>
      <c r="AC37" s="87">
        <v>14</v>
      </c>
      <c r="AD37" s="87" t="s">
        <v>1118</v>
      </c>
      <c r="AE37" s="87">
        <v>730</v>
      </c>
      <c r="AF37" s="87"/>
      <c r="AG37" s="87"/>
      <c r="AH37" s="87"/>
      <c r="AI37" s="87" t="str">
        <f t="shared" si="7"/>
        <v/>
      </c>
      <c r="AJ37" s="87"/>
      <c r="AK37" s="13">
        <v>18.600000000000001</v>
      </c>
      <c r="AL37" s="13">
        <v>1.08</v>
      </c>
      <c r="AM37" s="38" t="s">
        <v>521</v>
      </c>
      <c r="AN37" s="39" t="s">
        <v>938</v>
      </c>
      <c r="AO37" s="13" t="str">
        <f t="shared" si="5"/>
        <v>[70]</v>
      </c>
      <c r="AP37" s="87"/>
      <c r="AQ37" s="87"/>
      <c r="AR37" s="87"/>
      <c r="AS37" s="87" t="s">
        <v>226</v>
      </c>
      <c r="AT37" s="87" t="s">
        <v>226</v>
      </c>
      <c r="AU37" s="87" t="s">
        <v>226</v>
      </c>
      <c r="AV37" s="38" t="s">
        <v>789</v>
      </c>
      <c r="AW37" s="38"/>
    </row>
    <row r="38" spans="1:49" ht="80.099999999999994" customHeight="1" x14ac:dyDescent="0.25">
      <c r="A38" s="93">
        <v>35</v>
      </c>
      <c r="B38" s="95" t="s">
        <v>528</v>
      </c>
      <c r="C38" s="36">
        <v>2018</v>
      </c>
      <c r="D38" s="13" t="s">
        <v>204</v>
      </c>
      <c r="E38" s="98" t="s">
        <v>792</v>
      </c>
      <c r="F38" s="98" t="s">
        <v>791</v>
      </c>
      <c r="G38" s="22">
        <v>1</v>
      </c>
      <c r="H38" s="22">
        <v>1</v>
      </c>
      <c r="I38" s="86"/>
      <c r="J38" s="86"/>
      <c r="K38" s="86" t="s">
        <v>226</v>
      </c>
      <c r="L38" s="86" t="s">
        <v>226</v>
      </c>
      <c r="M38" s="86"/>
      <c r="N38" s="86"/>
      <c r="O38" s="86"/>
      <c r="P38" s="86"/>
      <c r="Q38" s="86"/>
      <c r="R38" s="86"/>
      <c r="S38" s="86"/>
      <c r="T38" s="86"/>
      <c r="U38" s="37" t="s">
        <v>786</v>
      </c>
      <c r="V38" s="22"/>
      <c r="W38" s="22" t="s">
        <v>226</v>
      </c>
      <c r="X38" s="22"/>
      <c r="Y38" s="87" t="s">
        <v>1031</v>
      </c>
      <c r="Z38" s="87">
        <v>153</v>
      </c>
      <c r="AA38" s="87">
        <v>2</v>
      </c>
      <c r="AB38" s="87">
        <f t="shared" si="6"/>
        <v>76.5</v>
      </c>
      <c r="AC38" s="87"/>
      <c r="AD38" s="87"/>
      <c r="AE38" s="87">
        <v>1</v>
      </c>
      <c r="AF38" s="87">
        <v>3</v>
      </c>
      <c r="AG38" s="87">
        <v>3</v>
      </c>
      <c r="AH38" s="87">
        <v>45</v>
      </c>
      <c r="AI38" s="87">
        <f t="shared" si="7"/>
        <v>3</v>
      </c>
      <c r="AJ38" s="87">
        <v>45</v>
      </c>
      <c r="AK38" s="13">
        <v>21.8</v>
      </c>
      <c r="AL38" s="13">
        <v>1.08</v>
      </c>
      <c r="AM38" s="38" t="s">
        <v>521</v>
      </c>
      <c r="AN38" s="39" t="s">
        <v>937</v>
      </c>
      <c r="AO38" s="13" t="str">
        <f t="shared" si="5"/>
        <v>[71]</v>
      </c>
      <c r="AP38" s="87"/>
      <c r="AQ38" s="87"/>
      <c r="AR38" s="87"/>
      <c r="AS38" s="87" t="s">
        <v>226</v>
      </c>
      <c r="AT38" s="87" t="s">
        <v>226</v>
      </c>
      <c r="AU38" s="87" t="s">
        <v>226</v>
      </c>
      <c r="AV38" s="38"/>
      <c r="AW38" s="38"/>
    </row>
    <row r="39" spans="1:49" ht="80.099999999999994" customHeight="1" x14ac:dyDescent="0.25">
      <c r="A39" s="93">
        <v>36</v>
      </c>
      <c r="B39" s="95" t="s">
        <v>529</v>
      </c>
      <c r="C39" s="36">
        <v>2022</v>
      </c>
      <c r="D39" s="13" t="s">
        <v>204</v>
      </c>
      <c r="E39" s="98" t="s">
        <v>793</v>
      </c>
      <c r="F39" s="98" t="s">
        <v>794</v>
      </c>
      <c r="G39" s="22">
        <v>1</v>
      </c>
      <c r="H39" s="22">
        <v>2</v>
      </c>
      <c r="I39" s="86"/>
      <c r="J39" s="86"/>
      <c r="K39" s="86" t="s">
        <v>226</v>
      </c>
      <c r="L39" s="86" t="s">
        <v>226</v>
      </c>
      <c r="M39" s="86"/>
      <c r="N39" s="86"/>
      <c r="O39" s="86"/>
      <c r="P39" s="86"/>
      <c r="Q39" s="86" t="s">
        <v>226</v>
      </c>
      <c r="R39" s="86" t="s">
        <v>226</v>
      </c>
      <c r="S39" s="86"/>
      <c r="T39" s="86"/>
      <c r="U39" s="37" t="s">
        <v>796</v>
      </c>
      <c r="V39" s="22"/>
      <c r="W39" s="22" t="s">
        <v>226</v>
      </c>
      <c r="X39" s="22" t="s">
        <v>226</v>
      </c>
      <c r="Y39" s="87" t="s">
        <v>1024</v>
      </c>
      <c r="Z39" s="87">
        <v>108</v>
      </c>
      <c r="AA39" s="87">
        <v>9</v>
      </c>
      <c r="AB39" s="87">
        <f t="shared" si="6"/>
        <v>12</v>
      </c>
      <c r="AC39" s="87"/>
      <c r="AD39" s="87"/>
      <c r="AE39" s="87">
        <v>28</v>
      </c>
      <c r="AF39" s="87">
        <f>AG39/(AE39/7)</f>
        <v>0.25</v>
      </c>
      <c r="AG39" s="87">
        <v>1</v>
      </c>
      <c r="AH39" s="87">
        <v>20</v>
      </c>
      <c r="AI39" s="87">
        <f t="shared" si="7"/>
        <v>1</v>
      </c>
      <c r="AJ39" s="87">
        <v>20</v>
      </c>
      <c r="AK39" s="13">
        <v>2.5</v>
      </c>
      <c r="AL39" s="13">
        <v>1.08</v>
      </c>
      <c r="AM39" s="38" t="s">
        <v>521</v>
      </c>
      <c r="AN39" s="39" t="s">
        <v>939</v>
      </c>
      <c r="AO39" s="13" t="str">
        <f t="shared" si="5"/>
        <v>[72]</v>
      </c>
      <c r="AP39" s="87"/>
      <c r="AQ39" s="87"/>
      <c r="AR39" s="87"/>
      <c r="AS39" s="87" t="s">
        <v>226</v>
      </c>
      <c r="AT39" s="87" t="s">
        <v>226</v>
      </c>
      <c r="AU39" s="87" t="s">
        <v>226</v>
      </c>
      <c r="AV39" s="38"/>
      <c r="AW39" s="38"/>
    </row>
    <row r="40" spans="1:49" ht="80.099999999999994" customHeight="1" x14ac:dyDescent="0.25">
      <c r="A40" s="93">
        <v>37</v>
      </c>
      <c r="B40" s="95" t="s">
        <v>532</v>
      </c>
      <c r="C40" s="36">
        <v>2014</v>
      </c>
      <c r="D40" s="13" t="s">
        <v>204</v>
      </c>
      <c r="E40" s="98" t="s">
        <v>795</v>
      </c>
      <c r="F40" s="98" t="s">
        <v>797</v>
      </c>
      <c r="G40" s="22">
        <v>1</v>
      </c>
      <c r="H40" s="22">
        <v>1</v>
      </c>
      <c r="I40" s="86" t="s">
        <v>226</v>
      </c>
      <c r="J40" s="86"/>
      <c r="K40" s="86"/>
      <c r="L40" s="86"/>
      <c r="M40" s="86"/>
      <c r="N40" s="86"/>
      <c r="O40" s="86"/>
      <c r="P40" s="86"/>
      <c r="Q40" s="86"/>
      <c r="R40" s="86"/>
      <c r="S40" s="86"/>
      <c r="T40" s="86"/>
      <c r="U40" s="37" t="s">
        <v>798</v>
      </c>
      <c r="V40" s="22"/>
      <c r="W40" s="22"/>
      <c r="X40" s="22"/>
      <c r="Y40" s="87" t="s">
        <v>1031</v>
      </c>
      <c r="Z40" s="87">
        <v>86</v>
      </c>
      <c r="AA40" s="87">
        <v>2</v>
      </c>
      <c r="AB40" s="87">
        <f t="shared" si="6"/>
        <v>42</v>
      </c>
      <c r="AC40" s="87">
        <v>44</v>
      </c>
      <c r="AD40" s="87" t="s">
        <v>1033</v>
      </c>
      <c r="AE40" s="87">
        <v>180</v>
      </c>
      <c r="AF40" s="87"/>
      <c r="AG40" s="87"/>
      <c r="AH40" s="87"/>
      <c r="AI40" s="87" t="str">
        <f t="shared" si="7"/>
        <v/>
      </c>
      <c r="AJ40" s="87"/>
      <c r="AK40" s="13">
        <v>195</v>
      </c>
      <c r="AL40" s="13">
        <v>1.08</v>
      </c>
      <c r="AM40" s="38" t="s">
        <v>521</v>
      </c>
      <c r="AN40" s="39" t="s">
        <v>940</v>
      </c>
      <c r="AO40" s="13" t="str">
        <f t="shared" si="5"/>
        <v>[73]</v>
      </c>
      <c r="AP40" s="87"/>
      <c r="AQ40" s="87"/>
      <c r="AR40" s="87"/>
      <c r="AS40" s="87" t="s">
        <v>226</v>
      </c>
      <c r="AT40" s="87" t="s">
        <v>226</v>
      </c>
      <c r="AU40" s="87" t="s">
        <v>226</v>
      </c>
      <c r="AV40" s="38"/>
      <c r="AW40" s="38"/>
    </row>
    <row r="41" spans="1:49" ht="80.099999999999994" customHeight="1" x14ac:dyDescent="0.25">
      <c r="A41" s="93">
        <v>38</v>
      </c>
      <c r="B41" s="95" t="s">
        <v>533</v>
      </c>
      <c r="C41" s="36">
        <v>2022</v>
      </c>
      <c r="D41" s="13" t="s">
        <v>204</v>
      </c>
      <c r="E41" s="98" t="s">
        <v>799</v>
      </c>
      <c r="F41" s="98" t="s">
        <v>800</v>
      </c>
      <c r="G41" s="22">
        <v>1</v>
      </c>
      <c r="H41" s="22">
        <v>2</v>
      </c>
      <c r="I41" s="86"/>
      <c r="J41" s="86"/>
      <c r="K41" s="86" t="s">
        <v>226</v>
      </c>
      <c r="L41" s="86" t="s">
        <v>226</v>
      </c>
      <c r="M41" s="86" t="s">
        <v>226</v>
      </c>
      <c r="N41" s="86"/>
      <c r="O41" s="86"/>
      <c r="P41" s="86" t="s">
        <v>226</v>
      </c>
      <c r="Q41" s="86"/>
      <c r="R41" s="86"/>
      <c r="S41" s="86"/>
      <c r="T41" s="86"/>
      <c r="U41" s="37" t="s">
        <v>796</v>
      </c>
      <c r="V41" s="22"/>
      <c r="W41" s="22" t="s">
        <v>226</v>
      </c>
      <c r="X41" s="22" t="s">
        <v>226</v>
      </c>
      <c r="Y41" s="87" t="s">
        <v>1024</v>
      </c>
      <c r="Z41" s="87">
        <v>14</v>
      </c>
      <c r="AA41" s="87"/>
      <c r="AB41" s="87" t="str">
        <f t="shared" si="6"/>
        <v/>
      </c>
      <c r="AC41" s="87"/>
      <c r="AD41" s="87"/>
      <c r="AE41" s="87">
        <v>14</v>
      </c>
      <c r="AF41" s="87"/>
      <c r="AG41" s="87"/>
      <c r="AH41" s="87"/>
      <c r="AI41" s="87" t="str">
        <f t="shared" si="7"/>
        <v/>
      </c>
      <c r="AJ41" s="87"/>
      <c r="AK41" s="13">
        <v>0.6</v>
      </c>
      <c r="AL41" s="13">
        <v>1.08</v>
      </c>
      <c r="AM41" s="38" t="s">
        <v>521</v>
      </c>
      <c r="AN41" s="39" t="s">
        <v>941</v>
      </c>
      <c r="AO41" s="13" t="str">
        <f t="shared" si="5"/>
        <v>[74]</v>
      </c>
      <c r="AP41" s="87"/>
      <c r="AQ41" s="87"/>
      <c r="AR41" s="87"/>
      <c r="AS41" s="87" t="s">
        <v>226</v>
      </c>
      <c r="AT41" s="87" t="s">
        <v>226</v>
      </c>
      <c r="AU41" s="87" t="s">
        <v>226</v>
      </c>
      <c r="AV41" s="38"/>
      <c r="AW41" s="38" t="s">
        <v>1058</v>
      </c>
    </row>
    <row r="42" spans="1:49" ht="80.099999999999994" customHeight="1" x14ac:dyDescent="0.25">
      <c r="A42" s="93">
        <v>39</v>
      </c>
      <c r="B42" s="95" t="s">
        <v>541</v>
      </c>
      <c r="C42" s="36">
        <v>2019</v>
      </c>
      <c r="D42" s="13" t="s">
        <v>204</v>
      </c>
      <c r="E42" s="98" t="s">
        <v>801</v>
      </c>
      <c r="F42" s="98" t="s">
        <v>803</v>
      </c>
      <c r="G42" s="22">
        <v>0</v>
      </c>
      <c r="H42" s="22">
        <v>0</v>
      </c>
      <c r="I42" s="86" t="s">
        <v>226</v>
      </c>
      <c r="J42" s="86"/>
      <c r="K42" s="86" t="s">
        <v>226</v>
      </c>
      <c r="L42" s="86" t="s">
        <v>226</v>
      </c>
      <c r="M42" s="86" t="s">
        <v>226</v>
      </c>
      <c r="N42" s="86"/>
      <c r="O42" s="86"/>
      <c r="P42" s="86" t="s">
        <v>226</v>
      </c>
      <c r="Q42" s="86"/>
      <c r="R42" s="86"/>
      <c r="S42" s="86"/>
      <c r="T42" s="86"/>
      <c r="U42" s="37" t="s">
        <v>802</v>
      </c>
      <c r="V42" s="22"/>
      <c r="W42" s="22" t="s">
        <v>226</v>
      </c>
      <c r="X42" s="22"/>
      <c r="Y42" s="87" t="s">
        <v>1024</v>
      </c>
      <c r="Z42" s="87">
        <v>10</v>
      </c>
      <c r="AA42" s="87"/>
      <c r="AB42" s="87" t="str">
        <f t="shared" si="6"/>
        <v/>
      </c>
      <c r="AC42" s="87"/>
      <c r="AD42" s="87"/>
      <c r="AE42" s="87">
        <v>1</v>
      </c>
      <c r="AF42" s="87"/>
      <c r="AG42" s="87">
        <v>1</v>
      </c>
      <c r="AH42" s="87">
        <v>35</v>
      </c>
      <c r="AI42" s="87">
        <f t="shared" si="7"/>
        <v>1</v>
      </c>
      <c r="AJ42" s="87">
        <v>35</v>
      </c>
      <c r="AK42" s="13">
        <v>20.6</v>
      </c>
      <c r="AL42" s="13">
        <v>1.08</v>
      </c>
      <c r="AM42" s="38" t="s">
        <v>521</v>
      </c>
      <c r="AN42" s="39" t="s">
        <v>942</v>
      </c>
      <c r="AO42" s="13" t="str">
        <f t="shared" si="5"/>
        <v>[75]</v>
      </c>
      <c r="AP42" s="87"/>
      <c r="AQ42" s="87"/>
      <c r="AR42" s="87"/>
      <c r="AS42" s="87" t="s">
        <v>226</v>
      </c>
      <c r="AT42" s="87" t="s">
        <v>226</v>
      </c>
      <c r="AU42" s="87" t="s">
        <v>226</v>
      </c>
      <c r="AV42" s="38"/>
      <c r="AW42" s="38"/>
    </row>
    <row r="43" spans="1:49" ht="80.099999999999994" customHeight="1" x14ac:dyDescent="0.25">
      <c r="A43" s="93">
        <v>40</v>
      </c>
      <c r="B43" s="95" t="s">
        <v>547</v>
      </c>
      <c r="C43" s="36">
        <v>2019</v>
      </c>
      <c r="D43" s="13" t="s">
        <v>204</v>
      </c>
      <c r="E43" s="98" t="s">
        <v>804</v>
      </c>
      <c r="F43" s="98" t="s">
        <v>805</v>
      </c>
      <c r="G43" s="22">
        <v>1</v>
      </c>
      <c r="H43" s="22">
        <v>2</v>
      </c>
      <c r="I43" s="86" t="s">
        <v>226</v>
      </c>
      <c r="J43" s="86"/>
      <c r="K43" s="86"/>
      <c r="L43" s="86"/>
      <c r="M43" s="86" t="s">
        <v>226</v>
      </c>
      <c r="N43" s="86"/>
      <c r="O43" s="86"/>
      <c r="P43" s="86" t="s">
        <v>226</v>
      </c>
      <c r="Q43" s="86"/>
      <c r="R43" s="86"/>
      <c r="S43" s="86"/>
      <c r="T43" s="86"/>
      <c r="U43" s="37" t="s">
        <v>344</v>
      </c>
      <c r="V43" s="22"/>
      <c r="W43" s="22"/>
      <c r="X43" s="22" t="s">
        <v>226</v>
      </c>
      <c r="Y43" s="87" t="s">
        <v>1042</v>
      </c>
      <c r="Z43" s="87">
        <v>18</v>
      </c>
      <c r="AA43" s="87"/>
      <c r="AB43" s="87" t="str">
        <f t="shared" si="6"/>
        <v/>
      </c>
      <c r="AC43" s="87"/>
      <c r="AD43" s="87"/>
      <c r="AE43" s="87">
        <v>1</v>
      </c>
      <c r="AF43" s="87"/>
      <c r="AG43" s="87">
        <v>1</v>
      </c>
      <c r="AH43" s="87"/>
      <c r="AI43" s="87">
        <f t="shared" si="7"/>
        <v>1</v>
      </c>
      <c r="AJ43" s="87"/>
      <c r="AK43" s="13">
        <v>23.2</v>
      </c>
      <c r="AL43" s="13">
        <v>1.08</v>
      </c>
      <c r="AM43" s="38" t="s">
        <v>521</v>
      </c>
      <c r="AN43" s="39" t="s">
        <v>943</v>
      </c>
      <c r="AO43" s="13" t="str">
        <f t="shared" si="5"/>
        <v>[76]</v>
      </c>
      <c r="AP43" s="87"/>
      <c r="AQ43" s="87"/>
      <c r="AR43" s="87"/>
      <c r="AS43" s="87" t="s">
        <v>226</v>
      </c>
      <c r="AT43" s="87" t="s">
        <v>226</v>
      </c>
      <c r="AU43" s="87" t="s">
        <v>226</v>
      </c>
      <c r="AV43" s="38"/>
      <c r="AW43" s="38"/>
    </row>
    <row r="44" spans="1:49" ht="80.099999999999994" customHeight="1" x14ac:dyDescent="0.25">
      <c r="A44" s="93">
        <v>41</v>
      </c>
      <c r="B44" s="95" t="s">
        <v>549</v>
      </c>
      <c r="C44" s="36">
        <v>2017</v>
      </c>
      <c r="D44" s="13" t="s">
        <v>204</v>
      </c>
      <c r="E44" s="98" t="s">
        <v>806</v>
      </c>
      <c r="F44" s="98" t="s">
        <v>808</v>
      </c>
      <c r="G44" s="22">
        <v>1</v>
      </c>
      <c r="H44" s="22">
        <v>2</v>
      </c>
      <c r="I44" s="86"/>
      <c r="J44" s="86" t="s">
        <v>226</v>
      </c>
      <c r="K44" s="86"/>
      <c r="L44" s="86"/>
      <c r="M44" s="86"/>
      <c r="N44" s="86"/>
      <c r="O44" s="86" t="s">
        <v>226</v>
      </c>
      <c r="P44" s="86" t="s">
        <v>226</v>
      </c>
      <c r="Q44" s="86"/>
      <c r="R44" s="86"/>
      <c r="S44" s="86"/>
      <c r="T44" s="86" t="s">
        <v>226</v>
      </c>
      <c r="U44" s="37" t="s">
        <v>807</v>
      </c>
      <c r="V44" s="22"/>
      <c r="W44" s="22"/>
      <c r="X44" s="22" t="s">
        <v>226</v>
      </c>
      <c r="Y44" s="87" t="s">
        <v>1031</v>
      </c>
      <c r="Z44" s="87">
        <v>24</v>
      </c>
      <c r="AA44" s="87"/>
      <c r="AB44" s="87" t="str">
        <f t="shared" si="6"/>
        <v/>
      </c>
      <c r="AC44" s="87"/>
      <c r="AD44" s="87"/>
      <c r="AE44" s="87">
        <v>180</v>
      </c>
      <c r="AF44" s="87"/>
      <c r="AG44" s="87"/>
      <c r="AH44" s="87"/>
      <c r="AI44" s="87" t="str">
        <f t="shared" si="7"/>
        <v/>
      </c>
      <c r="AJ44" s="87"/>
      <c r="AK44" s="13">
        <v>18.399999999999999</v>
      </c>
      <c r="AL44" s="13">
        <v>1.08</v>
      </c>
      <c r="AM44" s="38" t="s">
        <v>521</v>
      </c>
      <c r="AN44" s="39" t="s">
        <v>944</v>
      </c>
      <c r="AO44" s="13" t="str">
        <f t="shared" si="5"/>
        <v>[77]</v>
      </c>
      <c r="AP44" s="87"/>
      <c r="AQ44" s="87"/>
      <c r="AR44" s="87"/>
      <c r="AS44" s="87" t="s">
        <v>226</v>
      </c>
      <c r="AT44" s="87" t="s">
        <v>226</v>
      </c>
      <c r="AU44" s="87" t="s">
        <v>226</v>
      </c>
      <c r="AV44" s="38"/>
      <c r="AW44" s="38"/>
    </row>
    <row r="45" spans="1:49" ht="80.099999999999994" customHeight="1" x14ac:dyDescent="0.25">
      <c r="A45" s="93">
        <v>42</v>
      </c>
      <c r="B45" s="95" t="s">
        <v>550</v>
      </c>
      <c r="C45" s="36">
        <v>2017</v>
      </c>
      <c r="D45" s="13" t="s">
        <v>204</v>
      </c>
      <c r="E45" s="98" t="s">
        <v>809</v>
      </c>
      <c r="F45" s="98" t="s">
        <v>812</v>
      </c>
      <c r="G45" s="22">
        <v>1</v>
      </c>
      <c r="H45" s="22">
        <v>1</v>
      </c>
      <c r="I45" s="86" t="s">
        <v>226</v>
      </c>
      <c r="J45" s="86"/>
      <c r="K45" s="86"/>
      <c r="L45" s="86"/>
      <c r="M45" s="86" t="s">
        <v>226</v>
      </c>
      <c r="N45" s="86"/>
      <c r="O45" s="86"/>
      <c r="P45" s="86" t="s">
        <v>226</v>
      </c>
      <c r="Q45" s="86"/>
      <c r="R45" s="86"/>
      <c r="S45" s="86" t="s">
        <v>226</v>
      </c>
      <c r="T45" s="86"/>
      <c r="U45" s="37" t="s">
        <v>810</v>
      </c>
      <c r="V45" s="22"/>
      <c r="W45" s="22"/>
      <c r="X45" s="22" t="s">
        <v>226</v>
      </c>
      <c r="Y45" s="87" t="s">
        <v>1052</v>
      </c>
      <c r="Z45" s="87">
        <v>59</v>
      </c>
      <c r="AA45" s="87"/>
      <c r="AB45" s="87" t="str">
        <f t="shared" si="6"/>
        <v/>
      </c>
      <c r="AC45" s="87"/>
      <c r="AD45" s="87"/>
      <c r="AE45" s="87"/>
      <c r="AF45" s="87"/>
      <c r="AG45" s="87">
        <v>3</v>
      </c>
      <c r="AH45" s="87">
        <v>45</v>
      </c>
      <c r="AI45" s="87">
        <f t="shared" si="7"/>
        <v>3</v>
      </c>
      <c r="AJ45" s="87">
        <v>45</v>
      </c>
      <c r="AK45" s="13">
        <v>32.1</v>
      </c>
      <c r="AL45" s="13">
        <v>1.08</v>
      </c>
      <c r="AM45" s="38" t="s">
        <v>521</v>
      </c>
      <c r="AN45" s="39" t="s">
        <v>945</v>
      </c>
      <c r="AO45" s="13" t="str">
        <f t="shared" si="5"/>
        <v>[78]</v>
      </c>
      <c r="AP45" s="87"/>
      <c r="AQ45" s="87"/>
      <c r="AR45" s="87"/>
      <c r="AS45" s="87" t="s">
        <v>226</v>
      </c>
      <c r="AT45" s="87" t="s">
        <v>226</v>
      </c>
      <c r="AU45" s="87" t="s">
        <v>226</v>
      </c>
      <c r="AV45" s="38" t="s">
        <v>811</v>
      </c>
      <c r="AW45" s="38"/>
    </row>
    <row r="46" spans="1:49" ht="80.099999999999994" customHeight="1" x14ac:dyDescent="0.25">
      <c r="A46" s="93">
        <v>43</v>
      </c>
      <c r="B46" s="95" t="s">
        <v>562</v>
      </c>
      <c r="C46" s="36">
        <v>2023</v>
      </c>
      <c r="D46" s="13" t="s">
        <v>204</v>
      </c>
      <c r="E46" s="98" t="s">
        <v>813</v>
      </c>
      <c r="F46" s="98" t="s">
        <v>743</v>
      </c>
      <c r="G46" s="22">
        <v>1</v>
      </c>
      <c r="H46" s="22">
        <v>2</v>
      </c>
      <c r="I46" s="86"/>
      <c r="J46" s="86"/>
      <c r="K46" s="86"/>
      <c r="L46" s="86" t="s">
        <v>226</v>
      </c>
      <c r="M46" s="86" t="s">
        <v>226</v>
      </c>
      <c r="N46" s="86"/>
      <c r="O46" s="86" t="s">
        <v>226</v>
      </c>
      <c r="P46" s="86"/>
      <c r="Q46" s="86"/>
      <c r="R46" s="86"/>
      <c r="S46" s="86"/>
      <c r="T46" s="86"/>
      <c r="U46" s="37" t="s">
        <v>810</v>
      </c>
      <c r="V46" s="22"/>
      <c r="W46" s="22"/>
      <c r="X46" s="22" t="s">
        <v>226</v>
      </c>
      <c r="Y46" s="87" t="s">
        <v>1034</v>
      </c>
      <c r="Z46" s="87">
        <v>174</v>
      </c>
      <c r="AA46" s="87"/>
      <c r="AB46" s="87" t="str">
        <f t="shared" si="6"/>
        <v/>
      </c>
      <c r="AC46" s="87"/>
      <c r="AD46" s="87"/>
      <c r="AE46" s="87"/>
      <c r="AF46" s="87"/>
      <c r="AG46" s="87"/>
      <c r="AH46" s="87">
        <v>60</v>
      </c>
      <c r="AI46" s="87" t="str">
        <f t="shared" si="7"/>
        <v/>
      </c>
      <c r="AJ46" s="87">
        <v>60</v>
      </c>
      <c r="AK46" s="13">
        <v>1.7</v>
      </c>
      <c r="AL46" s="13">
        <v>0.46</v>
      </c>
      <c r="AM46" s="38" t="s">
        <v>651</v>
      </c>
      <c r="AN46" s="39" t="s">
        <v>946</v>
      </c>
      <c r="AO46" s="13" t="str">
        <f t="shared" si="5"/>
        <v>[79]</v>
      </c>
      <c r="AP46" s="87" t="s">
        <v>1174</v>
      </c>
      <c r="AQ46" s="87">
        <v>2.8</v>
      </c>
      <c r="AR46" s="87">
        <v>2</v>
      </c>
      <c r="AS46" s="87"/>
      <c r="AT46" s="87" t="s">
        <v>226</v>
      </c>
      <c r="AU46" s="87"/>
      <c r="AV46" s="38"/>
      <c r="AW46" s="38"/>
    </row>
    <row r="47" spans="1:49" ht="80.099999999999994" customHeight="1" x14ac:dyDescent="0.25">
      <c r="A47" s="93">
        <v>44</v>
      </c>
      <c r="B47" s="95" t="s">
        <v>564</v>
      </c>
      <c r="C47" s="36">
        <v>2018</v>
      </c>
      <c r="D47" s="13" t="s">
        <v>204</v>
      </c>
      <c r="E47" s="98" t="s">
        <v>1116</v>
      </c>
      <c r="F47" s="98" t="s">
        <v>743</v>
      </c>
      <c r="G47" s="22">
        <v>1</v>
      </c>
      <c r="H47" s="22">
        <v>1</v>
      </c>
      <c r="I47" s="86"/>
      <c r="J47" s="86"/>
      <c r="K47" s="86" t="s">
        <v>226</v>
      </c>
      <c r="L47" s="86" t="s">
        <v>226</v>
      </c>
      <c r="M47" s="86"/>
      <c r="N47" s="86"/>
      <c r="O47" s="86"/>
      <c r="P47" s="86" t="s">
        <v>226</v>
      </c>
      <c r="Q47" s="86" t="s">
        <v>226</v>
      </c>
      <c r="R47" s="86"/>
      <c r="S47" s="86"/>
      <c r="T47" s="86"/>
      <c r="U47" s="37" t="s">
        <v>810</v>
      </c>
      <c r="V47" s="22"/>
      <c r="W47" s="22"/>
      <c r="X47" s="22" t="s">
        <v>226</v>
      </c>
      <c r="Y47" s="87" t="s">
        <v>1045</v>
      </c>
      <c r="Z47" s="87">
        <v>50</v>
      </c>
      <c r="AA47" s="87"/>
      <c r="AB47" s="87" t="str">
        <f t="shared" si="6"/>
        <v/>
      </c>
      <c r="AC47" s="87"/>
      <c r="AD47" s="87"/>
      <c r="AE47" s="87">
        <v>90</v>
      </c>
      <c r="AF47" s="87"/>
      <c r="AG47" s="87"/>
      <c r="AH47" s="87"/>
      <c r="AI47" s="87" t="str">
        <f t="shared" si="7"/>
        <v/>
      </c>
      <c r="AJ47" s="87"/>
      <c r="AK47" s="13">
        <v>26.8</v>
      </c>
      <c r="AL47" s="13">
        <v>0.46</v>
      </c>
      <c r="AM47" s="38" t="s">
        <v>651</v>
      </c>
      <c r="AN47" s="39" t="s">
        <v>947</v>
      </c>
      <c r="AO47" s="13" t="str">
        <f t="shared" ref="AO47:AO72" si="8">_xlfn.CONCAT("[",A47+36,"]")</f>
        <v>[80]</v>
      </c>
      <c r="AP47" s="87" t="s">
        <v>1174</v>
      </c>
      <c r="AQ47" s="87">
        <v>1.2969999999999999</v>
      </c>
      <c r="AR47" s="87">
        <v>3</v>
      </c>
      <c r="AS47" s="87"/>
      <c r="AT47" s="87" t="s">
        <v>226</v>
      </c>
      <c r="AU47" s="87"/>
      <c r="AV47" s="38"/>
      <c r="AW47" s="38"/>
    </row>
    <row r="48" spans="1:49" ht="80.099999999999994" customHeight="1" x14ac:dyDescent="0.25">
      <c r="A48" s="93">
        <v>45</v>
      </c>
      <c r="B48" s="95" t="s">
        <v>652</v>
      </c>
      <c r="C48" s="36">
        <v>2022</v>
      </c>
      <c r="D48" s="13" t="s">
        <v>204</v>
      </c>
      <c r="E48" s="98" t="s">
        <v>815</v>
      </c>
      <c r="F48" s="98" t="s">
        <v>743</v>
      </c>
      <c r="G48" s="22">
        <v>1</v>
      </c>
      <c r="H48" s="22">
        <v>2</v>
      </c>
      <c r="I48" s="86"/>
      <c r="J48" s="86"/>
      <c r="K48" s="86" t="s">
        <v>226</v>
      </c>
      <c r="L48" s="86" t="s">
        <v>226</v>
      </c>
      <c r="M48" s="86"/>
      <c r="N48" s="86"/>
      <c r="O48" s="86"/>
      <c r="P48" s="86" t="s">
        <v>226</v>
      </c>
      <c r="Q48" s="86"/>
      <c r="R48" s="86"/>
      <c r="S48" s="86"/>
      <c r="T48" s="86"/>
      <c r="U48" s="37" t="s">
        <v>810</v>
      </c>
      <c r="V48" s="22"/>
      <c r="W48" s="22"/>
      <c r="X48" s="22" t="s">
        <v>226</v>
      </c>
      <c r="Y48" s="87" t="s">
        <v>1039</v>
      </c>
      <c r="Z48" s="87">
        <v>29</v>
      </c>
      <c r="AA48" s="87"/>
      <c r="AB48" s="87" t="str">
        <f t="shared" si="6"/>
        <v/>
      </c>
      <c r="AC48" s="87"/>
      <c r="AD48" s="87"/>
      <c r="AE48" s="87">
        <v>1</v>
      </c>
      <c r="AF48" s="87"/>
      <c r="AG48" s="87">
        <v>1</v>
      </c>
      <c r="AH48" s="87"/>
      <c r="AI48" s="87">
        <v>1</v>
      </c>
      <c r="AJ48" s="87"/>
      <c r="AK48" s="13">
        <v>0.7</v>
      </c>
      <c r="AL48" s="13">
        <v>0.46</v>
      </c>
      <c r="AM48" s="38" t="s">
        <v>651</v>
      </c>
      <c r="AN48" s="39" t="s">
        <v>948</v>
      </c>
      <c r="AO48" s="13" t="str">
        <f t="shared" si="8"/>
        <v>[81]</v>
      </c>
      <c r="AP48" s="87" t="s">
        <v>1174</v>
      </c>
      <c r="AQ48" s="87">
        <v>2.8</v>
      </c>
      <c r="AR48" s="87">
        <v>2</v>
      </c>
      <c r="AS48" s="87"/>
      <c r="AT48" s="87" t="s">
        <v>226</v>
      </c>
      <c r="AU48" s="87"/>
      <c r="AV48" s="38"/>
      <c r="AW48" s="38"/>
    </row>
    <row r="49" spans="1:49" ht="80.099999999999994" customHeight="1" x14ac:dyDescent="0.25">
      <c r="A49" s="93">
        <v>46</v>
      </c>
      <c r="B49" s="95" t="s">
        <v>568</v>
      </c>
      <c r="C49" s="36">
        <v>2023</v>
      </c>
      <c r="D49" s="13" t="s">
        <v>204</v>
      </c>
      <c r="E49" s="98" t="s">
        <v>816</v>
      </c>
      <c r="F49" s="98" t="s">
        <v>819</v>
      </c>
      <c r="G49" s="22">
        <v>1</v>
      </c>
      <c r="H49" s="22">
        <v>2</v>
      </c>
      <c r="I49" s="86"/>
      <c r="J49" s="86" t="s">
        <v>226</v>
      </c>
      <c r="K49" s="86" t="s">
        <v>226</v>
      </c>
      <c r="L49" s="86" t="s">
        <v>226</v>
      </c>
      <c r="M49" s="86"/>
      <c r="N49" s="86" t="s">
        <v>226</v>
      </c>
      <c r="O49" s="86"/>
      <c r="P49" s="86"/>
      <c r="Q49" s="86"/>
      <c r="R49" s="86"/>
      <c r="S49" s="86"/>
      <c r="T49" s="86" t="s">
        <v>226</v>
      </c>
      <c r="U49" s="37" t="s">
        <v>818</v>
      </c>
      <c r="V49" s="22" t="s">
        <v>226</v>
      </c>
      <c r="W49" s="22"/>
      <c r="X49" s="22" t="s">
        <v>226</v>
      </c>
      <c r="Y49" s="87" t="s">
        <v>1031</v>
      </c>
      <c r="Z49" s="87">
        <v>75</v>
      </c>
      <c r="AA49" s="87"/>
      <c r="AB49" s="87" t="str">
        <f t="shared" si="6"/>
        <v/>
      </c>
      <c r="AC49" s="87"/>
      <c r="AD49" s="87"/>
      <c r="AE49" s="87">
        <v>180</v>
      </c>
      <c r="AF49" s="87"/>
      <c r="AG49" s="87"/>
      <c r="AH49" s="87"/>
      <c r="AI49" s="87"/>
      <c r="AJ49" s="87"/>
      <c r="AK49" s="13">
        <v>1.1000000000000001</v>
      </c>
      <c r="AL49" s="13">
        <v>0.46</v>
      </c>
      <c r="AM49" s="38" t="s">
        <v>651</v>
      </c>
      <c r="AN49" s="39" t="s">
        <v>949</v>
      </c>
      <c r="AO49" s="13" t="str">
        <f t="shared" si="8"/>
        <v>[82]</v>
      </c>
      <c r="AP49" s="87" t="s">
        <v>1174</v>
      </c>
      <c r="AQ49" s="87">
        <v>2.8</v>
      </c>
      <c r="AR49" s="87">
        <v>2</v>
      </c>
      <c r="AS49" s="87"/>
      <c r="AT49" s="87" t="s">
        <v>226</v>
      </c>
      <c r="AU49" s="87"/>
      <c r="AV49" s="38" t="s">
        <v>817</v>
      </c>
      <c r="AW49" s="38"/>
    </row>
    <row r="50" spans="1:49" ht="80.099999999999994" customHeight="1" x14ac:dyDescent="0.25">
      <c r="A50" s="93">
        <v>47</v>
      </c>
      <c r="B50" s="95" t="s">
        <v>653</v>
      </c>
      <c r="C50" s="36">
        <v>2016</v>
      </c>
      <c r="D50" s="13" t="s">
        <v>204</v>
      </c>
      <c r="E50" s="98" t="s">
        <v>822</v>
      </c>
      <c r="F50" s="98" t="s">
        <v>825</v>
      </c>
      <c r="G50" s="22">
        <v>-1</v>
      </c>
      <c r="H50" s="22">
        <v>-1</v>
      </c>
      <c r="I50" s="86"/>
      <c r="J50" s="86"/>
      <c r="K50" s="86" t="s">
        <v>226</v>
      </c>
      <c r="L50" s="86" t="s">
        <v>226</v>
      </c>
      <c r="M50" s="86" t="s">
        <v>226</v>
      </c>
      <c r="N50" s="86"/>
      <c r="O50" s="86"/>
      <c r="P50" s="86" t="s">
        <v>226</v>
      </c>
      <c r="Q50" s="86" t="s">
        <v>226</v>
      </c>
      <c r="R50" s="86" t="s">
        <v>226</v>
      </c>
      <c r="S50" s="86"/>
      <c r="T50" s="86"/>
      <c r="U50" s="37" t="s">
        <v>823</v>
      </c>
      <c r="V50" s="22" t="s">
        <v>226</v>
      </c>
      <c r="W50" s="22"/>
      <c r="X50" s="22"/>
      <c r="Y50" s="87" t="s">
        <v>1032</v>
      </c>
      <c r="Z50" s="87">
        <v>8</v>
      </c>
      <c r="AA50" s="87"/>
      <c r="AB50" s="87" t="str">
        <f t="shared" si="6"/>
        <v/>
      </c>
      <c r="AC50" s="87"/>
      <c r="AD50" s="87"/>
      <c r="AE50" s="87">
        <v>180</v>
      </c>
      <c r="AF50" s="87">
        <v>7</v>
      </c>
      <c r="AG50" s="87">
        <v>180</v>
      </c>
      <c r="AH50" s="87"/>
      <c r="AI50" s="87"/>
      <c r="AJ50" s="87"/>
      <c r="AK50" s="13">
        <v>11.2</v>
      </c>
      <c r="AL50" s="13">
        <v>0.46</v>
      </c>
      <c r="AM50" s="38" t="s">
        <v>651</v>
      </c>
      <c r="AN50" s="39" t="s">
        <v>950</v>
      </c>
      <c r="AO50" s="13" t="str">
        <f t="shared" si="8"/>
        <v>[83]</v>
      </c>
      <c r="AP50" s="87" t="s">
        <v>1174</v>
      </c>
      <c r="AQ50" s="87">
        <v>1.2969999999999999</v>
      </c>
      <c r="AR50" s="87">
        <v>3</v>
      </c>
      <c r="AS50" s="87"/>
      <c r="AT50" s="87" t="s">
        <v>226</v>
      </c>
      <c r="AU50" s="87"/>
      <c r="AV50" s="38" t="s">
        <v>824</v>
      </c>
      <c r="AW50" s="38"/>
    </row>
    <row r="51" spans="1:49" ht="80.099999999999994" customHeight="1" x14ac:dyDescent="0.25">
      <c r="A51" s="93">
        <v>48</v>
      </c>
      <c r="B51" s="95" t="s">
        <v>607</v>
      </c>
      <c r="C51" s="36">
        <v>2020</v>
      </c>
      <c r="D51" s="13" t="s">
        <v>204</v>
      </c>
      <c r="E51" s="98" t="s">
        <v>826</v>
      </c>
      <c r="F51" s="98" t="s">
        <v>828</v>
      </c>
      <c r="G51" s="22">
        <v>0</v>
      </c>
      <c r="H51" s="22">
        <v>0</v>
      </c>
      <c r="I51" s="86" t="s">
        <v>226</v>
      </c>
      <c r="J51" s="86"/>
      <c r="K51" s="86" t="s">
        <v>226</v>
      </c>
      <c r="L51" s="86" t="s">
        <v>226</v>
      </c>
      <c r="M51" s="86"/>
      <c r="N51" s="86"/>
      <c r="O51" s="86"/>
      <c r="P51" s="86" t="s">
        <v>226</v>
      </c>
      <c r="Q51" s="86"/>
      <c r="R51" s="86"/>
      <c r="S51" s="86"/>
      <c r="T51" s="86"/>
      <c r="U51" s="37" t="s">
        <v>827</v>
      </c>
      <c r="V51" s="22" t="s">
        <v>226</v>
      </c>
      <c r="W51" s="22"/>
      <c r="X51" s="22" t="s">
        <v>226</v>
      </c>
      <c r="Y51" s="87" t="s">
        <v>1064</v>
      </c>
      <c r="Z51" s="87">
        <v>15</v>
      </c>
      <c r="AA51" s="87">
        <v>8</v>
      </c>
      <c r="AB51" s="87">
        <v>2</v>
      </c>
      <c r="AC51" s="87"/>
      <c r="AD51" s="87" t="s">
        <v>1080</v>
      </c>
      <c r="AE51" s="87">
        <v>28</v>
      </c>
      <c r="AF51" s="87"/>
      <c r="AG51" s="87"/>
      <c r="AH51" s="87">
        <v>90</v>
      </c>
      <c r="AI51" s="87"/>
      <c r="AJ51" s="87">
        <v>90</v>
      </c>
      <c r="AK51" s="13">
        <v>8</v>
      </c>
      <c r="AL51" s="13">
        <v>0.46</v>
      </c>
      <c r="AM51" s="38" t="s">
        <v>651</v>
      </c>
      <c r="AN51" s="38" t="s">
        <v>951</v>
      </c>
      <c r="AO51" s="13" t="str">
        <f t="shared" si="8"/>
        <v>[84]</v>
      </c>
      <c r="AP51" s="87" t="s">
        <v>1174</v>
      </c>
      <c r="AQ51" s="87">
        <v>1.4550000000000001</v>
      </c>
      <c r="AR51" s="87">
        <v>3</v>
      </c>
      <c r="AS51" s="87"/>
      <c r="AT51" s="87" t="s">
        <v>226</v>
      </c>
      <c r="AU51" s="87"/>
      <c r="AV51" s="38"/>
      <c r="AW51" s="38"/>
    </row>
    <row r="52" spans="1:49" ht="80.099999999999994" customHeight="1" x14ac:dyDescent="0.25">
      <c r="A52" s="93">
        <v>49</v>
      </c>
      <c r="B52" s="95" t="s">
        <v>608</v>
      </c>
      <c r="C52" s="36">
        <v>2017</v>
      </c>
      <c r="D52" s="13" t="s">
        <v>204</v>
      </c>
      <c r="E52" s="98" t="s">
        <v>829</v>
      </c>
      <c r="F52" s="98" t="s">
        <v>831</v>
      </c>
      <c r="G52" s="22">
        <v>1</v>
      </c>
      <c r="H52" s="22">
        <v>2</v>
      </c>
      <c r="I52" s="86"/>
      <c r="J52" s="86"/>
      <c r="K52" s="86" t="s">
        <v>226</v>
      </c>
      <c r="L52" s="86" t="s">
        <v>226</v>
      </c>
      <c r="M52" s="86"/>
      <c r="N52" s="86"/>
      <c r="O52" s="86" t="s">
        <v>226</v>
      </c>
      <c r="P52" s="86" t="s">
        <v>226</v>
      </c>
      <c r="Q52" s="86"/>
      <c r="R52" s="86"/>
      <c r="S52" s="86"/>
      <c r="T52" s="86"/>
      <c r="U52" s="37" t="s">
        <v>830</v>
      </c>
      <c r="V52" s="22"/>
      <c r="W52" s="22"/>
      <c r="X52" s="22" t="s">
        <v>226</v>
      </c>
      <c r="Y52" s="87" t="s">
        <v>1043</v>
      </c>
      <c r="Z52" s="87">
        <v>30</v>
      </c>
      <c r="AA52" s="87"/>
      <c r="AB52" s="87" t="str">
        <f>IF(AA52&lt;&gt;"", (Z52-AC52)/(AA52-COUNT(AC52)),"")</f>
        <v/>
      </c>
      <c r="AC52" s="87"/>
      <c r="AD52" s="87"/>
      <c r="AE52" s="87">
        <v>1</v>
      </c>
      <c r="AF52" s="87"/>
      <c r="AG52" s="87">
        <v>1</v>
      </c>
      <c r="AH52" s="87">
        <v>45</v>
      </c>
      <c r="AI52" s="87">
        <v>1</v>
      </c>
      <c r="AJ52" s="87">
        <v>45</v>
      </c>
      <c r="AK52" s="13">
        <v>9</v>
      </c>
      <c r="AL52" s="13">
        <v>0.46</v>
      </c>
      <c r="AM52" s="38" t="s">
        <v>651</v>
      </c>
      <c r="AN52" s="39" t="s">
        <v>952</v>
      </c>
      <c r="AO52" s="13" t="str">
        <f t="shared" si="8"/>
        <v>[85]</v>
      </c>
      <c r="AP52" s="87" t="s">
        <v>1174</v>
      </c>
      <c r="AQ52" s="87">
        <v>1.2969999999999999</v>
      </c>
      <c r="AR52" s="87">
        <v>3</v>
      </c>
      <c r="AS52" s="87"/>
      <c r="AT52" s="87" t="s">
        <v>226</v>
      </c>
      <c r="AU52" s="87"/>
      <c r="AV52" s="38"/>
      <c r="AW52" s="38"/>
    </row>
    <row r="53" spans="1:49" ht="80.099999999999994" customHeight="1" x14ac:dyDescent="0.25">
      <c r="A53" s="93">
        <v>50</v>
      </c>
      <c r="B53" s="95" t="s">
        <v>611</v>
      </c>
      <c r="C53" s="36">
        <v>2021</v>
      </c>
      <c r="D53" s="13" t="s">
        <v>204</v>
      </c>
      <c r="E53" s="98" t="s">
        <v>832</v>
      </c>
      <c r="F53" s="98" t="s">
        <v>834</v>
      </c>
      <c r="G53" s="22">
        <v>1</v>
      </c>
      <c r="H53" s="22">
        <v>2</v>
      </c>
      <c r="I53" s="86" t="s">
        <v>226</v>
      </c>
      <c r="J53" s="86"/>
      <c r="K53" s="86" t="s">
        <v>226</v>
      </c>
      <c r="L53" s="86"/>
      <c r="M53" s="86"/>
      <c r="N53" s="86"/>
      <c r="O53" s="86"/>
      <c r="P53" s="86" t="s">
        <v>226</v>
      </c>
      <c r="Q53" s="86" t="s">
        <v>226</v>
      </c>
      <c r="R53" s="86"/>
      <c r="S53" s="86"/>
      <c r="T53" s="86"/>
      <c r="U53" s="37" t="s">
        <v>833</v>
      </c>
      <c r="V53" s="22"/>
      <c r="W53" s="22" t="s">
        <v>226</v>
      </c>
      <c r="X53" s="22"/>
      <c r="Y53" s="87" t="s">
        <v>1031</v>
      </c>
      <c r="Z53" s="87">
        <v>44</v>
      </c>
      <c r="AA53" s="87"/>
      <c r="AB53" s="87" t="str">
        <f>IF(AA53&lt;&gt;"", (Z53-AC53)/(AA53-COUNT(AC53)),"")</f>
        <v/>
      </c>
      <c r="AC53" s="87"/>
      <c r="AD53" s="87"/>
      <c r="AE53" s="87"/>
      <c r="AF53" s="87"/>
      <c r="AG53" s="87"/>
      <c r="AH53" s="87"/>
      <c r="AI53" s="87"/>
      <c r="AJ53" s="87"/>
      <c r="AK53" s="13">
        <v>2.4</v>
      </c>
      <c r="AL53" s="13">
        <v>0.46</v>
      </c>
      <c r="AM53" s="38" t="s">
        <v>651</v>
      </c>
      <c r="AN53" s="39" t="s">
        <v>953</v>
      </c>
      <c r="AO53" s="13" t="str">
        <f t="shared" si="8"/>
        <v>[86]</v>
      </c>
      <c r="AP53" s="87" t="s">
        <v>1174</v>
      </c>
      <c r="AQ53" s="87">
        <v>2.0720000000000001</v>
      </c>
      <c r="AR53" s="87">
        <v>3</v>
      </c>
      <c r="AS53" s="87"/>
      <c r="AT53" s="87" t="s">
        <v>226</v>
      </c>
      <c r="AU53" s="87"/>
      <c r="AV53" s="38"/>
      <c r="AW53" s="38"/>
    </row>
    <row r="54" spans="1:49" ht="80.099999999999994" customHeight="1" x14ac:dyDescent="0.25">
      <c r="A54" s="93">
        <v>51</v>
      </c>
      <c r="B54" s="95" t="s">
        <v>613</v>
      </c>
      <c r="C54" s="36">
        <v>2011</v>
      </c>
      <c r="D54" s="13" t="s">
        <v>204</v>
      </c>
      <c r="E54" s="98" t="s">
        <v>835</v>
      </c>
      <c r="F54" s="98" t="s">
        <v>836</v>
      </c>
      <c r="G54" s="22" t="s">
        <v>698</v>
      </c>
      <c r="H54" s="22" t="s">
        <v>698</v>
      </c>
      <c r="I54" s="86"/>
      <c r="J54" s="86" t="s">
        <v>226</v>
      </c>
      <c r="K54" s="86" t="s">
        <v>226</v>
      </c>
      <c r="L54" s="86"/>
      <c r="M54" s="86" t="s">
        <v>226</v>
      </c>
      <c r="N54" s="86"/>
      <c r="O54" s="86"/>
      <c r="P54" s="86" t="s">
        <v>226</v>
      </c>
      <c r="Q54" s="86"/>
      <c r="R54" s="86"/>
      <c r="S54" s="86"/>
      <c r="T54" s="86"/>
      <c r="U54" s="37" t="s">
        <v>698</v>
      </c>
      <c r="V54" s="22"/>
      <c r="W54" s="22"/>
      <c r="X54" s="22"/>
      <c r="Y54" s="87" t="s">
        <v>1043</v>
      </c>
      <c r="Z54" s="87"/>
      <c r="AA54" s="87"/>
      <c r="AB54" s="87" t="str">
        <f>IF(AA54&lt;&gt;"", (AW54-AC54)/(AA54-COUNT(AC54)),"")</f>
        <v/>
      </c>
      <c r="AC54" s="87"/>
      <c r="AD54" s="87"/>
      <c r="AE54" s="87"/>
      <c r="AF54" s="87"/>
      <c r="AG54" s="87"/>
      <c r="AH54" s="87"/>
      <c r="AI54" s="87"/>
      <c r="AJ54" s="87"/>
      <c r="AK54" s="13">
        <v>2.2999999999999998</v>
      </c>
      <c r="AL54" s="13">
        <v>0.46</v>
      </c>
      <c r="AM54" s="38" t="s">
        <v>651</v>
      </c>
      <c r="AN54" s="39" t="s">
        <v>954</v>
      </c>
      <c r="AO54" s="13" t="str">
        <f t="shared" si="8"/>
        <v>[87]</v>
      </c>
      <c r="AP54" s="87" t="s">
        <v>1174</v>
      </c>
      <c r="AQ54" s="87">
        <v>1.2969999999999999</v>
      </c>
      <c r="AR54" s="87">
        <v>3</v>
      </c>
      <c r="AS54" s="87"/>
      <c r="AT54" s="87" t="s">
        <v>226</v>
      </c>
      <c r="AU54" s="87"/>
      <c r="AV54" s="38"/>
      <c r="AW54" s="38" t="s">
        <v>1044</v>
      </c>
    </row>
    <row r="55" spans="1:49" ht="80.099999999999994" customHeight="1" x14ac:dyDescent="0.25">
      <c r="A55" s="93">
        <v>52</v>
      </c>
      <c r="B55" s="95" t="s">
        <v>620</v>
      </c>
      <c r="C55" s="36">
        <v>2019</v>
      </c>
      <c r="D55" s="13" t="s">
        <v>204</v>
      </c>
      <c r="E55" s="98" t="s">
        <v>837</v>
      </c>
      <c r="F55" s="98" t="s">
        <v>839</v>
      </c>
      <c r="G55" s="22">
        <v>1</v>
      </c>
      <c r="H55" s="22">
        <v>2</v>
      </c>
      <c r="I55" s="86" t="s">
        <v>226</v>
      </c>
      <c r="J55" s="86" t="s">
        <v>226</v>
      </c>
      <c r="K55" s="86" t="s">
        <v>226</v>
      </c>
      <c r="L55" s="86" t="s">
        <v>226</v>
      </c>
      <c r="M55" s="86"/>
      <c r="N55" s="86"/>
      <c r="O55" s="86"/>
      <c r="P55" s="86" t="s">
        <v>226</v>
      </c>
      <c r="Q55" s="86"/>
      <c r="R55" s="86"/>
      <c r="S55" s="86"/>
      <c r="T55" s="86"/>
      <c r="U55" s="37" t="s">
        <v>838</v>
      </c>
      <c r="V55" s="22"/>
      <c r="W55" s="22" t="s">
        <v>226</v>
      </c>
      <c r="X55" s="22" t="s">
        <v>226</v>
      </c>
      <c r="Y55" s="87" t="s">
        <v>1045</v>
      </c>
      <c r="Z55" s="87">
        <v>41</v>
      </c>
      <c r="AA55" s="87"/>
      <c r="AB55" s="87" t="str">
        <f>IF(AA55&lt;&gt;"", (Z55-AC55)/(AA55-COUNT(AC55)),"")</f>
        <v/>
      </c>
      <c r="AC55" s="87"/>
      <c r="AD55" s="87"/>
      <c r="AE55" s="87">
        <v>1</v>
      </c>
      <c r="AF55" s="87"/>
      <c r="AG55" s="87">
        <v>1</v>
      </c>
      <c r="AH55" s="87"/>
      <c r="AI55" s="87">
        <v>1</v>
      </c>
      <c r="AJ55" s="87"/>
      <c r="AK55" s="13">
        <v>3</v>
      </c>
      <c r="AL55" s="13">
        <v>0.46</v>
      </c>
      <c r="AM55" s="38" t="s">
        <v>651</v>
      </c>
      <c r="AN55" s="39" t="s">
        <v>955</v>
      </c>
      <c r="AO55" s="13" t="str">
        <f t="shared" si="8"/>
        <v>[88]</v>
      </c>
      <c r="AP55" s="87" t="s">
        <v>1174</v>
      </c>
      <c r="AQ55" s="87">
        <v>1.341</v>
      </c>
      <c r="AR55" s="87">
        <v>3</v>
      </c>
      <c r="AS55" s="87"/>
      <c r="AT55" s="87" t="s">
        <v>226</v>
      </c>
      <c r="AU55" s="87"/>
      <c r="AV55" s="38"/>
      <c r="AW55" s="38"/>
    </row>
    <row r="56" spans="1:49" ht="80.099999999999994" customHeight="1" x14ac:dyDescent="0.25">
      <c r="A56" s="93">
        <v>53</v>
      </c>
      <c r="B56" s="95" t="s">
        <v>649</v>
      </c>
      <c r="C56" s="36">
        <v>2021</v>
      </c>
      <c r="D56" s="13" t="s">
        <v>204</v>
      </c>
      <c r="E56" s="98" t="s">
        <v>840</v>
      </c>
      <c r="F56" s="98" t="s">
        <v>743</v>
      </c>
      <c r="G56" s="22">
        <v>1</v>
      </c>
      <c r="H56" s="22">
        <v>2</v>
      </c>
      <c r="I56" s="86"/>
      <c r="J56" s="86"/>
      <c r="K56" s="86" t="s">
        <v>226</v>
      </c>
      <c r="L56" s="86" t="s">
        <v>226</v>
      </c>
      <c r="M56" s="86"/>
      <c r="N56" s="86"/>
      <c r="O56" s="86" t="s">
        <v>226</v>
      </c>
      <c r="P56" s="86"/>
      <c r="Q56" s="86" t="s">
        <v>226</v>
      </c>
      <c r="R56" s="86"/>
      <c r="S56" s="86"/>
      <c r="T56" s="86"/>
      <c r="U56" s="37" t="s">
        <v>273</v>
      </c>
      <c r="V56" s="22"/>
      <c r="W56" s="22"/>
      <c r="X56" s="22" t="s">
        <v>226</v>
      </c>
      <c r="Y56" s="87" t="s">
        <v>1034</v>
      </c>
      <c r="Z56" s="87">
        <v>50</v>
      </c>
      <c r="AA56" s="87">
        <v>2</v>
      </c>
      <c r="AB56" s="87">
        <f>IF(AA56&lt;&gt;"", (Z56-AC56)/(AA56-COUNT(AC56)),"")</f>
        <v>25</v>
      </c>
      <c r="AC56" s="87"/>
      <c r="AD56" s="87" t="s">
        <v>1033</v>
      </c>
      <c r="AE56" s="87">
        <v>180</v>
      </c>
      <c r="AF56" s="87">
        <f>AG56/(AE56/7)</f>
        <v>0.15555555555555556</v>
      </c>
      <c r="AG56" s="87">
        <v>4</v>
      </c>
      <c r="AH56" s="87"/>
      <c r="AI56" s="87">
        <v>4</v>
      </c>
      <c r="AJ56" s="87"/>
      <c r="AK56" s="13">
        <v>4.9000000000000004</v>
      </c>
      <c r="AL56" s="13">
        <v>0.46</v>
      </c>
      <c r="AM56" s="38" t="s">
        <v>651</v>
      </c>
      <c r="AN56" s="39" t="s">
        <v>956</v>
      </c>
      <c r="AO56" s="13" t="str">
        <f t="shared" si="8"/>
        <v>[89]</v>
      </c>
      <c r="AP56" s="87" t="s">
        <v>1174</v>
      </c>
      <c r="AQ56" s="87">
        <v>2.0720000000000001</v>
      </c>
      <c r="AR56" s="87">
        <v>3</v>
      </c>
      <c r="AS56" s="87"/>
      <c r="AT56" s="87" t="s">
        <v>226</v>
      </c>
      <c r="AU56" s="87"/>
      <c r="AV56" s="38" t="s">
        <v>1010</v>
      </c>
      <c r="AW56" s="38"/>
    </row>
    <row r="57" spans="1:49" ht="80.099999999999994" customHeight="1" x14ac:dyDescent="0.25">
      <c r="A57" s="93">
        <v>54</v>
      </c>
      <c r="B57" s="95" t="s">
        <v>659</v>
      </c>
      <c r="C57" s="36">
        <v>2018</v>
      </c>
      <c r="D57" s="13" t="s">
        <v>204</v>
      </c>
      <c r="E57" s="98" t="s">
        <v>841</v>
      </c>
      <c r="F57" s="98" t="s">
        <v>842</v>
      </c>
      <c r="G57" s="22">
        <v>1</v>
      </c>
      <c r="H57" s="22">
        <v>2</v>
      </c>
      <c r="I57" s="86" t="s">
        <v>226</v>
      </c>
      <c r="J57" s="86"/>
      <c r="K57" s="86" t="s">
        <v>226</v>
      </c>
      <c r="L57" s="86"/>
      <c r="M57" s="86"/>
      <c r="N57" s="86"/>
      <c r="O57" s="86"/>
      <c r="P57" s="86" t="s">
        <v>226</v>
      </c>
      <c r="Q57" s="86"/>
      <c r="R57" s="86"/>
      <c r="S57" s="86" t="s">
        <v>226</v>
      </c>
      <c r="T57" s="86"/>
      <c r="U57" s="37" t="s">
        <v>843</v>
      </c>
      <c r="V57" s="22"/>
      <c r="W57" s="22"/>
      <c r="X57" s="22"/>
      <c r="Y57" s="87" t="s">
        <v>1032</v>
      </c>
      <c r="Z57" s="87">
        <v>54</v>
      </c>
      <c r="AA57" s="87">
        <v>3</v>
      </c>
      <c r="AB57" s="87">
        <f>IF(AA57&lt;&gt;"", (Z57-AC57)/(AA57-COUNT(AC57)),"")</f>
        <v>18</v>
      </c>
      <c r="AC57" s="87"/>
      <c r="AD57" s="87" t="s">
        <v>1033</v>
      </c>
      <c r="AE57" s="87"/>
      <c r="AF57" s="87"/>
      <c r="AG57" s="87">
        <v>4</v>
      </c>
      <c r="AH57" s="87">
        <v>15</v>
      </c>
      <c r="AI57" s="87">
        <v>4</v>
      </c>
      <c r="AJ57" s="87">
        <v>15</v>
      </c>
      <c r="AK57" s="13">
        <v>81.7</v>
      </c>
      <c r="AL57" s="13">
        <v>3.75</v>
      </c>
      <c r="AM57" s="38" t="s">
        <v>657</v>
      </c>
      <c r="AN57" s="38" t="s">
        <v>957</v>
      </c>
      <c r="AO57" s="13" t="str">
        <f t="shared" si="8"/>
        <v>[90]</v>
      </c>
      <c r="AP57" s="87" t="s">
        <v>1174</v>
      </c>
      <c r="AQ57" s="87">
        <v>5.6269999999999998</v>
      </c>
      <c r="AR57" s="87">
        <v>1</v>
      </c>
      <c r="AS57" s="87"/>
      <c r="AT57" s="87" t="s">
        <v>226</v>
      </c>
      <c r="AU57" s="87" t="s">
        <v>226</v>
      </c>
      <c r="AV57" s="38"/>
      <c r="AW57" s="38"/>
    </row>
    <row r="58" spans="1:49" ht="80.099999999999994" customHeight="1" x14ac:dyDescent="0.25">
      <c r="A58" s="93">
        <v>55</v>
      </c>
      <c r="B58" s="95" t="s">
        <v>660</v>
      </c>
      <c r="C58" s="36">
        <v>2018</v>
      </c>
      <c r="D58" s="13" t="s">
        <v>204</v>
      </c>
      <c r="E58" s="98" t="s">
        <v>844</v>
      </c>
      <c r="F58" s="98" t="s">
        <v>743</v>
      </c>
      <c r="G58" s="22">
        <v>1</v>
      </c>
      <c r="H58" s="22">
        <v>3</v>
      </c>
      <c r="I58" s="86" t="s">
        <v>226</v>
      </c>
      <c r="J58" s="86"/>
      <c r="K58" s="86" t="s">
        <v>226</v>
      </c>
      <c r="L58" s="86"/>
      <c r="M58" s="86"/>
      <c r="N58" s="86"/>
      <c r="O58" s="87"/>
      <c r="P58" s="86" t="s">
        <v>226</v>
      </c>
      <c r="Q58" s="86" t="s">
        <v>226</v>
      </c>
      <c r="R58" s="86"/>
      <c r="S58" s="86"/>
      <c r="T58" s="86" t="s">
        <v>226</v>
      </c>
      <c r="U58" s="37" t="s">
        <v>802</v>
      </c>
      <c r="V58" s="22"/>
      <c r="W58" s="22" t="s">
        <v>226</v>
      </c>
      <c r="X58" s="22"/>
      <c r="Y58" s="87" t="s">
        <v>1032</v>
      </c>
      <c r="Z58" s="87">
        <v>242</v>
      </c>
      <c r="AA58" s="87">
        <v>3</v>
      </c>
      <c r="AB58" s="87">
        <f>IF(AA58&lt;&gt;"", (Z58-AC58)/(AA58-COUNT(AC58)),"")</f>
        <v>81.5</v>
      </c>
      <c r="AC58" s="87">
        <v>79</v>
      </c>
      <c r="AD58" s="87" t="s">
        <v>1033</v>
      </c>
      <c r="AE58" s="87"/>
      <c r="AF58" s="87"/>
      <c r="AG58" s="87"/>
      <c r="AH58" s="87"/>
      <c r="AI58" s="87" t="str">
        <f t="shared" ref="AI58:AI89" si="9">IF(AG58&lt;&gt;"",AG58,"")</f>
        <v/>
      </c>
      <c r="AJ58" s="87"/>
      <c r="AK58" s="13">
        <v>32.799999999999997</v>
      </c>
      <c r="AL58" s="13">
        <v>3.75</v>
      </c>
      <c r="AM58" s="38" t="s">
        <v>657</v>
      </c>
      <c r="AN58" s="39" t="s">
        <v>958</v>
      </c>
      <c r="AO58" s="13" t="str">
        <f t="shared" si="8"/>
        <v>[91]</v>
      </c>
      <c r="AP58" s="87" t="s">
        <v>1174</v>
      </c>
      <c r="AQ58" s="87">
        <v>5.6269999999999998</v>
      </c>
      <c r="AR58" s="87">
        <v>1</v>
      </c>
      <c r="AS58" s="87"/>
      <c r="AT58" s="87" t="s">
        <v>226</v>
      </c>
      <c r="AU58" s="87" t="s">
        <v>226</v>
      </c>
      <c r="AV58" s="38"/>
      <c r="AW58" s="38"/>
    </row>
    <row r="59" spans="1:49" ht="80.099999999999994" customHeight="1" x14ac:dyDescent="0.25">
      <c r="A59" s="93">
        <v>56</v>
      </c>
      <c r="B59" s="95" t="s">
        <v>665</v>
      </c>
      <c r="C59" s="36">
        <v>2018</v>
      </c>
      <c r="D59" s="13" t="s">
        <v>204</v>
      </c>
      <c r="E59" s="98" t="s">
        <v>845</v>
      </c>
      <c r="F59" s="98" t="s">
        <v>846</v>
      </c>
      <c r="G59" s="22">
        <v>1</v>
      </c>
      <c r="H59" s="22">
        <v>1</v>
      </c>
      <c r="I59" s="86"/>
      <c r="J59" s="86" t="s">
        <v>226</v>
      </c>
      <c r="K59" s="86" t="s">
        <v>226</v>
      </c>
      <c r="L59" s="86" t="s">
        <v>226</v>
      </c>
      <c r="M59" s="86"/>
      <c r="N59" s="86"/>
      <c r="O59" s="86"/>
      <c r="P59" s="86"/>
      <c r="Q59" s="86"/>
      <c r="R59" s="86"/>
      <c r="S59" s="86" t="s">
        <v>226</v>
      </c>
      <c r="T59" s="86"/>
      <c r="U59" s="37" t="s">
        <v>810</v>
      </c>
      <c r="V59" s="22"/>
      <c r="W59" s="22"/>
      <c r="X59" s="22" t="s">
        <v>226</v>
      </c>
      <c r="Y59" s="87" t="s">
        <v>1031</v>
      </c>
      <c r="Z59" s="87">
        <v>80</v>
      </c>
      <c r="AA59" s="87"/>
      <c r="AB59" s="87" t="str">
        <f>IF(AA59&lt;&gt;"", (Z59-AC59)/(AA59-COUNT(AC59)),"")</f>
        <v/>
      </c>
      <c r="AC59" s="87"/>
      <c r="AD59" s="87"/>
      <c r="AE59" s="87">
        <v>7</v>
      </c>
      <c r="AF59" s="87">
        <f>AG59/(AE59/7)</f>
        <v>2</v>
      </c>
      <c r="AG59" s="87">
        <v>2</v>
      </c>
      <c r="AH59" s="87"/>
      <c r="AI59" s="87">
        <f t="shared" si="9"/>
        <v>2</v>
      </c>
      <c r="AJ59" s="87"/>
      <c r="AK59" s="13">
        <v>23.1</v>
      </c>
      <c r="AL59" s="13">
        <v>3.75</v>
      </c>
      <c r="AM59" s="38" t="s">
        <v>657</v>
      </c>
      <c r="AN59" s="38" t="s">
        <v>959</v>
      </c>
      <c r="AO59" s="13" t="str">
        <f t="shared" si="8"/>
        <v>[92]</v>
      </c>
      <c r="AP59" s="87" t="s">
        <v>1174</v>
      </c>
      <c r="AQ59" s="87">
        <v>5.6269999999999998</v>
      </c>
      <c r="AR59" s="87">
        <v>1</v>
      </c>
      <c r="AS59" s="87"/>
      <c r="AT59" s="87" t="s">
        <v>226</v>
      </c>
      <c r="AU59" s="87" t="s">
        <v>226</v>
      </c>
      <c r="AV59" s="38"/>
      <c r="AW59" s="38"/>
    </row>
    <row r="60" spans="1:49" ht="80.099999999999994" customHeight="1" x14ac:dyDescent="0.25">
      <c r="A60" s="93">
        <v>57</v>
      </c>
      <c r="B60" s="95" t="s">
        <v>667</v>
      </c>
      <c r="C60" s="36">
        <v>2023</v>
      </c>
      <c r="D60" s="13" t="s">
        <v>204</v>
      </c>
      <c r="E60" s="98" t="s">
        <v>847</v>
      </c>
      <c r="F60" s="98" t="s">
        <v>705</v>
      </c>
      <c r="G60" s="22">
        <v>1</v>
      </c>
      <c r="H60" s="22">
        <v>1</v>
      </c>
      <c r="I60" s="86" t="s">
        <v>226</v>
      </c>
      <c r="J60" s="86"/>
      <c r="K60" s="86"/>
      <c r="L60" s="86"/>
      <c r="M60" s="86"/>
      <c r="N60" s="86"/>
      <c r="O60" s="86" t="s">
        <v>226</v>
      </c>
      <c r="P60" s="86" t="s">
        <v>226</v>
      </c>
      <c r="Q60" s="86" t="s">
        <v>226</v>
      </c>
      <c r="R60" s="86" t="s">
        <v>226</v>
      </c>
      <c r="S60" s="86" t="s">
        <v>226</v>
      </c>
      <c r="T60" s="86" t="s">
        <v>226</v>
      </c>
      <c r="U60" s="37" t="s">
        <v>810</v>
      </c>
      <c r="V60" s="22"/>
      <c r="W60" s="22"/>
      <c r="X60" s="22" t="s">
        <v>226</v>
      </c>
      <c r="Y60" s="87" t="s">
        <v>1031</v>
      </c>
      <c r="Z60" s="87"/>
      <c r="AA60" s="87"/>
      <c r="AB60" s="87">
        <v>4</v>
      </c>
      <c r="AC60" s="87"/>
      <c r="AD60" s="87"/>
      <c r="AE60" s="87">
        <v>105</v>
      </c>
      <c r="AF60" s="87">
        <f>AG60/(AE60/7)</f>
        <v>2</v>
      </c>
      <c r="AG60" s="87">
        <v>30</v>
      </c>
      <c r="AH60" s="87">
        <v>120</v>
      </c>
      <c r="AI60" s="87">
        <f t="shared" si="9"/>
        <v>30</v>
      </c>
      <c r="AJ60" s="87">
        <v>120</v>
      </c>
      <c r="AK60" s="13">
        <v>1.6</v>
      </c>
      <c r="AL60" s="13">
        <v>3.75</v>
      </c>
      <c r="AM60" s="38" t="s">
        <v>657</v>
      </c>
      <c r="AN60" s="38" t="s">
        <v>960</v>
      </c>
      <c r="AO60" s="13" t="str">
        <f t="shared" si="8"/>
        <v>[93]</v>
      </c>
      <c r="AP60" s="87" t="s">
        <v>1174</v>
      </c>
      <c r="AQ60" s="87">
        <v>12</v>
      </c>
      <c r="AR60" s="87">
        <v>1</v>
      </c>
      <c r="AS60" s="87"/>
      <c r="AT60" s="87" t="s">
        <v>226</v>
      </c>
      <c r="AU60" s="87" t="s">
        <v>226</v>
      </c>
      <c r="AV60" s="38"/>
      <c r="AW60" s="38"/>
    </row>
    <row r="61" spans="1:49" ht="80.099999999999994" customHeight="1" x14ac:dyDescent="0.25">
      <c r="A61" s="93">
        <v>58</v>
      </c>
      <c r="B61" s="95" t="s">
        <v>674</v>
      </c>
      <c r="C61" s="36">
        <v>2016</v>
      </c>
      <c r="D61" s="13" t="s">
        <v>204</v>
      </c>
      <c r="E61" s="98" t="s">
        <v>849</v>
      </c>
      <c r="F61" s="98" t="s">
        <v>850</v>
      </c>
      <c r="G61" s="22">
        <v>0</v>
      </c>
      <c r="H61" s="22">
        <v>0</v>
      </c>
      <c r="I61" s="86"/>
      <c r="J61" s="86"/>
      <c r="K61" s="86"/>
      <c r="L61" s="86"/>
      <c r="M61" s="86"/>
      <c r="N61" s="86"/>
      <c r="O61" s="86"/>
      <c r="P61" s="86"/>
      <c r="Q61" s="86"/>
      <c r="R61" s="86"/>
      <c r="S61" s="86"/>
      <c r="T61" s="86" t="s">
        <v>226</v>
      </c>
      <c r="U61" s="37" t="s">
        <v>848</v>
      </c>
      <c r="V61" s="22"/>
      <c r="W61" s="22"/>
      <c r="X61" s="22" t="s">
        <v>226</v>
      </c>
      <c r="Y61" s="87" t="s">
        <v>1031</v>
      </c>
      <c r="Z61" s="87">
        <v>43</v>
      </c>
      <c r="AA61" s="87">
        <v>2</v>
      </c>
      <c r="AB61" s="87">
        <f>IF(AA61&lt;&gt;"", (Z61-AC61)/(AA61-COUNT(AC61)),"")</f>
        <v>21</v>
      </c>
      <c r="AC61" s="87">
        <v>22</v>
      </c>
      <c r="AD61" s="87" t="s">
        <v>1033</v>
      </c>
      <c r="AE61" s="87">
        <v>18</v>
      </c>
      <c r="AF61" s="87"/>
      <c r="AG61" s="87"/>
      <c r="AH61" s="87"/>
      <c r="AI61" s="87" t="str">
        <f t="shared" si="9"/>
        <v/>
      </c>
      <c r="AJ61" s="87"/>
      <c r="AK61" s="13">
        <v>122.6</v>
      </c>
      <c r="AL61" s="13">
        <v>3.75</v>
      </c>
      <c r="AM61" s="38" t="s">
        <v>657</v>
      </c>
      <c r="AN61" s="38" t="s">
        <v>961</v>
      </c>
      <c r="AO61" s="13" t="str">
        <f t="shared" si="8"/>
        <v>[94]</v>
      </c>
      <c r="AP61" s="87" t="s">
        <v>1174</v>
      </c>
      <c r="AQ61" s="87">
        <v>3.819</v>
      </c>
      <c r="AR61" s="87">
        <v>1</v>
      </c>
      <c r="AS61" s="87"/>
      <c r="AT61" s="87" t="s">
        <v>226</v>
      </c>
      <c r="AU61" s="87" t="s">
        <v>226</v>
      </c>
      <c r="AV61" s="38"/>
      <c r="AW61" s="38"/>
    </row>
    <row r="62" spans="1:49" ht="80.099999999999994" customHeight="1" x14ac:dyDescent="0.25">
      <c r="A62" s="93">
        <v>59</v>
      </c>
      <c r="B62" s="95" t="s">
        <v>675</v>
      </c>
      <c r="C62" s="36">
        <v>2015</v>
      </c>
      <c r="D62" s="13" t="s">
        <v>204</v>
      </c>
      <c r="E62" s="98" t="s">
        <v>851</v>
      </c>
      <c r="F62" s="98" t="s">
        <v>854</v>
      </c>
      <c r="G62" s="22">
        <v>-1</v>
      </c>
      <c r="H62" s="22">
        <v>-1</v>
      </c>
      <c r="I62" s="86" t="s">
        <v>226</v>
      </c>
      <c r="J62" s="86"/>
      <c r="K62" s="86"/>
      <c r="L62" s="86"/>
      <c r="M62" s="86"/>
      <c r="N62" s="86"/>
      <c r="O62" s="86"/>
      <c r="P62" s="86" t="s">
        <v>226</v>
      </c>
      <c r="Q62" s="86"/>
      <c r="R62" s="86"/>
      <c r="S62" s="86"/>
      <c r="T62" s="86" t="s">
        <v>226</v>
      </c>
      <c r="U62" s="37" t="s">
        <v>852</v>
      </c>
      <c r="V62" s="22"/>
      <c r="W62" s="22"/>
      <c r="X62" s="22" t="s">
        <v>226</v>
      </c>
      <c r="Y62" s="87" t="s">
        <v>1031</v>
      </c>
      <c r="Z62" s="87">
        <v>80</v>
      </c>
      <c r="AA62" s="87"/>
      <c r="AB62" s="87" t="str">
        <f>IF(AA62&lt;&gt;"", (Z62-AC62)/(AA62-COUNT(AC62)),"")</f>
        <v/>
      </c>
      <c r="AC62" s="87"/>
      <c r="AD62" s="87"/>
      <c r="AE62" s="87">
        <v>112</v>
      </c>
      <c r="AF62" s="87"/>
      <c r="AG62" s="87"/>
      <c r="AH62" s="87"/>
      <c r="AI62" s="87" t="str">
        <f t="shared" si="9"/>
        <v/>
      </c>
      <c r="AJ62" s="87"/>
      <c r="AK62" s="13">
        <v>761</v>
      </c>
      <c r="AL62" s="13">
        <v>3.75</v>
      </c>
      <c r="AM62" s="38" t="s">
        <v>657</v>
      </c>
      <c r="AN62" s="38" t="s">
        <v>962</v>
      </c>
      <c r="AO62" s="13" t="str">
        <f t="shared" si="8"/>
        <v>[95]</v>
      </c>
      <c r="AP62" s="87" t="s">
        <v>1174</v>
      </c>
      <c r="AQ62" s="87">
        <v>2.8809999999999998</v>
      </c>
      <c r="AR62" s="87">
        <v>1</v>
      </c>
      <c r="AS62" s="87"/>
      <c r="AT62" s="87" t="s">
        <v>226</v>
      </c>
      <c r="AU62" s="87" t="s">
        <v>226</v>
      </c>
      <c r="AV62" s="38"/>
      <c r="AW62" s="38"/>
    </row>
    <row r="63" spans="1:49" ht="80.099999999999994" customHeight="1" x14ac:dyDescent="0.25">
      <c r="A63" s="93">
        <v>60</v>
      </c>
      <c r="B63" s="95" t="s">
        <v>676</v>
      </c>
      <c r="C63" s="36">
        <v>2022</v>
      </c>
      <c r="D63" s="13" t="s">
        <v>204</v>
      </c>
      <c r="E63" s="98" t="s">
        <v>853</v>
      </c>
      <c r="F63" s="98" t="s">
        <v>856</v>
      </c>
      <c r="G63" s="22">
        <v>1</v>
      </c>
      <c r="H63" s="22">
        <v>2</v>
      </c>
      <c r="I63" s="86"/>
      <c r="J63" s="86" t="s">
        <v>226</v>
      </c>
      <c r="K63" s="86" t="s">
        <v>226</v>
      </c>
      <c r="L63" s="86" t="s">
        <v>226</v>
      </c>
      <c r="M63" s="86"/>
      <c r="N63" s="86"/>
      <c r="O63" s="86"/>
      <c r="P63" s="86"/>
      <c r="Q63" s="86"/>
      <c r="R63" s="86"/>
      <c r="S63" s="86" t="s">
        <v>226</v>
      </c>
      <c r="T63" s="86"/>
      <c r="U63" s="37" t="s">
        <v>855</v>
      </c>
      <c r="V63" s="22" t="s">
        <v>226</v>
      </c>
      <c r="W63" s="22"/>
      <c r="X63" s="22" t="s">
        <v>226</v>
      </c>
      <c r="Y63" s="87" t="s">
        <v>1031</v>
      </c>
      <c r="Z63" s="87">
        <v>78</v>
      </c>
      <c r="AA63" s="87"/>
      <c r="AB63" s="87" t="str">
        <f>IF(AA63&lt;&gt;"", (Z63-AC63)/(AA63-COUNT(AC63)),"")</f>
        <v/>
      </c>
      <c r="AC63" s="87"/>
      <c r="AD63" s="87"/>
      <c r="AE63" s="87">
        <v>112</v>
      </c>
      <c r="AF63" s="87"/>
      <c r="AG63" s="87"/>
      <c r="AH63" s="87"/>
      <c r="AI63" s="87" t="str">
        <f t="shared" si="9"/>
        <v/>
      </c>
      <c r="AJ63" s="87"/>
      <c r="AK63" s="13">
        <v>6.1</v>
      </c>
      <c r="AL63" s="13">
        <v>3.75</v>
      </c>
      <c r="AM63" s="38" t="s">
        <v>657</v>
      </c>
      <c r="AN63" s="38" t="s">
        <v>963</v>
      </c>
      <c r="AO63" s="13" t="str">
        <f t="shared" si="8"/>
        <v>[96]</v>
      </c>
      <c r="AP63" s="87" t="s">
        <v>1174</v>
      </c>
      <c r="AQ63" s="87">
        <v>12</v>
      </c>
      <c r="AR63" s="87">
        <v>1</v>
      </c>
      <c r="AS63" s="87"/>
      <c r="AT63" s="87" t="s">
        <v>226</v>
      </c>
      <c r="AU63" s="87" t="s">
        <v>226</v>
      </c>
      <c r="AV63" s="38"/>
      <c r="AW63" s="38"/>
    </row>
    <row r="64" spans="1:49" ht="80.099999999999994" customHeight="1" x14ac:dyDescent="0.25">
      <c r="A64" s="93">
        <v>61</v>
      </c>
      <c r="B64" s="95" t="s">
        <v>677</v>
      </c>
      <c r="C64" s="36">
        <v>2016</v>
      </c>
      <c r="D64" s="13" t="s">
        <v>204</v>
      </c>
      <c r="E64" s="98" t="s">
        <v>857</v>
      </c>
      <c r="F64" s="98" t="s">
        <v>743</v>
      </c>
      <c r="G64" s="22">
        <v>1</v>
      </c>
      <c r="H64" s="22">
        <v>2</v>
      </c>
      <c r="I64" s="86" t="s">
        <v>226</v>
      </c>
      <c r="J64" s="86"/>
      <c r="K64" s="86"/>
      <c r="L64" s="86"/>
      <c r="M64" s="86"/>
      <c r="N64" s="86"/>
      <c r="O64" s="86"/>
      <c r="P64" s="86" t="s">
        <v>226</v>
      </c>
      <c r="Q64" s="86" t="s">
        <v>226</v>
      </c>
      <c r="R64" s="86"/>
      <c r="S64" s="86"/>
      <c r="T64" s="86"/>
      <c r="U64" s="37" t="s">
        <v>858</v>
      </c>
      <c r="V64" s="22"/>
      <c r="W64" s="22" t="s">
        <v>226</v>
      </c>
      <c r="X64" s="22"/>
      <c r="Y64" s="87" t="s">
        <v>1032</v>
      </c>
      <c r="Z64" s="87">
        <v>58</v>
      </c>
      <c r="AA64" s="87"/>
      <c r="AB64" s="87">
        <v>4</v>
      </c>
      <c r="AC64" s="87">
        <v>30</v>
      </c>
      <c r="AD64" s="87" t="s">
        <v>1033</v>
      </c>
      <c r="AE64" s="87"/>
      <c r="AF64" s="87"/>
      <c r="AG64" s="87"/>
      <c r="AH64" s="87"/>
      <c r="AI64" s="87" t="str">
        <f t="shared" si="9"/>
        <v/>
      </c>
      <c r="AJ64" s="87"/>
      <c r="AK64" s="13">
        <v>35.6</v>
      </c>
      <c r="AL64" s="13">
        <v>3.75</v>
      </c>
      <c r="AM64" s="38" t="s">
        <v>657</v>
      </c>
      <c r="AN64" s="38" t="s">
        <v>964</v>
      </c>
      <c r="AO64" s="13" t="str">
        <f t="shared" si="8"/>
        <v>[97]</v>
      </c>
      <c r="AP64" s="87" t="s">
        <v>1174</v>
      </c>
      <c r="AQ64" s="87">
        <v>3.819</v>
      </c>
      <c r="AR64" s="87">
        <v>1</v>
      </c>
      <c r="AS64" s="87"/>
      <c r="AT64" s="87" t="s">
        <v>226</v>
      </c>
      <c r="AU64" s="87" t="s">
        <v>226</v>
      </c>
      <c r="AV64" s="38"/>
      <c r="AW64" s="38" t="s">
        <v>1200</v>
      </c>
    </row>
    <row r="65" spans="1:49" ht="80.099999999999994" customHeight="1" x14ac:dyDescent="0.25">
      <c r="A65" s="93">
        <v>62</v>
      </c>
      <c r="B65" s="95" t="s">
        <v>678</v>
      </c>
      <c r="C65" s="36">
        <v>2018</v>
      </c>
      <c r="D65" s="13" t="s">
        <v>204</v>
      </c>
      <c r="E65" s="98" t="s">
        <v>859</v>
      </c>
      <c r="F65" s="98" t="s">
        <v>860</v>
      </c>
      <c r="G65" s="22">
        <v>0</v>
      </c>
      <c r="H65" s="22">
        <v>0</v>
      </c>
      <c r="I65" s="86" t="s">
        <v>226</v>
      </c>
      <c r="J65" s="86"/>
      <c r="K65" s="86"/>
      <c r="L65" s="86"/>
      <c r="M65" s="86"/>
      <c r="N65" s="86"/>
      <c r="O65" s="86"/>
      <c r="P65" s="86" t="s">
        <v>226</v>
      </c>
      <c r="Q65" s="87"/>
      <c r="R65" s="86"/>
      <c r="S65" s="86"/>
      <c r="T65" s="86" t="s">
        <v>226</v>
      </c>
      <c r="U65" s="37" t="s">
        <v>778</v>
      </c>
      <c r="V65" s="22"/>
      <c r="W65" s="22"/>
      <c r="X65" s="22" t="s">
        <v>226</v>
      </c>
      <c r="Y65" s="87" t="s">
        <v>1031</v>
      </c>
      <c r="Z65" s="87">
        <v>136</v>
      </c>
      <c r="AA65" s="87"/>
      <c r="AB65" s="87" t="str">
        <f t="shared" ref="AB65:AB91" si="10">IF(AA65&lt;&gt;"", (Z65-AC65)/(AA65-COUNT(AC65)),"")</f>
        <v/>
      </c>
      <c r="AC65" s="87"/>
      <c r="AD65" s="87"/>
      <c r="AE65" s="87">
        <v>168</v>
      </c>
      <c r="AF65" s="87"/>
      <c r="AG65" s="87"/>
      <c r="AH65" s="87"/>
      <c r="AI65" s="87" t="str">
        <f t="shared" si="9"/>
        <v/>
      </c>
      <c r="AJ65" s="87"/>
      <c r="AK65" s="13">
        <v>109.5</v>
      </c>
      <c r="AL65" s="13">
        <v>3.75</v>
      </c>
      <c r="AM65" s="38" t="s">
        <v>657</v>
      </c>
      <c r="AN65" s="38" t="s">
        <v>965</v>
      </c>
      <c r="AO65" s="13" t="str">
        <f t="shared" si="8"/>
        <v>[98]</v>
      </c>
      <c r="AP65" s="87" t="s">
        <v>1174</v>
      </c>
      <c r="AQ65" s="87">
        <v>5.6269999999999998</v>
      </c>
      <c r="AR65" s="87">
        <v>1</v>
      </c>
      <c r="AS65" s="87"/>
      <c r="AT65" s="87" t="s">
        <v>226</v>
      </c>
      <c r="AU65" s="87" t="s">
        <v>226</v>
      </c>
      <c r="AV65" s="38"/>
      <c r="AW65" s="38"/>
    </row>
    <row r="66" spans="1:49" ht="80.099999999999994" customHeight="1" x14ac:dyDescent="0.25">
      <c r="A66" s="93">
        <v>63</v>
      </c>
      <c r="B66" s="95" t="s">
        <v>682</v>
      </c>
      <c r="C66" s="36">
        <v>2020</v>
      </c>
      <c r="D66" s="13" t="s">
        <v>204</v>
      </c>
      <c r="E66" s="98" t="s">
        <v>861</v>
      </c>
      <c r="F66" s="98" t="s">
        <v>862</v>
      </c>
      <c r="G66" s="22">
        <v>1</v>
      </c>
      <c r="H66" s="22">
        <v>2</v>
      </c>
      <c r="I66" s="86" t="s">
        <v>226</v>
      </c>
      <c r="J66" s="86"/>
      <c r="K66" s="86" t="s">
        <v>226</v>
      </c>
      <c r="L66" s="86" t="s">
        <v>226</v>
      </c>
      <c r="M66" s="86"/>
      <c r="N66" s="86"/>
      <c r="O66" s="86" t="s">
        <v>226</v>
      </c>
      <c r="P66" s="86"/>
      <c r="Q66" s="86" t="s">
        <v>226</v>
      </c>
      <c r="R66" s="86"/>
      <c r="S66" s="86" t="s">
        <v>226</v>
      </c>
      <c r="T66" s="86"/>
      <c r="U66" s="37" t="s">
        <v>810</v>
      </c>
      <c r="V66" s="22"/>
      <c r="W66" s="22"/>
      <c r="X66" s="22" t="s">
        <v>226</v>
      </c>
      <c r="Y66" s="87" t="s">
        <v>1031</v>
      </c>
      <c r="Z66" s="87">
        <v>38</v>
      </c>
      <c r="AA66" s="87">
        <v>19</v>
      </c>
      <c r="AB66" s="87">
        <f t="shared" si="10"/>
        <v>2</v>
      </c>
      <c r="AC66" s="87"/>
      <c r="AD66" s="87" t="s">
        <v>1033</v>
      </c>
      <c r="AE66" s="87"/>
      <c r="AF66" s="87"/>
      <c r="AG66" s="87"/>
      <c r="AH66" s="87">
        <v>15</v>
      </c>
      <c r="AI66" s="87" t="str">
        <f t="shared" si="9"/>
        <v/>
      </c>
      <c r="AJ66" s="87">
        <v>15</v>
      </c>
      <c r="AK66" s="13">
        <v>47.4</v>
      </c>
      <c r="AL66" s="13">
        <v>3.75</v>
      </c>
      <c r="AM66" s="38" t="s">
        <v>657</v>
      </c>
      <c r="AN66" s="38" t="s">
        <v>966</v>
      </c>
      <c r="AO66" s="13" t="str">
        <f t="shared" si="8"/>
        <v>[99]</v>
      </c>
      <c r="AP66" s="87" t="s">
        <v>1174</v>
      </c>
      <c r="AQ66" s="87">
        <v>8.5380000000000003</v>
      </c>
      <c r="AR66" s="87">
        <v>1</v>
      </c>
      <c r="AS66" s="87"/>
      <c r="AT66" s="87" t="s">
        <v>226</v>
      </c>
      <c r="AU66" s="87" t="s">
        <v>226</v>
      </c>
      <c r="AV66" s="38"/>
      <c r="AW66" s="38"/>
    </row>
    <row r="67" spans="1:49" ht="80.099999999999994" customHeight="1" x14ac:dyDescent="0.25">
      <c r="A67" s="93">
        <v>64</v>
      </c>
      <c r="B67" s="95" t="s">
        <v>690</v>
      </c>
      <c r="C67" s="36">
        <v>2014</v>
      </c>
      <c r="D67" s="13" t="s">
        <v>204</v>
      </c>
      <c r="E67" s="98" t="s">
        <v>864</v>
      </c>
      <c r="F67" s="98" t="s">
        <v>865</v>
      </c>
      <c r="G67" s="22">
        <v>-1</v>
      </c>
      <c r="H67" s="22">
        <v>-1</v>
      </c>
      <c r="I67" s="86" t="s">
        <v>226</v>
      </c>
      <c r="J67" s="86" t="s">
        <v>226</v>
      </c>
      <c r="K67" s="86"/>
      <c r="L67" s="86"/>
      <c r="M67" s="86"/>
      <c r="N67" s="86" t="s">
        <v>226</v>
      </c>
      <c r="O67" s="86"/>
      <c r="P67" s="86"/>
      <c r="Q67" s="86"/>
      <c r="R67" s="86"/>
      <c r="S67" s="86"/>
      <c r="T67" s="86" t="s">
        <v>226</v>
      </c>
      <c r="U67" s="37" t="s">
        <v>863</v>
      </c>
      <c r="V67" s="22"/>
      <c r="W67" s="22" t="s">
        <v>226</v>
      </c>
      <c r="X67" s="22"/>
      <c r="Y67" s="87" t="s">
        <v>1031</v>
      </c>
      <c r="Z67" s="87">
        <v>371</v>
      </c>
      <c r="AA67" s="87">
        <v>3</v>
      </c>
      <c r="AB67" s="87">
        <f t="shared" si="10"/>
        <v>149</v>
      </c>
      <c r="AC67" s="87">
        <v>73</v>
      </c>
      <c r="AD67" s="87" t="s">
        <v>1033</v>
      </c>
      <c r="AE67" s="87">
        <v>180</v>
      </c>
      <c r="AF67" s="87"/>
      <c r="AG67" s="87"/>
      <c r="AH67" s="87"/>
      <c r="AI67" s="87" t="str">
        <f t="shared" si="9"/>
        <v/>
      </c>
      <c r="AJ67" s="87"/>
      <c r="AK67" s="13">
        <v>308.3</v>
      </c>
      <c r="AL67" s="13">
        <v>3.75</v>
      </c>
      <c r="AM67" s="38" t="s">
        <v>657</v>
      </c>
      <c r="AN67" s="38" t="s">
        <v>967</v>
      </c>
      <c r="AO67" s="13" t="str">
        <f t="shared" si="8"/>
        <v>[100]</v>
      </c>
      <c r="AP67" s="87" t="s">
        <v>1174</v>
      </c>
      <c r="AQ67" s="87">
        <v>2.556</v>
      </c>
      <c r="AR67" s="87">
        <v>1</v>
      </c>
      <c r="AS67" s="87"/>
      <c r="AT67" s="87" t="s">
        <v>226</v>
      </c>
      <c r="AU67" s="87" t="s">
        <v>226</v>
      </c>
      <c r="AV67" s="38"/>
      <c r="AW67" s="38"/>
    </row>
    <row r="68" spans="1:49" ht="80.099999999999994" customHeight="1" x14ac:dyDescent="0.25">
      <c r="A68" s="93">
        <v>65</v>
      </c>
      <c r="B68" s="95" t="s">
        <v>691</v>
      </c>
      <c r="C68" s="36">
        <v>2020</v>
      </c>
      <c r="D68" s="13" t="s">
        <v>204</v>
      </c>
      <c r="E68" s="98" t="s">
        <v>866</v>
      </c>
      <c r="F68" s="98" t="s">
        <v>868</v>
      </c>
      <c r="G68" s="22">
        <v>1</v>
      </c>
      <c r="H68" s="22">
        <v>1</v>
      </c>
      <c r="I68" s="86" t="s">
        <v>226</v>
      </c>
      <c r="J68" s="86" t="s">
        <v>226</v>
      </c>
      <c r="K68" s="86" t="s">
        <v>226</v>
      </c>
      <c r="L68" s="86" t="s">
        <v>226</v>
      </c>
      <c r="M68" s="86"/>
      <c r="N68" s="86"/>
      <c r="O68" s="86" t="s">
        <v>226</v>
      </c>
      <c r="P68" s="86" t="s">
        <v>226</v>
      </c>
      <c r="Q68" s="86" t="s">
        <v>226</v>
      </c>
      <c r="R68" s="86"/>
      <c r="S68" s="86" t="s">
        <v>226</v>
      </c>
      <c r="T68" s="86" t="s">
        <v>226</v>
      </c>
      <c r="U68" s="37" t="s">
        <v>869</v>
      </c>
      <c r="V68" s="22" t="s">
        <v>226</v>
      </c>
      <c r="W68" s="22"/>
      <c r="X68" s="22"/>
      <c r="Y68" s="87" t="s">
        <v>1064</v>
      </c>
      <c r="Z68" s="87">
        <v>417</v>
      </c>
      <c r="AA68" s="87">
        <v>2</v>
      </c>
      <c r="AB68" s="87">
        <f t="shared" si="10"/>
        <v>212</v>
      </c>
      <c r="AC68" s="87">
        <v>205</v>
      </c>
      <c r="AD68" s="87" t="s">
        <v>1033</v>
      </c>
      <c r="AE68" s="87">
        <v>28</v>
      </c>
      <c r="AF68" s="87">
        <f>AG68/(AE68/7)</f>
        <v>3</v>
      </c>
      <c r="AG68" s="87">
        <v>12</v>
      </c>
      <c r="AH68" s="87">
        <v>105</v>
      </c>
      <c r="AI68" s="87">
        <f t="shared" si="9"/>
        <v>12</v>
      </c>
      <c r="AJ68" s="87">
        <v>105</v>
      </c>
      <c r="AK68" s="13">
        <v>30.7</v>
      </c>
      <c r="AL68" s="13">
        <v>3.75</v>
      </c>
      <c r="AM68" s="38" t="s">
        <v>657</v>
      </c>
      <c r="AN68" s="38" t="s">
        <v>968</v>
      </c>
      <c r="AO68" s="13" t="str">
        <f t="shared" si="8"/>
        <v>[101]</v>
      </c>
      <c r="AP68" s="87" t="s">
        <v>1174</v>
      </c>
      <c r="AQ68" s="87">
        <v>8.5380000000000003</v>
      </c>
      <c r="AR68" s="87">
        <v>1</v>
      </c>
      <c r="AS68" s="87"/>
      <c r="AT68" s="87" t="s">
        <v>226</v>
      </c>
      <c r="AU68" s="87" t="s">
        <v>226</v>
      </c>
      <c r="AV68" s="38" t="s">
        <v>867</v>
      </c>
      <c r="AW68" s="38"/>
    </row>
    <row r="69" spans="1:49" ht="80.099999999999994" customHeight="1" x14ac:dyDescent="0.25">
      <c r="A69" s="93">
        <v>66</v>
      </c>
      <c r="B69" s="95" t="s">
        <v>692</v>
      </c>
      <c r="C69" s="36">
        <v>2020</v>
      </c>
      <c r="D69" s="13" t="s">
        <v>204</v>
      </c>
      <c r="E69" s="98" t="s">
        <v>870</v>
      </c>
      <c r="F69" s="98" t="s">
        <v>872</v>
      </c>
      <c r="G69" s="22">
        <v>1</v>
      </c>
      <c r="H69" s="22">
        <v>2</v>
      </c>
      <c r="I69" s="86"/>
      <c r="J69" s="86"/>
      <c r="K69" s="86"/>
      <c r="L69" s="86"/>
      <c r="M69" s="86" t="s">
        <v>226</v>
      </c>
      <c r="N69" s="86"/>
      <c r="O69" s="86"/>
      <c r="P69" s="86" t="s">
        <v>226</v>
      </c>
      <c r="Q69" s="86"/>
      <c r="R69" s="86"/>
      <c r="S69" s="86"/>
      <c r="T69" s="86"/>
      <c r="U69" s="37" t="s">
        <v>871</v>
      </c>
      <c r="V69" s="22"/>
      <c r="W69" s="22" t="s">
        <v>226</v>
      </c>
      <c r="X69" s="22"/>
      <c r="Y69" s="87" t="s">
        <v>1031</v>
      </c>
      <c r="Z69" s="87">
        <v>473</v>
      </c>
      <c r="AA69" s="87">
        <v>2</v>
      </c>
      <c r="AB69" s="87">
        <f t="shared" si="10"/>
        <v>157</v>
      </c>
      <c r="AC69" s="87">
        <v>316</v>
      </c>
      <c r="AD69" s="87" t="s">
        <v>1033</v>
      </c>
      <c r="AE69" s="87">
        <v>180</v>
      </c>
      <c r="AF69" s="87">
        <f>AG69/(AE69/7)</f>
        <v>1.3222222222222222</v>
      </c>
      <c r="AG69" s="87">
        <v>34</v>
      </c>
      <c r="AH69" s="87"/>
      <c r="AI69" s="87">
        <f t="shared" si="9"/>
        <v>34</v>
      </c>
      <c r="AJ69" s="87"/>
      <c r="AK69" s="13">
        <v>129.6</v>
      </c>
      <c r="AL69" s="13">
        <v>3.75</v>
      </c>
      <c r="AM69" s="38" t="s">
        <v>657</v>
      </c>
      <c r="AN69" s="38" t="s">
        <v>969</v>
      </c>
      <c r="AO69" s="13" t="str">
        <f t="shared" si="8"/>
        <v>[102]</v>
      </c>
      <c r="AP69" s="87" t="s">
        <v>1174</v>
      </c>
      <c r="AQ69" s="87">
        <v>8.5380000000000003</v>
      </c>
      <c r="AR69" s="87">
        <v>1</v>
      </c>
      <c r="AS69" s="87"/>
      <c r="AT69" s="87" t="s">
        <v>226</v>
      </c>
      <c r="AU69" s="87" t="s">
        <v>226</v>
      </c>
      <c r="AV69" s="38"/>
      <c r="AW69" s="38"/>
    </row>
    <row r="70" spans="1:49" ht="80.099999999999994" customHeight="1" x14ac:dyDescent="0.25">
      <c r="A70" s="93">
        <v>67</v>
      </c>
      <c r="B70" s="95" t="s">
        <v>695</v>
      </c>
      <c r="C70" s="36">
        <v>2021</v>
      </c>
      <c r="D70" s="13" t="s">
        <v>204</v>
      </c>
      <c r="E70" s="98" t="s">
        <v>873</v>
      </c>
      <c r="F70" s="98" t="s">
        <v>874</v>
      </c>
      <c r="G70" s="22">
        <v>1</v>
      </c>
      <c r="H70" s="22">
        <v>3</v>
      </c>
      <c r="I70" s="86"/>
      <c r="J70" s="86"/>
      <c r="K70" s="86" t="s">
        <v>226</v>
      </c>
      <c r="L70" s="86"/>
      <c r="M70" s="86"/>
      <c r="N70" s="86"/>
      <c r="O70" s="86"/>
      <c r="P70" s="86" t="s">
        <v>226</v>
      </c>
      <c r="Q70" s="86" t="s">
        <v>226</v>
      </c>
      <c r="R70" s="86"/>
      <c r="S70" s="86"/>
      <c r="T70" s="86"/>
      <c r="U70" s="37" t="s">
        <v>273</v>
      </c>
      <c r="V70" s="22"/>
      <c r="W70" s="22"/>
      <c r="X70" s="22" t="s">
        <v>226</v>
      </c>
      <c r="Y70" s="87" t="s">
        <v>1046</v>
      </c>
      <c r="Z70" s="87">
        <v>210</v>
      </c>
      <c r="AA70" s="87">
        <v>3</v>
      </c>
      <c r="AB70" s="87">
        <f t="shared" si="10"/>
        <v>70</v>
      </c>
      <c r="AC70" s="87">
        <v>70</v>
      </c>
      <c r="AD70" s="87" t="s">
        <v>1033</v>
      </c>
      <c r="AE70" s="87">
        <v>1</v>
      </c>
      <c r="AF70" s="87"/>
      <c r="AG70" s="87">
        <v>1</v>
      </c>
      <c r="AH70" s="87">
        <v>25</v>
      </c>
      <c r="AI70" s="87">
        <f t="shared" si="9"/>
        <v>1</v>
      </c>
      <c r="AJ70" s="87">
        <v>25</v>
      </c>
      <c r="AK70" s="13">
        <v>11.8</v>
      </c>
      <c r="AL70" s="13">
        <v>3.75</v>
      </c>
      <c r="AM70" s="38" t="s">
        <v>657</v>
      </c>
      <c r="AN70" s="38" t="s">
        <v>970</v>
      </c>
      <c r="AO70" s="13" t="str">
        <f t="shared" si="8"/>
        <v>[103]</v>
      </c>
      <c r="AP70" s="87" t="s">
        <v>1174</v>
      </c>
      <c r="AQ70" s="87">
        <v>11.182</v>
      </c>
      <c r="AR70" s="87">
        <v>1</v>
      </c>
      <c r="AS70" s="87"/>
      <c r="AT70" s="87" t="s">
        <v>226</v>
      </c>
      <c r="AU70" s="87" t="s">
        <v>226</v>
      </c>
      <c r="AV70" s="38"/>
      <c r="AW70" s="38"/>
    </row>
    <row r="71" spans="1:49" ht="80.099999999999994" customHeight="1" x14ac:dyDescent="0.25">
      <c r="A71" s="93">
        <v>68</v>
      </c>
      <c r="B71" s="95" t="s">
        <v>696</v>
      </c>
      <c r="C71" s="36">
        <v>2019</v>
      </c>
      <c r="D71" s="13" t="s">
        <v>204</v>
      </c>
      <c r="E71" s="98" t="s">
        <v>875</v>
      </c>
      <c r="F71" s="98" t="s">
        <v>743</v>
      </c>
      <c r="G71" s="22">
        <v>1</v>
      </c>
      <c r="H71" s="22">
        <v>2</v>
      </c>
      <c r="I71" s="86"/>
      <c r="J71" s="86" t="s">
        <v>226</v>
      </c>
      <c r="K71" s="86"/>
      <c r="L71" s="86"/>
      <c r="M71" s="86"/>
      <c r="N71" s="86"/>
      <c r="O71" s="86"/>
      <c r="P71" s="86" t="s">
        <v>226</v>
      </c>
      <c r="Q71" s="86" t="s">
        <v>226</v>
      </c>
      <c r="R71" s="86"/>
      <c r="S71" s="86"/>
      <c r="T71" s="86"/>
      <c r="U71" s="37" t="s">
        <v>876</v>
      </c>
      <c r="V71" s="22"/>
      <c r="W71" s="22" t="s">
        <v>226</v>
      </c>
      <c r="X71" s="22" t="s">
        <v>226</v>
      </c>
      <c r="Y71" s="87" t="s">
        <v>1047</v>
      </c>
      <c r="Z71" s="87">
        <v>81</v>
      </c>
      <c r="AA71" s="87">
        <v>2</v>
      </c>
      <c r="AB71" s="87">
        <f t="shared" si="10"/>
        <v>41</v>
      </c>
      <c r="AC71" s="87">
        <v>40</v>
      </c>
      <c r="AD71" s="87"/>
      <c r="AE71" s="87">
        <v>1</v>
      </c>
      <c r="AF71" s="87"/>
      <c r="AG71" s="87">
        <v>1</v>
      </c>
      <c r="AH71" s="87">
        <v>45</v>
      </c>
      <c r="AI71" s="87">
        <f t="shared" si="9"/>
        <v>1</v>
      </c>
      <c r="AJ71" s="87">
        <v>45</v>
      </c>
      <c r="AK71" s="13">
        <v>15.1</v>
      </c>
      <c r="AL71" s="13">
        <v>3.75</v>
      </c>
      <c r="AM71" s="38" t="s">
        <v>657</v>
      </c>
      <c r="AN71" s="38" t="s">
        <v>971</v>
      </c>
      <c r="AO71" s="13" t="str">
        <f t="shared" si="8"/>
        <v>[104]</v>
      </c>
      <c r="AP71" s="87" t="s">
        <v>1174</v>
      </c>
      <c r="AQ71" s="87">
        <v>5.2960000000000003</v>
      </c>
      <c r="AR71" s="87">
        <v>1</v>
      </c>
      <c r="AS71" s="87"/>
      <c r="AT71" s="87" t="s">
        <v>226</v>
      </c>
      <c r="AU71" s="87" t="s">
        <v>226</v>
      </c>
      <c r="AV71" s="38"/>
      <c r="AW71" s="38"/>
    </row>
    <row r="72" spans="1:49" ht="80.099999999999994" customHeight="1" x14ac:dyDescent="0.25">
      <c r="A72" s="93">
        <v>69</v>
      </c>
      <c r="B72" s="95" t="s">
        <v>1</v>
      </c>
      <c r="C72" s="36">
        <v>2020</v>
      </c>
      <c r="D72" s="13" t="s">
        <v>204</v>
      </c>
      <c r="E72" s="98" t="s">
        <v>228</v>
      </c>
      <c r="F72" s="98" t="s">
        <v>229</v>
      </c>
      <c r="G72" s="22">
        <v>1</v>
      </c>
      <c r="H72" s="22">
        <v>2</v>
      </c>
      <c r="I72" s="86"/>
      <c r="J72" s="86"/>
      <c r="K72" s="86" t="s">
        <v>226</v>
      </c>
      <c r="L72" s="86" t="s">
        <v>226</v>
      </c>
      <c r="M72" s="86" t="s">
        <v>226</v>
      </c>
      <c r="N72" s="86"/>
      <c r="O72" s="86"/>
      <c r="P72" s="86"/>
      <c r="Q72" s="86"/>
      <c r="R72" s="86"/>
      <c r="S72" s="86"/>
      <c r="T72" s="86"/>
      <c r="U72" s="37" t="s">
        <v>222</v>
      </c>
      <c r="V72" s="22" t="s">
        <v>226</v>
      </c>
      <c r="W72" s="22"/>
      <c r="X72" s="22"/>
      <c r="Y72" s="87" t="s">
        <v>1031</v>
      </c>
      <c r="Z72" s="87"/>
      <c r="AA72" s="87"/>
      <c r="AB72" s="87" t="str">
        <f t="shared" si="10"/>
        <v/>
      </c>
      <c r="AC72" s="87"/>
      <c r="AD72" s="87"/>
      <c r="AE72" s="87"/>
      <c r="AF72" s="87"/>
      <c r="AG72" s="87"/>
      <c r="AH72" s="87"/>
      <c r="AI72" s="87" t="str">
        <f t="shared" si="9"/>
        <v/>
      </c>
      <c r="AJ72" s="87"/>
      <c r="AK72" s="13">
        <v>49.8</v>
      </c>
      <c r="AL72" s="13"/>
      <c r="AM72" s="38"/>
      <c r="AN72" s="38" t="s">
        <v>972</v>
      </c>
      <c r="AO72" s="13" t="str">
        <f t="shared" si="8"/>
        <v>[105]</v>
      </c>
      <c r="AP72" s="87"/>
      <c r="AQ72" s="87"/>
      <c r="AR72" s="87"/>
      <c r="AS72" s="87"/>
      <c r="AT72" s="87"/>
      <c r="AU72" s="87"/>
      <c r="AV72" s="38"/>
      <c r="AW72" s="38"/>
    </row>
    <row r="73" spans="1:49" ht="80.099999999999994" customHeight="1" x14ac:dyDescent="0.25">
      <c r="A73" s="93">
        <v>69.099999999999994</v>
      </c>
      <c r="B73" s="95"/>
      <c r="C73" s="36"/>
      <c r="D73" s="13" t="s">
        <v>227</v>
      </c>
      <c r="E73" s="98" t="s">
        <v>237</v>
      </c>
      <c r="F73" s="98"/>
      <c r="G73" s="22">
        <v>1</v>
      </c>
      <c r="H73" s="22">
        <v>1</v>
      </c>
      <c r="I73" s="86"/>
      <c r="J73" s="86"/>
      <c r="K73" s="86"/>
      <c r="L73" s="86" t="s">
        <v>226</v>
      </c>
      <c r="M73" s="86" t="s">
        <v>226</v>
      </c>
      <c r="N73" s="86"/>
      <c r="O73" s="86"/>
      <c r="P73" s="86"/>
      <c r="Q73" s="86"/>
      <c r="R73" s="86"/>
      <c r="S73" s="86"/>
      <c r="T73" s="86"/>
      <c r="U73" s="37"/>
      <c r="V73" s="22" t="s">
        <v>226</v>
      </c>
      <c r="W73" s="22"/>
      <c r="X73" s="22"/>
      <c r="Y73" s="87"/>
      <c r="Z73" s="87"/>
      <c r="AA73" s="87"/>
      <c r="AB73" s="87" t="str">
        <f t="shared" si="10"/>
        <v/>
      </c>
      <c r="AC73" s="87"/>
      <c r="AD73" s="87"/>
      <c r="AE73" s="87"/>
      <c r="AF73" s="87"/>
      <c r="AG73" s="87"/>
      <c r="AH73" s="87"/>
      <c r="AI73" s="87" t="str">
        <f t="shared" si="9"/>
        <v/>
      </c>
      <c r="AJ73" s="87"/>
      <c r="AK73" s="13"/>
      <c r="AL73" s="13"/>
      <c r="AM73" s="38"/>
      <c r="AN73" s="38"/>
      <c r="AO73" s="13"/>
      <c r="AP73" s="87"/>
      <c r="AQ73" s="87"/>
      <c r="AR73" s="87"/>
      <c r="AS73" s="87"/>
      <c r="AT73" s="87"/>
      <c r="AU73" s="87"/>
      <c r="AV73" s="38"/>
      <c r="AW73" s="38"/>
    </row>
    <row r="74" spans="1:49" ht="108" customHeight="1" x14ac:dyDescent="0.25">
      <c r="A74" s="93">
        <v>70</v>
      </c>
      <c r="B74" s="95" t="s">
        <v>5</v>
      </c>
      <c r="C74" s="36">
        <v>2016</v>
      </c>
      <c r="D74" s="13" t="s">
        <v>204</v>
      </c>
      <c r="E74" s="98" t="s">
        <v>236</v>
      </c>
      <c r="F74" s="98" t="s">
        <v>239</v>
      </c>
      <c r="G74" s="22">
        <v>0</v>
      </c>
      <c r="H74" s="22">
        <v>0</v>
      </c>
      <c r="I74" s="86"/>
      <c r="J74" s="86"/>
      <c r="K74" s="86"/>
      <c r="L74" s="86"/>
      <c r="M74" s="86"/>
      <c r="N74" s="86" t="s">
        <v>226</v>
      </c>
      <c r="O74" s="86" t="s">
        <v>226</v>
      </c>
      <c r="P74" s="86" t="s">
        <v>226</v>
      </c>
      <c r="Q74" s="86"/>
      <c r="R74" s="86"/>
      <c r="S74" s="86"/>
      <c r="T74" s="86" t="s">
        <v>226</v>
      </c>
      <c r="U74" s="37" t="s">
        <v>238</v>
      </c>
      <c r="V74" s="22"/>
      <c r="W74" s="22" t="s">
        <v>226</v>
      </c>
      <c r="X74" s="22"/>
      <c r="Y74" s="87" t="s">
        <v>1031</v>
      </c>
      <c r="Z74" s="87"/>
      <c r="AA74" s="87"/>
      <c r="AB74" s="87" t="str">
        <f t="shared" si="10"/>
        <v/>
      </c>
      <c r="AC74" s="87"/>
      <c r="AD74" s="87"/>
      <c r="AE74" s="87"/>
      <c r="AF74" s="87"/>
      <c r="AG74" s="87"/>
      <c r="AH74" s="87"/>
      <c r="AI74" s="87" t="str">
        <f t="shared" si="9"/>
        <v/>
      </c>
      <c r="AJ74" s="87"/>
      <c r="AK74" s="13">
        <v>4.5999999999999996</v>
      </c>
      <c r="AL74" s="13"/>
      <c r="AM74" s="38"/>
      <c r="AN74" s="38" t="s">
        <v>973</v>
      </c>
      <c r="AO74" s="13" t="str">
        <f t="shared" ref="AO74:AO83" si="11">_xlfn.CONCAT("[",A74+36,"]")</f>
        <v>[106]</v>
      </c>
      <c r="AP74" s="87"/>
      <c r="AQ74" s="87"/>
      <c r="AR74" s="87"/>
      <c r="AS74" s="87"/>
      <c r="AT74" s="87"/>
      <c r="AU74" s="87"/>
      <c r="AV74" s="38" t="s">
        <v>231</v>
      </c>
      <c r="AW74" s="38"/>
    </row>
    <row r="75" spans="1:49" ht="80.099999999999994" customHeight="1" x14ac:dyDescent="0.25">
      <c r="A75" s="93">
        <v>71</v>
      </c>
      <c r="B75" s="95" t="s">
        <v>9</v>
      </c>
      <c r="C75" s="36">
        <v>2018</v>
      </c>
      <c r="D75" s="13" t="s">
        <v>204</v>
      </c>
      <c r="E75" s="98" t="s">
        <v>241</v>
      </c>
      <c r="F75" s="98" t="s">
        <v>242</v>
      </c>
      <c r="G75" s="22">
        <v>1</v>
      </c>
      <c r="H75" s="22">
        <v>2</v>
      </c>
      <c r="I75" s="86"/>
      <c r="J75" s="86"/>
      <c r="K75" s="86"/>
      <c r="L75" s="86"/>
      <c r="M75" s="86"/>
      <c r="N75" s="86" t="s">
        <v>226</v>
      </c>
      <c r="O75" s="86" t="s">
        <v>226</v>
      </c>
      <c r="P75" s="86" t="s">
        <v>226</v>
      </c>
      <c r="Q75" s="86"/>
      <c r="R75" s="86"/>
      <c r="S75" s="86"/>
      <c r="T75" s="86"/>
      <c r="U75" s="37" t="s">
        <v>240</v>
      </c>
      <c r="V75" s="22"/>
      <c r="W75" s="22"/>
      <c r="X75" s="22" t="s">
        <v>226</v>
      </c>
      <c r="Y75" s="87" t="s">
        <v>1034</v>
      </c>
      <c r="Z75" s="87">
        <v>24</v>
      </c>
      <c r="AA75" s="87"/>
      <c r="AB75" s="87" t="str">
        <f t="shared" si="10"/>
        <v/>
      </c>
      <c r="AC75" s="87"/>
      <c r="AD75" s="87"/>
      <c r="AE75" s="87">
        <v>1</v>
      </c>
      <c r="AF75" s="87"/>
      <c r="AG75" s="87">
        <v>1</v>
      </c>
      <c r="AH75" s="87"/>
      <c r="AI75" s="87">
        <f t="shared" si="9"/>
        <v>1</v>
      </c>
      <c r="AJ75" s="87"/>
      <c r="AK75" s="13">
        <v>17.5</v>
      </c>
      <c r="AL75" s="13">
        <v>0.21</v>
      </c>
      <c r="AM75" s="38" t="s">
        <v>354</v>
      </c>
      <c r="AN75" s="38" t="s">
        <v>974</v>
      </c>
      <c r="AO75" s="13" t="str">
        <f t="shared" si="11"/>
        <v>[107]</v>
      </c>
      <c r="AP75" s="87"/>
      <c r="AQ75" s="87"/>
      <c r="AR75" s="87"/>
      <c r="AS75" s="87"/>
      <c r="AT75" s="87"/>
      <c r="AU75" s="87"/>
      <c r="AV75" s="38"/>
      <c r="AW75" s="38"/>
    </row>
    <row r="76" spans="1:49" ht="80.099999999999994" customHeight="1" x14ac:dyDescent="0.25">
      <c r="A76" s="93">
        <v>72</v>
      </c>
      <c r="B76" s="95" t="s">
        <v>10</v>
      </c>
      <c r="C76" s="36">
        <v>2020</v>
      </c>
      <c r="D76" s="13" t="s">
        <v>204</v>
      </c>
      <c r="E76" s="98" t="s">
        <v>243</v>
      </c>
      <c r="F76" s="98" t="s">
        <v>245</v>
      </c>
      <c r="G76" s="22">
        <v>1</v>
      </c>
      <c r="H76" s="22">
        <v>1</v>
      </c>
      <c r="I76" s="86" t="s">
        <v>226</v>
      </c>
      <c r="J76" s="86"/>
      <c r="K76" s="86"/>
      <c r="L76" s="86" t="s">
        <v>226</v>
      </c>
      <c r="M76" s="86"/>
      <c r="N76" s="86"/>
      <c r="O76" s="86"/>
      <c r="P76" s="86" t="s">
        <v>226</v>
      </c>
      <c r="Q76" s="86"/>
      <c r="R76" s="86"/>
      <c r="S76" s="86" t="s">
        <v>226</v>
      </c>
      <c r="T76" s="86"/>
      <c r="U76" s="37" t="s">
        <v>240</v>
      </c>
      <c r="V76" s="22"/>
      <c r="W76" s="22"/>
      <c r="X76" s="22" t="s">
        <v>226</v>
      </c>
      <c r="Y76" s="87" t="s">
        <v>1031</v>
      </c>
      <c r="Z76" s="87">
        <v>15</v>
      </c>
      <c r="AA76" s="87"/>
      <c r="AB76" s="87" t="str">
        <f t="shared" si="10"/>
        <v/>
      </c>
      <c r="AC76" s="87"/>
      <c r="AD76" s="87"/>
      <c r="AE76" s="87"/>
      <c r="AF76" s="87"/>
      <c r="AG76" s="87"/>
      <c r="AH76" s="87"/>
      <c r="AI76" s="87" t="str">
        <f t="shared" si="9"/>
        <v/>
      </c>
      <c r="AJ76" s="87"/>
      <c r="AK76" s="13">
        <v>18.8</v>
      </c>
      <c r="AL76" s="13"/>
      <c r="AM76" s="38"/>
      <c r="AN76" s="38" t="s">
        <v>975</v>
      </c>
      <c r="AO76" s="13" t="str">
        <f t="shared" si="11"/>
        <v>[108]</v>
      </c>
      <c r="AP76" s="87"/>
      <c r="AQ76" s="87"/>
      <c r="AR76" s="87"/>
      <c r="AS76" s="87"/>
      <c r="AT76" s="87"/>
      <c r="AU76" s="87"/>
      <c r="AV76" s="38"/>
      <c r="AW76" s="38"/>
    </row>
    <row r="77" spans="1:49" ht="95.25" customHeight="1" x14ac:dyDescent="0.25">
      <c r="A77" s="93">
        <v>73</v>
      </c>
      <c r="B77" s="95" t="s">
        <v>209</v>
      </c>
      <c r="C77" s="36">
        <v>2020</v>
      </c>
      <c r="D77" s="13" t="s">
        <v>204</v>
      </c>
      <c r="E77" s="98" t="s">
        <v>249</v>
      </c>
      <c r="F77" s="98" t="s">
        <v>247</v>
      </c>
      <c r="G77" s="22">
        <v>1</v>
      </c>
      <c r="H77" s="22">
        <v>3</v>
      </c>
      <c r="I77" s="86"/>
      <c r="J77" s="86"/>
      <c r="K77" s="86" t="s">
        <v>226</v>
      </c>
      <c r="L77" s="86" t="s">
        <v>226</v>
      </c>
      <c r="M77" s="86"/>
      <c r="N77" s="86"/>
      <c r="O77" s="86" t="s">
        <v>226</v>
      </c>
      <c r="P77" s="86"/>
      <c r="Q77" s="86"/>
      <c r="R77" s="86"/>
      <c r="S77" s="86"/>
      <c r="T77" s="86"/>
      <c r="U77" s="37" t="s">
        <v>1007</v>
      </c>
      <c r="V77" s="22"/>
      <c r="W77" s="22" t="s">
        <v>226</v>
      </c>
      <c r="X77" s="22" t="s">
        <v>226</v>
      </c>
      <c r="Y77" s="87" t="s">
        <v>1034</v>
      </c>
      <c r="Z77" s="87">
        <v>54</v>
      </c>
      <c r="AA77" s="87"/>
      <c r="AB77" s="87" t="str">
        <f t="shared" si="10"/>
        <v/>
      </c>
      <c r="AC77" s="87"/>
      <c r="AD77" s="87"/>
      <c r="AE77" s="87">
        <v>1</v>
      </c>
      <c r="AF77" s="87"/>
      <c r="AG77" s="87">
        <v>1</v>
      </c>
      <c r="AH77" s="87"/>
      <c r="AI77" s="87">
        <f t="shared" si="9"/>
        <v>1</v>
      </c>
      <c r="AJ77" s="87"/>
      <c r="AK77" s="13"/>
      <c r="AL77" s="13">
        <v>0.44</v>
      </c>
      <c r="AM77" s="38" t="s">
        <v>355</v>
      </c>
      <c r="AN77" s="41" t="s">
        <v>976</v>
      </c>
      <c r="AO77" s="13" t="str">
        <f t="shared" si="11"/>
        <v>[109]</v>
      </c>
      <c r="AP77" s="87"/>
      <c r="AQ77" s="87"/>
      <c r="AR77" s="87"/>
      <c r="AS77" s="87"/>
      <c r="AT77" s="87" t="s">
        <v>226</v>
      </c>
      <c r="AU77" s="87"/>
      <c r="AV77" s="38" t="s">
        <v>248</v>
      </c>
      <c r="AW77" s="38"/>
    </row>
    <row r="78" spans="1:49" ht="80.099999999999994" customHeight="1" x14ac:dyDescent="0.25">
      <c r="A78" s="93">
        <v>74</v>
      </c>
      <c r="B78" s="95" t="s">
        <v>352</v>
      </c>
      <c r="C78" s="36">
        <v>2021</v>
      </c>
      <c r="D78" s="13" t="s">
        <v>204</v>
      </c>
      <c r="E78" s="98" t="s">
        <v>250</v>
      </c>
      <c r="F78" s="98" t="s">
        <v>252</v>
      </c>
      <c r="G78" s="22">
        <v>1</v>
      </c>
      <c r="H78" s="22">
        <v>2</v>
      </c>
      <c r="I78" s="86"/>
      <c r="J78" s="86"/>
      <c r="K78" s="86" t="s">
        <v>226</v>
      </c>
      <c r="L78" s="86" t="s">
        <v>226</v>
      </c>
      <c r="M78" s="86"/>
      <c r="N78" s="86"/>
      <c r="O78" s="86" t="s">
        <v>226</v>
      </c>
      <c r="P78" s="86"/>
      <c r="Q78" s="86"/>
      <c r="R78" s="86"/>
      <c r="S78" s="86"/>
      <c r="T78" s="86"/>
      <c r="U78" s="37" t="s">
        <v>251</v>
      </c>
      <c r="V78" s="22" t="s">
        <v>226</v>
      </c>
      <c r="W78" s="22"/>
      <c r="X78" s="22" t="s">
        <v>226</v>
      </c>
      <c r="Y78" s="87" t="s">
        <v>1043</v>
      </c>
      <c r="Z78" s="87">
        <v>14</v>
      </c>
      <c r="AA78" s="87"/>
      <c r="AB78" s="87" t="str">
        <f t="shared" si="10"/>
        <v/>
      </c>
      <c r="AC78" s="87"/>
      <c r="AD78" s="87"/>
      <c r="AE78" s="87">
        <v>1</v>
      </c>
      <c r="AF78" s="87"/>
      <c r="AG78" s="87">
        <v>1</v>
      </c>
      <c r="AH78" s="87"/>
      <c r="AI78" s="87">
        <f t="shared" si="9"/>
        <v>1</v>
      </c>
      <c r="AJ78" s="87"/>
      <c r="AK78" s="13"/>
      <c r="AL78" s="13">
        <v>0.44</v>
      </c>
      <c r="AM78" s="38" t="s">
        <v>355</v>
      </c>
      <c r="AN78" s="41" t="s">
        <v>977</v>
      </c>
      <c r="AO78" s="13" t="str">
        <f t="shared" si="11"/>
        <v>[110]</v>
      </c>
      <c r="AP78" s="87"/>
      <c r="AQ78" s="87"/>
      <c r="AR78" s="87"/>
      <c r="AS78" s="87"/>
      <c r="AT78" s="87" t="s">
        <v>226</v>
      </c>
      <c r="AU78" s="87"/>
      <c r="AV78" s="38"/>
      <c r="AW78" s="38"/>
    </row>
    <row r="79" spans="1:49" ht="80.099999999999994" customHeight="1" x14ac:dyDescent="0.25">
      <c r="A79" s="93">
        <v>75</v>
      </c>
      <c r="B79" s="95" t="s">
        <v>208</v>
      </c>
      <c r="C79" s="36">
        <v>2021</v>
      </c>
      <c r="D79" s="13" t="s">
        <v>204</v>
      </c>
      <c r="E79" s="98" t="s">
        <v>253</v>
      </c>
      <c r="F79" s="98" t="s">
        <v>255</v>
      </c>
      <c r="G79" s="22">
        <v>1</v>
      </c>
      <c r="H79" s="22">
        <v>2</v>
      </c>
      <c r="I79" s="86"/>
      <c r="J79" s="86"/>
      <c r="K79" s="86"/>
      <c r="L79" s="86" t="s">
        <v>226</v>
      </c>
      <c r="M79" s="86"/>
      <c r="N79" s="86"/>
      <c r="O79" s="86" t="s">
        <v>226</v>
      </c>
      <c r="P79" s="86"/>
      <c r="Q79" s="86"/>
      <c r="R79" s="86"/>
      <c r="S79" s="86"/>
      <c r="T79" s="86"/>
      <c r="U79" s="37" t="s">
        <v>254</v>
      </c>
      <c r="V79" s="22"/>
      <c r="W79" s="22"/>
      <c r="X79" s="22" t="s">
        <v>226</v>
      </c>
      <c r="Y79" s="87" t="s">
        <v>1034</v>
      </c>
      <c r="Z79" s="87">
        <v>29</v>
      </c>
      <c r="AA79" s="87"/>
      <c r="AB79" s="87" t="str">
        <f t="shared" si="10"/>
        <v/>
      </c>
      <c r="AC79" s="87"/>
      <c r="AD79" s="87"/>
      <c r="AE79" s="87">
        <v>42</v>
      </c>
      <c r="AF79" s="87">
        <v>1</v>
      </c>
      <c r="AG79" s="87">
        <v>6</v>
      </c>
      <c r="AH79" s="87">
        <v>40</v>
      </c>
      <c r="AI79" s="87">
        <f t="shared" si="9"/>
        <v>6</v>
      </c>
      <c r="AJ79" s="87">
        <v>40</v>
      </c>
      <c r="AK79" s="13"/>
      <c r="AL79" s="13">
        <v>0.44</v>
      </c>
      <c r="AM79" s="38" t="s">
        <v>355</v>
      </c>
      <c r="AN79" s="41" t="s">
        <v>978</v>
      </c>
      <c r="AO79" s="13" t="str">
        <f t="shared" si="11"/>
        <v>[111]</v>
      </c>
      <c r="AP79" s="87"/>
      <c r="AQ79" s="87"/>
      <c r="AR79" s="87"/>
      <c r="AS79" s="87"/>
      <c r="AT79" s="87" t="s">
        <v>226</v>
      </c>
      <c r="AU79" s="87"/>
      <c r="AV79" s="38"/>
      <c r="AW79" s="38"/>
    </row>
    <row r="80" spans="1:49" ht="91.5" customHeight="1" x14ac:dyDescent="0.25">
      <c r="A80" s="93">
        <v>76</v>
      </c>
      <c r="B80" s="95" t="s">
        <v>21</v>
      </c>
      <c r="C80" s="36">
        <v>2021</v>
      </c>
      <c r="D80" s="13" t="s">
        <v>204</v>
      </c>
      <c r="E80" s="98" t="s">
        <v>1065</v>
      </c>
      <c r="F80" s="98" t="s">
        <v>260</v>
      </c>
      <c r="G80" s="22">
        <v>1</v>
      </c>
      <c r="H80" s="22">
        <v>3</v>
      </c>
      <c r="I80" s="86" t="s">
        <v>226</v>
      </c>
      <c r="J80" s="86"/>
      <c r="K80" s="86" t="s">
        <v>226</v>
      </c>
      <c r="L80" s="86" t="s">
        <v>226</v>
      </c>
      <c r="M80" s="86" t="s">
        <v>226</v>
      </c>
      <c r="N80" s="86"/>
      <c r="O80" s="86" t="s">
        <v>226</v>
      </c>
      <c r="P80" s="86" t="s">
        <v>226</v>
      </c>
      <c r="Q80" s="86" t="s">
        <v>226</v>
      </c>
      <c r="R80" s="86" t="s">
        <v>226</v>
      </c>
      <c r="S80" s="86"/>
      <c r="T80" s="86" t="s">
        <v>226</v>
      </c>
      <c r="U80" s="37" t="s">
        <v>259</v>
      </c>
      <c r="V80" s="22"/>
      <c r="W80" s="22"/>
      <c r="X80" s="22" t="s">
        <v>226</v>
      </c>
      <c r="Y80" s="87" t="s">
        <v>1064</v>
      </c>
      <c r="Z80" s="87">
        <v>76</v>
      </c>
      <c r="AA80" s="87"/>
      <c r="AB80" s="87" t="str">
        <f t="shared" si="10"/>
        <v/>
      </c>
      <c r="AC80" s="87"/>
      <c r="AD80" s="87"/>
      <c r="AE80" s="87">
        <v>180</v>
      </c>
      <c r="AF80" s="87">
        <v>2</v>
      </c>
      <c r="AG80" s="87">
        <f>AF80*AE80/7</f>
        <v>51.428571428571431</v>
      </c>
      <c r="AH80" s="87">
        <v>90</v>
      </c>
      <c r="AI80" s="87">
        <f t="shared" si="9"/>
        <v>51.428571428571431</v>
      </c>
      <c r="AJ80" s="87">
        <v>90</v>
      </c>
      <c r="AK80" s="13">
        <v>7.7</v>
      </c>
      <c r="AL80" s="13">
        <v>0.38</v>
      </c>
      <c r="AM80" s="38" t="s">
        <v>1066</v>
      </c>
      <c r="AN80" s="38" t="s">
        <v>1067</v>
      </c>
      <c r="AO80" s="13" t="str">
        <f t="shared" si="11"/>
        <v>[112]</v>
      </c>
      <c r="AP80" s="87" t="s">
        <v>1174</v>
      </c>
      <c r="AQ80" s="87">
        <v>1.2809999999999999</v>
      </c>
      <c r="AR80" s="87">
        <v>4</v>
      </c>
      <c r="AS80" s="87"/>
      <c r="AT80" s="87"/>
      <c r="AU80" s="87"/>
      <c r="AV80" s="38"/>
      <c r="AW80" s="38"/>
    </row>
    <row r="81" spans="1:49" ht="94.5" customHeight="1" x14ac:dyDescent="0.25">
      <c r="A81" s="93">
        <v>77</v>
      </c>
      <c r="B81" s="95" t="s">
        <v>25</v>
      </c>
      <c r="C81" s="36">
        <v>2021</v>
      </c>
      <c r="D81" s="13" t="s">
        <v>204</v>
      </c>
      <c r="E81" s="98" t="s">
        <v>262</v>
      </c>
      <c r="F81" s="98"/>
      <c r="G81" s="22">
        <v>0</v>
      </c>
      <c r="H81" s="22">
        <v>0</v>
      </c>
      <c r="I81" s="86" t="s">
        <v>226</v>
      </c>
      <c r="J81" s="86"/>
      <c r="K81" s="86"/>
      <c r="L81" s="86"/>
      <c r="M81" s="86" t="s">
        <v>226</v>
      </c>
      <c r="N81" s="86" t="s">
        <v>226</v>
      </c>
      <c r="O81" s="86" t="s">
        <v>226</v>
      </c>
      <c r="P81" s="86" t="s">
        <v>226</v>
      </c>
      <c r="Q81" s="86" t="s">
        <v>226</v>
      </c>
      <c r="R81" s="86"/>
      <c r="S81" s="86"/>
      <c r="T81" s="86" t="s">
        <v>226</v>
      </c>
      <c r="U81" s="37"/>
      <c r="V81" s="22"/>
      <c r="W81" s="22"/>
      <c r="X81" s="22"/>
      <c r="Y81" s="87" t="s">
        <v>1024</v>
      </c>
      <c r="Z81" s="87"/>
      <c r="AA81" s="87"/>
      <c r="AB81" s="87" t="str">
        <f t="shared" si="10"/>
        <v/>
      </c>
      <c r="AC81" s="87"/>
      <c r="AD81" s="87"/>
      <c r="AE81" s="87"/>
      <c r="AF81" s="87"/>
      <c r="AG81" s="87"/>
      <c r="AH81" s="87"/>
      <c r="AI81" s="87" t="str">
        <f t="shared" si="9"/>
        <v/>
      </c>
      <c r="AJ81" s="87"/>
      <c r="AK81" s="13">
        <v>5.2</v>
      </c>
      <c r="AL81" s="13">
        <v>0.39</v>
      </c>
      <c r="AM81" s="38" t="s">
        <v>356</v>
      </c>
      <c r="AN81" s="38" t="s">
        <v>979</v>
      </c>
      <c r="AO81" s="13" t="str">
        <f t="shared" si="11"/>
        <v>[113]</v>
      </c>
      <c r="AP81" s="87"/>
      <c r="AQ81" s="87"/>
      <c r="AR81" s="87"/>
      <c r="AS81" s="87"/>
      <c r="AT81" s="87"/>
      <c r="AU81" s="87"/>
      <c r="AV81" s="38"/>
      <c r="AW81" s="38"/>
    </row>
    <row r="82" spans="1:49" ht="80.099999999999994" customHeight="1" x14ac:dyDescent="0.25">
      <c r="A82" s="93">
        <v>78</v>
      </c>
      <c r="B82" s="95" t="s">
        <v>26</v>
      </c>
      <c r="C82" s="36">
        <v>2021</v>
      </c>
      <c r="D82" s="13" t="s">
        <v>204</v>
      </c>
      <c r="E82" s="98" t="s">
        <v>263</v>
      </c>
      <c r="F82" s="98" t="s">
        <v>264</v>
      </c>
      <c r="G82" s="22">
        <v>1</v>
      </c>
      <c r="H82" s="22">
        <v>2</v>
      </c>
      <c r="I82" s="86"/>
      <c r="J82" s="86"/>
      <c r="K82" s="86" t="s">
        <v>226</v>
      </c>
      <c r="L82" s="86" t="s">
        <v>226</v>
      </c>
      <c r="M82" s="86" t="s">
        <v>226</v>
      </c>
      <c r="N82" s="86"/>
      <c r="O82" s="86"/>
      <c r="P82" s="86" t="s">
        <v>226</v>
      </c>
      <c r="Q82" s="86"/>
      <c r="R82" s="86"/>
      <c r="S82" s="86"/>
      <c r="T82" s="86"/>
      <c r="U82" s="37" t="s">
        <v>265</v>
      </c>
      <c r="V82" s="22" t="s">
        <v>226</v>
      </c>
      <c r="W82" s="22"/>
      <c r="X82" s="22"/>
      <c r="Y82" s="87" t="s">
        <v>1031</v>
      </c>
      <c r="Z82" s="87">
        <v>4</v>
      </c>
      <c r="AA82" s="87"/>
      <c r="AB82" s="87" t="str">
        <f t="shared" si="10"/>
        <v/>
      </c>
      <c r="AC82" s="87"/>
      <c r="AD82" s="87" t="s">
        <v>1037</v>
      </c>
      <c r="AE82" s="87"/>
      <c r="AF82" s="87">
        <v>15</v>
      </c>
      <c r="AG82" s="87"/>
      <c r="AH82" s="87"/>
      <c r="AI82" s="87" t="str">
        <f t="shared" si="9"/>
        <v/>
      </c>
      <c r="AJ82" s="87"/>
      <c r="AK82" s="13">
        <v>1.1000000000000001</v>
      </c>
      <c r="AL82" s="13"/>
      <c r="AM82" s="38"/>
      <c r="AN82" s="38" t="s">
        <v>980</v>
      </c>
      <c r="AO82" s="13" t="str">
        <f t="shared" si="11"/>
        <v>[114]</v>
      </c>
      <c r="AP82" s="87"/>
      <c r="AQ82" s="87"/>
      <c r="AR82" s="87"/>
      <c r="AS82" s="87"/>
      <c r="AT82" s="87"/>
      <c r="AU82" s="87"/>
      <c r="AV82" s="38"/>
      <c r="AW82" s="38"/>
    </row>
    <row r="83" spans="1:49" ht="80.099999999999994" customHeight="1" x14ac:dyDescent="0.25">
      <c r="A83" s="93">
        <v>79</v>
      </c>
      <c r="B83" s="95" t="s">
        <v>36</v>
      </c>
      <c r="C83" s="36">
        <v>2013</v>
      </c>
      <c r="D83" s="13" t="s">
        <v>204</v>
      </c>
      <c r="E83" s="98" t="s">
        <v>267</v>
      </c>
      <c r="F83" s="98" t="s">
        <v>268</v>
      </c>
      <c r="G83" s="22">
        <v>1</v>
      </c>
      <c r="H83" s="22">
        <v>2</v>
      </c>
      <c r="I83" s="86" t="s">
        <v>226</v>
      </c>
      <c r="J83" s="86"/>
      <c r="K83" s="86"/>
      <c r="L83" s="86"/>
      <c r="M83" s="86"/>
      <c r="N83" s="86" t="s">
        <v>226</v>
      </c>
      <c r="O83" s="86"/>
      <c r="P83" s="86" t="s">
        <v>226</v>
      </c>
      <c r="Q83" s="86" t="s">
        <v>226</v>
      </c>
      <c r="R83" s="86"/>
      <c r="S83" s="86" t="s">
        <v>226</v>
      </c>
      <c r="T83" s="86" t="s">
        <v>226</v>
      </c>
      <c r="U83" s="37"/>
      <c r="V83" s="22"/>
      <c r="W83" s="22"/>
      <c r="X83" s="22"/>
      <c r="Y83" s="87" t="s">
        <v>1064</v>
      </c>
      <c r="Z83" s="87"/>
      <c r="AA83" s="87"/>
      <c r="AB83" s="87" t="str">
        <f t="shared" si="10"/>
        <v/>
      </c>
      <c r="AC83" s="87"/>
      <c r="AD83" s="87"/>
      <c r="AE83" s="87"/>
      <c r="AF83" s="87"/>
      <c r="AG83" s="87"/>
      <c r="AH83" s="87"/>
      <c r="AI83" s="87" t="str">
        <f t="shared" si="9"/>
        <v/>
      </c>
      <c r="AJ83" s="87"/>
      <c r="AK83" s="13">
        <v>88.2</v>
      </c>
      <c r="AL83" s="13">
        <v>1.1299999999999999</v>
      </c>
      <c r="AM83" s="38" t="s">
        <v>357</v>
      </c>
      <c r="AN83" s="38" t="s">
        <v>981</v>
      </c>
      <c r="AO83" s="13" t="str">
        <f t="shared" si="11"/>
        <v>[115]</v>
      </c>
      <c r="AP83" s="87"/>
      <c r="AQ83" s="87"/>
      <c r="AR83" s="87"/>
      <c r="AS83" s="87"/>
      <c r="AT83" s="87"/>
      <c r="AU83" s="87" t="s">
        <v>226</v>
      </c>
      <c r="AV83" s="38" t="s">
        <v>266</v>
      </c>
      <c r="AW83" s="38"/>
    </row>
    <row r="84" spans="1:49" ht="80.099999999999994" customHeight="1" x14ac:dyDescent="0.25">
      <c r="A84" s="93">
        <v>79.099999999999994</v>
      </c>
      <c r="B84" s="95"/>
      <c r="C84" s="36"/>
      <c r="D84" s="13" t="s">
        <v>204</v>
      </c>
      <c r="E84" s="98"/>
      <c r="F84" s="98"/>
      <c r="G84" s="22">
        <v>1</v>
      </c>
      <c r="H84" s="22">
        <v>2</v>
      </c>
      <c r="I84" s="86"/>
      <c r="J84" s="86" t="s">
        <v>226</v>
      </c>
      <c r="K84" s="86"/>
      <c r="L84" s="86" t="s">
        <v>226</v>
      </c>
      <c r="M84" s="86"/>
      <c r="N84" s="86"/>
      <c r="O84" s="86"/>
      <c r="P84" s="86"/>
      <c r="Q84" s="86"/>
      <c r="R84" s="86" t="s">
        <v>226</v>
      </c>
      <c r="S84" s="86"/>
      <c r="T84" s="86"/>
      <c r="U84" s="37"/>
      <c r="V84" s="22"/>
      <c r="W84" s="22"/>
      <c r="X84" s="22"/>
      <c r="Y84" s="87"/>
      <c r="Z84" s="87"/>
      <c r="AA84" s="87"/>
      <c r="AB84" s="87" t="str">
        <f t="shared" si="10"/>
        <v/>
      </c>
      <c r="AC84" s="87"/>
      <c r="AD84" s="87"/>
      <c r="AE84" s="87"/>
      <c r="AF84" s="87"/>
      <c r="AG84" s="87"/>
      <c r="AH84" s="87"/>
      <c r="AI84" s="87" t="str">
        <f t="shared" si="9"/>
        <v/>
      </c>
      <c r="AJ84" s="87"/>
      <c r="AK84" s="13"/>
      <c r="AL84" s="13"/>
      <c r="AM84" s="38"/>
      <c r="AN84" s="38"/>
      <c r="AO84" s="13"/>
      <c r="AP84" s="87"/>
      <c r="AQ84" s="87"/>
      <c r="AR84" s="87"/>
      <c r="AS84" s="87"/>
      <c r="AT84" s="87"/>
      <c r="AU84" s="87"/>
      <c r="AV84" s="38"/>
      <c r="AW84" s="38"/>
    </row>
    <row r="85" spans="1:49" ht="80.099999999999994" customHeight="1" x14ac:dyDescent="0.25">
      <c r="A85" s="93">
        <v>80</v>
      </c>
      <c r="B85" s="95" t="s">
        <v>39</v>
      </c>
      <c r="C85" s="36">
        <v>2017</v>
      </c>
      <c r="D85" s="13" t="s">
        <v>204</v>
      </c>
      <c r="E85" s="98" t="s">
        <v>269</v>
      </c>
      <c r="F85" s="98" t="s">
        <v>270</v>
      </c>
      <c r="G85" s="22">
        <v>-1</v>
      </c>
      <c r="H85" s="22">
        <v>-2</v>
      </c>
      <c r="I85" s="86"/>
      <c r="J85" s="86"/>
      <c r="K85" s="86"/>
      <c r="L85" s="86"/>
      <c r="M85" s="86" t="s">
        <v>226</v>
      </c>
      <c r="N85" s="86"/>
      <c r="O85" s="86" t="s">
        <v>226</v>
      </c>
      <c r="P85" s="86"/>
      <c r="Q85" s="86"/>
      <c r="R85" s="86"/>
      <c r="S85" s="86" t="s">
        <v>226</v>
      </c>
      <c r="T85" s="86"/>
      <c r="U85" s="37"/>
      <c r="V85" s="22" t="s">
        <v>226</v>
      </c>
      <c r="W85" s="22"/>
      <c r="X85" s="22"/>
      <c r="Y85" s="87" t="s">
        <v>1031</v>
      </c>
      <c r="Z85" s="87">
        <v>18</v>
      </c>
      <c r="AA85" s="87">
        <v>2</v>
      </c>
      <c r="AB85" s="87">
        <f t="shared" si="10"/>
        <v>9</v>
      </c>
      <c r="AC85" s="87">
        <v>9</v>
      </c>
      <c r="AD85" s="87" t="s">
        <v>1033</v>
      </c>
      <c r="AE85" s="87">
        <v>30</v>
      </c>
      <c r="AF85" s="87"/>
      <c r="AG85" s="87"/>
      <c r="AH85" s="87"/>
      <c r="AI85" s="87" t="str">
        <f t="shared" si="9"/>
        <v/>
      </c>
      <c r="AJ85" s="87"/>
      <c r="AK85" s="13">
        <v>0.4</v>
      </c>
      <c r="AL85" s="13"/>
      <c r="AM85" s="38"/>
      <c r="AN85" s="38" t="s">
        <v>982</v>
      </c>
      <c r="AO85" s="13" t="str">
        <f t="shared" ref="AO85:AO101" si="12">_xlfn.CONCAT("[",A85+36,"]")</f>
        <v>[116]</v>
      </c>
      <c r="AP85" s="87"/>
      <c r="AQ85" s="87"/>
      <c r="AR85" s="87"/>
      <c r="AS85" s="87"/>
      <c r="AT85" s="87"/>
      <c r="AU85" s="87"/>
      <c r="AV85" s="38"/>
      <c r="AW85" s="38"/>
    </row>
    <row r="86" spans="1:49" ht="80.099999999999994" customHeight="1" x14ac:dyDescent="0.25">
      <c r="A86" s="93">
        <v>81</v>
      </c>
      <c r="B86" s="95" t="s">
        <v>51</v>
      </c>
      <c r="C86" s="36">
        <v>2016</v>
      </c>
      <c r="D86" s="13" t="s">
        <v>204</v>
      </c>
      <c r="E86" s="98" t="s">
        <v>272</v>
      </c>
      <c r="F86" s="98" t="s">
        <v>274</v>
      </c>
      <c r="G86" s="22">
        <v>1</v>
      </c>
      <c r="H86" s="22">
        <v>2</v>
      </c>
      <c r="I86" s="86"/>
      <c r="J86" s="86"/>
      <c r="K86" s="86" t="s">
        <v>226</v>
      </c>
      <c r="L86" s="86" t="s">
        <v>226</v>
      </c>
      <c r="M86" s="86" t="s">
        <v>226</v>
      </c>
      <c r="N86" s="86"/>
      <c r="O86" s="86"/>
      <c r="P86" s="86" t="s">
        <v>226</v>
      </c>
      <c r="Q86" s="86"/>
      <c r="R86" s="86"/>
      <c r="S86" s="86"/>
      <c r="T86" s="86"/>
      <c r="U86" s="37" t="s">
        <v>273</v>
      </c>
      <c r="V86" s="22"/>
      <c r="W86" s="22"/>
      <c r="X86" s="22" t="s">
        <v>226</v>
      </c>
      <c r="Y86" s="87" t="s">
        <v>1047</v>
      </c>
      <c r="Z86" s="87">
        <v>24</v>
      </c>
      <c r="AA86" s="87"/>
      <c r="AB86" s="87" t="str">
        <f t="shared" si="10"/>
        <v/>
      </c>
      <c r="AC86" s="87"/>
      <c r="AD86" s="87"/>
      <c r="AE86" s="87">
        <v>1</v>
      </c>
      <c r="AF86" s="87"/>
      <c r="AG86" s="87">
        <v>1</v>
      </c>
      <c r="AH86" s="87">
        <v>90</v>
      </c>
      <c r="AI86" s="87">
        <f t="shared" si="9"/>
        <v>1</v>
      </c>
      <c r="AJ86" s="87">
        <v>90</v>
      </c>
      <c r="AK86" s="13">
        <v>79.7</v>
      </c>
      <c r="AL86" s="13"/>
      <c r="AM86" s="38"/>
      <c r="AN86" s="38" t="s">
        <v>983</v>
      </c>
      <c r="AO86" s="13" t="str">
        <f t="shared" si="12"/>
        <v>[117]</v>
      </c>
      <c r="AP86" s="87"/>
      <c r="AQ86" s="87"/>
      <c r="AR86" s="87"/>
      <c r="AS86" s="87"/>
      <c r="AT86" s="87"/>
      <c r="AU86" s="87"/>
      <c r="AV86" s="38" t="s">
        <v>261</v>
      </c>
      <c r="AW86" s="38"/>
    </row>
    <row r="87" spans="1:49" ht="80.099999999999994" customHeight="1" x14ac:dyDescent="0.25">
      <c r="A87" s="93">
        <v>82</v>
      </c>
      <c r="B87" s="95" t="s">
        <v>52</v>
      </c>
      <c r="C87" s="36">
        <v>2016</v>
      </c>
      <c r="D87" s="13" t="s">
        <v>204</v>
      </c>
      <c r="E87" s="98" t="s">
        <v>277</v>
      </c>
      <c r="F87" s="98" t="s">
        <v>275</v>
      </c>
      <c r="G87" s="22">
        <v>1</v>
      </c>
      <c r="H87" s="22">
        <v>2</v>
      </c>
      <c r="I87" s="86" t="s">
        <v>226</v>
      </c>
      <c r="J87" s="86" t="s">
        <v>226</v>
      </c>
      <c r="K87" s="86" t="s">
        <v>226</v>
      </c>
      <c r="L87" s="86" t="s">
        <v>226</v>
      </c>
      <c r="M87" s="86" t="s">
        <v>226</v>
      </c>
      <c r="N87" s="86"/>
      <c r="O87" s="86"/>
      <c r="P87" s="86" t="s">
        <v>226</v>
      </c>
      <c r="Q87" s="86"/>
      <c r="R87" s="86"/>
      <c r="S87" s="86" t="s">
        <v>226</v>
      </c>
      <c r="T87" s="86" t="s">
        <v>226</v>
      </c>
      <c r="U87" s="37" t="s">
        <v>276</v>
      </c>
      <c r="V87" s="22" t="s">
        <v>226</v>
      </c>
      <c r="W87" s="22" t="s">
        <v>226</v>
      </c>
      <c r="X87" s="22" t="s">
        <v>226</v>
      </c>
      <c r="Y87" s="87" t="s">
        <v>1047</v>
      </c>
      <c r="Z87" s="87">
        <v>94</v>
      </c>
      <c r="AA87" s="87">
        <v>2</v>
      </c>
      <c r="AB87" s="87">
        <f t="shared" si="10"/>
        <v>46</v>
      </c>
      <c r="AC87" s="87">
        <v>48</v>
      </c>
      <c r="AD87" s="87" t="s">
        <v>1033</v>
      </c>
      <c r="AE87" s="87">
        <v>42</v>
      </c>
      <c r="AF87" s="87">
        <v>2</v>
      </c>
      <c r="AG87" s="87">
        <v>12</v>
      </c>
      <c r="AH87" s="87">
        <v>60</v>
      </c>
      <c r="AI87" s="87">
        <f t="shared" si="9"/>
        <v>12</v>
      </c>
      <c r="AJ87" s="87">
        <v>60</v>
      </c>
      <c r="AK87" s="13">
        <v>111.6</v>
      </c>
      <c r="AL87" s="13">
        <v>1.1299999999999999</v>
      </c>
      <c r="AM87" s="38" t="s">
        <v>357</v>
      </c>
      <c r="AN87" s="38" t="s">
        <v>984</v>
      </c>
      <c r="AO87" s="13" t="str">
        <f t="shared" si="12"/>
        <v>[118]</v>
      </c>
      <c r="AP87" s="87"/>
      <c r="AQ87" s="87"/>
      <c r="AR87" s="87"/>
      <c r="AS87" s="87"/>
      <c r="AT87" s="87"/>
      <c r="AU87" s="87" t="s">
        <v>226</v>
      </c>
      <c r="AV87" s="38"/>
      <c r="AW87" s="38"/>
    </row>
    <row r="88" spans="1:49" ht="80.099999999999994" customHeight="1" x14ac:dyDescent="0.25">
      <c r="A88" s="93">
        <v>83</v>
      </c>
      <c r="B88" s="95" t="s">
        <v>56</v>
      </c>
      <c r="C88" s="36">
        <v>2020</v>
      </c>
      <c r="D88" s="13" t="s">
        <v>204</v>
      </c>
      <c r="E88" s="98" t="s">
        <v>278</v>
      </c>
      <c r="F88" s="98" t="s">
        <v>280</v>
      </c>
      <c r="G88" s="22">
        <v>1</v>
      </c>
      <c r="H88" s="22">
        <v>2</v>
      </c>
      <c r="I88" s="86" t="s">
        <v>226</v>
      </c>
      <c r="J88" s="86" t="s">
        <v>226</v>
      </c>
      <c r="K88" s="86"/>
      <c r="L88" s="86"/>
      <c r="M88" s="86"/>
      <c r="N88" s="86" t="s">
        <v>226</v>
      </c>
      <c r="O88" s="86"/>
      <c r="P88" s="86" t="s">
        <v>226</v>
      </c>
      <c r="Q88" s="86" t="s">
        <v>226</v>
      </c>
      <c r="R88" s="86" t="s">
        <v>226</v>
      </c>
      <c r="S88" s="86" t="s">
        <v>226</v>
      </c>
      <c r="T88" s="86" t="s">
        <v>226</v>
      </c>
      <c r="U88" s="37" t="s">
        <v>279</v>
      </c>
      <c r="V88" s="22"/>
      <c r="W88" s="22"/>
      <c r="X88" s="22" t="s">
        <v>226</v>
      </c>
      <c r="Y88" s="87" t="s">
        <v>1041</v>
      </c>
      <c r="Z88" s="87">
        <v>117</v>
      </c>
      <c r="AA88" s="87"/>
      <c r="AB88" s="87" t="str">
        <f t="shared" si="10"/>
        <v/>
      </c>
      <c r="AC88" s="87"/>
      <c r="AD88" s="87"/>
      <c r="AE88" s="87"/>
      <c r="AF88" s="87"/>
      <c r="AG88" s="87"/>
      <c r="AH88" s="87"/>
      <c r="AI88" s="87" t="str">
        <f t="shared" si="9"/>
        <v/>
      </c>
      <c r="AJ88" s="87"/>
      <c r="AK88" s="13">
        <v>6.4</v>
      </c>
      <c r="AL88" s="13">
        <v>0.03</v>
      </c>
      <c r="AM88" s="38" t="s">
        <v>358</v>
      </c>
      <c r="AN88" s="38" t="s">
        <v>985</v>
      </c>
      <c r="AO88" s="13" t="str">
        <f t="shared" si="12"/>
        <v>[119]</v>
      </c>
      <c r="AP88" s="87"/>
      <c r="AQ88" s="87"/>
      <c r="AR88" s="87"/>
      <c r="AS88" s="87"/>
      <c r="AT88" s="87"/>
      <c r="AU88" s="87"/>
      <c r="AV88" s="38" t="s">
        <v>281</v>
      </c>
      <c r="AW88" s="38"/>
    </row>
    <row r="89" spans="1:49" ht="80.099999999999994" customHeight="1" x14ac:dyDescent="0.25">
      <c r="A89" s="93">
        <v>84</v>
      </c>
      <c r="B89" s="95" t="s">
        <v>64</v>
      </c>
      <c r="C89" s="36">
        <v>2019</v>
      </c>
      <c r="D89" s="13" t="s">
        <v>204</v>
      </c>
      <c r="E89" s="98" t="s">
        <v>285</v>
      </c>
      <c r="F89" s="98" t="s">
        <v>284</v>
      </c>
      <c r="G89" s="22">
        <v>1</v>
      </c>
      <c r="H89" s="22">
        <v>3</v>
      </c>
      <c r="I89" s="86" t="s">
        <v>226</v>
      </c>
      <c r="J89" s="86" t="s">
        <v>226</v>
      </c>
      <c r="K89" s="86"/>
      <c r="L89" s="86"/>
      <c r="M89" s="86" t="s">
        <v>226</v>
      </c>
      <c r="N89" s="86" t="s">
        <v>226</v>
      </c>
      <c r="O89" s="86"/>
      <c r="P89" s="86" t="s">
        <v>226</v>
      </c>
      <c r="Q89" s="86"/>
      <c r="R89" s="86"/>
      <c r="S89" s="86" t="s">
        <v>226</v>
      </c>
      <c r="T89" s="86"/>
      <c r="U89" s="37"/>
      <c r="V89" s="22"/>
      <c r="W89" s="22"/>
      <c r="X89" s="22" t="s">
        <v>226</v>
      </c>
      <c r="Y89" s="87" t="s">
        <v>1031</v>
      </c>
      <c r="Z89" s="87"/>
      <c r="AA89" s="87"/>
      <c r="AB89" s="87" t="str">
        <f t="shared" si="10"/>
        <v/>
      </c>
      <c r="AC89" s="87"/>
      <c r="AD89" s="87"/>
      <c r="AE89" s="87"/>
      <c r="AF89" s="87"/>
      <c r="AG89" s="87"/>
      <c r="AH89" s="87"/>
      <c r="AI89" s="87" t="str">
        <f t="shared" si="9"/>
        <v/>
      </c>
      <c r="AJ89" s="87"/>
      <c r="AK89" s="13">
        <v>11.8</v>
      </c>
      <c r="AL89" s="13"/>
      <c r="AM89" s="38"/>
      <c r="AN89" s="38" t="s">
        <v>986</v>
      </c>
      <c r="AO89" s="13" t="str">
        <f t="shared" si="12"/>
        <v>[120]</v>
      </c>
      <c r="AP89" s="87"/>
      <c r="AQ89" s="87"/>
      <c r="AR89" s="87"/>
      <c r="AS89" s="87"/>
      <c r="AT89" s="87"/>
      <c r="AU89" s="87"/>
      <c r="AV89" s="38" t="s">
        <v>282</v>
      </c>
      <c r="AW89" s="38"/>
    </row>
    <row r="90" spans="1:49" ht="80.099999999999994" customHeight="1" x14ac:dyDescent="0.25">
      <c r="A90" s="93">
        <v>85</v>
      </c>
      <c r="B90" s="95" t="s">
        <v>65</v>
      </c>
      <c r="C90" s="36">
        <v>2015</v>
      </c>
      <c r="D90" s="13" t="s">
        <v>204</v>
      </c>
      <c r="E90" s="98" t="s">
        <v>286</v>
      </c>
      <c r="F90" s="98" t="s">
        <v>288</v>
      </c>
      <c r="G90" s="22">
        <v>0</v>
      </c>
      <c r="H90" s="22">
        <v>0</v>
      </c>
      <c r="I90" s="86"/>
      <c r="J90" s="86" t="s">
        <v>226</v>
      </c>
      <c r="K90" s="86"/>
      <c r="L90" s="86"/>
      <c r="M90" s="86"/>
      <c r="N90" s="86"/>
      <c r="O90" s="86"/>
      <c r="P90" s="86" t="s">
        <v>226</v>
      </c>
      <c r="Q90" s="86"/>
      <c r="R90" s="86"/>
      <c r="S90" s="86" t="s">
        <v>226</v>
      </c>
      <c r="T90" s="86"/>
      <c r="U90" s="37" t="s">
        <v>287</v>
      </c>
      <c r="V90" s="22"/>
      <c r="W90" s="22"/>
      <c r="X90" s="22" t="s">
        <v>226</v>
      </c>
      <c r="Y90" s="87" t="s">
        <v>1031</v>
      </c>
      <c r="Z90" s="87"/>
      <c r="AA90" s="87"/>
      <c r="AB90" s="87" t="str">
        <f t="shared" si="10"/>
        <v/>
      </c>
      <c r="AC90" s="87"/>
      <c r="AD90" s="87"/>
      <c r="AE90" s="87"/>
      <c r="AF90" s="87"/>
      <c r="AG90" s="87"/>
      <c r="AH90" s="87"/>
      <c r="AI90" s="87" t="str">
        <f t="shared" ref="AI90:AI107" si="13">IF(AG90&lt;&gt;"",AG90,"")</f>
        <v/>
      </c>
      <c r="AJ90" s="87"/>
      <c r="AK90" s="13">
        <v>30.9</v>
      </c>
      <c r="AL90" s="13">
        <v>1.1299999999999999</v>
      </c>
      <c r="AM90" s="38" t="s">
        <v>357</v>
      </c>
      <c r="AN90" s="38" t="s">
        <v>987</v>
      </c>
      <c r="AO90" s="13" t="str">
        <f t="shared" si="12"/>
        <v>[121]</v>
      </c>
      <c r="AP90" s="87"/>
      <c r="AQ90" s="87"/>
      <c r="AR90" s="87"/>
      <c r="AS90" s="87"/>
      <c r="AT90" s="87"/>
      <c r="AU90" s="87" t="s">
        <v>226</v>
      </c>
      <c r="AV90" s="38"/>
      <c r="AW90" s="38"/>
    </row>
    <row r="91" spans="1:49" ht="80.099999999999994" customHeight="1" x14ac:dyDescent="0.25">
      <c r="A91" s="93">
        <v>86</v>
      </c>
      <c r="B91" s="95" t="s">
        <v>76</v>
      </c>
      <c r="C91" s="36">
        <v>2020</v>
      </c>
      <c r="D91" s="13" t="s">
        <v>204</v>
      </c>
      <c r="E91" s="98" t="s">
        <v>289</v>
      </c>
      <c r="F91" s="98" t="s">
        <v>290</v>
      </c>
      <c r="G91" s="22">
        <v>1</v>
      </c>
      <c r="H91" s="22">
        <v>2</v>
      </c>
      <c r="I91" s="86"/>
      <c r="J91" s="86"/>
      <c r="K91" s="86" t="s">
        <v>226</v>
      </c>
      <c r="L91" s="86" t="s">
        <v>226</v>
      </c>
      <c r="M91" s="86"/>
      <c r="N91" s="86"/>
      <c r="O91" s="86"/>
      <c r="P91" s="86"/>
      <c r="Q91" s="86"/>
      <c r="R91" s="86" t="s">
        <v>226</v>
      </c>
      <c r="S91" s="86"/>
      <c r="T91" s="86"/>
      <c r="U91" s="37" t="s">
        <v>291</v>
      </c>
      <c r="V91" s="22"/>
      <c r="W91" s="22" t="s">
        <v>226</v>
      </c>
      <c r="X91" s="22"/>
      <c r="Y91" s="87" t="s">
        <v>1048</v>
      </c>
      <c r="Z91" s="87">
        <v>20</v>
      </c>
      <c r="AA91" s="87"/>
      <c r="AB91" s="87" t="str">
        <f t="shared" si="10"/>
        <v/>
      </c>
      <c r="AC91" s="87"/>
      <c r="AD91" s="87"/>
      <c r="AE91" s="87">
        <v>1</v>
      </c>
      <c r="AF91" s="87"/>
      <c r="AG91" s="87">
        <v>1</v>
      </c>
      <c r="AH91" s="87">
        <v>5</v>
      </c>
      <c r="AI91" s="87">
        <f t="shared" si="13"/>
        <v>1</v>
      </c>
      <c r="AJ91" s="87">
        <v>5</v>
      </c>
      <c r="AK91" s="13">
        <v>5</v>
      </c>
      <c r="AL91" s="13"/>
      <c r="AM91" s="38"/>
      <c r="AN91" s="38" t="s">
        <v>988</v>
      </c>
      <c r="AO91" s="13" t="str">
        <f t="shared" si="12"/>
        <v>[122]</v>
      </c>
      <c r="AP91" s="87"/>
      <c r="AQ91" s="87"/>
      <c r="AR91" s="87"/>
      <c r="AS91" s="87"/>
      <c r="AT91" s="87"/>
      <c r="AU91" s="87"/>
      <c r="AV91" s="38"/>
      <c r="AW91" s="38"/>
    </row>
    <row r="92" spans="1:49" ht="80.099999999999994" customHeight="1" x14ac:dyDescent="0.25">
      <c r="A92" s="93">
        <v>87</v>
      </c>
      <c r="B92" s="95" t="s">
        <v>94</v>
      </c>
      <c r="C92" s="36">
        <v>2021</v>
      </c>
      <c r="D92" s="13" t="s">
        <v>204</v>
      </c>
      <c r="E92" s="98" t="s">
        <v>294</v>
      </c>
      <c r="F92" s="98" t="s">
        <v>293</v>
      </c>
      <c r="G92" s="22">
        <v>1</v>
      </c>
      <c r="H92" s="22">
        <v>2</v>
      </c>
      <c r="I92" s="86"/>
      <c r="J92" s="86"/>
      <c r="K92" s="86" t="s">
        <v>226</v>
      </c>
      <c r="L92" s="86" t="s">
        <v>226</v>
      </c>
      <c r="M92" s="86" t="s">
        <v>226</v>
      </c>
      <c r="N92" s="86"/>
      <c r="O92" s="86"/>
      <c r="P92" s="86" t="s">
        <v>226</v>
      </c>
      <c r="Q92" s="86"/>
      <c r="R92" s="86"/>
      <c r="S92" s="86"/>
      <c r="T92" s="86"/>
      <c r="U92" s="37" t="s">
        <v>292</v>
      </c>
      <c r="V92" s="22"/>
      <c r="W92" s="22"/>
      <c r="X92" s="22" t="s">
        <v>226</v>
      </c>
      <c r="Y92" s="87" t="s">
        <v>1047</v>
      </c>
      <c r="Z92" s="87"/>
      <c r="AA92" s="87">
        <v>2</v>
      </c>
      <c r="AB92" s="87"/>
      <c r="AC92" s="87"/>
      <c r="AD92" s="87" t="s">
        <v>1033</v>
      </c>
      <c r="AE92" s="87">
        <v>180</v>
      </c>
      <c r="AF92" s="87"/>
      <c r="AG92" s="87"/>
      <c r="AH92" s="87"/>
      <c r="AI92" s="87" t="str">
        <f t="shared" si="13"/>
        <v/>
      </c>
      <c r="AJ92" s="87"/>
      <c r="AK92" s="13">
        <v>16</v>
      </c>
      <c r="AL92" s="13"/>
      <c r="AM92" s="38"/>
      <c r="AN92" s="38" t="s">
        <v>989</v>
      </c>
      <c r="AO92" s="13" t="str">
        <f t="shared" si="12"/>
        <v>[123]</v>
      </c>
      <c r="AP92" s="87"/>
      <c r="AQ92" s="87"/>
      <c r="AR92" s="87"/>
      <c r="AS92" s="87"/>
      <c r="AT92" s="87"/>
      <c r="AU92" s="87"/>
      <c r="AV92" s="38"/>
      <c r="AW92" s="38"/>
    </row>
    <row r="93" spans="1:49" ht="80.099999999999994" customHeight="1" x14ac:dyDescent="0.25">
      <c r="A93" s="93">
        <v>88</v>
      </c>
      <c r="B93" s="95" t="s">
        <v>102</v>
      </c>
      <c r="C93" s="36">
        <v>2018</v>
      </c>
      <c r="D93" s="13" t="s">
        <v>204</v>
      </c>
      <c r="E93" s="98" t="s">
        <v>295</v>
      </c>
      <c r="F93" s="98"/>
      <c r="G93" s="22">
        <v>0</v>
      </c>
      <c r="H93" s="22">
        <v>0</v>
      </c>
      <c r="I93" s="86" t="s">
        <v>226</v>
      </c>
      <c r="J93" s="86"/>
      <c r="K93" s="86"/>
      <c r="L93" s="86"/>
      <c r="M93" s="86"/>
      <c r="N93" s="86"/>
      <c r="O93" s="86" t="s">
        <v>226</v>
      </c>
      <c r="P93" s="86" t="s">
        <v>226</v>
      </c>
      <c r="Q93" s="86" t="s">
        <v>226</v>
      </c>
      <c r="R93" s="86"/>
      <c r="S93" s="86"/>
      <c r="T93" s="86" t="s">
        <v>226</v>
      </c>
      <c r="U93" s="37"/>
      <c r="V93" s="22"/>
      <c r="W93" s="22"/>
      <c r="X93" s="22"/>
      <c r="Y93" s="87" t="s">
        <v>1031</v>
      </c>
      <c r="Z93" s="87"/>
      <c r="AA93" s="87"/>
      <c r="AB93" s="87" t="str">
        <f t="shared" ref="AB93:AB107" si="14">IF(AA93&lt;&gt;"", (Z93-AC93)/(AA93-COUNT(AC93)),"")</f>
        <v/>
      </c>
      <c r="AC93" s="87"/>
      <c r="AD93" s="87"/>
      <c r="AE93" s="87"/>
      <c r="AF93" s="87"/>
      <c r="AG93" s="87"/>
      <c r="AH93" s="87"/>
      <c r="AI93" s="87" t="str">
        <f t="shared" si="13"/>
        <v/>
      </c>
      <c r="AJ93" s="87"/>
      <c r="AK93" s="13">
        <v>12.3</v>
      </c>
      <c r="AL93" s="13">
        <v>0.54</v>
      </c>
      <c r="AM93" s="38" t="s">
        <v>359</v>
      </c>
      <c r="AN93" s="38" t="s">
        <v>990</v>
      </c>
      <c r="AO93" s="13" t="str">
        <f t="shared" si="12"/>
        <v>[124]</v>
      </c>
      <c r="AP93" s="87"/>
      <c r="AQ93" s="87"/>
      <c r="AR93" s="87"/>
      <c r="AS93" s="87" t="s">
        <v>226</v>
      </c>
      <c r="AT93" s="87"/>
      <c r="AU93" s="87" t="s">
        <v>226</v>
      </c>
      <c r="AV93" s="38"/>
      <c r="AW93" s="38"/>
    </row>
    <row r="94" spans="1:49" ht="80.099999999999994" customHeight="1" x14ac:dyDescent="0.25">
      <c r="A94" s="93">
        <v>89</v>
      </c>
      <c r="B94" s="95" t="s">
        <v>113</v>
      </c>
      <c r="C94" s="36">
        <v>2020</v>
      </c>
      <c r="D94" s="13" t="s">
        <v>204</v>
      </c>
      <c r="E94" s="98" t="s">
        <v>296</v>
      </c>
      <c r="F94" s="98"/>
      <c r="G94" s="22">
        <v>1</v>
      </c>
      <c r="H94" s="22">
        <v>1</v>
      </c>
      <c r="I94" s="86"/>
      <c r="J94" s="86"/>
      <c r="K94" s="86"/>
      <c r="L94" s="86" t="s">
        <v>226</v>
      </c>
      <c r="M94" s="86"/>
      <c r="N94" s="86" t="s">
        <v>226</v>
      </c>
      <c r="O94" s="86"/>
      <c r="P94" s="86"/>
      <c r="Q94" s="86"/>
      <c r="R94" s="86"/>
      <c r="S94" s="86" t="s">
        <v>226</v>
      </c>
      <c r="T94" s="86"/>
      <c r="U94" s="37" t="s">
        <v>297</v>
      </c>
      <c r="V94" s="22" t="s">
        <v>226</v>
      </c>
      <c r="W94" s="22"/>
      <c r="X94" s="22" t="s">
        <v>226</v>
      </c>
      <c r="Y94" s="87" t="s">
        <v>1049</v>
      </c>
      <c r="Z94" s="87">
        <v>48</v>
      </c>
      <c r="AA94" s="87">
        <v>2</v>
      </c>
      <c r="AB94" s="87">
        <f t="shared" si="14"/>
        <v>28</v>
      </c>
      <c r="AC94" s="87">
        <v>20</v>
      </c>
      <c r="AD94" s="87" t="s">
        <v>1033</v>
      </c>
      <c r="AE94" s="87"/>
      <c r="AF94" s="87"/>
      <c r="AG94" s="87"/>
      <c r="AH94" s="87"/>
      <c r="AI94" s="87" t="str">
        <f t="shared" si="13"/>
        <v/>
      </c>
      <c r="AJ94" s="87"/>
      <c r="AK94" s="13">
        <v>21.1</v>
      </c>
      <c r="AL94" s="13">
        <v>0.65</v>
      </c>
      <c r="AM94" s="38" t="s">
        <v>360</v>
      </c>
      <c r="AN94" s="38" t="s">
        <v>991</v>
      </c>
      <c r="AO94" s="13" t="str">
        <f t="shared" si="12"/>
        <v>[125]</v>
      </c>
      <c r="AP94" s="87" t="s">
        <v>1174</v>
      </c>
      <c r="AQ94" s="87">
        <v>3.2509999999999999</v>
      </c>
      <c r="AR94" s="87">
        <v>2</v>
      </c>
      <c r="AS94" s="87"/>
      <c r="AT94" s="87"/>
      <c r="AU94" s="87"/>
      <c r="AV94" s="38"/>
      <c r="AW94" s="38"/>
    </row>
    <row r="95" spans="1:49" ht="80.099999999999994" customHeight="1" x14ac:dyDescent="0.25">
      <c r="A95" s="93">
        <v>90</v>
      </c>
      <c r="B95" s="95" t="s">
        <v>116</v>
      </c>
      <c r="C95" s="36">
        <v>2022</v>
      </c>
      <c r="D95" s="13" t="s">
        <v>204</v>
      </c>
      <c r="E95" s="98" t="s">
        <v>298</v>
      </c>
      <c r="F95" s="98" t="s">
        <v>299</v>
      </c>
      <c r="G95" s="22">
        <v>1</v>
      </c>
      <c r="H95" s="22">
        <v>1</v>
      </c>
      <c r="I95" s="86"/>
      <c r="J95" s="86"/>
      <c r="K95" s="86" t="s">
        <v>226</v>
      </c>
      <c r="L95" s="86"/>
      <c r="M95" s="86"/>
      <c r="N95" s="86"/>
      <c r="O95" s="86"/>
      <c r="P95" s="86" t="s">
        <v>226</v>
      </c>
      <c r="Q95" s="86" t="s">
        <v>226</v>
      </c>
      <c r="R95" s="86"/>
      <c r="S95" s="86" t="s">
        <v>226</v>
      </c>
      <c r="T95" s="86"/>
      <c r="U95" s="37"/>
      <c r="V95" s="22"/>
      <c r="W95" s="22"/>
      <c r="X95" s="22"/>
      <c r="Y95" s="87" t="s">
        <v>1034</v>
      </c>
      <c r="Z95" s="87">
        <v>389</v>
      </c>
      <c r="AA95" s="87"/>
      <c r="AB95" s="87" t="str">
        <f t="shared" si="14"/>
        <v/>
      </c>
      <c r="AC95" s="87"/>
      <c r="AD95" s="87"/>
      <c r="AE95" s="87">
        <v>180</v>
      </c>
      <c r="AF95" s="87"/>
      <c r="AG95" s="87"/>
      <c r="AH95" s="87"/>
      <c r="AI95" s="87" t="str">
        <f t="shared" si="13"/>
        <v/>
      </c>
      <c r="AJ95" s="87"/>
      <c r="AK95" s="13">
        <v>4.2</v>
      </c>
      <c r="AL95" s="13">
        <v>0.65</v>
      </c>
      <c r="AM95" s="38" t="s">
        <v>360</v>
      </c>
      <c r="AN95" s="38" t="s">
        <v>992</v>
      </c>
      <c r="AO95" s="13" t="str">
        <f t="shared" si="12"/>
        <v>[126]</v>
      </c>
      <c r="AP95" s="87"/>
      <c r="AQ95" s="87"/>
      <c r="AR95" s="87"/>
      <c r="AS95" s="87"/>
      <c r="AT95" s="87"/>
      <c r="AU95" s="87" t="s">
        <v>226</v>
      </c>
      <c r="AV95" s="38"/>
      <c r="AW95" s="38"/>
    </row>
    <row r="96" spans="1:49" ht="80.099999999999994" customHeight="1" x14ac:dyDescent="0.25">
      <c r="A96" s="93">
        <v>91</v>
      </c>
      <c r="B96" s="95" t="s">
        <v>117</v>
      </c>
      <c r="C96" s="36">
        <v>2020</v>
      </c>
      <c r="D96" s="13" t="s">
        <v>204</v>
      </c>
      <c r="E96" s="98" t="s">
        <v>300</v>
      </c>
      <c r="F96" s="98" t="s">
        <v>301</v>
      </c>
      <c r="G96" s="22">
        <v>1</v>
      </c>
      <c r="H96" s="22">
        <v>2</v>
      </c>
      <c r="I96" s="86" t="s">
        <v>226</v>
      </c>
      <c r="J96" s="86"/>
      <c r="K96" s="86"/>
      <c r="L96" s="86"/>
      <c r="M96" s="86"/>
      <c r="N96" s="86"/>
      <c r="O96" s="86"/>
      <c r="P96" s="86" t="s">
        <v>226</v>
      </c>
      <c r="Q96" s="86"/>
      <c r="R96" s="86"/>
      <c r="S96" s="86" t="s">
        <v>226</v>
      </c>
      <c r="T96" s="86" t="s">
        <v>226</v>
      </c>
      <c r="U96" s="37" t="s">
        <v>273</v>
      </c>
      <c r="V96" s="22"/>
      <c r="W96" s="22"/>
      <c r="X96" s="22" t="s">
        <v>226</v>
      </c>
      <c r="Y96" s="87" t="s">
        <v>1050</v>
      </c>
      <c r="Z96" s="87">
        <v>279</v>
      </c>
      <c r="AA96" s="87"/>
      <c r="AB96" s="87" t="str">
        <f t="shared" si="14"/>
        <v/>
      </c>
      <c r="AC96" s="87"/>
      <c r="AD96" s="87"/>
      <c r="AE96" s="87">
        <v>84</v>
      </c>
      <c r="AF96" s="87"/>
      <c r="AG96" s="87"/>
      <c r="AH96" s="87"/>
      <c r="AI96" s="87" t="str">
        <f t="shared" si="13"/>
        <v/>
      </c>
      <c r="AJ96" s="87"/>
      <c r="AK96" s="13">
        <v>48.1</v>
      </c>
      <c r="AL96" s="13">
        <v>0.95</v>
      </c>
      <c r="AM96" s="38" t="s">
        <v>361</v>
      </c>
      <c r="AN96" s="38" t="s">
        <v>993</v>
      </c>
      <c r="AO96" s="13" t="str">
        <f t="shared" si="12"/>
        <v>[127]</v>
      </c>
      <c r="AP96" s="87"/>
      <c r="AQ96" s="87"/>
      <c r="AR96" s="87"/>
      <c r="AS96" s="87"/>
      <c r="AT96" s="87"/>
      <c r="AU96" s="87" t="s">
        <v>226</v>
      </c>
      <c r="AV96" s="38"/>
      <c r="AW96" s="38"/>
    </row>
    <row r="97" spans="1:49" ht="80.099999999999994" customHeight="1" x14ac:dyDescent="0.25">
      <c r="A97" s="93">
        <v>92</v>
      </c>
      <c r="B97" s="95" t="s">
        <v>126</v>
      </c>
      <c r="C97" s="36">
        <v>2019</v>
      </c>
      <c r="D97" s="13" t="s">
        <v>204</v>
      </c>
      <c r="E97" s="98" t="s">
        <v>302</v>
      </c>
      <c r="F97" s="98" t="s">
        <v>304</v>
      </c>
      <c r="G97" s="22">
        <v>1</v>
      </c>
      <c r="H97" s="22">
        <v>2</v>
      </c>
      <c r="I97" s="86"/>
      <c r="J97" s="86" t="s">
        <v>226</v>
      </c>
      <c r="K97" s="86" t="s">
        <v>226</v>
      </c>
      <c r="L97" s="86" t="s">
        <v>226</v>
      </c>
      <c r="M97" s="86"/>
      <c r="N97" s="86" t="s">
        <v>226</v>
      </c>
      <c r="O97" s="86"/>
      <c r="P97" s="86" t="s">
        <v>226</v>
      </c>
      <c r="Q97" s="86" t="s">
        <v>226</v>
      </c>
      <c r="R97" s="86"/>
      <c r="S97" s="86"/>
      <c r="T97" s="86"/>
      <c r="U97" s="37" t="s">
        <v>303</v>
      </c>
      <c r="V97" s="22"/>
      <c r="W97" s="22"/>
      <c r="X97" s="22" t="s">
        <v>226</v>
      </c>
      <c r="Y97" s="87" t="s">
        <v>1031</v>
      </c>
      <c r="Z97" s="87">
        <v>30</v>
      </c>
      <c r="AA97" s="87"/>
      <c r="AB97" s="87" t="str">
        <f t="shared" si="14"/>
        <v/>
      </c>
      <c r="AC97" s="87"/>
      <c r="AD97" s="87"/>
      <c r="AE97" s="87">
        <v>1</v>
      </c>
      <c r="AF97" s="87"/>
      <c r="AG97" s="87">
        <v>1</v>
      </c>
      <c r="AH97" s="87"/>
      <c r="AI97" s="87">
        <f t="shared" si="13"/>
        <v>1</v>
      </c>
      <c r="AJ97" s="87"/>
      <c r="AK97" s="13">
        <v>15.8</v>
      </c>
      <c r="AL97" s="13"/>
      <c r="AM97" s="38"/>
      <c r="AN97" s="38" t="s">
        <v>994</v>
      </c>
      <c r="AO97" s="13" t="str">
        <f t="shared" si="12"/>
        <v>[128]</v>
      </c>
      <c r="AP97" s="87"/>
      <c r="AQ97" s="87"/>
      <c r="AR97" s="87"/>
      <c r="AS97" s="87"/>
      <c r="AT97" s="87"/>
      <c r="AU97" s="87"/>
      <c r="AV97" s="38"/>
      <c r="AW97" s="38"/>
    </row>
    <row r="98" spans="1:49" ht="80.099999999999994" customHeight="1" x14ac:dyDescent="0.25">
      <c r="A98" s="93">
        <v>93</v>
      </c>
      <c r="B98" s="95" t="s">
        <v>149</v>
      </c>
      <c r="C98" s="36">
        <v>2020</v>
      </c>
      <c r="D98" s="13" t="s">
        <v>204</v>
      </c>
      <c r="E98" s="98" t="s">
        <v>306</v>
      </c>
      <c r="F98" s="98"/>
      <c r="G98" s="22">
        <v>1</v>
      </c>
      <c r="H98" s="22">
        <v>2</v>
      </c>
      <c r="I98" s="86"/>
      <c r="J98" s="86"/>
      <c r="K98" s="86" t="s">
        <v>226</v>
      </c>
      <c r="L98" s="86" t="s">
        <v>226</v>
      </c>
      <c r="M98" s="86" t="s">
        <v>226</v>
      </c>
      <c r="N98" s="86"/>
      <c r="O98" s="86"/>
      <c r="P98" s="86"/>
      <c r="Q98" s="86" t="s">
        <v>226</v>
      </c>
      <c r="R98" s="86"/>
      <c r="S98" s="86"/>
      <c r="T98" s="86"/>
      <c r="U98" s="37"/>
      <c r="V98" s="22"/>
      <c r="W98" s="22" t="s">
        <v>226</v>
      </c>
      <c r="X98" s="22"/>
      <c r="Y98" s="87" t="s">
        <v>1049</v>
      </c>
      <c r="Z98" s="87">
        <v>92</v>
      </c>
      <c r="AA98" s="87"/>
      <c r="AB98" s="87" t="str">
        <f t="shared" si="14"/>
        <v/>
      </c>
      <c r="AC98" s="87"/>
      <c r="AD98" s="87"/>
      <c r="AE98" s="87">
        <v>1</v>
      </c>
      <c r="AF98" s="87"/>
      <c r="AG98" s="87">
        <v>1</v>
      </c>
      <c r="AH98" s="87"/>
      <c r="AI98" s="87">
        <f t="shared" si="13"/>
        <v>1</v>
      </c>
      <c r="AJ98" s="87"/>
      <c r="AK98" s="13">
        <v>9.3000000000000007</v>
      </c>
      <c r="AL98" s="13"/>
      <c r="AM98" s="38"/>
      <c r="AN98" s="38" t="s">
        <v>995</v>
      </c>
      <c r="AO98" s="13" t="str">
        <f t="shared" si="12"/>
        <v>[129]</v>
      </c>
      <c r="AP98" s="87"/>
      <c r="AQ98" s="87"/>
      <c r="AR98" s="87"/>
      <c r="AS98" s="87"/>
      <c r="AT98" s="87"/>
      <c r="AU98" s="87"/>
      <c r="AV98" s="38"/>
      <c r="AW98" s="38"/>
    </row>
    <row r="99" spans="1:49" ht="80.099999999999994" customHeight="1" x14ac:dyDescent="0.25">
      <c r="A99" s="93">
        <v>94</v>
      </c>
      <c r="B99" s="95" t="s">
        <v>152</v>
      </c>
      <c r="C99" s="36">
        <v>2017</v>
      </c>
      <c r="D99" s="13" t="s">
        <v>204</v>
      </c>
      <c r="E99" s="98" t="s">
        <v>307</v>
      </c>
      <c r="F99" s="98"/>
      <c r="G99" s="22">
        <v>-1</v>
      </c>
      <c r="H99" s="22">
        <v>-2</v>
      </c>
      <c r="I99" s="86" t="s">
        <v>226</v>
      </c>
      <c r="J99" s="86"/>
      <c r="K99" s="86"/>
      <c r="L99" s="86"/>
      <c r="M99" s="86"/>
      <c r="N99" s="86"/>
      <c r="O99" s="86" t="s">
        <v>226</v>
      </c>
      <c r="P99" s="86" t="s">
        <v>226</v>
      </c>
      <c r="Q99" s="86"/>
      <c r="R99" s="86"/>
      <c r="S99" s="86"/>
      <c r="T99" s="86"/>
      <c r="U99" s="37" t="s">
        <v>308</v>
      </c>
      <c r="V99" s="22" t="s">
        <v>226</v>
      </c>
      <c r="W99" s="22"/>
      <c r="X99" s="22"/>
      <c r="Y99" s="87" t="s">
        <v>1031</v>
      </c>
      <c r="Z99" s="87">
        <v>32</v>
      </c>
      <c r="AA99" s="87"/>
      <c r="AB99" s="87" t="str">
        <f t="shared" si="14"/>
        <v/>
      </c>
      <c r="AC99" s="87"/>
      <c r="AD99" s="87"/>
      <c r="AE99" s="87">
        <v>180</v>
      </c>
      <c r="AF99" s="87"/>
      <c r="AG99" s="87"/>
      <c r="AH99" s="87"/>
      <c r="AI99" s="87" t="str">
        <f t="shared" si="13"/>
        <v/>
      </c>
      <c r="AJ99" s="87"/>
      <c r="AK99" s="13">
        <v>111.9</v>
      </c>
      <c r="AL99" s="13"/>
      <c r="AM99" s="38"/>
      <c r="AN99" s="38" t="s">
        <v>996</v>
      </c>
      <c r="AO99" s="13" t="str">
        <f t="shared" si="12"/>
        <v>[130]</v>
      </c>
      <c r="AP99" s="87"/>
      <c r="AQ99" s="87"/>
      <c r="AR99" s="87"/>
      <c r="AS99" s="87"/>
      <c r="AT99" s="87"/>
      <c r="AU99" s="87"/>
      <c r="AV99" s="38"/>
      <c r="AW99" s="38"/>
    </row>
    <row r="100" spans="1:49" ht="80.099999999999994" customHeight="1" x14ac:dyDescent="0.25">
      <c r="A100" s="93">
        <v>95</v>
      </c>
      <c r="B100" s="95" t="s">
        <v>166</v>
      </c>
      <c r="C100" s="36">
        <v>2020</v>
      </c>
      <c r="D100" s="13" t="s">
        <v>204</v>
      </c>
      <c r="E100" s="98" t="s">
        <v>309</v>
      </c>
      <c r="F100" s="98" t="s">
        <v>311</v>
      </c>
      <c r="G100" s="22">
        <v>1</v>
      </c>
      <c r="H100" s="22">
        <v>2</v>
      </c>
      <c r="I100" s="86" t="s">
        <v>226</v>
      </c>
      <c r="J100" s="86"/>
      <c r="K100" s="86" t="s">
        <v>226</v>
      </c>
      <c r="L100" s="86" t="s">
        <v>226</v>
      </c>
      <c r="M100" s="86"/>
      <c r="N100" s="86"/>
      <c r="O100" s="86"/>
      <c r="P100" s="86" t="s">
        <v>226</v>
      </c>
      <c r="Q100" s="86"/>
      <c r="R100" s="86" t="s">
        <v>226</v>
      </c>
      <c r="S100" s="86"/>
      <c r="T100" s="86" t="s">
        <v>226</v>
      </c>
      <c r="U100" s="37" t="s">
        <v>310</v>
      </c>
      <c r="V100" s="22" t="s">
        <v>226</v>
      </c>
      <c r="W100" s="22"/>
      <c r="X100" s="22"/>
      <c r="Y100" s="87" t="s">
        <v>1031</v>
      </c>
      <c r="Z100" s="87">
        <v>31</v>
      </c>
      <c r="AA100" s="87"/>
      <c r="AB100" s="87" t="str">
        <f t="shared" si="14"/>
        <v/>
      </c>
      <c r="AC100" s="87"/>
      <c r="AD100" s="87"/>
      <c r="AE100" s="87">
        <v>28</v>
      </c>
      <c r="AF100" s="87">
        <v>7</v>
      </c>
      <c r="AG100" s="87">
        <f>AE100*AF100/7</f>
        <v>28</v>
      </c>
      <c r="AH100" s="87">
        <v>180</v>
      </c>
      <c r="AI100" s="87">
        <f t="shared" si="13"/>
        <v>28</v>
      </c>
      <c r="AJ100" s="87">
        <v>180</v>
      </c>
      <c r="AK100" s="13">
        <v>6.9</v>
      </c>
      <c r="AL100" s="13"/>
      <c r="AM100" s="38"/>
      <c r="AN100" s="38" t="s">
        <v>997</v>
      </c>
      <c r="AO100" s="13" t="str">
        <f t="shared" si="12"/>
        <v>[131]</v>
      </c>
      <c r="AP100" s="87"/>
      <c r="AQ100" s="87"/>
      <c r="AR100" s="87"/>
      <c r="AS100" s="87"/>
      <c r="AT100" s="87"/>
      <c r="AU100" s="87"/>
      <c r="AV100" s="38"/>
      <c r="AW100" s="38"/>
    </row>
    <row r="101" spans="1:49" ht="80.099999999999994" customHeight="1" x14ac:dyDescent="0.25">
      <c r="A101" s="93">
        <v>96</v>
      </c>
      <c r="B101" s="95" t="s">
        <v>168</v>
      </c>
      <c r="C101" s="36">
        <v>2021</v>
      </c>
      <c r="D101" s="13" t="s">
        <v>204</v>
      </c>
      <c r="E101" s="98" t="s">
        <v>1199</v>
      </c>
      <c r="F101" s="98"/>
      <c r="G101" s="22">
        <v>1</v>
      </c>
      <c r="H101" s="22">
        <v>2</v>
      </c>
      <c r="I101" s="86" t="s">
        <v>226</v>
      </c>
      <c r="J101" s="86"/>
      <c r="K101" s="86" t="s">
        <v>226</v>
      </c>
      <c r="L101" s="86"/>
      <c r="M101" s="86" t="s">
        <v>226</v>
      </c>
      <c r="N101" s="86"/>
      <c r="O101" s="86"/>
      <c r="P101" s="86" t="s">
        <v>226</v>
      </c>
      <c r="Q101" s="86"/>
      <c r="R101" s="86"/>
      <c r="S101" s="86" t="s">
        <v>226</v>
      </c>
      <c r="T101" s="86"/>
      <c r="U101" s="37"/>
      <c r="V101" s="22"/>
      <c r="W101" s="22" t="s">
        <v>226</v>
      </c>
      <c r="X101" s="22"/>
      <c r="Y101" s="87" t="s">
        <v>1051</v>
      </c>
      <c r="Z101" s="87">
        <v>70</v>
      </c>
      <c r="AA101" s="87"/>
      <c r="AB101" s="87" t="str">
        <f t="shared" si="14"/>
        <v/>
      </c>
      <c r="AC101" s="87"/>
      <c r="AD101" s="87"/>
      <c r="AE101" s="87"/>
      <c r="AF101" s="87"/>
      <c r="AG101" s="87"/>
      <c r="AH101" s="87"/>
      <c r="AI101" s="87" t="str">
        <f t="shared" si="13"/>
        <v/>
      </c>
      <c r="AJ101" s="87"/>
      <c r="AK101" s="13">
        <v>3.1</v>
      </c>
      <c r="AL101" s="13">
        <v>0.64</v>
      </c>
      <c r="AM101" s="38" t="s">
        <v>362</v>
      </c>
      <c r="AN101" s="38" t="s">
        <v>998</v>
      </c>
      <c r="AO101" s="13" t="str">
        <f t="shared" si="12"/>
        <v>[132]</v>
      </c>
      <c r="AP101" s="87" t="s">
        <v>1174</v>
      </c>
      <c r="AQ101" s="87">
        <v>2.109</v>
      </c>
      <c r="AR101" s="87">
        <v>2</v>
      </c>
      <c r="AS101" s="87" t="s">
        <v>226</v>
      </c>
      <c r="AT101" s="87" t="s">
        <v>226</v>
      </c>
      <c r="AU101" s="87" t="s">
        <v>226</v>
      </c>
      <c r="AV101" s="38"/>
      <c r="AW101" s="38"/>
    </row>
    <row r="102" spans="1:49" ht="80.099999999999994" customHeight="1" x14ac:dyDescent="0.25">
      <c r="A102" s="93">
        <v>96.1</v>
      </c>
      <c r="B102" s="95"/>
      <c r="C102" s="36"/>
      <c r="D102" s="13"/>
      <c r="E102" s="98"/>
      <c r="F102" s="98"/>
      <c r="G102" s="22">
        <v>1</v>
      </c>
      <c r="H102" s="22">
        <v>2</v>
      </c>
      <c r="I102" s="86"/>
      <c r="J102" s="86"/>
      <c r="K102" s="86" t="s">
        <v>226</v>
      </c>
      <c r="L102" s="86"/>
      <c r="M102" s="86" t="s">
        <v>226</v>
      </c>
      <c r="N102" s="86"/>
      <c r="O102" s="86"/>
      <c r="P102" s="86" t="s">
        <v>226</v>
      </c>
      <c r="Q102" s="86"/>
      <c r="R102" s="86"/>
      <c r="S102" s="86"/>
      <c r="T102" s="86"/>
      <c r="U102" s="37"/>
      <c r="V102" s="22"/>
      <c r="W102" s="22" t="s">
        <v>226</v>
      </c>
      <c r="X102" s="22"/>
      <c r="Y102" s="87"/>
      <c r="Z102" s="87"/>
      <c r="AA102" s="87"/>
      <c r="AB102" s="87" t="str">
        <f t="shared" si="14"/>
        <v/>
      </c>
      <c r="AC102" s="87"/>
      <c r="AD102" s="87"/>
      <c r="AE102" s="87"/>
      <c r="AF102" s="87"/>
      <c r="AG102" s="87"/>
      <c r="AH102" s="87"/>
      <c r="AI102" s="87" t="str">
        <f t="shared" si="13"/>
        <v/>
      </c>
      <c r="AJ102" s="87"/>
      <c r="AK102" s="13"/>
      <c r="AL102" s="13"/>
      <c r="AM102" s="38"/>
      <c r="AN102" s="38"/>
      <c r="AO102" s="13"/>
      <c r="AP102" s="87"/>
      <c r="AQ102" s="87"/>
      <c r="AR102" s="87"/>
      <c r="AS102" s="87"/>
      <c r="AT102" s="87"/>
      <c r="AU102" s="87"/>
      <c r="AV102" s="38"/>
      <c r="AW102" s="38"/>
    </row>
    <row r="103" spans="1:49" ht="80.099999999999994" customHeight="1" x14ac:dyDescent="0.25">
      <c r="A103" s="93">
        <v>96.2</v>
      </c>
      <c r="B103" s="95"/>
      <c r="C103" s="36"/>
      <c r="D103" s="13"/>
      <c r="E103" s="98"/>
      <c r="F103" s="98"/>
      <c r="G103" s="22">
        <v>1</v>
      </c>
      <c r="H103" s="22">
        <v>2</v>
      </c>
      <c r="I103" s="86"/>
      <c r="J103" s="86"/>
      <c r="K103" s="86"/>
      <c r="L103" s="86"/>
      <c r="M103" s="86"/>
      <c r="N103" s="86"/>
      <c r="O103" s="86"/>
      <c r="P103" s="86"/>
      <c r="Q103" s="86"/>
      <c r="R103" s="86"/>
      <c r="S103" s="86" t="s">
        <v>226</v>
      </c>
      <c r="T103" s="86"/>
      <c r="U103" s="37"/>
      <c r="V103" s="22"/>
      <c r="W103" s="22" t="s">
        <v>226</v>
      </c>
      <c r="X103" s="22"/>
      <c r="Y103" s="87"/>
      <c r="Z103" s="87"/>
      <c r="AA103" s="87"/>
      <c r="AB103" s="87" t="str">
        <f t="shared" si="14"/>
        <v/>
      </c>
      <c r="AC103" s="87"/>
      <c r="AD103" s="87"/>
      <c r="AE103" s="87"/>
      <c r="AF103" s="87"/>
      <c r="AG103" s="87"/>
      <c r="AH103" s="87"/>
      <c r="AI103" s="87" t="str">
        <f t="shared" si="13"/>
        <v/>
      </c>
      <c r="AJ103" s="87"/>
      <c r="AK103" s="13"/>
      <c r="AL103" s="13"/>
      <c r="AM103" s="38"/>
      <c r="AN103" s="38"/>
      <c r="AO103" s="13"/>
      <c r="AP103" s="87"/>
      <c r="AQ103" s="87"/>
      <c r="AR103" s="87"/>
      <c r="AS103" s="87"/>
      <c r="AT103" s="87"/>
      <c r="AU103" s="87"/>
      <c r="AV103" s="38"/>
      <c r="AW103" s="38"/>
    </row>
    <row r="104" spans="1:49" ht="80.099999999999994" customHeight="1" x14ac:dyDescent="0.25">
      <c r="A104" s="93">
        <v>97</v>
      </c>
      <c r="B104" s="95" t="s">
        <v>169</v>
      </c>
      <c r="C104" s="36">
        <v>2019</v>
      </c>
      <c r="D104" s="13" t="s">
        <v>204</v>
      </c>
      <c r="E104" s="98" t="s">
        <v>316</v>
      </c>
      <c r="F104" s="98" t="s">
        <v>318</v>
      </c>
      <c r="G104" s="22">
        <v>1</v>
      </c>
      <c r="H104" s="22">
        <v>2</v>
      </c>
      <c r="I104" s="86"/>
      <c r="J104" s="86"/>
      <c r="K104" s="86" t="s">
        <v>226</v>
      </c>
      <c r="L104" s="86"/>
      <c r="M104" s="86"/>
      <c r="N104" s="86"/>
      <c r="O104" s="86" t="s">
        <v>226</v>
      </c>
      <c r="P104" s="86"/>
      <c r="Q104" s="86"/>
      <c r="R104" s="86"/>
      <c r="S104" s="86"/>
      <c r="T104" s="86"/>
      <c r="U104" s="37" t="s">
        <v>317</v>
      </c>
      <c r="V104" s="22" t="s">
        <v>226</v>
      </c>
      <c r="W104" s="22"/>
      <c r="X104" s="22" t="s">
        <v>226</v>
      </c>
      <c r="Y104" s="87" t="s">
        <v>1050</v>
      </c>
      <c r="Z104" s="87">
        <v>49</v>
      </c>
      <c r="AA104" s="87"/>
      <c r="AB104" s="87" t="str">
        <f t="shared" si="14"/>
        <v/>
      </c>
      <c r="AC104" s="87"/>
      <c r="AD104" s="87"/>
      <c r="AE104" s="87"/>
      <c r="AF104" s="87"/>
      <c r="AG104" s="87"/>
      <c r="AH104" s="87"/>
      <c r="AI104" s="87" t="str">
        <f t="shared" si="13"/>
        <v/>
      </c>
      <c r="AJ104" s="87"/>
      <c r="AK104" s="13">
        <v>20.7</v>
      </c>
      <c r="AL104" s="13"/>
      <c r="AM104" s="38"/>
      <c r="AN104" s="38" t="s">
        <v>999</v>
      </c>
      <c r="AO104" s="13" t="str">
        <f>_xlfn.CONCAT("[",A104+36,"]")</f>
        <v>[133]</v>
      </c>
      <c r="AP104" s="87"/>
      <c r="AQ104" s="87"/>
      <c r="AR104" s="87"/>
      <c r="AS104" s="87"/>
      <c r="AT104" s="87"/>
      <c r="AU104" s="87"/>
      <c r="AV104" s="38"/>
      <c r="AW104" s="38"/>
    </row>
    <row r="105" spans="1:49" ht="80.099999999999994" customHeight="1" x14ac:dyDescent="0.25">
      <c r="A105" s="93">
        <v>98</v>
      </c>
      <c r="B105" s="95" t="s">
        <v>173</v>
      </c>
      <c r="C105" s="36">
        <v>2021</v>
      </c>
      <c r="D105" s="13" t="s">
        <v>204</v>
      </c>
      <c r="E105" s="98" t="s">
        <v>319</v>
      </c>
      <c r="F105" s="98" t="s">
        <v>320</v>
      </c>
      <c r="G105" s="22">
        <v>1</v>
      </c>
      <c r="H105" s="22">
        <v>2</v>
      </c>
      <c r="I105" s="86" t="s">
        <v>226</v>
      </c>
      <c r="J105" s="86" t="s">
        <v>226</v>
      </c>
      <c r="K105" s="86" t="s">
        <v>226</v>
      </c>
      <c r="L105" s="86" t="s">
        <v>226</v>
      </c>
      <c r="M105" s="86"/>
      <c r="N105" s="86" t="s">
        <v>226</v>
      </c>
      <c r="O105" s="86" t="s">
        <v>226</v>
      </c>
      <c r="P105" s="86" t="s">
        <v>226</v>
      </c>
      <c r="Q105" s="86" t="s">
        <v>226</v>
      </c>
      <c r="R105" s="86" t="s">
        <v>226</v>
      </c>
      <c r="S105" s="86"/>
      <c r="T105" s="86"/>
      <c r="U105" s="37"/>
      <c r="V105" s="22"/>
      <c r="W105" s="22"/>
      <c r="X105" s="22"/>
      <c r="Y105" s="87" t="s">
        <v>1031</v>
      </c>
      <c r="Z105" s="87">
        <v>309</v>
      </c>
      <c r="AA105" s="87"/>
      <c r="AB105" s="87" t="str">
        <f t="shared" si="14"/>
        <v/>
      </c>
      <c r="AC105" s="87"/>
      <c r="AD105" s="87"/>
      <c r="AE105" s="87">
        <v>1095</v>
      </c>
      <c r="AF105" s="87">
        <f>AG105/(AE105/7)</f>
        <v>1.9178082191780823E-2</v>
      </c>
      <c r="AG105" s="87">
        <v>3</v>
      </c>
      <c r="AH105" s="87"/>
      <c r="AI105" s="87">
        <f t="shared" si="13"/>
        <v>3</v>
      </c>
      <c r="AJ105" s="87"/>
      <c r="AK105" s="13">
        <v>3.6</v>
      </c>
      <c r="AL105" s="13"/>
      <c r="AM105" s="38"/>
      <c r="AN105" s="38" t="s">
        <v>1000</v>
      </c>
      <c r="AO105" s="13" t="str">
        <f>_xlfn.CONCAT("[",A105+36,"]")</f>
        <v>[134]</v>
      </c>
      <c r="AP105" s="87"/>
      <c r="AQ105" s="87"/>
      <c r="AR105" s="87"/>
      <c r="AS105" s="87"/>
      <c r="AT105" s="87"/>
      <c r="AU105" s="87"/>
      <c r="AV105" s="38"/>
      <c r="AW105" s="38"/>
    </row>
    <row r="106" spans="1:49" ht="80.099999999999994" customHeight="1" x14ac:dyDescent="0.25">
      <c r="A106" s="93">
        <v>99</v>
      </c>
      <c r="B106" s="95" t="s">
        <v>179</v>
      </c>
      <c r="C106" s="36">
        <v>2021</v>
      </c>
      <c r="D106" s="13" t="s">
        <v>204</v>
      </c>
      <c r="E106" s="98" t="s">
        <v>1117</v>
      </c>
      <c r="F106" s="98" t="s">
        <v>323</v>
      </c>
      <c r="G106" s="22">
        <v>1</v>
      </c>
      <c r="H106" s="22">
        <v>2</v>
      </c>
      <c r="I106" s="86"/>
      <c r="J106" s="86"/>
      <c r="K106" s="86" t="s">
        <v>226</v>
      </c>
      <c r="L106" s="86" t="s">
        <v>226</v>
      </c>
      <c r="M106" s="86" t="s">
        <v>226</v>
      </c>
      <c r="N106" s="86"/>
      <c r="O106" s="86"/>
      <c r="P106" s="86"/>
      <c r="Q106" s="86"/>
      <c r="R106" s="86"/>
      <c r="S106" s="86"/>
      <c r="T106" s="86"/>
      <c r="U106" s="37" t="s">
        <v>322</v>
      </c>
      <c r="V106" s="22"/>
      <c r="W106" s="22"/>
      <c r="X106" s="22" t="s">
        <v>226</v>
      </c>
      <c r="Y106" s="87" t="s">
        <v>1045</v>
      </c>
      <c r="Z106" s="87">
        <v>15</v>
      </c>
      <c r="AA106" s="87"/>
      <c r="AB106" s="87" t="str">
        <f t="shared" si="14"/>
        <v/>
      </c>
      <c r="AC106" s="87"/>
      <c r="AD106" s="87"/>
      <c r="AE106" s="87">
        <v>1</v>
      </c>
      <c r="AF106" s="87"/>
      <c r="AG106" s="87">
        <v>1</v>
      </c>
      <c r="AH106" s="87"/>
      <c r="AI106" s="87">
        <f t="shared" si="13"/>
        <v>1</v>
      </c>
      <c r="AJ106" s="87"/>
      <c r="AK106" s="13">
        <v>5</v>
      </c>
      <c r="AL106" s="13">
        <v>0.35</v>
      </c>
      <c r="AM106" s="38" t="s">
        <v>363</v>
      </c>
      <c r="AN106" s="38" t="s">
        <v>1001</v>
      </c>
      <c r="AO106" s="13" t="str">
        <f>_xlfn.CONCAT("[",A106+36,"]")</f>
        <v>[135]</v>
      </c>
      <c r="AP106" s="87"/>
      <c r="AQ106" s="87"/>
      <c r="AR106" s="87"/>
      <c r="AS106" s="87" t="s">
        <v>226</v>
      </c>
      <c r="AT106" s="87" t="s">
        <v>226</v>
      </c>
      <c r="AU106" s="87" t="s">
        <v>226</v>
      </c>
      <c r="AV106" s="38"/>
      <c r="AW106" s="38"/>
    </row>
    <row r="107" spans="1:49" ht="80.099999999999994" customHeight="1" x14ac:dyDescent="0.25">
      <c r="A107" s="93">
        <v>100</v>
      </c>
      <c r="B107" s="95" t="s">
        <v>187</v>
      </c>
      <c r="C107" s="36">
        <v>2020</v>
      </c>
      <c r="D107" s="13" t="s">
        <v>204</v>
      </c>
      <c r="E107" s="98" t="s">
        <v>324</v>
      </c>
      <c r="F107" s="98" t="s">
        <v>325</v>
      </c>
      <c r="G107" s="22">
        <v>1</v>
      </c>
      <c r="H107" s="22">
        <v>1</v>
      </c>
      <c r="I107" s="86" t="s">
        <v>226</v>
      </c>
      <c r="J107" s="86" t="s">
        <v>226</v>
      </c>
      <c r="K107" s="86"/>
      <c r="L107" s="86"/>
      <c r="M107" s="86"/>
      <c r="N107" s="86"/>
      <c r="O107" s="86"/>
      <c r="P107" s="86" t="s">
        <v>226</v>
      </c>
      <c r="Q107" s="86"/>
      <c r="R107" s="86"/>
      <c r="S107" s="86"/>
      <c r="T107" s="86" t="s">
        <v>226</v>
      </c>
      <c r="U107" s="37" t="s">
        <v>326</v>
      </c>
      <c r="V107" s="22" t="s">
        <v>226</v>
      </c>
      <c r="W107" s="22"/>
      <c r="X107" s="22"/>
      <c r="Y107" s="87" t="s">
        <v>1034</v>
      </c>
      <c r="Z107" s="87">
        <v>48</v>
      </c>
      <c r="AA107" s="87">
        <v>2</v>
      </c>
      <c r="AB107" s="87">
        <f t="shared" si="14"/>
        <v>27</v>
      </c>
      <c r="AC107" s="87">
        <v>21</v>
      </c>
      <c r="AD107" s="87" t="s">
        <v>1033</v>
      </c>
      <c r="AE107" s="87">
        <v>90</v>
      </c>
      <c r="AF107" s="87"/>
      <c r="AG107" s="87"/>
      <c r="AH107" s="87"/>
      <c r="AI107" s="87" t="str">
        <f t="shared" si="13"/>
        <v/>
      </c>
      <c r="AJ107" s="87"/>
      <c r="AK107" s="13">
        <v>48</v>
      </c>
      <c r="AL107" s="13">
        <v>1.6</v>
      </c>
      <c r="AM107" s="38" t="s">
        <v>364</v>
      </c>
      <c r="AN107" s="38" t="s">
        <v>1002</v>
      </c>
      <c r="AO107" s="13" t="str">
        <f>_xlfn.CONCAT("[",A107+36,"]")</f>
        <v>[136]</v>
      </c>
      <c r="AP107" s="87"/>
      <c r="AQ107" s="87"/>
      <c r="AR107" s="87"/>
      <c r="AS107" s="87"/>
      <c r="AT107" s="87" t="s">
        <v>226</v>
      </c>
      <c r="AU107" s="87" t="s">
        <v>226</v>
      </c>
      <c r="AV107" s="38"/>
      <c r="AW107" s="38"/>
    </row>
    <row r="108" spans="1:49" x14ac:dyDescent="0.25">
      <c r="AF108" s="1"/>
    </row>
  </sheetData>
  <autoFilter ref="A2:AW107" xr:uid="{700078DA-9E91-4482-8CB9-CCAA5F77F463}">
    <sortState xmlns:xlrd2="http://schemas.microsoft.com/office/spreadsheetml/2017/richdata2" ref="A3:AW107">
      <sortCondition ref="A2:A107"/>
    </sortState>
  </autoFilter>
  <mergeCells count="3">
    <mergeCell ref="I1:T1"/>
    <mergeCell ref="Y1:AJ1"/>
    <mergeCell ref="AP1:AU1"/>
  </mergeCells>
  <phoneticPr fontId="20" type="noConversion"/>
  <conditionalFormatting sqref="C3:C107">
    <cfRule type="colorScale" priority="610">
      <colorScale>
        <cfvo type="min"/>
        <cfvo type="percentile" val="50"/>
        <cfvo type="max"/>
        <color rgb="FFF8696B"/>
        <color rgb="FFFFEB84"/>
        <color rgb="FF63BE7B"/>
      </colorScale>
    </cfRule>
  </conditionalFormatting>
  <conditionalFormatting sqref="D3:D36 E4:F7">
    <cfRule type="cellIs" dxfId="20" priority="38" operator="equal">
      <formula>"Cita"</formula>
    </cfRule>
    <cfRule type="cellIs" dxfId="19" priority="39" operator="equal">
      <formula>"Sí"</formula>
    </cfRule>
    <cfRule type="cellIs" dxfId="18" priority="40" operator="equal">
      <formula>"No"</formula>
    </cfRule>
  </conditionalFormatting>
  <conditionalFormatting sqref="D37:F107">
    <cfRule type="cellIs" dxfId="17" priority="1" operator="equal">
      <formula>"Cita"</formula>
    </cfRule>
    <cfRule type="cellIs" dxfId="16" priority="2" operator="equal">
      <formula>"Sí"</formula>
    </cfRule>
    <cfRule type="cellIs" dxfId="15" priority="3" operator="equal">
      <formula>"No"</formula>
    </cfRule>
  </conditionalFormatting>
  <conditionalFormatting sqref="E9:F36">
    <cfRule type="cellIs" dxfId="14" priority="20" operator="equal">
      <formula>"Cita"</formula>
    </cfRule>
    <cfRule type="cellIs" dxfId="13" priority="21" operator="equal">
      <formula>"Sí"</formula>
    </cfRule>
    <cfRule type="cellIs" dxfId="12" priority="22" operator="equal">
      <formula>"No"</formula>
    </cfRule>
  </conditionalFormatting>
  <conditionalFormatting sqref="F3">
    <cfRule type="cellIs" dxfId="11" priority="29" operator="equal">
      <formula>"Cita"</formula>
    </cfRule>
    <cfRule type="cellIs" dxfId="10" priority="30" operator="equal">
      <formula>"Sí"</formula>
    </cfRule>
    <cfRule type="cellIs" dxfId="9" priority="31" operator="equal">
      <formula>"No"</formula>
    </cfRule>
  </conditionalFormatting>
  <conditionalFormatting sqref="F8">
    <cfRule type="cellIs" dxfId="8" priority="23" operator="equal">
      <formula>"Cita"</formula>
    </cfRule>
    <cfRule type="cellIs" dxfId="7" priority="24" operator="equal">
      <formula>"Sí"</formula>
    </cfRule>
    <cfRule type="cellIs" dxfId="6" priority="25" operator="equal">
      <formula>"No"</formula>
    </cfRule>
  </conditionalFormatting>
  <conditionalFormatting sqref="G26:H26">
    <cfRule type="cellIs" dxfId="5" priority="13" operator="equal">
      <formula>"Cita"</formula>
    </cfRule>
    <cfRule type="cellIs" dxfId="4" priority="14" operator="equal">
      <formula>"Sí"</formula>
    </cfRule>
    <cfRule type="cellIs" dxfId="3" priority="15" operator="equal">
      <formula>"No"</formula>
    </cfRule>
  </conditionalFormatting>
  <conditionalFormatting sqref="U26">
    <cfRule type="cellIs" dxfId="2" priority="16" operator="equal">
      <formula>"Cita"</formula>
    </cfRule>
    <cfRule type="cellIs" dxfId="1" priority="17" operator="equal">
      <formula>"Sí"</formula>
    </cfRule>
    <cfRule type="cellIs" dxfId="0" priority="18" operator="equal">
      <formula>"No"</formula>
    </cfRule>
  </conditionalFormatting>
  <hyperlinks>
    <hyperlink ref="B78" r:id="rId1" display="Developing Physics Experiments Using Augmented Reality Game-Based Learning Approach: A Pilot Study in Primary School" xr:uid="{709F2B37-094D-4214-B19E-DED8AA861FEC}"/>
    <hyperlink ref="B77" r:id="rId2" xr:uid="{4E0AE1D1-06AA-4045-A743-D5D58DD1F7CB}"/>
    <hyperlink ref="B79" r:id="rId3" xr:uid="{79D77DC9-AAA2-433D-AD4F-0E5166D94914}"/>
    <hyperlink ref="B107" r:id="rId4" display="https://www.researchgate.net/publication/338496515_The_impact_of_gamification_on_students%27_learning_engagement_and_behavior_based_on_their_personality_trai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95&amp;_iepl%5BrgKey%5D=PB%3A338496515&amp;_iepl%5BtargetEntityId%5D=PB%3A338496515&amp;_iepl%5BinteractionType%5D=publicationTitle" xr:uid="{0AA66E0D-5D16-46C3-B5C8-409F424DB3EF}"/>
    <hyperlink ref="B106" r:id="rId5" display="https://www.researchgate.net/publication/354304798_Identifying_the_Characteristics_of_Virtual_Reality_Gamification_for_Complex_Educational_Topic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7&amp;_iepl%5BrgKey%5D=PB%3A354304798&amp;_iepl%5BtargetEntityId%5D=PB%3A354304798&amp;_iepl%5BinteractionType%5D=publicationTitle" xr:uid="{661FB643-BC53-4AAD-B2BF-9CB42E38E9F1}"/>
    <hyperlink ref="B105" r:id="rId6" display="https://www.researchgate.net/publication/352260726_Gamification_Framework_for_E-Learning_Systems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81&amp;_iepl%5BrgKey%5D=PB%3A352260726&amp;_iepl%5BtargetEntityId%5D=PB%3A352260726&amp;_iepl%5BinteractionType%5D=publicationTitle" xr:uid="{98F0C519-C460-4E08-94AD-702CBE9CA607}"/>
    <hyperlink ref="B104" r:id="rId7" display="https://www.researchgate.net/publication/338762873_Gamification_in_Entrepreneurship_and_Account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6&amp;_iepl%5BrgKey%5D=PB%3A338762873&amp;_iepl%5BtargetEntityId%5D=PB%3A338762873&amp;_iepl%5BinteractionType%5D=publicationTitle" xr:uid="{5B973CDC-63F1-464E-AC28-DD51AD4C4622}"/>
    <hyperlink ref="B101" r:id="rId8"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4BE73EC-661E-411E-8731-87F637616C22}"/>
    <hyperlink ref="B100" r:id="rId9" display="https://www.researchgate.net/publication/344478384_Gamification_in_distance_education_experiences_in_a_university_educational_model?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73&amp;_iepl%5BrgKey%5D=PB%3A344478384&amp;_iepl%5BtargetEntityId%5D=PB%3A344478384&amp;_iepl%5BinteractionType%5D=publicationTitle" xr:uid="{C470BF96-913E-454D-AA93-0DE4A35B6615}"/>
    <hyperlink ref="B99" r:id="rId10" display="https://www.researchgate.net/publication/318726293_Pros_and_Cons_Gamification_and_Gaming_in_Classroo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59&amp;_iepl%5BrgKey%5D=PB%3A318726293&amp;_iepl%5BtargetEntityId%5D=PB%3A318726293&amp;_iepl%5BinteractionType%5D=publicationTitle" xr:uid="{E986E661-2335-47C5-B341-9734D0BC3FDC}"/>
    <hyperlink ref="B98" r:id="rId11" display="https://www.researchgate.net/publication/342079124_Gamification_in_Plant_Education_for_Childre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56&amp;_iepl%5BrgKey%5D=PB%3A342079124&amp;_iepl%5BtargetEntityId%5D=PB%3A342079124&amp;_iepl%5BinteractionType%5D=publicationTitle" xr:uid="{C1F57B88-B923-44B9-8D51-8C8C23475F33}"/>
    <hyperlink ref="B97" r:id="rId12" display="https://www.researchgate.net/publication/335443682_Gamification_Concept_for_Encouraging_Lecture_Attend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33&amp;_iepl%5BrgKey%5D=PB%3A335443682&amp;_iepl%5BtargetEntityId%5D=PB%3A335443682&amp;_iepl%5BinteractionType%5D=publicationTitle" xr:uid="{4FA0D252-7B1E-4825-86DC-780CCD83E2A1}"/>
    <hyperlink ref="B96" r:id="rId13" display="https://www.researchgate.net/publication/340307706_Gamification_of_Entrepreneurship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124&amp;_iepl%5BrgKey%5D=PB%3A340307706&amp;_iepl%5BtargetEntityId%5D=PB%3A340307706&amp;_iepl%5BinteractionType%5D=publicationTitle" xr:uid="{8BAC5EDF-F00C-4D26-A6B6-8264C9204C7C}"/>
    <hyperlink ref="B95" r:id="rId14" display="https://www.researchgate.net/publication/358755196_Game_Elements_towards_More_Sustainable_Learning_in_Object-Oriented_Programming_Cours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3&amp;_iepl%5BrgKey%5D=PB%3A358755196&amp;_iepl%5BtargetEntityId%5D=PB%3A358755196&amp;_iepl%5BinteractionType%5D=publicationTitle" xr:uid="{AAD9FB32-8E02-44C7-BA75-09A166F95BDA}"/>
    <hyperlink ref="B94" r:id="rId15"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8F2AE330-356A-49E5-AAF9-C113F108C6FE}"/>
    <hyperlink ref="B93" r:id="rId16" display="https://www.researchgate.net/publication/329159943_Gamification_in_LMS_Course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07&amp;_iepl%5BrgKey%5D=PB%3A329159943&amp;_iepl%5BtargetEntityId%5D=PB%3A329159943&amp;_iepl%5BinteractionType%5D=publicationTitle" xr:uid="{07A421F5-B008-4431-BF5D-FE73F8F75A2B}"/>
    <hyperlink ref="B92" r:id="rId17" display="https://www.researchgate.net/publication/350155449_Gamification_in_Higher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99&amp;_iepl%5BrgKey%5D=PB%3A350155449&amp;_iepl%5BtargetEntityId%5D=PB%3A350155449&amp;_iepl%5BinteractionType%5D=publicationTitle" xr:uid="{477ADC38-B57B-4099-A3DA-E24B53009B84}"/>
    <hyperlink ref="B91" r:id="rId18" display="https://www.researchgate.net/publication/343269846_GAMIFICATION_IN_EDUCATION_CHANGING_THE_ATTITUDE_OF_MEDICAL_STUDENTS_TOWARDS_DEMENTIA_BY_USING_VIRTUAL_REALITY_PILOT_STUD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78&amp;_iepl%5BrgKey%5D=PB%3A343269846&amp;_iepl%5BtargetEntityId%5D=PB%3A343269846&amp;_iepl%5BinteractionType%5D=publicationTitle" xr:uid="{875A2036-10AA-4D31-AF61-815EDBF920F5}"/>
    <hyperlink ref="B90" r:id="rId19" display="https://www.researchgate.net/publication/276415688_CogentA_Case_Study_of_Meaningful_Gamification_in_Education_with_Virtual_Currenc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7&amp;_iepl%5BrgKey%5D=PB%3A276415688&amp;_iepl%5BtargetEntityId%5D=PB%3A276415688&amp;_iepl%5BinteractionType%5D=publicationTitle" xr:uid="{1BE93E7B-727D-4CF5-BC7A-9CEDEB64C85E}"/>
    <hyperlink ref="B89" r:id="rId20" display="https://www.researchgate.net/publication/339066438_Accustoms_gamification_in_education_improves_student_motivation_engagement_and_academic_performance?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66&amp;_iepl%5BrgKey%5D=PB%3A339066438&amp;_iepl%5BtargetEntityId%5D=PB%3A339066438&amp;_iepl%5BinteractionType%5D=publicationTitle" xr:uid="{AE3F3A6D-05EC-471A-9B6A-839CD804F0B5}"/>
    <hyperlink ref="B88" r:id="rId21" display="https://www.researchgate.net/publication/341796114_Gamification_in_Educational_Contexts_Analysis_of_Its_Application_in_a_Distance_Public_Accounting_Program?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8&amp;_iepl%5BrgKey%5D=PB%3A341796114&amp;_iepl%5BtargetEntityId%5D=PB%3A341796114&amp;_iepl%5BinteractionType%5D=publicationTitle" xr:uid="{E4D768E2-BDDE-4853-A743-5F919D49134B}"/>
    <hyperlink ref="B87" r:id="rId22" display="https://www.researchgate.net/publication/305493997_Gamification_and_Education_Achievements_Cognitive_Loads_and_Views_of_Student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54&amp;_iepl%5BrgKey%5D=PB%3A305493997&amp;_iepl%5BtargetEntityId%5D=PB%3A305493997&amp;_iepl%5BinteractionType%5D=publicationTitle" xr:uid="{22AB540D-0D07-43A3-B1E5-A2E439326C68}"/>
    <hyperlink ref="B86" r:id="rId23" display="https://www.researchgate.net/publication/308737511_Gamification_in_Education_A_Board_Game_Approach_to_Knowledge_Acquisi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53&amp;_iepl%5BrgKey%5D=PB%3A308737511&amp;_iepl%5BtargetEntityId%5D=PB%3A308737511&amp;_iepl%5BinteractionType%5D=publicationTitle" xr:uid="{078E58E0-1B7D-4598-BE9B-E21F00A7DE1E}"/>
    <hyperlink ref="B85" r:id="rId24" display="https://www.researchgate.net/publication/320267707_Gamification_of_Educational_Process_for_Building_Learners%27_Autonomy?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41&amp;_iepl%5BrgKey%5D=PB%3A320267707&amp;_iepl%5BtargetEntityId%5D=PB%3A320267707&amp;_iepl%5BinteractionType%5D=publicationTitle" xr:uid="{61C60B77-F889-4350-9FD2-BB838F4BEAB8}"/>
    <hyperlink ref="B83" r:id="rId25" display="https://www.researchgate.net/publication/274775610_The_Impact_of_Gamification_-_Recommending_Education_Scenario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38&amp;_iepl%5BrgKey%5D=PB%3A274775610&amp;_iepl%5BtargetEntityId%5D=PB%3A274775610&amp;_iepl%5BinteractionType%5D=publicationTitle" xr:uid="{9D602AD6-F198-48E7-AB54-E70CE75BAFED}"/>
    <hyperlink ref="B82" r:id="rId26" display="https://www.researchgate.net/publication/356989430_Gamification_in_education_Serious_Game_Prototype_for_Children_with_Special_Need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8&amp;_iepl%5BrgKey%5D=PB%3A356989430&amp;_iepl%5BtargetEntityId%5D=PB%3A356989430&amp;_iepl%5BinteractionType%5D=publicationTitle" xr:uid="{ABF59DDE-FB0C-46FA-A717-CE523B728CEA}"/>
    <hyperlink ref="B81" r:id="rId27" display="https://www.researchgate.net/publication/352797547_Gamification_and_education_A_pragmatic_approach_with_two_examples_of_implement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27&amp;_iepl%5BrgKey%5D=PB%3A352797547&amp;_iepl%5BtargetEntityId%5D=PB%3A352797547&amp;_iepl%5BinteractionType%5D=publicationTitle" xr:uid="{329677CD-2DCA-4696-95A6-D3868FCF7B50}"/>
    <hyperlink ref="B80" r:id="rId2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E3C27BF4-C79C-4298-A775-42B02972D9BB}"/>
    <hyperlink ref="B76" r:id="rId29" display="https://www.researchgate.net/publication/342263574_Blockchain_Technology_into_Gamification_on_Education?_iepl%5BgeneralViewId%5D=r3c8LugQVBvq1ZkZBLzuUPXwWWRkII07T4dm&amp;_iepl%5Bcontexts%5D%5B0%5D=searchReact&amp;_iepl%5BviewId%5D=PLgjR017eiGh4PqnfAQnzFA9qMmmE8iqi1vg&amp;_iepl%5BsearchType%5D=publication&amp;_iepl%5Bdata%5D%5BcountLessEqual20%5D=1&amp;_iepl%5Bdata%5D%5BinteractedWithPosition12%5D=1&amp;_iepl%5Bdata%5D%5BwithoutEnrichment%5D=1&amp;_iepl%5Bposition%5D=12&amp;_iepl%5BrgKey%5D=PB%3A342263574&amp;_iepl%5BtargetEntityId%5D=PB%3A342263574&amp;_iepl%5BinteractionType%5D=publicationTitle" xr:uid="{93FA7480-2FD6-4762-B515-E6CAFF8E3888}"/>
    <hyperlink ref="B75" r:id="rId30" display="https://www.researchgate.net/publication/329601109_Questionify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1%5D=1&amp;_iepl%5Bdata%5D%5BwithoutEnrichment%5D=1&amp;_iepl%5Bposition%5D=11&amp;_iepl%5BrgKey%5D=PB%3A329601109&amp;_iepl%5BtargetEntityId%5D=PB%3A329601109&amp;_iepl%5BinteractionType%5D=publicationTitle" xr:uid="{18375CD6-DF01-4B1C-A6C4-AB9DEB80FDDF}"/>
    <hyperlink ref="B74" r:id="rId31" display="https://www.researchgate.net/publication/306459915_GAMIFICATION_FOR_EDUCATION?_iepl%5BgeneralViewId%5D=r3c8LugQVBvq1ZkZBLzuUPXwWWRkII07T4dm&amp;_iepl%5Bcontexts%5D%5B0%5D=searchReact&amp;_iepl%5BviewId%5D=PLgjR017eiGh4PqnfAQnzFA9qMmmE8iqi1vg&amp;_iepl%5BsearchType%5D=publication&amp;_iepl%5Bdata%5D%5BcountLessEqual20%5D=1&amp;_iepl%5Bdata%5D%5BinteractedWithPosition7%5D=1&amp;_iepl%5Bdata%5D%5BwithEnrichment%5D=1&amp;_iepl%5Bposition%5D=7&amp;_iepl%5BrgKey%5D=PB%3A306459915&amp;_iepl%5BtargetEntityId%5D=PB%3A306459915&amp;_iepl%5BinteractionType%5D=publicationTitle" xr:uid="{48AD1F44-853A-4AEE-BE9B-DFFF9D1B4B4E}"/>
    <hyperlink ref="B72" r:id="rId32" display="https://www.researchgate.net/publication/344433560_Gamification_in_education?_iepl%5BgeneralViewId%5D=r3c8LugQVBvq1ZkZBLzuUPXwWWRkII07T4dm&amp;_iepl%5Bcontexts%5D%5B0%5D=searchReact&amp;_iepl%5BviewId%5D=PLgjR017eiGh4PqnfAQnzFA9qMmmE8iqi1vg&amp;_iepl%5BsearchType%5D=publication&amp;_iepl%5Bdata%5D%5BcountLessEqual20%5D=1&amp;_iepl%5Bdata%5D%5BinteractedWithPosition1%5D=1&amp;_iepl%5Bdata%5D%5BwithEnrichment%5D=1&amp;_iepl%5Bposition%5D=1&amp;_iepl%5BrgKey%5D=PB%3A344433560&amp;_iepl%5BtargetEntityId%5D=PB%3A344433560&amp;_iepl%5BinteractionType%5D=publicationTitle" xr:uid="{3FB2E76D-3AB6-446D-8708-545DB37FD266}"/>
    <hyperlink ref="B71" r:id="rId33" display="https://www.webofscience.com/wos/alldb/full-record/WOS:000487568200007" xr:uid="{55CFF982-DAEC-4979-8F49-3C557C4F5786}"/>
    <hyperlink ref="B70" r:id="rId34" display="https://www.webofscience.com/wos/alldb/full-record/WOS:000600750200004" xr:uid="{E81C33B1-17D1-4553-BAF1-C18C9F9002DB}"/>
    <hyperlink ref="B69" r:id="rId35" display="https://www.webofscience.com/wos/alldb/full-record/WOS:000498327800018" xr:uid="{57214ED8-3736-4759-8F02-744C5AC6CB14}"/>
    <hyperlink ref="B68" r:id="rId36" display="https://www.webofscience.com/wos/alldb/full-record/WOS:000535686800003" xr:uid="{03557B4E-BA92-482B-913D-DFF2AA73B423}"/>
    <hyperlink ref="B67" r:id="rId37" display="https://www.webofscience.com/wos/alldb/full-record/WOS:000335618000008" xr:uid="{DB56AE36-DAEE-4627-B75C-8D97A138750F}"/>
    <hyperlink ref="B66" r:id="rId38" display="https://www.webofscience.com/wos/alldb/full-record/WOS:000515130200004" xr:uid="{5DD8C107-97CE-4FD0-ACB8-266054EDFB11}"/>
    <hyperlink ref="B65" r:id="rId39" display="https://www.webofscience.com/wos/alldb/full-record/WOS:000430038000001" xr:uid="{449A657A-9999-4B1E-B896-5D5A91524D30}"/>
    <hyperlink ref="B64" r:id="rId40" display="https://www.webofscience.com/wos/alldb/full-record/WOS:000389389300008" xr:uid="{165785B1-EDAC-4619-8B27-0520FAAA5791}"/>
    <hyperlink ref="B63" r:id="rId41" display="https://www.webofscience.com/wos/alldb/full-record/WOS:000862751700004" xr:uid="{C9AE3253-CC69-4F63-A7C8-C92F5C87BD69}"/>
    <hyperlink ref="B62" r:id="rId42" display="https://www.webofscience.com/wos/alldb/full-record/WOS:000343844000014" xr:uid="{17B1624D-4BF5-4D45-A50E-94F3E6F07CF7}"/>
    <hyperlink ref="B61" r:id="rId43" display="https://www.webofscience.com/wos/alldb/full-record/WOS:000366225800017" xr:uid="{531E4C10-7258-4E88-AF0A-37CEF04E6D6A}"/>
    <hyperlink ref="B60" r:id="rId44" display="https://www.webofscience.com/wos/alldb/full-record/WOS:000901496100012" xr:uid="{6D5D903C-27F1-4BD9-9A6A-BBD5E3628D19}"/>
    <hyperlink ref="B59" r:id="rId45" display="https://www.webofscience.com/wos/alldb/full-record/WOS:000436050800006" xr:uid="{2D43C31A-6853-4944-B153-36F1E56BEE81}"/>
    <hyperlink ref="B58" r:id="rId46" display="https://www.webofscience.com/wos/alldb/full-record/WOS:000430038000005" xr:uid="{6373CA79-E7CB-4DC8-8410-B9EE347F4F62}"/>
    <hyperlink ref="B57" r:id="rId47" display="https://www.webofscience.com/wos/alldb/full-record/WOS:000441494100032" xr:uid="{72647129-E699-44A0-BDAC-434B7D7A19A5}"/>
    <hyperlink ref="B50" r:id="rId48" display="https://www.webofscience.com/wos/woscc/full-record/WOS:000386869900001" xr:uid="{FA339585-73C1-42F2-9AE2-91D8F80360C5}"/>
    <hyperlink ref="B48" r:id="rId49" display="https://www.webofscience.com/wos/woscc/full-record/WOS:000878517700005" xr:uid="{6909D357-7367-490F-9896-D246EC1B218F}"/>
    <hyperlink ref="B56" r:id="rId50" display="https://www.webofscience.com/wos/woscc/full-record/WOS:000663077200017" xr:uid="{E4A76B34-4DE5-49A0-8EC9-E462B2121885}"/>
    <hyperlink ref="B55" r:id="rId51" display="https://www.webofscience.com/wos/woscc/full-record/WOS:000458213700004" xr:uid="{FEC2CDFE-9D77-43B2-93A8-CDA3460B4659}"/>
    <hyperlink ref="B54" r:id="rId52" display="https://www.webofscience.com/wos/woscc/full-record/WOS:000214846800008" xr:uid="{DA5DD0BF-3958-4DC8-A226-DB082A65E4FC}"/>
    <hyperlink ref="B53" r:id="rId53" display="https://www.webofscience.com/wos/woscc/full-record/WOS:000663077200006" xr:uid="{3E0A02BE-92F3-4134-9935-E5D12623CFCB}"/>
    <hyperlink ref="B52" r:id="rId54" display="https://www.webofscience.com/wos/woscc/full-record/WOS:000397389000005" xr:uid="{4A44B3A1-FFE4-480F-94C9-098B0C2F4E40}"/>
    <hyperlink ref="B51" r:id="rId55" display="https://www.webofscience.com/wos/woscc/full-record/WOS:000556161100005" xr:uid="{3482833D-7DB3-4C2F-951B-6D94329DABC4}"/>
    <hyperlink ref="B49" r:id="rId56" display="https://www.webofscience.com/wos/woscc/full-record/WOS:000888057500002" xr:uid="{97DB974E-55D1-4E97-8939-0BB315D773B6}"/>
    <hyperlink ref="B47" r:id="rId57" display="https://www.webofscience.com/wos/woscc/full-record/WOS:000432800100001" xr:uid="{FF7F1B2C-087A-471A-B083-8B9E927D57B4}"/>
    <hyperlink ref="B46" r:id="rId58" display="https://www.webofscience.com/wos/woscc/full-record/WOS:000859744400003" xr:uid="{9D127F80-EFCE-4EBA-96E7-922F76426C18}"/>
    <hyperlink ref="B45" r:id="rId59" display="https://www.webofscience.com/wos/woscc/full-record/WOS:000411090600004" xr:uid="{0EA5D3DC-3168-4A52-BA3E-D25403AB804C}"/>
    <hyperlink ref="B44" r:id="rId60" display="https://www.webofscience.com/wos/woscc/full-record/WOS:000415010600007" xr:uid="{DFB76B30-F179-4ADA-A654-52CF2788B15D}"/>
    <hyperlink ref="B43" r:id="rId61" display="https://www.webofscience.com/wos/woscc/full-record/WOS:000491451800001" xr:uid="{17DE3588-BBD4-40ED-898D-91C37B3277B1}"/>
    <hyperlink ref="B42" r:id="rId62" display="https://www.webofscience.com/wos/woscc/full-record/WOS:000454990600001" xr:uid="{94713CB9-936C-4796-85CE-38F953F61063}"/>
    <hyperlink ref="B41" r:id="rId63" display="https://www.webofscience.com/wos/woscc/full-record/WOS:000841976200001" xr:uid="{99C35465-929F-497A-AB70-45AA0743A064}"/>
    <hyperlink ref="B40" r:id="rId64" display="https://www.webofscience.com/wos/woscc/full-record/WOS:000445956800004" xr:uid="{BF4216B1-34DE-4078-AA97-AE9BE89B700A}"/>
    <hyperlink ref="B39" r:id="rId65" display="https://www.webofscience.com/wos/woscc/full-record/WOS:000860823200001" xr:uid="{8019D028-4A76-456E-9B0F-BC481AF9735F}"/>
    <hyperlink ref="B38" r:id="rId66" display="https://www.webofscience.com/wos/woscc/full-record/WOS:000439614100003" xr:uid="{806065AF-7049-4617-9A36-9AA7EB89542C}"/>
    <hyperlink ref="B37" r:id="rId67" display="https://www.webofscience.com/wos/woscc/full-record/WOS:000496365200001" xr:uid="{B97D2779-0DA3-44A5-BF0E-48AEF9C84BA0}"/>
    <hyperlink ref="B36" r:id="rId68" display="https://www.webofscience.com/wos/alldb/full-record/WOS:000218561100001" xr:uid="{E9297A99-A05B-493E-9F3B-DDCB5C63BF5C}"/>
    <hyperlink ref="B35" r:id="rId69" display="https://www.webofscience.com/wos/alldb/full-record/WOS:000218582300006" xr:uid="{460DC0EF-EBB4-4A53-8F68-E796D4B93B70}"/>
    <hyperlink ref="B34" r:id="rId70" display="https://www.webofscience.com/wos/alldb/full-record/WOS:000428428700007" xr:uid="{C0645F84-45CB-4D5F-A403-AA1AABF24A92}"/>
    <hyperlink ref="B33" r:id="rId71" display="https://www.webofscience.com/wos/alldb/full-record/WOS:000697706500002" xr:uid="{7EBF8B56-6EF4-414D-A5A6-51EC0CE5D4C7}"/>
    <hyperlink ref="B32" r:id="rId72" display="https://www.webofscience.com/wos/alldb/full-record/WOS:000725711000005" xr:uid="{4C6C83DF-8DA6-4C97-BA2C-C954475D7011}"/>
    <hyperlink ref="B31" r:id="rId73" display="https://www.webofscience.com/wos/alldb/full-record/WOS:000725711000004" xr:uid="{3888E14D-0E1E-47FA-9B3F-2C65141C388B}"/>
    <hyperlink ref="B30" r:id="rId74" display="https://www.webofscience.com/wos/alldb/full-record/WOS:000807342900003" xr:uid="{07297353-E779-42B0-A6D6-5D2F294501F3}"/>
    <hyperlink ref="B29" r:id="rId75" display="https://www.webofscience.com/wos/alldb/full-record/WOS:000909980700004" xr:uid="{A1B65F38-1861-4F87-9EAE-E4736B537B06}"/>
    <hyperlink ref="B28" r:id="rId76" display="https://www.webofscience.com/wos/alldb/full-record/WOS:000379385900002" xr:uid="{AA12EF0B-5AF8-4157-828A-F00854C8AEF4}"/>
    <hyperlink ref="B27" r:id="rId77" display="https://www.webofscience.com/wos/alldb/full-record/WOS:000697706500003" xr:uid="{DC0700F1-62B8-437E-A66A-E734F6E09BB7}"/>
    <hyperlink ref="B26" r:id="rId78" display="https://www.webofscience.com/wos/alldb/full-record/WOS:000218557000003" xr:uid="{F392482F-4CE0-4456-B3B0-264F8BD690C9}"/>
    <hyperlink ref="B25" r:id="rId79" display="https://www.webofscience.com/wos/alldb/full-record/WOS:000218566300004" xr:uid="{AC8D6A18-4F0C-49BF-9ACA-C759214E411D}"/>
    <hyperlink ref="B24" r:id="rId80" display="https://www.webofscience.com/wos/alldb/full-record/WOS:000627771100005" xr:uid="{D95DF6A2-21E9-4230-8B95-B041BB378ADD}"/>
    <hyperlink ref="B23" r:id="rId81" display="https://www.webofscience.com/wos/alldb/full-record/WOS:000503419500004" xr:uid="{99165B30-4CC7-43FF-8B68-01C957D2B05E}"/>
    <hyperlink ref="B22" r:id="rId82" display="https://www.webofscience.com/wos/alldb/full-record/WOS:000218587300005" xr:uid="{B391BAD6-0142-49D6-B628-B49580F62CE7}"/>
    <hyperlink ref="B21" r:id="rId83" display="https://www.webofscience.com/wos/alldb/full-record/WOS:000419351500006" xr:uid="{08A38AAA-CE07-40D8-BAF8-CBDA26A58777}"/>
    <hyperlink ref="B20" r:id="rId84" display="https://www.webofscience.com/wos/alldb/full-record/WOS:000391064600003" xr:uid="{A86F8322-0E70-40E5-A090-4E4F01F8DF74}"/>
    <hyperlink ref="B19" r:id="rId85" display="https://www.webofscience.com/wos/alldb/full-record/WOS:000436530800002" xr:uid="{86B73C4C-52E7-410C-9C81-DC1FF00EEB70}"/>
    <hyperlink ref="B18" r:id="rId86" display="https://www.webofscience.com/wos/alldb/full-record/WOS:000218587300002" xr:uid="{B9C99074-AF22-420F-B64D-F28AECC26B9B}"/>
    <hyperlink ref="B17" r:id="rId87" display="https://www.webofscience.com/wos/alldb/full-record/WOS:000445815100003" xr:uid="{4A646220-8D65-4F9A-8425-50679B6BFB44}"/>
    <hyperlink ref="B16" r:id="rId88" display="https://www.webofscience.com/wos/alldb/full-record/WOS:000218587300004" xr:uid="{EC37690A-2109-4114-BF3B-51C83A0AB650}"/>
    <hyperlink ref="B15" r:id="rId89" display="https://www.webofscience.com/wos/alldb/full-record/WOS:000419348300008" xr:uid="{9B53D895-0427-4E29-A73A-E2AB93CC3480}"/>
    <hyperlink ref="B13" r:id="rId90" display="https://www.webofscience.com/wos/woscc/full-record/WOS:000549890800009" xr:uid="{312F46DC-4B15-4021-BDAF-2BC2BC1B6A0C}"/>
    <hyperlink ref="B12" r:id="rId91" display="https://www.webofscience.com/wos/woscc/full-record/WOS:000490326100008" xr:uid="{B0577184-BFE4-4FB3-8B67-747C5673BD33}"/>
    <hyperlink ref="B11" r:id="rId92" display="https://www.webofscience.com/wos/woscc/full-record/WOS:000626173500016" xr:uid="{58DA4C85-9BC5-416F-9982-DB62C8FF9B35}"/>
    <hyperlink ref="B10" r:id="rId93" display="https://www.webofscience.com/wos/woscc/full-record/WOS:000523267400002" xr:uid="{3F98AC9B-3F32-4CD3-8B62-352201FE2AB5}"/>
    <hyperlink ref="B9" r:id="rId94" display="https://www.webofscience.com/wos/woscc/full-record/WOS:000549890800002" xr:uid="{5EA99B4F-F38E-411F-B870-86006CB13780}"/>
    <hyperlink ref="B8" r:id="rId95" display="https://www.webofscience.com/wos/woscc/full-record/WOS:000629136000004" xr:uid="{F9A7776D-BD52-4695-8156-9C2DDC618DF9}"/>
    <hyperlink ref="B7" r:id="rId96" display="https://www.webofscience.com/wos/woscc/full-record/WOS:000474904300001" xr:uid="{0B092AC0-9983-41BA-A2E6-0D9C4DA6AAE9}"/>
    <hyperlink ref="B6" r:id="rId97" display="https://www.webofscience.com/wos/woscc/full-record/WOS:000474904300014" xr:uid="{A1DE159C-D9DF-472B-B940-1922527D97C9}"/>
    <hyperlink ref="B5" r:id="rId98" display="https://www.webofscience.com/wos/woscc/full-record/WOS:000463836500002" xr:uid="{CEF7A0D2-4C31-4B43-AAA5-62A0E5A7953D}"/>
    <hyperlink ref="B4" r:id="rId99" display="https://www.webofscience.com/wos/woscc/full-record/WOS:000463836500003" xr:uid="{8655A750-8B08-4C70-8815-8B0D43F3D635}"/>
    <hyperlink ref="B3" r:id="rId100" display="https://www.webofscience.com/wos/woscc/full-record/WOS:000549890800020" xr:uid="{B9DAE188-1AAA-4720-AD27-763EC821F6FF}"/>
  </hyperlinks>
  <pageMargins left="0.25" right="0.25" top="0.75" bottom="0.75" header="0.3" footer="0.3"/>
  <pageSetup paperSize="9" scale="26" fitToHeight="0" orientation="landscape" r:id="rId10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21634BA-3394-4638-BBD3-B825526340DF}">
          <x14:formula1>
            <xm:f>Apoyo!$A$1:$A$3</xm:f>
          </x14:formula1>
          <xm:sqref>D3:D71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C631-2EC3-4A21-902B-02756A588F63}">
  <dimension ref="A1:Y19"/>
  <sheetViews>
    <sheetView workbookViewId="0"/>
  </sheetViews>
  <sheetFormatPr baseColWidth="10" defaultRowHeight="15" x14ac:dyDescent="0.25"/>
  <cols>
    <col min="1" max="1" width="44" customWidth="1"/>
    <col min="2" max="2" width="16.85546875" customWidth="1"/>
    <col min="4" max="4" width="17" customWidth="1"/>
    <col min="5" max="5" width="20.42578125" customWidth="1"/>
    <col min="6" max="6" width="19" customWidth="1"/>
    <col min="7" max="7" width="13.28515625" customWidth="1"/>
    <col min="8" max="8" width="19.5703125" customWidth="1"/>
  </cols>
  <sheetData>
    <row r="1" spans="1:25" ht="15" customHeight="1" x14ac:dyDescent="0.25">
      <c r="A1" s="64"/>
      <c r="B1" s="64"/>
      <c r="C1" s="123" t="s">
        <v>1120</v>
      </c>
      <c r="D1" s="124"/>
      <c r="E1" s="123" t="s">
        <v>1126</v>
      </c>
      <c r="F1" s="125"/>
      <c r="G1" s="125"/>
      <c r="H1" s="125"/>
      <c r="I1" s="126" t="s">
        <v>1168</v>
      </c>
      <c r="J1" s="126"/>
      <c r="K1" s="126"/>
      <c r="L1" s="126"/>
      <c r="M1" s="126"/>
      <c r="N1" s="126"/>
      <c r="O1" s="126"/>
      <c r="P1" s="126"/>
      <c r="Q1" s="126"/>
      <c r="R1" s="126"/>
      <c r="S1" s="126"/>
      <c r="T1" s="126"/>
      <c r="U1" s="126"/>
      <c r="V1" s="126"/>
      <c r="W1" s="126"/>
      <c r="X1" s="126"/>
      <c r="Y1" s="126"/>
    </row>
    <row r="2" spans="1:25" ht="90" x14ac:dyDescent="0.25">
      <c r="A2" s="62" t="s">
        <v>1119</v>
      </c>
      <c r="B2" s="62" t="s">
        <v>1137</v>
      </c>
      <c r="C2" s="54" t="s">
        <v>1121</v>
      </c>
      <c r="D2" s="54" t="s">
        <v>1155</v>
      </c>
      <c r="E2" s="54" t="s">
        <v>1122</v>
      </c>
      <c r="F2" s="54" t="s">
        <v>1123</v>
      </c>
      <c r="G2" s="54" t="s">
        <v>1124</v>
      </c>
      <c r="H2" s="63" t="s">
        <v>1125</v>
      </c>
      <c r="I2" s="54" t="s">
        <v>1129</v>
      </c>
      <c r="J2" s="54" t="s">
        <v>1130</v>
      </c>
      <c r="K2" s="54" t="s">
        <v>1131</v>
      </c>
      <c r="L2" s="54" t="s">
        <v>1132</v>
      </c>
      <c r="M2" s="54" t="s">
        <v>1156</v>
      </c>
      <c r="N2" s="54" t="s">
        <v>1157</v>
      </c>
      <c r="O2" s="54" t="s">
        <v>1158</v>
      </c>
      <c r="P2" s="54" t="s">
        <v>1135</v>
      </c>
      <c r="Q2" s="54" t="s">
        <v>1159</v>
      </c>
      <c r="R2" s="54" t="s">
        <v>1161</v>
      </c>
      <c r="S2" s="54" t="s">
        <v>1160</v>
      </c>
      <c r="T2" s="54" t="s">
        <v>1162</v>
      </c>
      <c r="U2" s="54" t="s">
        <v>1163</v>
      </c>
      <c r="V2" s="54" t="s">
        <v>1164</v>
      </c>
      <c r="W2" s="54" t="s">
        <v>1165</v>
      </c>
      <c r="X2" s="54" t="s">
        <v>1166</v>
      </c>
      <c r="Y2" s="54" t="s">
        <v>1167</v>
      </c>
    </row>
    <row r="3" spans="1:25" ht="30" customHeight="1" x14ac:dyDescent="0.25">
      <c r="A3" s="100" t="s">
        <v>365</v>
      </c>
      <c r="B3" s="101" t="s">
        <v>1138</v>
      </c>
      <c r="C3" s="87" t="s">
        <v>204</v>
      </c>
      <c r="D3" s="87" t="s">
        <v>1127</v>
      </c>
      <c r="E3" s="13"/>
      <c r="F3" s="13"/>
      <c r="G3" s="13" t="s">
        <v>226</v>
      </c>
      <c r="H3" s="13"/>
      <c r="I3" s="87" t="s">
        <v>1127</v>
      </c>
      <c r="J3" s="87" t="s">
        <v>1127</v>
      </c>
      <c r="K3" s="87" t="s">
        <v>1127</v>
      </c>
      <c r="L3" s="87"/>
      <c r="M3" s="87"/>
      <c r="N3" s="87"/>
      <c r="O3" s="87"/>
      <c r="P3" s="87"/>
      <c r="Q3" s="87"/>
      <c r="R3" s="87"/>
      <c r="S3" s="87"/>
      <c r="T3" s="87"/>
      <c r="U3" s="87"/>
      <c r="V3" s="87"/>
      <c r="W3" s="87"/>
      <c r="X3" s="87"/>
      <c r="Y3" s="87"/>
    </row>
    <row r="4" spans="1:25" ht="30" customHeight="1" x14ac:dyDescent="0.25">
      <c r="A4" s="100" t="s">
        <v>419</v>
      </c>
      <c r="B4" s="101" t="s">
        <v>1141</v>
      </c>
      <c r="C4" s="87" t="s">
        <v>1136</v>
      </c>
      <c r="D4" s="87" t="s">
        <v>1127</v>
      </c>
      <c r="E4" s="13"/>
      <c r="F4" s="13" t="s">
        <v>226</v>
      </c>
      <c r="G4" s="13" t="s">
        <v>226</v>
      </c>
      <c r="H4" s="13"/>
      <c r="I4" s="87"/>
      <c r="J4" s="87"/>
      <c r="K4" s="87"/>
      <c r="L4" s="87" t="s">
        <v>1127</v>
      </c>
      <c r="M4" s="87"/>
      <c r="N4" s="87"/>
      <c r="O4" s="87"/>
      <c r="P4" s="87"/>
      <c r="Q4" s="87"/>
      <c r="R4" s="87"/>
      <c r="S4" s="87"/>
      <c r="T4" s="87"/>
      <c r="U4" s="87"/>
      <c r="V4" s="87"/>
      <c r="W4" s="87"/>
      <c r="X4" s="87"/>
      <c r="Y4" s="87"/>
    </row>
    <row r="5" spans="1:25" ht="30" customHeight="1" x14ac:dyDescent="0.25">
      <c r="A5" s="100" t="s">
        <v>521</v>
      </c>
      <c r="B5" s="101" t="s">
        <v>1142</v>
      </c>
      <c r="C5" s="87" t="s">
        <v>1136</v>
      </c>
      <c r="D5" s="87" t="s">
        <v>1127</v>
      </c>
      <c r="E5" s="13" t="s">
        <v>226</v>
      </c>
      <c r="F5" s="13" t="s">
        <v>226</v>
      </c>
      <c r="G5" s="13" t="s">
        <v>226</v>
      </c>
      <c r="H5" s="13"/>
      <c r="I5" s="87"/>
      <c r="J5" s="87"/>
      <c r="K5" s="87"/>
      <c r="L5" s="87" t="s">
        <v>1127</v>
      </c>
      <c r="M5" s="87"/>
      <c r="N5" s="87"/>
      <c r="O5" s="87"/>
      <c r="P5" s="87"/>
      <c r="Q5" s="87"/>
      <c r="R5" s="87"/>
      <c r="S5" s="87"/>
      <c r="T5" s="87"/>
      <c r="U5" s="87"/>
      <c r="V5" s="87"/>
      <c r="W5" s="87"/>
      <c r="X5" s="87"/>
      <c r="Y5" s="87"/>
    </row>
    <row r="6" spans="1:25" ht="30" customHeight="1" x14ac:dyDescent="0.25">
      <c r="A6" s="100" t="s">
        <v>651</v>
      </c>
      <c r="B6" s="101" t="s">
        <v>1140</v>
      </c>
      <c r="C6" s="87" t="s">
        <v>204</v>
      </c>
      <c r="D6" s="87" t="s">
        <v>1127</v>
      </c>
      <c r="E6" s="13"/>
      <c r="F6" s="13" t="s">
        <v>226</v>
      </c>
      <c r="G6" s="13"/>
      <c r="H6" s="13"/>
      <c r="I6" s="87"/>
      <c r="J6" s="87"/>
      <c r="K6" s="87"/>
      <c r="L6" s="87"/>
      <c r="M6" s="87" t="s">
        <v>1134</v>
      </c>
      <c r="N6" s="87" t="s">
        <v>1134</v>
      </c>
      <c r="O6" s="87" t="s">
        <v>1127</v>
      </c>
      <c r="P6" s="87"/>
      <c r="Q6" s="87"/>
      <c r="R6" s="87"/>
      <c r="S6" s="87"/>
      <c r="T6" s="87"/>
      <c r="U6" s="87"/>
      <c r="V6" s="87"/>
      <c r="W6" s="87"/>
      <c r="X6" s="87"/>
      <c r="Y6" s="87"/>
    </row>
    <row r="7" spans="1:25" ht="30" customHeight="1" x14ac:dyDescent="0.25">
      <c r="A7" s="100" t="s">
        <v>657</v>
      </c>
      <c r="B7" s="101" t="s">
        <v>1143</v>
      </c>
      <c r="C7" s="87" t="s">
        <v>204</v>
      </c>
      <c r="D7" s="87" t="s">
        <v>1133</v>
      </c>
      <c r="E7" s="13"/>
      <c r="F7" s="13" t="s">
        <v>226</v>
      </c>
      <c r="G7" s="13" t="s">
        <v>226</v>
      </c>
      <c r="H7" s="13"/>
      <c r="I7" s="87"/>
      <c r="J7" s="87"/>
      <c r="K7" s="87"/>
      <c r="L7" s="87" t="s">
        <v>1133</v>
      </c>
      <c r="M7" s="87"/>
      <c r="N7" s="87" t="s">
        <v>1133</v>
      </c>
      <c r="O7" s="87"/>
      <c r="P7" s="87"/>
      <c r="Q7" s="87"/>
      <c r="R7" s="87"/>
      <c r="S7" s="87"/>
      <c r="T7" s="87"/>
      <c r="U7" s="87"/>
      <c r="V7" s="87"/>
      <c r="W7" s="87"/>
      <c r="X7" s="87"/>
      <c r="Y7" s="87"/>
    </row>
    <row r="8" spans="1:25" ht="30" customHeight="1" x14ac:dyDescent="0.25">
      <c r="A8" s="100" t="s">
        <v>354</v>
      </c>
      <c r="B8" s="101" t="s">
        <v>1139</v>
      </c>
      <c r="C8" s="87" t="s">
        <v>1136</v>
      </c>
      <c r="D8" s="87" t="s">
        <v>1134</v>
      </c>
      <c r="E8" s="13"/>
      <c r="F8" s="13"/>
      <c r="G8" s="13"/>
      <c r="H8" s="13" t="s">
        <v>1169</v>
      </c>
      <c r="I8" s="87"/>
      <c r="J8" s="87"/>
      <c r="K8" s="87"/>
      <c r="L8" s="87"/>
      <c r="M8" s="87"/>
      <c r="N8" s="87"/>
      <c r="O8" s="87"/>
      <c r="P8" s="87" t="s">
        <v>1134</v>
      </c>
      <c r="Q8" s="87"/>
      <c r="R8" s="87"/>
      <c r="S8" s="87"/>
      <c r="T8" s="87"/>
      <c r="U8" s="87"/>
      <c r="V8" s="87"/>
      <c r="W8" s="87"/>
      <c r="X8" s="87"/>
      <c r="Y8" s="87"/>
    </row>
    <row r="9" spans="1:25" ht="30" customHeight="1" x14ac:dyDescent="0.25">
      <c r="A9" s="100" t="s">
        <v>355</v>
      </c>
      <c r="B9" s="101" t="s">
        <v>1144</v>
      </c>
      <c r="C9" s="87" t="s">
        <v>1136</v>
      </c>
      <c r="D9" s="87" t="s">
        <v>1134</v>
      </c>
      <c r="E9" s="13"/>
      <c r="F9" s="13" t="s">
        <v>226</v>
      </c>
      <c r="G9" s="13"/>
      <c r="H9" s="13"/>
      <c r="I9" s="87"/>
      <c r="J9" s="87"/>
      <c r="K9" s="87"/>
      <c r="L9" s="87"/>
      <c r="M9" s="87"/>
      <c r="N9" s="87" t="s">
        <v>1134</v>
      </c>
      <c r="O9" s="87"/>
      <c r="P9" s="87"/>
      <c r="Q9" s="87"/>
      <c r="R9" s="87"/>
      <c r="S9" s="87"/>
      <c r="T9" s="87"/>
      <c r="U9" s="87"/>
      <c r="V9" s="87"/>
      <c r="W9" s="87"/>
      <c r="X9" s="87"/>
      <c r="Y9" s="87"/>
    </row>
    <row r="10" spans="1:25" ht="30" customHeight="1" x14ac:dyDescent="0.25">
      <c r="A10" s="100" t="s">
        <v>1066</v>
      </c>
      <c r="B10" s="101" t="s">
        <v>1145</v>
      </c>
      <c r="C10" s="87" t="s">
        <v>204</v>
      </c>
      <c r="D10" s="87" t="s">
        <v>1128</v>
      </c>
      <c r="E10" s="13"/>
      <c r="F10" s="13"/>
      <c r="G10" s="13"/>
      <c r="H10" s="13"/>
      <c r="I10" s="87"/>
      <c r="J10" s="87"/>
      <c r="K10" s="87"/>
      <c r="L10" s="87"/>
      <c r="M10" s="87"/>
      <c r="N10" s="87"/>
      <c r="O10" s="87"/>
      <c r="P10" s="87"/>
      <c r="Q10" s="87" t="s">
        <v>1128</v>
      </c>
      <c r="R10" s="87"/>
      <c r="S10" s="87"/>
      <c r="T10" s="87"/>
      <c r="U10" s="87"/>
      <c r="V10" s="87"/>
      <c r="W10" s="87"/>
      <c r="X10" s="87"/>
      <c r="Y10" s="87"/>
    </row>
    <row r="11" spans="1:25" ht="30" customHeight="1" x14ac:dyDescent="0.25">
      <c r="A11" s="100" t="s">
        <v>356</v>
      </c>
      <c r="B11" s="101" t="s">
        <v>1146</v>
      </c>
      <c r="C11" s="87" t="s">
        <v>1136</v>
      </c>
      <c r="D11" s="87" t="s">
        <v>1134</v>
      </c>
      <c r="E11" s="13"/>
      <c r="F11" s="13"/>
      <c r="G11" s="13"/>
      <c r="H11" s="13"/>
      <c r="I11" s="87"/>
      <c r="J11" s="87"/>
      <c r="K11" s="87"/>
      <c r="L11" s="87"/>
      <c r="M11" s="87"/>
      <c r="N11" s="87"/>
      <c r="O11" s="87"/>
      <c r="P11" s="87"/>
      <c r="Q11" s="87"/>
      <c r="R11" s="87"/>
      <c r="S11" s="87" t="s">
        <v>1134</v>
      </c>
      <c r="T11" s="87"/>
      <c r="U11" s="87"/>
      <c r="V11" s="87"/>
      <c r="W11" s="87"/>
      <c r="X11" s="87"/>
      <c r="Y11" s="87"/>
    </row>
    <row r="12" spans="1:25" ht="30" customHeight="1" x14ac:dyDescent="0.25">
      <c r="A12" s="100" t="s">
        <v>357</v>
      </c>
      <c r="B12" s="101" t="s">
        <v>1147</v>
      </c>
      <c r="C12" s="87" t="s">
        <v>1136</v>
      </c>
      <c r="D12" s="87" t="s">
        <v>1127</v>
      </c>
      <c r="E12" s="13"/>
      <c r="F12" s="13"/>
      <c r="G12" s="13" t="s">
        <v>226</v>
      </c>
      <c r="H12" s="13"/>
      <c r="I12" s="87"/>
      <c r="J12" s="87"/>
      <c r="K12" s="87"/>
      <c r="L12" s="87" t="s">
        <v>1127</v>
      </c>
      <c r="M12" s="87"/>
      <c r="N12" s="87"/>
      <c r="O12" s="87"/>
      <c r="P12" s="87"/>
      <c r="Q12" s="87"/>
      <c r="R12" s="87"/>
      <c r="S12" s="87"/>
      <c r="T12" s="87"/>
      <c r="U12" s="87"/>
      <c r="V12" s="87"/>
      <c r="W12" s="87"/>
      <c r="X12" s="87"/>
      <c r="Y12" s="87"/>
    </row>
    <row r="13" spans="1:25" ht="30" customHeight="1" x14ac:dyDescent="0.25">
      <c r="A13" s="100" t="s">
        <v>358</v>
      </c>
      <c r="B13" s="101" t="s">
        <v>1148</v>
      </c>
      <c r="C13" s="87" t="s">
        <v>1136</v>
      </c>
      <c r="D13" s="87" t="s">
        <v>1128</v>
      </c>
      <c r="E13" s="13"/>
      <c r="F13" s="13"/>
      <c r="G13" s="13"/>
      <c r="H13" s="13"/>
      <c r="I13" s="87"/>
      <c r="J13" s="87"/>
      <c r="K13" s="87"/>
      <c r="L13" s="87"/>
      <c r="M13" s="87"/>
      <c r="N13" s="87"/>
      <c r="O13" s="87"/>
      <c r="P13" s="87"/>
      <c r="Q13" s="87"/>
      <c r="R13" s="87" t="s">
        <v>1128</v>
      </c>
      <c r="S13" s="87"/>
      <c r="T13" s="87"/>
      <c r="U13" s="87"/>
      <c r="V13" s="87"/>
      <c r="W13" s="87"/>
      <c r="X13" s="87"/>
      <c r="Y13" s="87"/>
    </row>
    <row r="14" spans="1:25" ht="30" customHeight="1" x14ac:dyDescent="0.25">
      <c r="A14" s="100" t="s">
        <v>359</v>
      </c>
      <c r="B14" s="101" t="s">
        <v>1149</v>
      </c>
      <c r="C14" s="87" t="s">
        <v>1136</v>
      </c>
      <c r="D14" s="87" t="s">
        <v>1127</v>
      </c>
      <c r="E14" s="13" t="s">
        <v>226</v>
      </c>
      <c r="F14" s="13"/>
      <c r="G14" s="13" t="s">
        <v>226</v>
      </c>
      <c r="H14" s="13"/>
      <c r="I14" s="87"/>
      <c r="J14" s="87"/>
      <c r="K14" s="87"/>
      <c r="L14" s="87" t="s">
        <v>1127</v>
      </c>
      <c r="M14" s="87"/>
      <c r="N14" s="87"/>
      <c r="O14" s="87"/>
      <c r="P14" s="87"/>
      <c r="Q14" s="87"/>
      <c r="R14" s="87"/>
      <c r="S14" s="87"/>
      <c r="T14" s="87"/>
      <c r="U14" s="87"/>
      <c r="V14" s="87"/>
      <c r="W14" s="87"/>
      <c r="X14" s="87"/>
      <c r="Y14" s="87"/>
    </row>
    <row r="15" spans="1:25" ht="30" customHeight="1" x14ac:dyDescent="0.25">
      <c r="A15" s="100" t="s">
        <v>360</v>
      </c>
      <c r="B15" s="101" t="s">
        <v>1150</v>
      </c>
      <c r="C15" s="87" t="s">
        <v>204</v>
      </c>
      <c r="D15" s="87" t="s">
        <v>1127</v>
      </c>
      <c r="E15" s="13"/>
      <c r="F15" s="13"/>
      <c r="G15" s="13" t="s">
        <v>226</v>
      </c>
      <c r="H15" s="13" t="s">
        <v>1170</v>
      </c>
      <c r="I15" s="87"/>
      <c r="J15" s="87"/>
      <c r="K15" s="87"/>
      <c r="L15" s="87"/>
      <c r="M15" s="87"/>
      <c r="N15" s="87"/>
      <c r="O15" s="87"/>
      <c r="P15" s="87"/>
      <c r="Q15" s="87"/>
      <c r="R15" s="87"/>
      <c r="S15" s="87"/>
      <c r="T15" s="87" t="s">
        <v>1127</v>
      </c>
      <c r="U15" s="87" t="s">
        <v>1127</v>
      </c>
      <c r="V15" s="87" t="s">
        <v>1134</v>
      </c>
      <c r="W15" s="87"/>
      <c r="X15" s="87"/>
      <c r="Y15" s="87"/>
    </row>
    <row r="16" spans="1:25" ht="30" customHeight="1" x14ac:dyDescent="0.25">
      <c r="A16" s="100" t="s">
        <v>361</v>
      </c>
      <c r="B16" s="101" t="s">
        <v>1151</v>
      </c>
      <c r="C16" s="87" t="s">
        <v>1136</v>
      </c>
      <c r="D16" s="87" t="s">
        <v>1127</v>
      </c>
      <c r="E16" s="13"/>
      <c r="F16" s="13"/>
      <c r="G16" s="13" t="s">
        <v>226</v>
      </c>
      <c r="H16" s="13"/>
      <c r="I16" s="87"/>
      <c r="J16" s="87"/>
      <c r="K16" s="87"/>
      <c r="L16" s="87" t="s">
        <v>1127</v>
      </c>
      <c r="M16" s="87"/>
      <c r="N16" s="87"/>
      <c r="O16" s="87"/>
      <c r="P16" s="87"/>
      <c r="Q16" s="87"/>
      <c r="R16" s="87"/>
      <c r="S16" s="87"/>
      <c r="T16" s="87"/>
      <c r="U16" s="87"/>
      <c r="V16" s="87"/>
      <c r="W16" s="87"/>
      <c r="X16" s="87"/>
      <c r="Y16" s="87"/>
    </row>
    <row r="17" spans="1:25" ht="30" customHeight="1" x14ac:dyDescent="0.25">
      <c r="A17" s="100" t="s">
        <v>362</v>
      </c>
      <c r="B17" s="101" t="s">
        <v>1152</v>
      </c>
      <c r="C17" s="87" t="s">
        <v>204</v>
      </c>
      <c r="D17" s="87" t="s">
        <v>1127</v>
      </c>
      <c r="E17" s="13" t="s">
        <v>226</v>
      </c>
      <c r="F17" s="13" t="s">
        <v>226</v>
      </c>
      <c r="G17" s="13" t="s">
        <v>226</v>
      </c>
      <c r="H17" s="13"/>
      <c r="I17" s="87"/>
      <c r="J17" s="87"/>
      <c r="K17" s="87"/>
      <c r="L17" s="87"/>
      <c r="M17" s="87"/>
      <c r="N17" s="87" t="s">
        <v>1134</v>
      </c>
      <c r="O17" s="87"/>
      <c r="P17" s="87" t="s">
        <v>1127</v>
      </c>
      <c r="Q17" s="87"/>
      <c r="R17" s="87"/>
      <c r="S17" s="87"/>
      <c r="T17" s="87"/>
      <c r="U17" s="87"/>
      <c r="V17" s="87"/>
      <c r="W17" s="87" t="s">
        <v>1127</v>
      </c>
      <c r="X17" s="87"/>
      <c r="Y17" s="87"/>
    </row>
    <row r="18" spans="1:25" ht="30" customHeight="1" x14ac:dyDescent="0.25">
      <c r="A18" s="100" t="s">
        <v>363</v>
      </c>
      <c r="B18" s="101" t="s">
        <v>1153</v>
      </c>
      <c r="C18" s="87" t="s">
        <v>1136</v>
      </c>
      <c r="D18" s="87" t="s">
        <v>1134</v>
      </c>
      <c r="E18" s="13" t="s">
        <v>226</v>
      </c>
      <c r="F18" s="13" t="s">
        <v>226</v>
      </c>
      <c r="G18" s="13" t="s">
        <v>226</v>
      </c>
      <c r="H18" s="13"/>
      <c r="I18" s="87"/>
      <c r="J18" s="87"/>
      <c r="K18" s="87"/>
      <c r="L18" s="87"/>
      <c r="M18" s="87" t="s">
        <v>1134</v>
      </c>
      <c r="N18" s="87"/>
      <c r="O18" s="87"/>
      <c r="P18" s="87"/>
      <c r="Q18" s="87"/>
      <c r="R18" s="87"/>
      <c r="S18" s="87"/>
      <c r="T18" s="87"/>
      <c r="U18" s="87"/>
      <c r="V18" s="87"/>
      <c r="W18" s="87"/>
      <c r="X18" s="87" t="s">
        <v>1134</v>
      </c>
      <c r="Y18" s="87" t="s">
        <v>1134</v>
      </c>
    </row>
    <row r="19" spans="1:25" ht="30" customHeight="1" x14ac:dyDescent="0.25">
      <c r="A19" s="100" t="s">
        <v>364</v>
      </c>
      <c r="B19" s="101" t="s">
        <v>1154</v>
      </c>
      <c r="C19" s="87" t="s">
        <v>1136</v>
      </c>
      <c r="D19" s="87" t="s">
        <v>1133</v>
      </c>
      <c r="E19" s="13"/>
      <c r="F19" s="13" t="s">
        <v>226</v>
      </c>
      <c r="G19" s="13" t="s">
        <v>226</v>
      </c>
      <c r="H19" s="13"/>
      <c r="I19" s="87"/>
      <c r="J19" s="87"/>
      <c r="K19" s="87"/>
      <c r="L19" s="87" t="s">
        <v>1133</v>
      </c>
      <c r="M19" s="87"/>
      <c r="N19" s="87"/>
      <c r="O19" s="87"/>
      <c r="P19" s="87"/>
      <c r="Q19" s="87"/>
      <c r="R19" s="87"/>
      <c r="S19" s="87"/>
      <c r="T19" s="87"/>
      <c r="U19" s="87"/>
      <c r="V19" s="87"/>
      <c r="W19" s="87"/>
      <c r="X19" s="87"/>
      <c r="Y19" s="87"/>
    </row>
  </sheetData>
  <autoFilter ref="A2:Y19" xr:uid="{EF86C631-2EC3-4A21-902B-02756A588F63}"/>
  <mergeCells count="3">
    <mergeCell ref="C1:D1"/>
    <mergeCell ref="E1:H1"/>
    <mergeCell ref="I1:Y1"/>
  </mergeCells>
  <phoneticPr fontId="20"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B51B-0F1C-472C-AA25-45349F644612}">
  <dimension ref="A1:J41"/>
  <sheetViews>
    <sheetView workbookViewId="0"/>
  </sheetViews>
  <sheetFormatPr baseColWidth="10" defaultRowHeight="15" x14ac:dyDescent="0.25"/>
  <cols>
    <col min="1" max="1" width="4.5703125" customWidth="1"/>
    <col min="2" max="2" width="56" customWidth="1"/>
    <col min="3" max="3" width="17.42578125" customWidth="1"/>
    <col min="6" max="6" width="17.42578125" customWidth="1"/>
    <col min="8" max="8" width="19.42578125" customWidth="1"/>
  </cols>
  <sheetData>
    <row r="1" spans="1:10" ht="35.25" customHeight="1" x14ac:dyDescent="0.25">
      <c r="A1" s="54" t="s">
        <v>1263</v>
      </c>
      <c r="B1" s="54" t="s">
        <v>0</v>
      </c>
      <c r="C1" s="54" t="s">
        <v>1203</v>
      </c>
      <c r="D1" s="54" t="s">
        <v>353</v>
      </c>
      <c r="E1" s="54" t="s">
        <v>1004</v>
      </c>
      <c r="F1" s="54" t="s">
        <v>1202</v>
      </c>
      <c r="G1" s="54" t="s">
        <v>1172</v>
      </c>
      <c r="H1" s="54" t="s">
        <v>1173</v>
      </c>
      <c r="I1" s="54" t="s">
        <v>1123</v>
      </c>
      <c r="J1" s="54" t="s">
        <v>1124</v>
      </c>
    </row>
    <row r="2" spans="1:10" ht="30" customHeight="1" x14ac:dyDescent="0.25">
      <c r="A2" s="127">
        <v>1</v>
      </c>
      <c r="B2" s="94" t="s">
        <v>368</v>
      </c>
      <c r="C2" s="78">
        <v>2020</v>
      </c>
      <c r="D2" s="79" t="s">
        <v>365</v>
      </c>
      <c r="E2" s="77" t="s">
        <v>1204</v>
      </c>
      <c r="F2" s="87">
        <v>4.1429999999999998</v>
      </c>
      <c r="G2" s="87">
        <v>1</v>
      </c>
      <c r="H2" s="87"/>
      <c r="I2" s="87"/>
      <c r="J2" s="87" t="s">
        <v>226</v>
      </c>
    </row>
    <row r="3" spans="1:10" ht="30" customHeight="1" x14ac:dyDescent="0.25">
      <c r="A3" s="127">
        <v>2</v>
      </c>
      <c r="B3" s="95" t="s">
        <v>375</v>
      </c>
      <c r="C3" s="22">
        <v>2019</v>
      </c>
      <c r="D3" s="38" t="s">
        <v>365</v>
      </c>
      <c r="E3" s="13" t="s">
        <v>1205</v>
      </c>
      <c r="F3" s="87">
        <v>3.5259999999999998</v>
      </c>
      <c r="G3" s="87">
        <v>2</v>
      </c>
      <c r="H3" s="87"/>
      <c r="I3" s="87"/>
      <c r="J3" s="87" t="s">
        <v>226</v>
      </c>
    </row>
    <row r="4" spans="1:10" ht="30" customHeight="1" x14ac:dyDescent="0.25">
      <c r="A4" s="127">
        <v>3</v>
      </c>
      <c r="B4" s="95" t="s">
        <v>378</v>
      </c>
      <c r="C4" s="22">
        <v>2019</v>
      </c>
      <c r="D4" s="38" t="s">
        <v>365</v>
      </c>
      <c r="E4" s="13" t="s">
        <v>1206</v>
      </c>
      <c r="F4" s="87">
        <v>3.5259999999999998</v>
      </c>
      <c r="G4" s="87">
        <v>2</v>
      </c>
      <c r="H4" s="87"/>
      <c r="I4" s="87"/>
      <c r="J4" s="87" t="s">
        <v>226</v>
      </c>
    </row>
    <row r="5" spans="1:10" ht="30" customHeight="1" x14ac:dyDescent="0.25">
      <c r="A5" s="127">
        <v>4</v>
      </c>
      <c r="B5" s="95" t="s">
        <v>1081</v>
      </c>
      <c r="C5" s="22">
        <v>2019</v>
      </c>
      <c r="D5" s="38" t="s">
        <v>365</v>
      </c>
      <c r="E5" s="13" t="s">
        <v>1207</v>
      </c>
      <c r="F5" s="87">
        <v>3.5259999999999998</v>
      </c>
      <c r="G5" s="87">
        <v>2</v>
      </c>
      <c r="H5" s="87"/>
      <c r="I5" s="87"/>
      <c r="J5" s="87" t="s">
        <v>226</v>
      </c>
    </row>
    <row r="6" spans="1:10" ht="30" customHeight="1" x14ac:dyDescent="0.25">
      <c r="A6" s="127">
        <v>5</v>
      </c>
      <c r="B6" s="95" t="s">
        <v>386</v>
      </c>
      <c r="C6" s="22">
        <v>2019</v>
      </c>
      <c r="D6" s="38" t="s">
        <v>365</v>
      </c>
      <c r="E6" s="13" t="s">
        <v>1208</v>
      </c>
      <c r="F6" s="87">
        <v>3.5259999999999998</v>
      </c>
      <c r="G6" s="87">
        <v>2</v>
      </c>
      <c r="H6" s="87"/>
      <c r="I6" s="87"/>
      <c r="J6" s="87" t="s">
        <v>226</v>
      </c>
    </row>
    <row r="7" spans="1:10" ht="30" customHeight="1" x14ac:dyDescent="0.25">
      <c r="A7" s="127">
        <v>6</v>
      </c>
      <c r="B7" s="95" t="s">
        <v>388</v>
      </c>
      <c r="C7" s="22">
        <v>2021</v>
      </c>
      <c r="D7" s="38" t="s">
        <v>365</v>
      </c>
      <c r="E7" s="13" t="s">
        <v>1209</v>
      </c>
      <c r="F7" s="87">
        <v>3.3639999999999999</v>
      </c>
      <c r="G7" s="87">
        <v>2</v>
      </c>
      <c r="H7" s="87"/>
      <c r="I7" s="87"/>
      <c r="J7" s="87" t="s">
        <v>226</v>
      </c>
    </row>
    <row r="8" spans="1:10" ht="30" customHeight="1" x14ac:dyDescent="0.25">
      <c r="A8" s="127">
        <v>7</v>
      </c>
      <c r="B8" s="95" t="s">
        <v>391</v>
      </c>
      <c r="C8" s="22">
        <v>2020</v>
      </c>
      <c r="D8" s="38" t="s">
        <v>365</v>
      </c>
      <c r="E8" s="13" t="s">
        <v>1210</v>
      </c>
      <c r="F8" s="87">
        <v>4.1429999999999998</v>
      </c>
      <c r="G8" s="87">
        <v>1</v>
      </c>
      <c r="H8" s="87"/>
      <c r="I8" s="87"/>
      <c r="J8" s="87" t="s">
        <v>226</v>
      </c>
    </row>
    <row r="9" spans="1:10" ht="30" customHeight="1" x14ac:dyDescent="0.25">
      <c r="A9" s="127">
        <v>8</v>
      </c>
      <c r="B9" s="95" t="s">
        <v>392</v>
      </c>
      <c r="C9" s="22">
        <v>2020</v>
      </c>
      <c r="D9" s="38" t="s">
        <v>365</v>
      </c>
      <c r="E9" s="13" t="s">
        <v>1211</v>
      </c>
      <c r="F9" s="87">
        <v>4.1429999999999998</v>
      </c>
      <c r="G9" s="87">
        <v>1</v>
      </c>
      <c r="H9" s="87"/>
      <c r="I9" s="87"/>
      <c r="J9" s="87" t="s">
        <v>226</v>
      </c>
    </row>
    <row r="10" spans="1:10" ht="30" customHeight="1" x14ac:dyDescent="0.25">
      <c r="A10" s="127">
        <v>9</v>
      </c>
      <c r="B10" s="95" t="s">
        <v>398</v>
      </c>
      <c r="C10" s="22">
        <v>2020</v>
      </c>
      <c r="D10" s="38" t="s">
        <v>365</v>
      </c>
      <c r="E10" s="13" t="s">
        <v>1212</v>
      </c>
      <c r="F10" s="87">
        <v>4.1429999999999998</v>
      </c>
      <c r="G10" s="87">
        <v>1</v>
      </c>
      <c r="H10" s="87"/>
      <c r="I10" s="87"/>
      <c r="J10" s="87" t="s">
        <v>226</v>
      </c>
    </row>
    <row r="11" spans="1:10" ht="30" customHeight="1" x14ac:dyDescent="0.25">
      <c r="A11" s="127">
        <v>10</v>
      </c>
      <c r="B11" s="95" t="s">
        <v>407</v>
      </c>
      <c r="C11" s="22">
        <v>2019</v>
      </c>
      <c r="D11" s="38" t="s">
        <v>365</v>
      </c>
      <c r="E11" s="13" t="s">
        <v>1213</v>
      </c>
      <c r="F11" s="87">
        <v>3.5259999999999998</v>
      </c>
      <c r="G11" s="87">
        <v>2</v>
      </c>
      <c r="H11" s="87"/>
      <c r="I11" s="87"/>
      <c r="J11" s="87" t="s">
        <v>226</v>
      </c>
    </row>
    <row r="12" spans="1:10" ht="30" customHeight="1" x14ac:dyDescent="0.25">
      <c r="A12" s="127">
        <v>11</v>
      </c>
      <c r="B12" s="95" t="s">
        <v>414</v>
      </c>
      <c r="C12" s="22">
        <v>2020</v>
      </c>
      <c r="D12" s="38" t="s">
        <v>365</v>
      </c>
      <c r="E12" s="13" t="s">
        <v>1214</v>
      </c>
      <c r="F12" s="87">
        <v>4.1429999999999998</v>
      </c>
      <c r="G12" s="87">
        <v>1</v>
      </c>
      <c r="H12" s="87"/>
      <c r="I12" s="87"/>
      <c r="J12" s="87" t="s">
        <v>226</v>
      </c>
    </row>
    <row r="13" spans="1:10" ht="30" customHeight="1" x14ac:dyDescent="0.25">
      <c r="A13" s="127">
        <v>12</v>
      </c>
      <c r="B13" s="95" t="s">
        <v>562</v>
      </c>
      <c r="C13" s="22">
        <v>2023</v>
      </c>
      <c r="D13" s="38" t="s">
        <v>651</v>
      </c>
      <c r="E13" s="13" t="s">
        <v>1215</v>
      </c>
      <c r="F13" s="87">
        <v>2.8</v>
      </c>
      <c r="G13" s="87">
        <v>2</v>
      </c>
      <c r="H13" s="87"/>
      <c r="I13" s="87" t="s">
        <v>226</v>
      </c>
      <c r="J13" s="87"/>
    </row>
    <row r="14" spans="1:10" ht="30" customHeight="1" x14ac:dyDescent="0.25">
      <c r="A14" s="127">
        <v>13</v>
      </c>
      <c r="B14" s="95" t="s">
        <v>564</v>
      </c>
      <c r="C14" s="22">
        <v>2018</v>
      </c>
      <c r="D14" s="38" t="s">
        <v>651</v>
      </c>
      <c r="E14" s="13" t="s">
        <v>1216</v>
      </c>
      <c r="F14" s="87">
        <v>1.2969999999999999</v>
      </c>
      <c r="G14" s="87">
        <v>3</v>
      </c>
      <c r="H14" s="87"/>
      <c r="I14" s="87" t="s">
        <v>226</v>
      </c>
      <c r="J14" s="87"/>
    </row>
    <row r="15" spans="1:10" ht="30" customHeight="1" x14ac:dyDescent="0.25">
      <c r="A15" s="127">
        <v>14</v>
      </c>
      <c r="B15" s="95" t="s">
        <v>652</v>
      </c>
      <c r="C15" s="22">
        <v>2022</v>
      </c>
      <c r="D15" s="38" t="s">
        <v>651</v>
      </c>
      <c r="E15" s="13" t="s">
        <v>1217</v>
      </c>
      <c r="F15" s="87">
        <v>2.8</v>
      </c>
      <c r="G15" s="87">
        <v>2</v>
      </c>
      <c r="H15" s="87"/>
      <c r="I15" s="87" t="s">
        <v>226</v>
      </c>
      <c r="J15" s="87"/>
    </row>
    <row r="16" spans="1:10" ht="30" customHeight="1" x14ac:dyDescent="0.25">
      <c r="A16" s="127">
        <v>15</v>
      </c>
      <c r="B16" s="95" t="s">
        <v>568</v>
      </c>
      <c r="C16" s="22">
        <v>2023</v>
      </c>
      <c r="D16" s="38" t="s">
        <v>651</v>
      </c>
      <c r="E16" s="13" t="s">
        <v>1218</v>
      </c>
      <c r="F16" s="87">
        <v>2.8</v>
      </c>
      <c r="G16" s="87">
        <v>2</v>
      </c>
      <c r="H16" s="87"/>
      <c r="I16" s="87" t="s">
        <v>226</v>
      </c>
      <c r="J16" s="87"/>
    </row>
    <row r="17" spans="1:10" ht="30" customHeight="1" x14ac:dyDescent="0.25">
      <c r="A17" s="127">
        <v>16</v>
      </c>
      <c r="B17" s="95" t="s">
        <v>653</v>
      </c>
      <c r="C17" s="22">
        <v>2016</v>
      </c>
      <c r="D17" s="38" t="s">
        <v>651</v>
      </c>
      <c r="E17" s="13" t="s">
        <v>1219</v>
      </c>
      <c r="F17" s="87">
        <v>1.2969999999999999</v>
      </c>
      <c r="G17" s="87">
        <v>3</v>
      </c>
      <c r="H17" s="87"/>
      <c r="I17" s="87" t="s">
        <v>226</v>
      </c>
      <c r="J17" s="87"/>
    </row>
    <row r="18" spans="1:10" ht="30" customHeight="1" x14ac:dyDescent="0.25">
      <c r="A18" s="127">
        <v>17</v>
      </c>
      <c r="B18" s="95" t="s">
        <v>607</v>
      </c>
      <c r="C18" s="22">
        <v>2020</v>
      </c>
      <c r="D18" s="38" t="s">
        <v>651</v>
      </c>
      <c r="E18" s="13" t="s">
        <v>1220</v>
      </c>
      <c r="F18" s="87">
        <v>1.4550000000000001</v>
      </c>
      <c r="G18" s="87">
        <v>3</v>
      </c>
      <c r="H18" s="87"/>
      <c r="I18" s="87" t="s">
        <v>226</v>
      </c>
      <c r="J18" s="87"/>
    </row>
    <row r="19" spans="1:10" ht="30" customHeight="1" x14ac:dyDescent="0.25">
      <c r="A19" s="127">
        <v>18</v>
      </c>
      <c r="B19" s="95" t="s">
        <v>608</v>
      </c>
      <c r="C19" s="22">
        <v>2017</v>
      </c>
      <c r="D19" s="38" t="s">
        <v>651</v>
      </c>
      <c r="E19" s="13" t="s">
        <v>1221</v>
      </c>
      <c r="F19" s="87">
        <v>1.2969999999999999</v>
      </c>
      <c r="G19" s="87">
        <v>3</v>
      </c>
      <c r="H19" s="87"/>
      <c r="I19" s="87" t="s">
        <v>226</v>
      </c>
      <c r="J19" s="87"/>
    </row>
    <row r="20" spans="1:10" ht="30" customHeight="1" x14ac:dyDescent="0.25">
      <c r="A20" s="127">
        <v>19</v>
      </c>
      <c r="B20" s="95" t="s">
        <v>611</v>
      </c>
      <c r="C20" s="22">
        <v>2021</v>
      </c>
      <c r="D20" s="38" t="s">
        <v>651</v>
      </c>
      <c r="E20" s="13" t="s">
        <v>1222</v>
      </c>
      <c r="F20" s="87">
        <v>2.0720000000000001</v>
      </c>
      <c r="G20" s="87">
        <v>3</v>
      </c>
      <c r="H20" s="87"/>
      <c r="I20" s="87" t="s">
        <v>226</v>
      </c>
      <c r="J20" s="87"/>
    </row>
    <row r="21" spans="1:10" ht="30" customHeight="1" x14ac:dyDescent="0.25">
      <c r="A21" s="127">
        <v>20</v>
      </c>
      <c r="B21" s="95" t="s">
        <v>613</v>
      </c>
      <c r="C21" s="22">
        <v>2011</v>
      </c>
      <c r="D21" s="38" t="s">
        <v>651</v>
      </c>
      <c r="E21" s="13" t="s">
        <v>1223</v>
      </c>
      <c r="F21" s="87">
        <v>1.2969999999999999</v>
      </c>
      <c r="G21" s="87">
        <v>3</v>
      </c>
      <c r="H21" s="87"/>
      <c r="I21" s="87" t="s">
        <v>226</v>
      </c>
      <c r="J21" s="87"/>
    </row>
    <row r="22" spans="1:10" ht="30" customHeight="1" x14ac:dyDescent="0.25">
      <c r="A22" s="127">
        <v>21</v>
      </c>
      <c r="B22" s="95" t="s">
        <v>620</v>
      </c>
      <c r="C22" s="22">
        <v>2019</v>
      </c>
      <c r="D22" s="38" t="s">
        <v>651</v>
      </c>
      <c r="E22" s="13" t="s">
        <v>1224</v>
      </c>
      <c r="F22" s="87">
        <v>1.341</v>
      </c>
      <c r="G22" s="87">
        <v>3</v>
      </c>
      <c r="H22" s="87"/>
      <c r="I22" s="87" t="s">
        <v>226</v>
      </c>
      <c r="J22" s="87"/>
    </row>
    <row r="23" spans="1:10" ht="30" customHeight="1" x14ac:dyDescent="0.25">
      <c r="A23" s="127">
        <v>22</v>
      </c>
      <c r="B23" s="95" t="s">
        <v>649</v>
      </c>
      <c r="C23" s="22">
        <v>2021</v>
      </c>
      <c r="D23" s="38" t="s">
        <v>651</v>
      </c>
      <c r="E23" s="13" t="s">
        <v>1225</v>
      </c>
      <c r="F23" s="87">
        <v>2.0720000000000001</v>
      </c>
      <c r="G23" s="87">
        <v>3</v>
      </c>
      <c r="H23" s="87"/>
      <c r="I23" s="87" t="s">
        <v>226</v>
      </c>
      <c r="J23" s="87"/>
    </row>
    <row r="24" spans="1:10" ht="30" customHeight="1" x14ac:dyDescent="0.25">
      <c r="A24" s="127">
        <v>23</v>
      </c>
      <c r="B24" s="95" t="s">
        <v>659</v>
      </c>
      <c r="C24" s="22">
        <v>2018</v>
      </c>
      <c r="D24" s="38" t="s">
        <v>657</v>
      </c>
      <c r="E24" s="13" t="s">
        <v>1226</v>
      </c>
      <c r="F24" s="87">
        <v>5.6269999999999998</v>
      </c>
      <c r="G24" s="87">
        <v>1</v>
      </c>
      <c r="H24" s="87"/>
      <c r="I24" s="87" t="s">
        <v>226</v>
      </c>
      <c r="J24" s="87" t="s">
        <v>226</v>
      </c>
    </row>
    <row r="25" spans="1:10" ht="30" customHeight="1" x14ac:dyDescent="0.25">
      <c r="A25" s="127">
        <v>24</v>
      </c>
      <c r="B25" s="95" t="s">
        <v>660</v>
      </c>
      <c r="C25" s="22">
        <v>2018</v>
      </c>
      <c r="D25" s="38" t="s">
        <v>657</v>
      </c>
      <c r="E25" s="13" t="s">
        <v>1227</v>
      </c>
      <c r="F25" s="87">
        <v>5.6269999999999998</v>
      </c>
      <c r="G25" s="87">
        <v>1</v>
      </c>
      <c r="H25" s="87"/>
      <c r="I25" s="87" t="s">
        <v>226</v>
      </c>
      <c r="J25" s="87" t="s">
        <v>226</v>
      </c>
    </row>
    <row r="26" spans="1:10" ht="30" customHeight="1" x14ac:dyDescent="0.25">
      <c r="A26" s="127">
        <v>25</v>
      </c>
      <c r="B26" s="95" t="s">
        <v>665</v>
      </c>
      <c r="C26" s="22">
        <v>2018</v>
      </c>
      <c r="D26" s="38" t="s">
        <v>657</v>
      </c>
      <c r="E26" s="13" t="s">
        <v>1228</v>
      </c>
      <c r="F26" s="87">
        <v>5.6269999999999998</v>
      </c>
      <c r="G26" s="87">
        <v>1</v>
      </c>
      <c r="H26" s="87"/>
      <c r="I26" s="87" t="s">
        <v>226</v>
      </c>
      <c r="J26" s="87" t="s">
        <v>226</v>
      </c>
    </row>
    <row r="27" spans="1:10" ht="30" customHeight="1" x14ac:dyDescent="0.25">
      <c r="A27" s="127">
        <v>26</v>
      </c>
      <c r="B27" s="95" t="s">
        <v>667</v>
      </c>
      <c r="C27" s="22">
        <v>2023</v>
      </c>
      <c r="D27" s="38" t="s">
        <v>657</v>
      </c>
      <c r="E27" s="13" t="s">
        <v>1229</v>
      </c>
      <c r="F27" s="87">
        <v>12</v>
      </c>
      <c r="G27" s="87">
        <v>1</v>
      </c>
      <c r="H27" s="87"/>
      <c r="I27" s="87" t="s">
        <v>226</v>
      </c>
      <c r="J27" s="87" t="s">
        <v>226</v>
      </c>
    </row>
    <row r="28" spans="1:10" ht="30" customHeight="1" x14ac:dyDescent="0.25">
      <c r="A28" s="127">
        <v>27</v>
      </c>
      <c r="B28" s="95" t="s">
        <v>674</v>
      </c>
      <c r="C28" s="22">
        <v>2016</v>
      </c>
      <c r="D28" s="38" t="s">
        <v>657</v>
      </c>
      <c r="E28" s="13" t="s">
        <v>1230</v>
      </c>
      <c r="F28" s="87">
        <v>3.819</v>
      </c>
      <c r="G28" s="87">
        <v>1</v>
      </c>
      <c r="H28" s="87"/>
      <c r="I28" s="87" t="s">
        <v>226</v>
      </c>
      <c r="J28" s="87" t="s">
        <v>226</v>
      </c>
    </row>
    <row r="29" spans="1:10" ht="30" customHeight="1" x14ac:dyDescent="0.25">
      <c r="A29" s="127">
        <v>28</v>
      </c>
      <c r="B29" s="95" t="s">
        <v>675</v>
      </c>
      <c r="C29" s="22">
        <v>2015</v>
      </c>
      <c r="D29" s="38" t="s">
        <v>657</v>
      </c>
      <c r="E29" s="13" t="s">
        <v>1231</v>
      </c>
      <c r="F29" s="87">
        <v>2.8809999999999998</v>
      </c>
      <c r="G29" s="87">
        <v>1</v>
      </c>
      <c r="H29" s="87"/>
      <c r="I29" s="87" t="s">
        <v>226</v>
      </c>
      <c r="J29" s="87" t="s">
        <v>226</v>
      </c>
    </row>
    <row r="30" spans="1:10" ht="30" customHeight="1" x14ac:dyDescent="0.25">
      <c r="A30" s="127">
        <v>29</v>
      </c>
      <c r="B30" s="95" t="s">
        <v>676</v>
      </c>
      <c r="C30" s="22">
        <v>2022</v>
      </c>
      <c r="D30" s="38" t="s">
        <v>657</v>
      </c>
      <c r="E30" s="13" t="s">
        <v>1232</v>
      </c>
      <c r="F30" s="87">
        <v>12</v>
      </c>
      <c r="G30" s="87">
        <v>1</v>
      </c>
      <c r="H30" s="87"/>
      <c r="I30" s="87" t="s">
        <v>226</v>
      </c>
      <c r="J30" s="87" t="s">
        <v>226</v>
      </c>
    </row>
    <row r="31" spans="1:10" ht="30" customHeight="1" x14ac:dyDescent="0.25">
      <c r="A31" s="127">
        <v>30</v>
      </c>
      <c r="B31" s="95" t="s">
        <v>677</v>
      </c>
      <c r="C31" s="22">
        <v>2016</v>
      </c>
      <c r="D31" s="38" t="s">
        <v>657</v>
      </c>
      <c r="E31" s="13" t="s">
        <v>1233</v>
      </c>
      <c r="F31" s="87">
        <v>3.819</v>
      </c>
      <c r="G31" s="87">
        <v>1</v>
      </c>
      <c r="H31" s="87"/>
      <c r="I31" s="87" t="s">
        <v>226</v>
      </c>
      <c r="J31" s="87" t="s">
        <v>226</v>
      </c>
    </row>
    <row r="32" spans="1:10" ht="30" customHeight="1" x14ac:dyDescent="0.25">
      <c r="A32" s="127">
        <v>31</v>
      </c>
      <c r="B32" s="95" t="s">
        <v>678</v>
      </c>
      <c r="C32" s="22">
        <v>2018</v>
      </c>
      <c r="D32" s="38" t="s">
        <v>657</v>
      </c>
      <c r="E32" s="13" t="s">
        <v>1234</v>
      </c>
      <c r="F32" s="87">
        <v>5.6269999999999998</v>
      </c>
      <c r="G32" s="87">
        <v>1</v>
      </c>
      <c r="H32" s="87"/>
      <c r="I32" s="87" t="s">
        <v>226</v>
      </c>
      <c r="J32" s="87" t="s">
        <v>226</v>
      </c>
    </row>
    <row r="33" spans="1:10" ht="30" customHeight="1" x14ac:dyDescent="0.25">
      <c r="A33" s="127">
        <v>32</v>
      </c>
      <c r="B33" s="95" t="s">
        <v>682</v>
      </c>
      <c r="C33" s="22">
        <v>2020</v>
      </c>
      <c r="D33" s="38" t="s">
        <v>657</v>
      </c>
      <c r="E33" s="13" t="s">
        <v>1235</v>
      </c>
      <c r="F33" s="87">
        <v>8.5380000000000003</v>
      </c>
      <c r="G33" s="87">
        <v>1</v>
      </c>
      <c r="H33" s="87"/>
      <c r="I33" s="87" t="s">
        <v>226</v>
      </c>
      <c r="J33" s="87" t="s">
        <v>226</v>
      </c>
    </row>
    <row r="34" spans="1:10" ht="30" customHeight="1" x14ac:dyDescent="0.25">
      <c r="A34" s="127">
        <v>33</v>
      </c>
      <c r="B34" s="95" t="s">
        <v>690</v>
      </c>
      <c r="C34" s="22">
        <v>2014</v>
      </c>
      <c r="D34" s="38" t="s">
        <v>657</v>
      </c>
      <c r="E34" s="13" t="s">
        <v>1236</v>
      </c>
      <c r="F34" s="87">
        <v>2.556</v>
      </c>
      <c r="G34" s="87">
        <v>1</v>
      </c>
      <c r="H34" s="87"/>
      <c r="I34" s="87" t="s">
        <v>226</v>
      </c>
      <c r="J34" s="87" t="s">
        <v>226</v>
      </c>
    </row>
    <row r="35" spans="1:10" ht="30" customHeight="1" x14ac:dyDescent="0.25">
      <c r="A35" s="127">
        <v>34</v>
      </c>
      <c r="B35" s="95" t="s">
        <v>691</v>
      </c>
      <c r="C35" s="22">
        <v>2020</v>
      </c>
      <c r="D35" s="38" t="s">
        <v>657</v>
      </c>
      <c r="E35" s="13" t="s">
        <v>1237</v>
      </c>
      <c r="F35" s="87">
        <v>8.5380000000000003</v>
      </c>
      <c r="G35" s="87">
        <v>1</v>
      </c>
      <c r="H35" s="87"/>
      <c r="I35" s="87" t="s">
        <v>226</v>
      </c>
      <c r="J35" s="87" t="s">
        <v>226</v>
      </c>
    </row>
    <row r="36" spans="1:10" ht="30" customHeight="1" x14ac:dyDescent="0.25">
      <c r="A36" s="127">
        <v>35</v>
      </c>
      <c r="B36" s="95" t="s">
        <v>692</v>
      </c>
      <c r="C36" s="22">
        <v>2020</v>
      </c>
      <c r="D36" s="38" t="s">
        <v>657</v>
      </c>
      <c r="E36" s="13" t="s">
        <v>1238</v>
      </c>
      <c r="F36" s="87">
        <v>8.5380000000000003</v>
      </c>
      <c r="G36" s="87">
        <v>1</v>
      </c>
      <c r="H36" s="87"/>
      <c r="I36" s="87" t="s">
        <v>226</v>
      </c>
      <c r="J36" s="87" t="s">
        <v>226</v>
      </c>
    </row>
    <row r="37" spans="1:10" ht="30" customHeight="1" x14ac:dyDescent="0.25">
      <c r="A37" s="127">
        <v>36</v>
      </c>
      <c r="B37" s="95" t="s">
        <v>695</v>
      </c>
      <c r="C37" s="22">
        <v>2021</v>
      </c>
      <c r="D37" s="38" t="s">
        <v>657</v>
      </c>
      <c r="E37" s="13" t="s">
        <v>1239</v>
      </c>
      <c r="F37" s="87">
        <v>11.182</v>
      </c>
      <c r="G37" s="87">
        <v>1</v>
      </c>
      <c r="H37" s="87"/>
      <c r="I37" s="87" t="s">
        <v>226</v>
      </c>
      <c r="J37" s="87" t="s">
        <v>226</v>
      </c>
    </row>
    <row r="38" spans="1:10" ht="30" customHeight="1" x14ac:dyDescent="0.25">
      <c r="A38" s="127">
        <v>37</v>
      </c>
      <c r="B38" s="95" t="s">
        <v>696</v>
      </c>
      <c r="C38" s="22">
        <v>2019</v>
      </c>
      <c r="D38" s="38" t="s">
        <v>657</v>
      </c>
      <c r="E38" s="13" t="s">
        <v>1240</v>
      </c>
      <c r="F38" s="87">
        <v>5.2960000000000003</v>
      </c>
      <c r="G38" s="87">
        <v>1</v>
      </c>
      <c r="H38" s="87"/>
      <c r="I38" s="87" t="s">
        <v>226</v>
      </c>
      <c r="J38" s="87" t="s">
        <v>226</v>
      </c>
    </row>
    <row r="39" spans="1:10" ht="30" customHeight="1" x14ac:dyDescent="0.25">
      <c r="A39" s="127">
        <v>38</v>
      </c>
      <c r="B39" s="95" t="s">
        <v>21</v>
      </c>
      <c r="C39" s="22">
        <v>2021</v>
      </c>
      <c r="D39" s="38" t="s">
        <v>1066</v>
      </c>
      <c r="E39" s="13" t="s">
        <v>1241</v>
      </c>
      <c r="F39" s="87">
        <v>1.2809999999999999</v>
      </c>
      <c r="G39" s="87">
        <v>4</v>
      </c>
      <c r="H39" s="87"/>
      <c r="I39" s="87"/>
      <c r="J39" s="87"/>
    </row>
    <row r="40" spans="1:10" ht="30" customHeight="1" x14ac:dyDescent="0.25">
      <c r="A40" s="127">
        <v>39</v>
      </c>
      <c r="B40" s="95" t="s">
        <v>113</v>
      </c>
      <c r="C40" s="22">
        <v>2020</v>
      </c>
      <c r="D40" s="38" t="s">
        <v>360</v>
      </c>
      <c r="E40" s="13" t="s">
        <v>1242</v>
      </c>
      <c r="F40" s="87">
        <v>3.2509999999999999</v>
      </c>
      <c r="G40" s="87">
        <v>2</v>
      </c>
      <c r="H40" s="87"/>
      <c r="I40" s="87"/>
      <c r="J40" s="87"/>
    </row>
    <row r="41" spans="1:10" ht="30" customHeight="1" x14ac:dyDescent="0.25">
      <c r="A41" s="127">
        <v>40</v>
      </c>
      <c r="B41" s="95" t="s">
        <v>168</v>
      </c>
      <c r="C41" s="22">
        <v>2021</v>
      </c>
      <c r="D41" s="38" t="s">
        <v>362</v>
      </c>
      <c r="E41" s="13" t="s">
        <v>1243</v>
      </c>
      <c r="F41" s="87">
        <v>2.109</v>
      </c>
      <c r="G41" s="87">
        <v>2</v>
      </c>
      <c r="H41" s="87" t="s">
        <v>226</v>
      </c>
      <c r="I41" s="87" t="s">
        <v>226</v>
      </c>
      <c r="J41" s="87" t="s">
        <v>226</v>
      </c>
    </row>
  </sheetData>
  <autoFilter ref="A1:J1" xr:uid="{71FDB51B-0F1C-472C-AA25-45349F644612}"/>
  <conditionalFormatting sqref="C2:C41">
    <cfRule type="colorScale" priority="611">
      <colorScale>
        <cfvo type="min"/>
        <cfvo type="percentile" val="50"/>
        <cfvo type="max"/>
        <color rgb="FFF8696B"/>
        <color rgb="FFFFEB84"/>
        <color rgb="FF63BE7B"/>
      </colorScale>
    </cfRule>
  </conditionalFormatting>
  <hyperlinks>
    <hyperlink ref="B12" r:id="rId1" display="https://www.webofscience.com/wos/woscc/full-record/WOS:000549890800009" xr:uid="{6FBFCDF7-B8D0-4028-832B-A31620722C49}"/>
    <hyperlink ref="B11" r:id="rId2" display="https://www.webofscience.com/wos/woscc/full-record/WOS:000490326100008" xr:uid="{EC9CC541-ED06-4CB4-8472-FDFDD6F17A25}"/>
    <hyperlink ref="B10" r:id="rId3" display="https://www.webofscience.com/wos/woscc/full-record/WOS:000626173500016" xr:uid="{3281D2BA-C3E6-4E17-9557-F37436D516D4}"/>
    <hyperlink ref="B9" r:id="rId4" display="https://www.webofscience.com/wos/woscc/full-record/WOS:000523267400002" xr:uid="{DA564ED8-4B8A-48E4-BFDE-1780F88B148E}"/>
    <hyperlink ref="B8" r:id="rId5" display="https://www.webofscience.com/wos/woscc/full-record/WOS:000549890800002" xr:uid="{4561819E-A7CA-4C95-AC5C-BC22AF7A571C}"/>
    <hyperlink ref="B7" r:id="rId6" display="https://www.webofscience.com/wos/woscc/full-record/WOS:000629136000004" xr:uid="{4AF46A10-64FC-4492-B010-E1CC76C163E7}"/>
    <hyperlink ref="B6" r:id="rId7" display="https://www.webofscience.com/wos/woscc/full-record/WOS:000474904300001" xr:uid="{E91073B4-0A18-4472-A7D5-C668AB2F9EB1}"/>
    <hyperlink ref="B5" r:id="rId8" display="https://www.webofscience.com/wos/woscc/full-record/WOS:000474904300014" xr:uid="{72D0A212-92BC-44A0-A8D0-5BF394DAA02D}"/>
    <hyperlink ref="B4" r:id="rId9" display="https://www.webofscience.com/wos/woscc/full-record/WOS:000463836500002" xr:uid="{AF31CEFD-9B23-429E-8ED9-6898FDCF4633}"/>
    <hyperlink ref="B3" r:id="rId10" display="https://www.webofscience.com/wos/woscc/full-record/WOS:000463836500003" xr:uid="{36471D22-5418-46C4-9FB7-187097292DB8}"/>
    <hyperlink ref="B2" r:id="rId11" display="https://www.webofscience.com/wos/woscc/full-record/WOS:000549890800020" xr:uid="{09C08C98-C53F-4BC7-973E-5D3F92C182F7}"/>
    <hyperlink ref="B38" r:id="rId12" display="https://www.webofscience.com/wos/alldb/full-record/WOS:000487568200007" xr:uid="{ABF24084-8C56-4A96-96B7-CAF1BBB0772F}"/>
    <hyperlink ref="B37" r:id="rId13" display="https://www.webofscience.com/wos/alldb/full-record/WOS:000600750200004" xr:uid="{29D03B5A-B512-47FE-9569-B87007E482E8}"/>
    <hyperlink ref="B36" r:id="rId14" display="https://www.webofscience.com/wos/alldb/full-record/WOS:000498327800018" xr:uid="{CB27342D-C43F-41F2-B01B-9082B16CCF12}"/>
    <hyperlink ref="B35" r:id="rId15" display="https://www.webofscience.com/wos/alldb/full-record/WOS:000535686800003" xr:uid="{0429F59C-B694-4A18-A8F3-AA8BE81AF652}"/>
    <hyperlink ref="B34" r:id="rId16" display="https://www.webofscience.com/wos/alldb/full-record/WOS:000335618000008" xr:uid="{82F6E261-84F6-4476-99D7-453D5C169EBB}"/>
    <hyperlink ref="B33" r:id="rId17" display="https://www.webofscience.com/wos/alldb/full-record/WOS:000515130200004" xr:uid="{958D16C0-D49C-42E2-8DEF-E6CCCC030315}"/>
    <hyperlink ref="B32" r:id="rId18" display="https://www.webofscience.com/wos/alldb/full-record/WOS:000430038000001" xr:uid="{2E0F6FC6-D2F3-40B3-BB05-A964CC77DE61}"/>
    <hyperlink ref="B31" r:id="rId19" display="https://www.webofscience.com/wos/alldb/full-record/WOS:000389389300008" xr:uid="{B66C59CA-58E3-4F0F-A421-8169A5935CDD}"/>
    <hyperlink ref="B30" r:id="rId20" display="https://www.webofscience.com/wos/alldb/full-record/WOS:000862751700004" xr:uid="{93CF968C-D7B4-444A-BBE4-D93CB756B7D8}"/>
    <hyperlink ref="B29" r:id="rId21" display="https://www.webofscience.com/wos/alldb/full-record/WOS:000343844000014" xr:uid="{AA129C51-86AA-43CE-8CAA-9AE8D4859C31}"/>
    <hyperlink ref="B28" r:id="rId22" display="https://www.webofscience.com/wos/alldb/full-record/WOS:000366225800017" xr:uid="{3A931B2A-C5BE-4D37-A6AA-7E0A1B50E512}"/>
    <hyperlink ref="B27" r:id="rId23" display="https://www.webofscience.com/wos/alldb/full-record/WOS:000901496100012" xr:uid="{6FC39CAF-A48D-4C64-9395-77636D4E88B8}"/>
    <hyperlink ref="B26" r:id="rId24" display="https://www.webofscience.com/wos/alldb/full-record/WOS:000436050800006" xr:uid="{A6A4D9B0-D2B8-4C25-BA3D-879195EF26F3}"/>
    <hyperlink ref="B25" r:id="rId25" display="https://www.webofscience.com/wos/alldb/full-record/WOS:000430038000005" xr:uid="{A8151B7E-3443-4470-AF8B-E7A2AE60BB3F}"/>
    <hyperlink ref="B24" r:id="rId26" display="https://www.webofscience.com/wos/alldb/full-record/WOS:000441494100032" xr:uid="{486442A0-BD81-4FDA-8E38-BD2E823C1934}"/>
    <hyperlink ref="B17" r:id="rId27" display="https://www.webofscience.com/wos/woscc/full-record/WOS:000386869900001" xr:uid="{5B0EBCDD-7CDB-42D9-8914-ED2CD700CCD6}"/>
    <hyperlink ref="B15" r:id="rId28" display="https://www.webofscience.com/wos/woscc/full-record/WOS:000878517700005" xr:uid="{AE78D28D-1855-49F8-8DB2-665E31A2CDFE}"/>
    <hyperlink ref="B23" r:id="rId29" display="https://www.webofscience.com/wos/woscc/full-record/WOS:000663077200017" xr:uid="{8DE9F78E-A739-4FC2-A532-C60A2EBC7DCD}"/>
    <hyperlink ref="B22" r:id="rId30" display="https://www.webofscience.com/wos/woscc/full-record/WOS:000458213700004" xr:uid="{4BA7B697-E81F-459A-AF6B-4F3E287A5BFE}"/>
    <hyperlink ref="B21" r:id="rId31" display="https://www.webofscience.com/wos/woscc/full-record/WOS:000214846800008" xr:uid="{77DC216D-493A-4F3D-A41C-68407F1C36DB}"/>
    <hyperlink ref="B20" r:id="rId32" display="https://www.webofscience.com/wos/woscc/full-record/WOS:000663077200006" xr:uid="{BE88D7F7-9334-442E-9E06-C3C4649BCD40}"/>
    <hyperlink ref="B19" r:id="rId33" display="https://www.webofscience.com/wos/woscc/full-record/WOS:000397389000005" xr:uid="{CC5BA18C-AFEE-4269-A584-05AF39C88752}"/>
    <hyperlink ref="B18" r:id="rId34" display="https://www.webofscience.com/wos/woscc/full-record/WOS:000556161100005" xr:uid="{FBD57F3F-42CA-4534-AE37-349508845341}"/>
    <hyperlink ref="B16" r:id="rId35" display="https://www.webofscience.com/wos/woscc/full-record/WOS:000888057500002" xr:uid="{3CC22332-FC21-4F6B-AD5C-918CA3FCC228}"/>
    <hyperlink ref="B14" r:id="rId36" display="https://www.webofscience.com/wos/woscc/full-record/WOS:000432800100001" xr:uid="{302F4068-51F3-4F6E-9450-E40965CDE745}"/>
    <hyperlink ref="B13" r:id="rId37" display="https://www.webofscience.com/wos/woscc/full-record/WOS:000859744400003" xr:uid="{6318A724-B246-45FB-B623-9AB5A5975695}"/>
    <hyperlink ref="B39" r:id="rId38" display="https://www.researchgate.net/publication/342232656_GAMIFICATING_PHYSICAL_EDUCATION_PEDAGOGY_COLLEGE_STUDENTS%27_FEELINGS?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Enrichment%5D=1&amp;_iepl%5Bposition%5D=23&amp;_iepl%5BrgKey%5D=PB%3A342232656&amp;_iepl%5BtargetEntityId%5D=PB%3A342232656&amp;_iepl%5BinteractionType%5D=publicationTitle" xr:uid="{1864DDA2-E046-47BA-9ED5-9ED404357745}"/>
    <hyperlink ref="B40" r:id="rId39" display="https://www.researchgate.net/publication/341246397_Teaching_Presence_in_Online_Gamified_Education_for_Sustainability_Learning?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20&amp;_iepl%5BrgKey%5D=PB%3A341246397&amp;_iepl%5BtargetEntityId%5D=PB%3A341246397&amp;_iepl%5BinteractionType%5D=publicationTitle" xr:uid="{1D9CCBDC-BD48-4442-B096-6B537C74B39F}"/>
    <hyperlink ref="B41" r:id="rId40" display="https://www.researchgate.net/publication/355176506_Gamification_tools_in_the_learning_of_shipbuilding_in_the_undergraduate_marine_engineering_education?_iepl%5BgeneralViewId%5D=r3c8LugQVBvq1ZkZBLzuUPXwWWRkII07T4dm&amp;_iepl%5Bcontexts%5D%5B0%5D=searchReact&amp;_iepl%5BviewId%5D=PLgjR017eiGh4PqnfAQnzFA9qMmmE8iqi1vg&amp;_iepl%5BsearchType%5D=publication&amp;_iepl%5Bdata%5D%5BcountLessEqual20%5D=1&amp;_iepl%5Bdata%5D%5BinteractedWithPosition20plus%5D=1&amp;_iepl%5Bdata%5D%5BwithoutEnrichment%5D=1&amp;_iepl%5Bposition%5D=175&amp;_iepl%5BrgKey%5D=PB%3A355176506&amp;_iepl%5BtargetEntityId%5D=PB%3A355176506&amp;_iepl%5BinteractionType%5D=publicationTitle" xr:uid="{8CD37832-1F17-4264-9B20-044DB7ED720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D5812-F6FB-481D-9D23-26F727A945F0}">
  <dimension ref="B2:T359"/>
  <sheetViews>
    <sheetView workbookViewId="0"/>
  </sheetViews>
  <sheetFormatPr baseColWidth="10" defaultRowHeight="15" x14ac:dyDescent="0.25"/>
  <cols>
    <col min="1" max="1" width="10.7109375" customWidth="1"/>
    <col min="2" max="2" width="18.7109375" customWidth="1"/>
    <col min="3" max="5" width="15.7109375" customWidth="1"/>
    <col min="6" max="6" width="20.140625" customWidth="1"/>
    <col min="7" max="11" width="15.7109375" customWidth="1"/>
    <col min="12" max="12" width="19.85546875" customWidth="1"/>
    <col min="13" max="21" width="15.7109375" customWidth="1"/>
    <col min="22" max="29" width="10.7109375" customWidth="1"/>
  </cols>
  <sheetData>
    <row r="2" spans="2:7" ht="21" x14ac:dyDescent="0.25">
      <c r="B2" s="26" t="s">
        <v>877</v>
      </c>
      <c r="C2" s="26"/>
      <c r="D2" s="26"/>
      <c r="E2" s="26"/>
      <c r="F2" s="12"/>
      <c r="G2" s="12"/>
    </row>
    <row r="3" spans="2:7" x14ac:dyDescent="0.25">
      <c r="B3" s="11"/>
      <c r="C3" s="11"/>
      <c r="D3" s="11"/>
      <c r="E3" s="12"/>
      <c r="F3" s="12"/>
      <c r="G3" s="12"/>
    </row>
    <row r="4" spans="2:7" x14ac:dyDescent="0.25">
      <c r="B4" s="27" t="s">
        <v>885</v>
      </c>
      <c r="C4" s="28"/>
      <c r="D4" s="8">
        <f>COUNTIF('Datos finales'!B:B,"&lt;&gt;")-1</f>
        <v>100</v>
      </c>
    </row>
    <row r="5" spans="2:7" x14ac:dyDescent="0.25">
      <c r="B5" s="27" t="s">
        <v>886</v>
      </c>
      <c r="C5" s="28"/>
      <c r="D5" s="8">
        <f>COUNTIF('Datos finales'!A:A,"&lt;&gt;")-1</f>
        <v>105</v>
      </c>
    </row>
    <row r="8" spans="2:7" ht="21" x14ac:dyDescent="0.35">
      <c r="B8" s="25" t="s">
        <v>898</v>
      </c>
    </row>
    <row r="10" spans="2:7" x14ac:dyDescent="0.25">
      <c r="C10" s="21" t="s">
        <v>900</v>
      </c>
      <c r="D10" s="21" t="s">
        <v>901</v>
      </c>
      <c r="E10" s="21" t="s">
        <v>902</v>
      </c>
      <c r="F10" s="7"/>
      <c r="G10" s="7"/>
    </row>
    <row r="11" spans="2:7" x14ac:dyDescent="0.25">
      <c r="B11" s="18" t="s">
        <v>899</v>
      </c>
      <c r="C11" s="29">
        <f>AVERAGE('Datos finales'!AK:AK)</f>
        <v>35.494897959183668</v>
      </c>
      <c r="D11" s="13">
        <f>MAX('Datos finales'!AK:AK)</f>
        <v>761</v>
      </c>
      <c r="E11" s="13">
        <f>MIN('Datos finales'!AK:AK)</f>
        <v>0.4</v>
      </c>
    </row>
    <row r="12" spans="2:7" x14ac:dyDescent="0.25">
      <c r="B12" s="30" t="s">
        <v>351</v>
      </c>
      <c r="C12" s="29">
        <f>AVERAGE('Datos finales'!AL:AL)</f>
        <v>1.3294186046511625</v>
      </c>
      <c r="D12" s="13">
        <f>MAX('Datos finales'!AL:AL)</f>
        <v>3.75</v>
      </c>
      <c r="E12" s="13">
        <f>MIN('Datos finales'!AL:AL)</f>
        <v>0.03</v>
      </c>
    </row>
    <row r="15" spans="2:7" ht="21" x14ac:dyDescent="0.35">
      <c r="B15" s="25" t="s">
        <v>878</v>
      </c>
      <c r="C15" s="25"/>
      <c r="D15" s="25"/>
      <c r="E15" s="25"/>
    </row>
    <row r="16" spans="2:7" x14ac:dyDescent="0.25">
      <c r="B16" s="14"/>
      <c r="C16" s="14"/>
      <c r="D16" s="14"/>
    </row>
    <row r="17" spans="2:15" ht="30" x14ac:dyDescent="0.25">
      <c r="B17" s="15"/>
      <c r="C17" s="21" t="s">
        <v>882</v>
      </c>
      <c r="D17" s="21" t="s">
        <v>887</v>
      </c>
      <c r="E17" s="19"/>
      <c r="F17" s="31" t="s">
        <v>1014</v>
      </c>
      <c r="G17" s="21" t="s">
        <v>1013</v>
      </c>
      <c r="H17" s="21" t="s">
        <v>880</v>
      </c>
      <c r="I17" s="21" t="s">
        <v>1015</v>
      </c>
      <c r="J17" s="21" t="s">
        <v>881</v>
      </c>
      <c r="K17" s="21" t="s">
        <v>1016</v>
      </c>
      <c r="L17" s="21" t="s">
        <v>1017</v>
      </c>
      <c r="M17" s="21" t="s">
        <v>1018</v>
      </c>
      <c r="N17" s="21" t="s">
        <v>884</v>
      </c>
    </row>
    <row r="18" spans="2:15" x14ac:dyDescent="0.25">
      <c r="B18" s="16" t="s">
        <v>879</v>
      </c>
      <c r="C18" s="8">
        <f>COUNTIF('Datos finales'!G:G,"=1")</f>
        <v>78</v>
      </c>
      <c r="D18" s="17">
        <f>C18/$D$5</f>
        <v>0.74285714285714288</v>
      </c>
      <c r="F18" s="16" t="s">
        <v>1011</v>
      </c>
      <c r="G18" s="8">
        <f>COUNTIF('Datos finales'!$H3:$H107,"=-3")</f>
        <v>0</v>
      </c>
      <c r="H18" s="8">
        <f>COUNTIF('Datos finales'!$H3:$H107,"=-2")</f>
        <v>2</v>
      </c>
      <c r="I18" s="8">
        <f>COUNTIF('Datos finales'!$H3:$H107,"=-1")</f>
        <v>3</v>
      </c>
      <c r="J18" s="8">
        <f>COUNTIF('Datos finales'!$H3:$H107,"=0")</f>
        <v>15</v>
      </c>
      <c r="K18" s="8">
        <f>COUNTIF('Datos finales'!$H3:$H107,"=1")</f>
        <v>18</v>
      </c>
      <c r="L18" s="8">
        <f>COUNTIF('Datos finales'!$H3:$H107,"=2")</f>
        <v>53</v>
      </c>
      <c r="M18" s="8">
        <f>COUNTIF('Datos finales'!$H3:$H107,"=3")</f>
        <v>7</v>
      </c>
      <c r="N18" s="8">
        <f>COUNTIF('Datos finales'!$H3:$H107,"=N/A")</f>
        <v>7</v>
      </c>
    </row>
    <row r="19" spans="2:15" x14ac:dyDescent="0.25">
      <c r="B19" s="16" t="s">
        <v>880</v>
      </c>
      <c r="C19" s="8">
        <f>COUNTIF('Datos finales'!G:G,"=-1")</f>
        <v>5</v>
      </c>
      <c r="D19" s="17">
        <f t="shared" ref="D19:D21" si="0">C19/$D$5</f>
        <v>4.7619047619047616E-2</v>
      </c>
      <c r="F19" s="16" t="s">
        <v>1012</v>
      </c>
      <c r="G19" s="9">
        <f>G18/$D$5</f>
        <v>0</v>
      </c>
      <c r="H19" s="9">
        <f t="shared" ref="H19:N19" si="1">H18/$D$5</f>
        <v>1.9047619047619049E-2</v>
      </c>
      <c r="I19" s="9">
        <f t="shared" si="1"/>
        <v>2.8571428571428571E-2</v>
      </c>
      <c r="J19" s="9">
        <f t="shared" si="1"/>
        <v>0.14285714285714285</v>
      </c>
      <c r="K19" s="9">
        <f t="shared" si="1"/>
        <v>0.17142857142857143</v>
      </c>
      <c r="L19" s="9">
        <f t="shared" si="1"/>
        <v>0.50476190476190474</v>
      </c>
      <c r="M19" s="9">
        <f t="shared" si="1"/>
        <v>6.6666666666666666E-2</v>
      </c>
      <c r="N19" s="51">
        <f t="shared" si="1"/>
        <v>6.6666666666666666E-2</v>
      </c>
      <c r="O19" s="52"/>
    </row>
    <row r="20" spans="2:15" x14ac:dyDescent="0.25">
      <c r="B20" s="16" t="s">
        <v>881</v>
      </c>
      <c r="C20" s="8">
        <f>COUNTIF('Datos finales'!G:G,"=0")</f>
        <v>15</v>
      </c>
      <c r="D20" s="17">
        <f t="shared" si="0"/>
        <v>0.14285714285714285</v>
      </c>
      <c r="F20" s="34"/>
      <c r="G20" s="49"/>
      <c r="H20" s="50"/>
    </row>
    <row r="21" spans="2:15" x14ac:dyDescent="0.25">
      <c r="B21" s="16" t="s">
        <v>884</v>
      </c>
      <c r="C21" s="8">
        <f>COUNTIF('Datos finales'!G:G,"=N/A")</f>
        <v>7</v>
      </c>
      <c r="D21" s="17">
        <f t="shared" si="0"/>
        <v>6.6666666666666666E-2</v>
      </c>
      <c r="F21" s="34"/>
      <c r="G21" s="49"/>
      <c r="H21" s="50"/>
    </row>
    <row r="22" spans="2:15" ht="15.75" customHeight="1" x14ac:dyDescent="0.25"/>
    <row r="23" spans="2:15" ht="15.75" customHeight="1" x14ac:dyDescent="0.25"/>
    <row r="24" spans="2:15" ht="15.75" customHeight="1" x14ac:dyDescent="0.25"/>
    <row r="25" spans="2:15" ht="15.75" customHeight="1" x14ac:dyDescent="0.25"/>
    <row r="26" spans="2:15" ht="15.75" customHeight="1" x14ac:dyDescent="0.25"/>
    <row r="27" spans="2:15" ht="15.75" customHeight="1" x14ac:dyDescent="0.25"/>
    <row r="28" spans="2:15" ht="15.75" customHeight="1" x14ac:dyDescent="0.25"/>
    <row r="29" spans="2:15" ht="15.75" customHeight="1" x14ac:dyDescent="0.25"/>
    <row r="30" spans="2:15" ht="15.75" customHeight="1" x14ac:dyDescent="0.25"/>
    <row r="31" spans="2:15" ht="15.75" customHeight="1" x14ac:dyDescent="0.25"/>
    <row r="32" spans="2:15" ht="15.75" customHeight="1" x14ac:dyDescent="0.25"/>
    <row r="33" spans="2:13" ht="15.75" customHeight="1" x14ac:dyDescent="0.25"/>
    <row r="34" spans="2:13" ht="15.75" customHeight="1" x14ac:dyDescent="0.25"/>
    <row r="35" spans="2:13" ht="15.75" customHeight="1" x14ac:dyDescent="0.25"/>
    <row r="36" spans="2:13" ht="15.75" customHeight="1" x14ac:dyDescent="0.25"/>
    <row r="38" spans="2:13" ht="21" x14ac:dyDescent="0.35">
      <c r="B38" s="25" t="s">
        <v>888</v>
      </c>
      <c r="C38" s="25"/>
      <c r="D38" s="25"/>
    </row>
    <row r="40" spans="2:13" ht="30" x14ac:dyDescent="0.25">
      <c r="C40" s="10" t="str">
        <f>'Datos finales'!I2</f>
        <v>Leaderboards</v>
      </c>
      <c r="D40" s="10" t="str">
        <f>'Datos finales'!J2</f>
        <v>Perfil personalizable</v>
      </c>
      <c r="E40" s="10" t="str">
        <f>'Datos finales'!K2</f>
        <v>Juegos Interactivos</v>
      </c>
      <c r="F40" s="10" t="str">
        <f>'Datos finales'!L2</f>
        <v>Gráficos llamativos</v>
      </c>
      <c r="G40" s="10" t="str">
        <f>'Datos finales'!M2</f>
        <v>Quizz</v>
      </c>
      <c r="H40" s="10" t="str">
        <f>'Datos finales'!N2</f>
        <v>Logros</v>
      </c>
      <c r="I40" s="10" t="str">
        <f>'Datos finales'!O2</f>
        <v>Desafios</v>
      </c>
      <c r="J40" s="10" t="str">
        <f>'Datos finales'!P2</f>
        <v>Puntos</v>
      </c>
      <c r="K40" s="10" t="str">
        <f>'Datos finales'!Q2</f>
        <v>Niveles</v>
      </c>
      <c r="L40" s="10" t="str">
        <f>'Datos finales'!R2</f>
        <v>Narrativa</v>
      </c>
      <c r="M40" s="10" t="str">
        <f>'Datos finales'!S2</f>
        <v>Interacción social</v>
      </c>
    </row>
    <row r="41" spans="2:13" x14ac:dyDescent="0.25">
      <c r="B41" s="16" t="s">
        <v>882</v>
      </c>
      <c r="C41" s="8">
        <f>COUNTIF('Datos finales'!I:I,"=x")</f>
        <v>34</v>
      </c>
      <c r="D41" s="8">
        <f>COUNTIF('Datos finales'!J:J,"=x")</f>
        <v>25</v>
      </c>
      <c r="E41" s="8">
        <f>COUNTIF('Datos finales'!K:K,"=x")</f>
        <v>72</v>
      </c>
      <c r="F41" s="8">
        <f>COUNTIF('Datos finales'!L:L,"=x")</f>
        <v>65</v>
      </c>
      <c r="G41" s="8">
        <f>COUNTIF('Datos finales'!M:M,"=x")</f>
        <v>28</v>
      </c>
      <c r="H41" s="8">
        <f>COUNTIF('Datos finales'!N:N,"=x")</f>
        <v>13</v>
      </c>
      <c r="I41" s="8">
        <f>COUNTIF('Datos finales'!O:O,"=x")</f>
        <v>25</v>
      </c>
      <c r="J41" s="8">
        <f>COUNTIF('Datos finales'!P:P,"=x")</f>
        <v>59</v>
      </c>
      <c r="K41" s="8">
        <f>COUNTIF('Datos finales'!Q:Q,"=x")</f>
        <v>33</v>
      </c>
      <c r="L41" s="8">
        <f>COUNTIF('Datos finales'!R:R,"=x")</f>
        <v>15</v>
      </c>
      <c r="M41" s="8">
        <f>COUNTIF('Datos finales'!S:S,"=x")</f>
        <v>23</v>
      </c>
    </row>
    <row r="42" spans="2:13" x14ac:dyDescent="0.25">
      <c r="B42" s="16" t="s">
        <v>883</v>
      </c>
      <c r="C42" s="17">
        <f>C41/$D$5</f>
        <v>0.32380952380952382</v>
      </c>
      <c r="D42" s="17">
        <f t="shared" ref="D42:M42" si="2">D41/$D$5</f>
        <v>0.23809523809523808</v>
      </c>
      <c r="E42" s="17">
        <f t="shared" si="2"/>
        <v>0.68571428571428572</v>
      </c>
      <c r="F42" s="17">
        <f t="shared" si="2"/>
        <v>0.61904761904761907</v>
      </c>
      <c r="G42" s="17">
        <f t="shared" si="2"/>
        <v>0.26666666666666666</v>
      </c>
      <c r="H42" s="17">
        <f t="shared" si="2"/>
        <v>0.12380952380952381</v>
      </c>
      <c r="I42" s="17">
        <f t="shared" si="2"/>
        <v>0.23809523809523808</v>
      </c>
      <c r="J42" s="17">
        <f t="shared" si="2"/>
        <v>0.56190476190476191</v>
      </c>
      <c r="K42" s="17">
        <f t="shared" si="2"/>
        <v>0.31428571428571428</v>
      </c>
      <c r="L42" s="17">
        <f t="shared" si="2"/>
        <v>0.14285714285714285</v>
      </c>
      <c r="M42" s="17">
        <f t="shared" si="2"/>
        <v>0.21904761904761905</v>
      </c>
    </row>
    <row r="61" spans="2:13" ht="21" x14ac:dyDescent="0.25">
      <c r="B61" s="26" t="s">
        <v>890</v>
      </c>
      <c r="C61" s="26"/>
      <c r="D61" s="26"/>
      <c r="E61" s="26"/>
    </row>
    <row r="63" spans="2:13" ht="30" x14ac:dyDescent="0.25">
      <c r="B63" s="11" t="s">
        <v>891</v>
      </c>
      <c r="C63" s="10" t="str">
        <f>C40</f>
        <v>Leaderboards</v>
      </c>
      <c r="D63" s="10" t="str">
        <f t="shared" ref="D63:M63" si="3">D40</f>
        <v>Perfil personalizable</v>
      </c>
      <c r="E63" s="10" t="str">
        <f t="shared" si="3"/>
        <v>Juegos Interactivos</v>
      </c>
      <c r="F63" s="10" t="str">
        <f t="shared" si="3"/>
        <v>Gráficos llamativos</v>
      </c>
      <c r="G63" s="10" t="str">
        <f t="shared" si="3"/>
        <v>Quizz</v>
      </c>
      <c r="H63" s="10" t="str">
        <f t="shared" si="3"/>
        <v>Logros</v>
      </c>
      <c r="I63" s="10" t="str">
        <f t="shared" si="3"/>
        <v>Desafios</v>
      </c>
      <c r="J63" s="10" t="str">
        <f t="shared" si="3"/>
        <v>Puntos</v>
      </c>
      <c r="K63" s="10" t="str">
        <f t="shared" si="3"/>
        <v>Niveles</v>
      </c>
      <c r="L63" s="10" t="str">
        <f t="shared" si="3"/>
        <v>Narrativa</v>
      </c>
      <c r="M63" s="10" t="str">
        <f t="shared" si="3"/>
        <v>Interacción social</v>
      </c>
    </row>
    <row r="64" spans="2:13" x14ac:dyDescent="0.25">
      <c r="B64" s="18" t="s">
        <v>879</v>
      </c>
      <c r="C64" s="8">
        <f>COUNTIFS('Datos finales'!I:I,"=x",'Datos finales'!$G:$G,"=1")</f>
        <v>24</v>
      </c>
      <c r="D64" s="8">
        <f>COUNTIFS('Datos finales'!J:J,"=x",'Datos finales'!$G:$G,"=1")</f>
        <v>20</v>
      </c>
      <c r="E64" s="8">
        <f>COUNTIFS('Datos finales'!K:K,"=x",'Datos finales'!$G:$G,"=1")</f>
        <v>56</v>
      </c>
      <c r="F64" s="8">
        <f>COUNTIFS('Datos finales'!L:L,"=x",'Datos finales'!$G:$G,"=1")</f>
        <v>51</v>
      </c>
      <c r="G64" s="8">
        <f>COUNTIFS('Datos finales'!M:M,"=x",'Datos finales'!$G:$G,"=1")</f>
        <v>19</v>
      </c>
      <c r="H64" s="8">
        <f>COUNTIFS('Datos finales'!N:N,"=x",'Datos finales'!$G:$G,"=1")</f>
        <v>10</v>
      </c>
      <c r="I64" s="8">
        <f>COUNTIFS('Datos finales'!O:O,"=x",'Datos finales'!$G:$G,"=1")</f>
        <v>19</v>
      </c>
      <c r="J64" s="8">
        <f>COUNTIFS('Datos finales'!P:P,"=x",'Datos finales'!$G:$G,"=1")</f>
        <v>43</v>
      </c>
      <c r="K64" s="8">
        <f>COUNTIFS('Datos finales'!Q:Q,"=x",'Datos finales'!$G:$G,"=1")</f>
        <v>28</v>
      </c>
      <c r="L64" s="8">
        <f>COUNTIFS('Datos finales'!R:R,"=x",'Datos finales'!$G:$G,"=1")</f>
        <v>11</v>
      </c>
      <c r="M64" s="8">
        <f>COUNTIFS('Datos finales'!S:S,"=x",'Datos finales'!$G:$G,"=1")</f>
        <v>19</v>
      </c>
    </row>
    <row r="65" spans="2:14" x14ac:dyDescent="0.25">
      <c r="B65" s="18" t="s">
        <v>880</v>
      </c>
      <c r="C65" s="8">
        <f>COUNTIFS('Datos finales'!I:I,"=x",'Datos finales'!$G:$G,"=-1")</f>
        <v>3</v>
      </c>
      <c r="D65" s="8">
        <f>COUNTIFS('Datos finales'!J:J,"=x",'Datos finales'!$G:$G,"=-1")</f>
        <v>1</v>
      </c>
      <c r="E65" s="8">
        <f>COUNTIFS('Datos finales'!K:K,"=x",'Datos finales'!$G:$G,"=-1")</f>
        <v>1</v>
      </c>
      <c r="F65" s="8">
        <f>COUNTIFS('Datos finales'!L:L,"=x",'Datos finales'!$G:$G,"=-1")</f>
        <v>1</v>
      </c>
      <c r="G65" s="8">
        <f>COUNTIFS('Datos finales'!M:M,"=x",'Datos finales'!$G:$G,"=-1")</f>
        <v>2</v>
      </c>
      <c r="H65" s="8">
        <f>COUNTIFS('Datos finales'!N:N,"=x",'Datos finales'!$G:$G,"=-1")</f>
        <v>1</v>
      </c>
      <c r="I65" s="8">
        <f>COUNTIFS('Datos finales'!O:O,"=x",'Datos finales'!$G:$G,"=-1")</f>
        <v>2</v>
      </c>
      <c r="J65" s="8">
        <f>COUNTIFS('Datos finales'!P:P,"=x",'Datos finales'!$G:$G,"=-1")</f>
        <v>3</v>
      </c>
      <c r="K65" s="8">
        <f>COUNTIFS('Datos finales'!Q:Q,"=x",'Datos finales'!$G:$G,"=-1")</f>
        <v>1</v>
      </c>
      <c r="L65" s="8">
        <f>COUNTIFS('Datos finales'!R:R,"=x",'Datos finales'!$G:$G,"=-1")</f>
        <v>1</v>
      </c>
      <c r="M65" s="8">
        <f>COUNTIFS('Datos finales'!S:S,"=x",'Datos finales'!$G:$G,"=-1")</f>
        <v>1</v>
      </c>
    </row>
    <row r="66" spans="2:14" x14ac:dyDescent="0.25">
      <c r="B66" s="18" t="s">
        <v>881</v>
      </c>
      <c r="C66" s="8">
        <f>COUNTIFS('Datos finales'!I:I,"=x",'Datos finales'!$G:$G,"=0")</f>
        <v>6</v>
      </c>
      <c r="D66" s="8">
        <f>COUNTIFS('Datos finales'!J:J,"=x",'Datos finales'!$G:$G,"=0")</f>
        <v>2</v>
      </c>
      <c r="E66" s="8">
        <f>COUNTIFS('Datos finales'!K:K,"=x",'Datos finales'!$G:$G,"=0")</f>
        <v>8</v>
      </c>
      <c r="F66" s="8">
        <f>COUNTIFS('Datos finales'!L:L,"=x",'Datos finales'!$G:$G,"=0")</f>
        <v>7</v>
      </c>
      <c r="G66" s="8">
        <f>COUNTIFS('Datos finales'!M:M,"=x",'Datos finales'!$G:$G,"=0")</f>
        <v>3</v>
      </c>
      <c r="H66" s="8">
        <f>COUNTIFS('Datos finales'!N:N,"=x",'Datos finales'!$G:$G,"=0")</f>
        <v>2</v>
      </c>
      <c r="I66" s="8">
        <f>COUNTIFS('Datos finales'!O:O,"=x",'Datos finales'!$G:$G,"=0")</f>
        <v>3</v>
      </c>
      <c r="J66" s="8">
        <f>COUNTIFS('Datos finales'!P:P,"=x",'Datos finales'!$G:$G,"=0")</f>
        <v>8</v>
      </c>
      <c r="K66" s="8">
        <f>COUNTIFS('Datos finales'!Q:Q,"=x",'Datos finales'!$G:$G,"=0")</f>
        <v>2</v>
      </c>
      <c r="L66" s="8">
        <f>COUNTIFS('Datos finales'!R:R,"=x",'Datos finales'!$G:$G,"=0")</f>
        <v>2</v>
      </c>
      <c r="M66" s="8">
        <f>COUNTIFS('Datos finales'!S:S,"=x",'Datos finales'!$G:$G,"=0")</f>
        <v>1</v>
      </c>
    </row>
    <row r="67" spans="2:14" x14ac:dyDescent="0.25">
      <c r="B67" s="18" t="s">
        <v>884</v>
      </c>
      <c r="C67" s="8">
        <f>COUNTIFS('Datos finales'!I:I,"=x",'Datos finales'!$G:$G,"=N/A")</f>
        <v>1</v>
      </c>
      <c r="D67" s="8">
        <f>COUNTIFS('Datos finales'!J:J,"=x",'Datos finales'!$G:$G,"=N/A")</f>
        <v>2</v>
      </c>
      <c r="E67" s="8">
        <f>COUNTIFS('Datos finales'!K:K,"=x",'Datos finales'!$G:$G,"=N/A")</f>
        <v>7</v>
      </c>
      <c r="F67" s="8">
        <f>COUNTIFS('Datos finales'!L:L,"=x",'Datos finales'!$G:$G,"=N/A")</f>
        <v>6</v>
      </c>
      <c r="G67" s="8">
        <f>COUNTIFS('Datos finales'!M:M,"=x",'Datos finales'!$G:$G,"=N/A")</f>
        <v>4</v>
      </c>
      <c r="H67" s="8">
        <f>COUNTIFS('Datos finales'!N:N,"=x",'Datos finales'!$G:$G,"=N/A")</f>
        <v>0</v>
      </c>
      <c r="I67" s="8">
        <f>COUNTIFS('Datos finales'!O:O,"=x",'Datos finales'!$G:$G,"=N/A")</f>
        <v>1</v>
      </c>
      <c r="J67" s="8">
        <f>COUNTIFS('Datos finales'!P:P,"=x",'Datos finales'!$G:$G,"=N/A")</f>
        <v>5</v>
      </c>
      <c r="K67" s="8">
        <f>COUNTIFS('Datos finales'!Q:Q,"=x",'Datos finales'!$G:$G,"=N/A")</f>
        <v>2</v>
      </c>
      <c r="L67" s="8">
        <f>COUNTIFS('Datos finales'!R:R,"=x",'Datos finales'!$G:$G,"=N/A")</f>
        <v>1</v>
      </c>
      <c r="M67" s="8">
        <f>COUNTIFS('Datos finales'!S:S,"=x",'Datos finales'!$G:$G,"=N/A")</f>
        <v>2</v>
      </c>
    </row>
    <row r="69" spans="2:14" ht="30" x14ac:dyDescent="0.25">
      <c r="B69" s="11" t="s">
        <v>892</v>
      </c>
      <c r="C69" s="10" t="str">
        <f>C40</f>
        <v>Leaderboards</v>
      </c>
      <c r="D69" s="10" t="str">
        <f t="shared" ref="D69:M69" si="4">D40</f>
        <v>Perfil personalizable</v>
      </c>
      <c r="E69" s="10" t="str">
        <f t="shared" si="4"/>
        <v>Juegos Interactivos</v>
      </c>
      <c r="F69" s="10" t="str">
        <f t="shared" si="4"/>
        <v>Gráficos llamativos</v>
      </c>
      <c r="G69" s="10" t="str">
        <f t="shared" si="4"/>
        <v>Quizz</v>
      </c>
      <c r="H69" s="10" t="str">
        <f t="shared" si="4"/>
        <v>Logros</v>
      </c>
      <c r="I69" s="10" t="str">
        <f t="shared" si="4"/>
        <v>Desafios</v>
      </c>
      <c r="J69" s="10" t="str">
        <f t="shared" si="4"/>
        <v>Puntos</v>
      </c>
      <c r="K69" s="10" t="str">
        <f t="shared" si="4"/>
        <v>Niveles</v>
      </c>
      <c r="L69" s="10" t="str">
        <f t="shared" si="4"/>
        <v>Narrativa</v>
      </c>
      <c r="M69" s="10" t="str">
        <f t="shared" si="4"/>
        <v>Interacción social</v>
      </c>
    </row>
    <row r="70" spans="2:14" x14ac:dyDescent="0.25">
      <c r="B70" s="18" t="s">
        <v>879</v>
      </c>
      <c r="C70" s="9">
        <f>C64/C$41</f>
        <v>0.70588235294117652</v>
      </c>
      <c r="D70" s="9">
        <f t="shared" ref="D70:M70" si="5">D64/D$41</f>
        <v>0.8</v>
      </c>
      <c r="E70" s="9">
        <f t="shared" si="5"/>
        <v>0.77777777777777779</v>
      </c>
      <c r="F70" s="9">
        <f t="shared" si="5"/>
        <v>0.7846153846153846</v>
      </c>
      <c r="G70" s="9">
        <f t="shared" si="5"/>
        <v>0.6785714285714286</v>
      </c>
      <c r="H70" s="9">
        <f t="shared" si="5"/>
        <v>0.76923076923076927</v>
      </c>
      <c r="I70" s="9">
        <f t="shared" si="5"/>
        <v>0.76</v>
      </c>
      <c r="J70" s="9">
        <f t="shared" si="5"/>
        <v>0.72881355932203384</v>
      </c>
      <c r="K70" s="9">
        <f t="shared" si="5"/>
        <v>0.84848484848484851</v>
      </c>
      <c r="L70" s="9">
        <f t="shared" si="5"/>
        <v>0.73333333333333328</v>
      </c>
      <c r="M70" s="9">
        <f t="shared" si="5"/>
        <v>0.82608695652173914</v>
      </c>
    </row>
    <row r="71" spans="2:14" x14ac:dyDescent="0.25">
      <c r="B71" s="18" t="s">
        <v>880</v>
      </c>
      <c r="C71" s="9">
        <f t="shared" ref="C71:M71" si="6">C65/C$41</f>
        <v>8.8235294117647065E-2</v>
      </c>
      <c r="D71" s="9">
        <f t="shared" si="6"/>
        <v>0.04</v>
      </c>
      <c r="E71" s="9">
        <f t="shared" si="6"/>
        <v>1.3888888888888888E-2</v>
      </c>
      <c r="F71" s="9">
        <f t="shared" si="6"/>
        <v>1.5384615384615385E-2</v>
      </c>
      <c r="G71" s="9">
        <f t="shared" si="6"/>
        <v>7.1428571428571425E-2</v>
      </c>
      <c r="H71" s="9">
        <f t="shared" si="6"/>
        <v>7.6923076923076927E-2</v>
      </c>
      <c r="I71" s="9">
        <f t="shared" si="6"/>
        <v>0.08</v>
      </c>
      <c r="J71" s="9">
        <f t="shared" si="6"/>
        <v>5.0847457627118647E-2</v>
      </c>
      <c r="K71" s="9">
        <f t="shared" si="6"/>
        <v>3.0303030303030304E-2</v>
      </c>
      <c r="L71" s="9">
        <f t="shared" si="6"/>
        <v>6.6666666666666666E-2</v>
      </c>
      <c r="M71" s="9">
        <f t="shared" si="6"/>
        <v>4.3478260869565216E-2</v>
      </c>
    </row>
    <row r="72" spans="2:14" x14ac:dyDescent="0.25">
      <c r="B72" s="18" t="s">
        <v>881</v>
      </c>
      <c r="C72" s="9">
        <f t="shared" ref="C72:M72" si="7">C66/C$41</f>
        <v>0.17647058823529413</v>
      </c>
      <c r="D72" s="9">
        <f t="shared" si="7"/>
        <v>0.08</v>
      </c>
      <c r="E72" s="9">
        <f t="shared" si="7"/>
        <v>0.1111111111111111</v>
      </c>
      <c r="F72" s="9">
        <f t="shared" si="7"/>
        <v>0.1076923076923077</v>
      </c>
      <c r="G72" s="9">
        <f t="shared" si="7"/>
        <v>0.10714285714285714</v>
      </c>
      <c r="H72" s="9">
        <f t="shared" si="7"/>
        <v>0.15384615384615385</v>
      </c>
      <c r="I72" s="9">
        <f t="shared" si="7"/>
        <v>0.12</v>
      </c>
      <c r="J72" s="9">
        <f t="shared" si="7"/>
        <v>0.13559322033898305</v>
      </c>
      <c r="K72" s="9">
        <f t="shared" si="7"/>
        <v>6.0606060606060608E-2</v>
      </c>
      <c r="L72" s="9">
        <f t="shared" si="7"/>
        <v>0.13333333333333333</v>
      </c>
      <c r="M72" s="9">
        <f t="shared" si="7"/>
        <v>4.3478260869565216E-2</v>
      </c>
    </row>
    <row r="73" spans="2:14" x14ac:dyDescent="0.25">
      <c r="B73" s="18" t="s">
        <v>884</v>
      </c>
      <c r="C73" s="9">
        <f t="shared" ref="C73:M73" si="8">C67/C$41</f>
        <v>2.9411764705882353E-2</v>
      </c>
      <c r="D73" s="9">
        <f t="shared" si="8"/>
        <v>0.08</v>
      </c>
      <c r="E73" s="9">
        <f t="shared" si="8"/>
        <v>9.7222222222222224E-2</v>
      </c>
      <c r="F73" s="9">
        <f t="shared" si="8"/>
        <v>9.2307692307692313E-2</v>
      </c>
      <c r="G73" s="9">
        <f t="shared" si="8"/>
        <v>0.14285714285714285</v>
      </c>
      <c r="H73" s="9">
        <f t="shared" si="8"/>
        <v>0</v>
      </c>
      <c r="I73" s="9">
        <f t="shared" si="8"/>
        <v>0.04</v>
      </c>
      <c r="J73" s="9">
        <f t="shared" si="8"/>
        <v>8.4745762711864403E-2</v>
      </c>
      <c r="K73" s="9">
        <f t="shared" si="8"/>
        <v>6.0606060606060608E-2</v>
      </c>
      <c r="L73" s="9">
        <f t="shared" si="8"/>
        <v>6.6666666666666666E-2</v>
      </c>
      <c r="M73" s="9">
        <f t="shared" si="8"/>
        <v>8.6956521739130432E-2</v>
      </c>
    </row>
    <row r="76" spans="2:14" ht="21" x14ac:dyDescent="0.25">
      <c r="B76" s="26" t="s">
        <v>893</v>
      </c>
      <c r="C76" s="26"/>
      <c r="D76" s="26"/>
    </row>
    <row r="78" spans="2:14" ht="30" x14ac:dyDescent="0.25">
      <c r="B78" s="20" t="s">
        <v>896</v>
      </c>
      <c r="C78" s="21" t="s">
        <v>894</v>
      </c>
      <c r="D78" s="21" t="s">
        <v>895</v>
      </c>
      <c r="E78" s="19"/>
      <c r="F78" s="20" t="s">
        <v>897</v>
      </c>
      <c r="G78" s="10" t="s">
        <v>349</v>
      </c>
      <c r="H78" s="10" t="s">
        <v>343</v>
      </c>
      <c r="I78" s="10" t="s">
        <v>344</v>
      </c>
      <c r="J78" s="10" t="s">
        <v>342</v>
      </c>
      <c r="K78" s="10" t="s">
        <v>345</v>
      </c>
      <c r="L78" s="10" t="s">
        <v>348</v>
      </c>
      <c r="M78" s="10" t="s">
        <v>346</v>
      </c>
      <c r="N78" s="10" t="s">
        <v>347</v>
      </c>
    </row>
    <row r="79" spans="2:14" x14ac:dyDescent="0.25">
      <c r="B79" s="16" t="s">
        <v>342</v>
      </c>
      <c r="C79" s="22">
        <f>COUNTIF('Datos finales'!$V:$V,"=x")</f>
        <v>23</v>
      </c>
      <c r="D79" s="23">
        <f>C79/$D$5</f>
        <v>0.21904761904761905</v>
      </c>
      <c r="F79" s="21" t="s">
        <v>894</v>
      </c>
      <c r="G79" s="22">
        <f>COUNTIFS('Datos finales'!$V:$V,"&lt;&gt;x",'Datos finales'!$W:$W,"&lt;&gt;x",'Datos finales'!$X:$X,"&lt;&gt;x",'Datos finales'!$A:$A,"&lt;&gt;")-1</f>
        <v>15</v>
      </c>
      <c r="H79" s="22">
        <f>COUNTIFS('Datos finales'!$V:$V,"&lt;&gt;x",'Datos finales'!$W:$W,"=x",'Datos finales'!$X:$X,"&lt;&gt;x",'Datos finales'!$A:$A,"&lt;&gt;")</f>
        <v>20</v>
      </c>
      <c r="I79" s="22">
        <f>COUNTIFS('Datos finales'!$V:$V,"&lt;&gt;x",'Datos finales'!$W:$W,"&lt;&gt;x",'Datos finales'!$X:$X,"=x",'Datos finales'!$A:$A,"&lt;&gt;")</f>
        <v>34</v>
      </c>
      <c r="J79" s="22">
        <f>COUNTIFS('Datos finales'!$V:$V,"=x",'Datos finales'!$W:$W,"&lt;&gt;x",'Datos finales'!$X:$X,"&lt;&gt;x",'Datos finales'!$A:$A,"&lt;&gt;")</f>
        <v>12</v>
      </c>
      <c r="K79" s="22">
        <f>COUNTIFS('Datos finales'!$V:$V,"&lt;&gt;x",'Datos finales'!$W:$W,"=x",'Datos finales'!$X:$X,"=x",'Datos finales'!$A:$A,"&lt;&gt;")</f>
        <v>13</v>
      </c>
      <c r="L79" s="22">
        <f>COUNTIFS('Datos finales'!$V:$V,"=x",'Datos finales'!$W:$W,"=x",'Datos finales'!$X:$X,"&lt;&gt;x",'Datos finales'!$A:$A,"&lt;&gt;")</f>
        <v>2</v>
      </c>
      <c r="M79" s="22">
        <f>COUNTIFS('Datos finales'!$V:$V,"=x",'Datos finales'!$W:$W,"&lt;&gt;x",'Datos finales'!$X:$X,"=x",'Datos finales'!$A:$A,"&lt;&gt;")</f>
        <v>8</v>
      </c>
      <c r="N79" s="22">
        <f>COUNTIFS('Datos finales'!$V:$V,"=x",'Datos finales'!$W:$W,"=x",'Datos finales'!$X:$X,"=x",'Datos finales'!$A:$A,"&lt;&gt;")</f>
        <v>1</v>
      </c>
    </row>
    <row r="80" spans="2:14" x14ac:dyDescent="0.25">
      <c r="B80" s="16" t="s">
        <v>343</v>
      </c>
      <c r="C80" s="22">
        <f>COUNTIF('Datos finales'!$W:$W,"=x")</f>
        <v>36</v>
      </c>
      <c r="D80" s="23">
        <f t="shared" ref="D80:D81" si="9">C80/$D$5</f>
        <v>0.34285714285714286</v>
      </c>
      <c r="F80" s="21" t="s">
        <v>895</v>
      </c>
      <c r="G80" s="23">
        <f t="shared" ref="G80:N80" si="10">G79/$D$5</f>
        <v>0.14285714285714285</v>
      </c>
      <c r="H80" s="23">
        <f t="shared" si="10"/>
        <v>0.19047619047619047</v>
      </c>
      <c r="I80" s="23">
        <f t="shared" si="10"/>
        <v>0.32380952380952382</v>
      </c>
      <c r="J80" s="23">
        <f t="shared" si="10"/>
        <v>0.11428571428571428</v>
      </c>
      <c r="K80" s="23">
        <f t="shared" si="10"/>
        <v>0.12380952380952381</v>
      </c>
      <c r="L80" s="23">
        <f t="shared" si="10"/>
        <v>1.9047619047619049E-2</v>
      </c>
      <c r="M80" s="23">
        <f t="shared" si="10"/>
        <v>7.6190476190476197E-2</v>
      </c>
      <c r="N80" s="23">
        <f t="shared" si="10"/>
        <v>9.5238095238095247E-3</v>
      </c>
    </row>
    <row r="81" spans="2:12" x14ac:dyDescent="0.25">
      <c r="B81" s="16" t="s">
        <v>344</v>
      </c>
      <c r="C81" s="22">
        <f>COUNTIF('Datos finales'!$X:$X,"=x")</f>
        <v>56</v>
      </c>
      <c r="D81" s="23">
        <f t="shared" si="9"/>
        <v>0.53333333333333333</v>
      </c>
      <c r="F81" s="34"/>
      <c r="G81" s="4"/>
      <c r="H81" s="35"/>
    </row>
    <row r="82" spans="2:12" x14ac:dyDescent="0.25">
      <c r="F82" s="34"/>
      <c r="G82" s="4"/>
      <c r="H82" s="35"/>
      <c r="L82" s="24">
        <f>SUM(K80:N80)</f>
        <v>0.22857142857142856</v>
      </c>
    </row>
    <row r="83" spans="2:12" x14ac:dyDescent="0.25">
      <c r="F83" s="34"/>
      <c r="G83" s="4"/>
      <c r="H83" s="35"/>
    </row>
    <row r="84" spans="2:12" x14ac:dyDescent="0.25">
      <c r="F84" s="34"/>
      <c r="G84" s="4"/>
      <c r="H84" s="35"/>
    </row>
    <row r="85" spans="2:12" x14ac:dyDescent="0.25">
      <c r="F85" s="34"/>
      <c r="G85" s="4"/>
      <c r="H85" s="35"/>
    </row>
    <row r="86" spans="2:12" x14ac:dyDescent="0.25">
      <c r="F86" s="34"/>
      <c r="G86" s="4"/>
      <c r="H86" s="35"/>
    </row>
    <row r="87" spans="2:12" x14ac:dyDescent="0.25">
      <c r="H87" s="24"/>
    </row>
    <row r="100" spans="2:10" ht="21" x14ac:dyDescent="0.35">
      <c r="B100" s="25" t="s">
        <v>1006</v>
      </c>
    </row>
    <row r="102" spans="2:10" x14ac:dyDescent="0.25">
      <c r="B102" s="11" t="s">
        <v>903</v>
      </c>
      <c r="C102" s="10" t="s">
        <v>343</v>
      </c>
      <c r="D102" s="10" t="s">
        <v>344</v>
      </c>
      <c r="E102" s="10" t="s">
        <v>342</v>
      </c>
      <c r="G102" s="11" t="s">
        <v>892</v>
      </c>
      <c r="H102" s="10" t="s">
        <v>343</v>
      </c>
      <c r="I102" s="10" t="s">
        <v>344</v>
      </c>
      <c r="J102" s="10" t="s">
        <v>342</v>
      </c>
    </row>
    <row r="103" spans="2:10" x14ac:dyDescent="0.25">
      <c r="B103" s="18" t="s">
        <v>879</v>
      </c>
      <c r="C103" s="33">
        <f>COUNTIFS('Datos finales'!W:W,"=x",'Datos finales'!G:G,"=1")</f>
        <v>29</v>
      </c>
      <c r="D103" s="33">
        <f>COUNTIFS('Datos finales'!X:X,"=x",'Datos finales'!A:A,"&lt;&gt;",'Datos finales'!G:G,"=1")</f>
        <v>48</v>
      </c>
      <c r="E103" s="33">
        <f>COUNTIFS('Datos finales'!V:V,"=x",'Datos finales'!G:G,"=1")</f>
        <v>18</v>
      </c>
      <c r="G103" s="18" t="s">
        <v>879</v>
      </c>
      <c r="H103" s="9">
        <f>C103/$C$80</f>
        <v>0.80555555555555558</v>
      </c>
      <c r="I103" s="9">
        <f>D103/$C$81</f>
        <v>0.8571428571428571</v>
      </c>
      <c r="J103" s="9">
        <f>E103/$C$79</f>
        <v>0.78260869565217395</v>
      </c>
    </row>
    <row r="104" spans="2:10" x14ac:dyDescent="0.25">
      <c r="B104" s="18" t="s">
        <v>880</v>
      </c>
      <c r="C104" s="33">
        <f>COUNTIFS('Datos finales'!W:W,"=x",'Datos finales'!G:G,"=-1")</f>
        <v>1</v>
      </c>
      <c r="D104" s="33">
        <f>COUNTIFS('Datos finales'!X:X,"=x",'Datos finales'!A:A,"&lt;&gt;",'Datos finales'!G:G,"=-1")</f>
        <v>1</v>
      </c>
      <c r="E104" s="33">
        <f>COUNTIFS('Datos finales'!V:V,"=x",'Datos finales'!G:G,"=-1")</f>
        <v>3</v>
      </c>
      <c r="G104" s="18" t="s">
        <v>880</v>
      </c>
      <c r="H104" s="9">
        <f t="shared" ref="H104:H106" si="11">C104/$C$80</f>
        <v>2.7777777777777776E-2</v>
      </c>
      <c r="I104" s="9">
        <f t="shared" ref="I104:I106" si="12">D104/$C$81</f>
        <v>1.7857142857142856E-2</v>
      </c>
      <c r="J104" s="9">
        <f t="shared" ref="J104:J106" si="13">E104/$C$79</f>
        <v>0.13043478260869565</v>
      </c>
    </row>
    <row r="105" spans="2:10" x14ac:dyDescent="0.25">
      <c r="B105" s="18" t="s">
        <v>881</v>
      </c>
      <c r="C105" s="33">
        <f>COUNTIFS('Datos finales'!W:W,"=x",'Datos finales'!G:G,"=0")</f>
        <v>6</v>
      </c>
      <c r="D105" s="33">
        <f>COUNTIFS('Datos finales'!X:X,"=x",'Datos finales'!A:A,"&lt;&gt;",'Datos finales'!G:G,"=0")</f>
        <v>7</v>
      </c>
      <c r="E105" s="33">
        <f>COUNTIFS('Datos finales'!V:V,"=x",'Datos finales'!G:G,"=0")</f>
        <v>2</v>
      </c>
      <c r="G105" s="18" t="s">
        <v>881</v>
      </c>
      <c r="H105" s="9">
        <f t="shared" si="11"/>
        <v>0.16666666666666666</v>
      </c>
      <c r="I105" s="9">
        <f t="shared" si="12"/>
        <v>0.125</v>
      </c>
      <c r="J105" s="9">
        <f t="shared" si="13"/>
        <v>8.6956521739130432E-2</v>
      </c>
    </row>
    <row r="106" spans="2:10" x14ac:dyDescent="0.25">
      <c r="B106" s="18" t="s">
        <v>884</v>
      </c>
      <c r="C106" s="33">
        <f>COUNTIFS('Datos finales'!W:W,"=x",'Datos finales'!G:G,"=N/A")</f>
        <v>0</v>
      </c>
      <c r="D106" s="33">
        <f>COUNTIFS('Datos finales'!X:X,"=x",'Datos finales'!A:A,"&lt;&gt;",'Datos finales'!G:G,"=N/A")</f>
        <v>0</v>
      </c>
      <c r="E106" s="33">
        <f>COUNTIFS('Datos finales'!V:V,"=x",'Datos finales'!G:G,"=N/A")</f>
        <v>0</v>
      </c>
      <c r="G106" s="18" t="s">
        <v>884</v>
      </c>
      <c r="H106" s="9">
        <f t="shared" si="11"/>
        <v>0</v>
      </c>
      <c r="I106" s="9">
        <f t="shared" si="12"/>
        <v>0</v>
      </c>
      <c r="J106" s="9">
        <f t="shared" si="13"/>
        <v>0</v>
      </c>
    </row>
    <row r="119" spans="2:13" ht="21" x14ac:dyDescent="0.35">
      <c r="B119" s="25" t="s">
        <v>1005</v>
      </c>
    </row>
    <row r="121" spans="2:13" ht="30" x14ac:dyDescent="0.25">
      <c r="B121" s="11" t="s">
        <v>903</v>
      </c>
      <c r="C121" s="10" t="s">
        <v>349</v>
      </c>
      <c r="D121" s="10" t="s">
        <v>343</v>
      </c>
      <c r="E121" s="10" t="s">
        <v>344</v>
      </c>
      <c r="F121" s="10" t="s">
        <v>342</v>
      </c>
      <c r="G121" s="10" t="s">
        <v>345</v>
      </c>
      <c r="H121" s="10" t="s">
        <v>348</v>
      </c>
      <c r="I121" s="10" t="s">
        <v>346</v>
      </c>
      <c r="J121" s="10" t="s">
        <v>347</v>
      </c>
      <c r="K121" s="31"/>
      <c r="L121" s="31"/>
      <c r="M121" s="31"/>
    </row>
    <row r="122" spans="2:13" x14ac:dyDescent="0.25">
      <c r="B122" s="18" t="s">
        <v>879</v>
      </c>
      <c r="C122" s="33">
        <f>COUNTIFS('Datos finales'!V:V,"&lt;&gt;x",'Datos finales'!W:W,"&lt;&gt;x",'Datos finales'!X:X,"&lt;&gt;x",'Datos finales'!A:A,"&lt;&gt;",'Datos finales'!G:G,"=1")</f>
        <v>6</v>
      </c>
      <c r="D122" s="33">
        <f>COUNTIFS('Datos finales'!V:V,"&lt;&gt;x",'Datos finales'!W:W,"=x",'Datos finales'!X:X,"&lt;&gt;x",'Datos finales'!A:A,"&lt;&gt;",'Datos finales'!G:G,"=1")</f>
        <v>14</v>
      </c>
      <c r="E122" s="33">
        <f>COUNTIFS('Datos finales'!V:V,"&lt;&gt;x",'Datos finales'!W:W,"&lt;&gt;x",'Datos finales'!X:X,"=x",'Datos finales'!A:A,"&lt;&gt;",'Datos finales'!G:G,"=1")</f>
        <v>28</v>
      </c>
      <c r="F122" s="33">
        <f>COUNTIFS('Datos finales'!V:V,"=x",'Datos finales'!W:W,"&lt;&gt;x",'Datos finales'!X:X,"&lt;&gt;x",'Datos finales'!A:A,"&lt;&gt;",'Datos finales'!G:G,"=1")</f>
        <v>8</v>
      </c>
      <c r="G122" s="22">
        <f>COUNTIFS('Datos finales'!V:V,"&lt;&gt;x",'Datos finales'!W:W,"=x",'Datos finales'!X:X,"=x",'Datos finales'!A:A,"&lt;&gt;",'Datos finales'!G:G,"=1")</f>
        <v>12</v>
      </c>
      <c r="H122" s="22">
        <f>COUNTIFS('Datos finales'!$V:$V,"=x",'Datos finales'!$W:$W,"=x",'Datos finales'!$X:$X,"&lt;&gt;x",'Datos finales'!$A:$A,"&lt;&gt;",'Datos finales'!G:G,"=1")</f>
        <v>2</v>
      </c>
      <c r="I122" s="22">
        <f>COUNTIFS('Datos finales'!$V:$V,"=x",'Datos finales'!$W:$W,"&lt;&gt;x",'Datos finales'!$X:$X,"=x",'Datos finales'!$A:$A,"&lt;&gt;",'Datos finales'!G:G,"=1")</f>
        <v>7</v>
      </c>
      <c r="J122" s="22">
        <f>COUNTIFS('Datos finales'!$V:$V,"=x",'Datos finales'!$W:$W,"=x",'Datos finales'!$X:$X,"=x",'Datos finales'!$A:$A,"&lt;&gt;",'Datos finales'!G:G,"=1")</f>
        <v>1</v>
      </c>
      <c r="K122" s="32"/>
      <c r="L122" s="32"/>
      <c r="M122" s="32"/>
    </row>
    <row r="123" spans="2:13" x14ac:dyDescent="0.25">
      <c r="B123" s="18" t="s">
        <v>880</v>
      </c>
      <c r="C123" s="33">
        <f>COUNTIFS('Datos finales'!V:V,"&lt;&gt;x",'Datos finales'!W:W,"&lt;&gt;x",'Datos finales'!X:X,"&lt;&gt;x",'Datos finales'!A:A,"&lt;&gt;",'Datos finales'!G:G,"=-1")</f>
        <v>0</v>
      </c>
      <c r="D123" s="33">
        <f>COUNTIFS('Datos finales'!V:V,"&lt;&gt;x",'Datos finales'!W:W,"=x",'Datos finales'!X:X,"&lt;&gt;x",'Datos finales'!A:A,"&lt;&gt;",'Datos finales'!G:G,"=-1")</f>
        <v>1</v>
      </c>
      <c r="E123" s="33">
        <f>COUNTIFS('Datos finales'!V:V,"&lt;&gt;x",'Datos finales'!W:W,"&lt;&gt;x",'Datos finales'!X:X,"=x",'Datos finales'!A:A,"&lt;&gt;",'Datos finales'!G:G,"=-1")</f>
        <v>1</v>
      </c>
      <c r="F123" s="33">
        <f>COUNTIFS('Datos finales'!V:V,"=x",'Datos finales'!W:W,"&lt;&gt;x",'Datos finales'!X:X,"&lt;&gt;x",'Datos finales'!A:A,"&lt;&gt;",'Datos finales'!G:G,"=-1")</f>
        <v>3</v>
      </c>
      <c r="G123" s="22">
        <f>COUNTIFS('Datos finales'!V:V,"&lt;&gt;x",'Datos finales'!W:W,"=x",'Datos finales'!X:X,"=x",'Datos finales'!A:A,"&lt;&gt;",'Datos finales'!G:G,"=-1")</f>
        <v>0</v>
      </c>
      <c r="H123" s="22">
        <f>COUNTIFS('Datos finales'!$V:$V,"=x",'Datos finales'!$W:$W,"=x",'Datos finales'!$X:$X,"&lt;&gt;x",'Datos finales'!$A:$A,"&lt;&gt;",'Datos finales'!G:G,"=-1")</f>
        <v>0</v>
      </c>
      <c r="I123" s="22">
        <f>COUNTIFS('Datos finales'!$V:$V,"=x",'Datos finales'!$W:$W,"&lt;&gt;x",'Datos finales'!$X:$X,"=x",'Datos finales'!$A:$A,"&lt;&gt;",'Datos finales'!G:G,"=-1")</f>
        <v>0</v>
      </c>
      <c r="J123" s="22">
        <f>COUNTIFS('Datos finales'!$V:$V,"=x",'Datos finales'!$W:$W,"=x",'Datos finales'!$X:$X,"=x",'Datos finales'!$A:$A,"&lt;&gt;",'Datos finales'!G:G,"=-1")</f>
        <v>0</v>
      </c>
      <c r="K123" s="32"/>
      <c r="L123" s="32"/>
      <c r="M123" s="32"/>
    </row>
    <row r="124" spans="2:13" x14ac:dyDescent="0.25">
      <c r="B124" s="18" t="s">
        <v>881</v>
      </c>
      <c r="C124" s="33">
        <f>COUNTIFS('Datos finales'!V:V,"&lt;&gt;x",'Datos finales'!W:W,"&lt;&gt;x",'Datos finales'!X:X,"&lt;&gt;x",'Datos finales'!A:A,"&lt;&gt;",'Datos finales'!G:G,"=0")</f>
        <v>2</v>
      </c>
      <c r="D124" s="33">
        <f>COUNTIFS('Datos finales'!V:V,"&lt;&gt;x",'Datos finales'!W:W,"=x",'Datos finales'!X:X,"&lt;&gt;x",'Datos finales'!A:A,"&lt;&gt;",'Datos finales'!G:G,"=0")</f>
        <v>5</v>
      </c>
      <c r="E124" s="33">
        <f>COUNTIFS('Datos finales'!V:V,"&lt;&gt;x",'Datos finales'!W:W,"&lt;&gt;x",'Datos finales'!X:X,"=x",'Datos finales'!A:A,"&lt;&gt;",'Datos finales'!G:G,"=0")</f>
        <v>5</v>
      </c>
      <c r="F124" s="33">
        <f>COUNTIFS('Datos finales'!V:V,"=x",'Datos finales'!W:W,"&lt;&gt;x",'Datos finales'!X:X,"&lt;&gt;x",'Datos finales'!A:A,"&lt;&gt;",'Datos finales'!G:G,"=0")</f>
        <v>1</v>
      </c>
      <c r="G124" s="22">
        <f>COUNTIFS('Datos finales'!V:V,"&lt;&gt;x",'Datos finales'!W:W,"=x",'Datos finales'!X:X,"=x",'Datos finales'!A:A,"&lt;&gt;",'Datos finales'!G:G,"=0")</f>
        <v>1</v>
      </c>
      <c r="H124" s="22">
        <f>COUNTIFS('Datos finales'!$V:$V,"=x",'Datos finales'!$W:$W,"=x",'Datos finales'!$X:$X,"&lt;&gt;x",'Datos finales'!$A:$A,"&lt;&gt;",'Datos finales'!G:G,"=0")</f>
        <v>0</v>
      </c>
      <c r="I124" s="22">
        <f>COUNTIFS('Datos finales'!$V:$V,"=x",'Datos finales'!$W:$W,"&lt;&gt;x",'Datos finales'!$X:$X,"=x",'Datos finales'!$A:$A,"&lt;&gt;",'Datos finales'!G:G,"=0")</f>
        <v>1</v>
      </c>
      <c r="J124" s="22">
        <f>COUNTIFS('Datos finales'!$V:$V,"=x",'Datos finales'!$W:$W,"=x",'Datos finales'!$X:$X,"=x",'Datos finales'!$A:$A,"&lt;&gt;",'Datos finales'!G:G,"=0")</f>
        <v>0</v>
      </c>
      <c r="K124" s="32"/>
      <c r="L124" s="32"/>
      <c r="M124" s="32"/>
    </row>
    <row r="125" spans="2:13" x14ac:dyDescent="0.25">
      <c r="B125" s="18" t="s">
        <v>884</v>
      </c>
      <c r="C125" s="33">
        <f>COUNTIFS('Datos finales'!V:V,"&lt;&gt;x",'Datos finales'!W:W,"&lt;&gt;x",'Datos finales'!X:X,"&lt;&gt;x",'Datos finales'!A:A,"&lt;&gt;",'Datos finales'!G:G,"=N/A")</f>
        <v>7</v>
      </c>
      <c r="D125" s="33">
        <f>COUNTIFS('Datos finales'!V:V,"&lt;&gt;x",'Datos finales'!W:W,"=x",'Datos finales'!X:X,"&lt;&gt;x",'Datos finales'!A:A,"&lt;&gt;",'Datos finales'!G:G,"=N/A")</f>
        <v>0</v>
      </c>
      <c r="E125" s="33">
        <f>COUNTIFS('Datos finales'!V:V,"&lt;&gt;x",'Datos finales'!W:W,"&lt;&gt;x",'Datos finales'!X:X,"=x",'Datos finales'!A:A,"&lt;&gt;",'Datos finales'!G:G,"=N/A")</f>
        <v>0</v>
      </c>
      <c r="F125" s="33">
        <f>COUNTIFS('Datos finales'!V:V,"=x",'Datos finales'!W:W,"&lt;&gt;x",'Datos finales'!X:X,"&lt;&gt;x",'Datos finales'!A:A,"&lt;&gt;",'Datos finales'!G:G,"=N/A")</f>
        <v>0</v>
      </c>
      <c r="G125" s="22">
        <f>COUNTIFS('Datos finales'!V:V,"&lt;&gt;x",'Datos finales'!W:W,"=x",'Datos finales'!X:X,"=x",'Datos finales'!A:A,"&lt;&gt;",'Datos finales'!G:G,"=N/A")</f>
        <v>0</v>
      </c>
      <c r="H125" s="22">
        <f>COUNTIFS('Datos finales'!$V:$V,"=x",'Datos finales'!$W:$W,"=x",'Datos finales'!$X:$X,"&lt;&gt;x",'Datos finales'!$A:$A,"&lt;&gt;",'Datos finales'!G:G,"=N/A")</f>
        <v>0</v>
      </c>
      <c r="I125" s="22">
        <f>COUNTIFS('Datos finales'!$V:$V,"=x",'Datos finales'!$W:$W,"&lt;&gt;x",'Datos finales'!$X:$X,"=x",'Datos finales'!$A:$A,"&lt;&gt;",'Datos finales'!G:G,"=N/A")</f>
        <v>0</v>
      </c>
      <c r="J125" s="22">
        <f>COUNTIFS('Datos finales'!$V:$V,"=x",'Datos finales'!$W:$W,"=x",'Datos finales'!$X:$X,"=x",'Datos finales'!$A:$A,"&lt;&gt;",'Datos finales'!G:G,"=N/A")</f>
        <v>0</v>
      </c>
      <c r="K125" s="32"/>
      <c r="L125" s="32"/>
      <c r="M125" s="32"/>
    </row>
    <row r="127" spans="2:13" ht="30" x14ac:dyDescent="0.25">
      <c r="B127" s="11" t="s">
        <v>892</v>
      </c>
      <c r="C127" s="10" t="s">
        <v>349</v>
      </c>
      <c r="D127" s="10" t="s">
        <v>343</v>
      </c>
      <c r="E127" s="10" t="s">
        <v>344</v>
      </c>
      <c r="F127" s="10" t="s">
        <v>342</v>
      </c>
      <c r="G127" s="10" t="s">
        <v>345</v>
      </c>
      <c r="H127" s="10" t="s">
        <v>348</v>
      </c>
      <c r="I127" s="10" t="s">
        <v>346</v>
      </c>
      <c r="J127" s="10" t="s">
        <v>347</v>
      </c>
    </row>
    <row r="128" spans="2:13" x14ac:dyDescent="0.25">
      <c r="B128" s="18" t="s">
        <v>879</v>
      </c>
      <c r="C128" s="9">
        <f>C122/G$79</f>
        <v>0.4</v>
      </c>
      <c r="D128" s="9">
        <f t="shared" ref="D128:J128" si="14">D122/H$79</f>
        <v>0.7</v>
      </c>
      <c r="E128" s="9">
        <f t="shared" si="14"/>
        <v>0.82352941176470584</v>
      </c>
      <c r="F128" s="9">
        <f t="shared" si="14"/>
        <v>0.66666666666666663</v>
      </c>
      <c r="G128" s="9">
        <f t="shared" si="14"/>
        <v>0.92307692307692313</v>
      </c>
      <c r="H128" s="9">
        <f t="shared" si="14"/>
        <v>1</v>
      </c>
      <c r="I128" s="9">
        <f t="shared" si="14"/>
        <v>0.875</v>
      </c>
      <c r="J128" s="9">
        <f t="shared" si="14"/>
        <v>1</v>
      </c>
    </row>
    <row r="129" spans="2:14" x14ac:dyDescent="0.25">
      <c r="B129" s="18" t="s">
        <v>880</v>
      </c>
      <c r="C129" s="9">
        <f t="shared" ref="C129:C131" si="15">C123/G$79</f>
        <v>0</v>
      </c>
      <c r="D129" s="9">
        <f t="shared" ref="D129:D131" si="16">D123/H$79</f>
        <v>0.05</v>
      </c>
      <c r="E129" s="9">
        <f t="shared" ref="E129:E131" si="17">E123/I$79</f>
        <v>2.9411764705882353E-2</v>
      </c>
      <c r="F129" s="9">
        <f t="shared" ref="F129:F131" si="18">F123/J$79</f>
        <v>0.25</v>
      </c>
      <c r="G129" s="9">
        <f t="shared" ref="G129:G131" si="19">G123/K$79</f>
        <v>0</v>
      </c>
      <c r="H129" s="9">
        <f t="shared" ref="H129:H131" si="20">H123/L$79</f>
        <v>0</v>
      </c>
      <c r="I129" s="9">
        <f t="shared" ref="I129:I131" si="21">I123/M$79</f>
        <v>0</v>
      </c>
      <c r="J129" s="9">
        <f t="shared" ref="J129:J131" si="22">J123/N$79</f>
        <v>0</v>
      </c>
    </row>
    <row r="130" spans="2:14" x14ac:dyDescent="0.25">
      <c r="B130" s="18" t="s">
        <v>881</v>
      </c>
      <c r="C130" s="9">
        <f t="shared" si="15"/>
        <v>0.13333333333333333</v>
      </c>
      <c r="D130" s="9">
        <f t="shared" si="16"/>
        <v>0.25</v>
      </c>
      <c r="E130" s="9">
        <f t="shared" si="17"/>
        <v>0.14705882352941177</v>
      </c>
      <c r="F130" s="9">
        <f t="shared" si="18"/>
        <v>8.3333333333333329E-2</v>
      </c>
      <c r="G130" s="9">
        <f t="shared" si="19"/>
        <v>7.6923076923076927E-2</v>
      </c>
      <c r="H130" s="9">
        <f t="shared" si="20"/>
        <v>0</v>
      </c>
      <c r="I130" s="9">
        <f t="shared" si="21"/>
        <v>0.125</v>
      </c>
      <c r="J130" s="9">
        <f t="shared" si="22"/>
        <v>0</v>
      </c>
    </row>
    <row r="131" spans="2:14" x14ac:dyDescent="0.25">
      <c r="B131" s="18" t="s">
        <v>884</v>
      </c>
      <c r="C131" s="9">
        <f t="shared" si="15"/>
        <v>0.46666666666666667</v>
      </c>
      <c r="D131" s="9">
        <f t="shared" si="16"/>
        <v>0</v>
      </c>
      <c r="E131" s="9">
        <f t="shared" si="17"/>
        <v>0</v>
      </c>
      <c r="F131" s="9">
        <f t="shared" si="18"/>
        <v>0</v>
      </c>
      <c r="G131" s="9">
        <f t="shared" si="19"/>
        <v>0</v>
      </c>
      <c r="H131" s="9">
        <f t="shared" si="20"/>
        <v>0</v>
      </c>
      <c r="I131" s="9">
        <f t="shared" si="21"/>
        <v>0</v>
      </c>
      <c r="J131" s="9">
        <f t="shared" si="22"/>
        <v>0</v>
      </c>
    </row>
    <row r="136" spans="2:14" ht="21" x14ac:dyDescent="0.35">
      <c r="B136" s="25" t="s">
        <v>1059</v>
      </c>
    </row>
    <row r="139" spans="2:14" ht="45" x14ac:dyDescent="0.25">
      <c r="C139" s="10" t="s">
        <v>1019</v>
      </c>
      <c r="D139" s="10" t="s">
        <v>1020</v>
      </c>
      <c r="E139" s="10" t="s">
        <v>1021</v>
      </c>
      <c r="F139" s="10" t="s">
        <v>1056</v>
      </c>
      <c r="G139" s="10" t="s">
        <v>1029</v>
      </c>
      <c r="H139" s="10" t="s">
        <v>1025</v>
      </c>
      <c r="I139" s="10" t="s">
        <v>1055</v>
      </c>
      <c r="J139" s="10" t="s">
        <v>1057</v>
      </c>
      <c r="K139" s="10" t="s">
        <v>1036</v>
      </c>
      <c r="L139" s="10" t="s">
        <v>1054</v>
      </c>
      <c r="M139" s="10" t="s">
        <v>1023</v>
      </c>
      <c r="N139" s="10" t="s">
        <v>1053</v>
      </c>
    </row>
    <row r="140" spans="2:14" x14ac:dyDescent="0.25">
      <c r="B140" s="16" t="s">
        <v>1060</v>
      </c>
      <c r="C140" s="13">
        <f>COUNTIF('Datos finales'!Y3:Y107,"&lt;&gt;")</f>
        <v>100</v>
      </c>
      <c r="D140" s="13">
        <f>COUNT('Datos finales'!Z3:Z107)</f>
        <v>85</v>
      </c>
      <c r="E140" s="13">
        <f>COUNT('Datos finales'!AA3:AA107)</f>
        <v>31</v>
      </c>
      <c r="F140" s="13">
        <f>COUNT('Datos finales'!AB3:AB107)</f>
        <v>33</v>
      </c>
      <c r="G140" s="13">
        <f>COUNT('Datos finales'!AC3:AC107)</f>
        <v>19</v>
      </c>
      <c r="H140" s="13">
        <f>COUNTIF('Datos finales'!AD3:AD107,"&lt;&gt;")</f>
        <v>30</v>
      </c>
      <c r="I140" s="13">
        <f>COUNT('Datos finales'!AE3:AE107)</f>
        <v>69</v>
      </c>
      <c r="J140" s="13">
        <f>COUNT('Datos finales'!AF3:AF107)</f>
        <v>24</v>
      </c>
      <c r="K140" s="13">
        <f>COUNT('Datos finales'!AG3:AG107)</f>
        <v>55</v>
      </c>
      <c r="L140" s="13">
        <f>COUNT('Datos finales'!AH3:AH107)</f>
        <v>34</v>
      </c>
      <c r="M140" s="13">
        <f>COUNT('Datos finales'!AI3:AI107)</f>
        <v>54</v>
      </c>
      <c r="N140" s="13">
        <f>COUNT('Datos finales'!AJ3:AJ107)</f>
        <v>34</v>
      </c>
    </row>
    <row r="141" spans="2:14" x14ac:dyDescent="0.25">
      <c r="B141" s="16" t="s">
        <v>900</v>
      </c>
      <c r="C141" s="13"/>
      <c r="D141" s="13">
        <f>AVERAGE('Datos finales'!Z3:Z107)</f>
        <v>98.047058823529412</v>
      </c>
      <c r="E141" s="13">
        <f>AVERAGE('Datos finales'!AA3:AA107)</f>
        <v>4.387096774193548</v>
      </c>
      <c r="F141" s="13">
        <f>AVERAGE('Datos finales'!AB3:AB107)</f>
        <v>41.207847707847705</v>
      </c>
      <c r="G141" s="13">
        <f>AVERAGE('Datos finales'!AC3:AC107)</f>
        <v>63.10526315789474</v>
      </c>
      <c r="H141" s="13"/>
      <c r="I141" s="13">
        <f>AVERAGE('Datos finales'!AE3:AE107)</f>
        <v>96.782608695652172</v>
      </c>
      <c r="J141" s="13">
        <f>AVERAGE('Datos finales'!AF3:AF107)</f>
        <v>2.3869355657026889</v>
      </c>
      <c r="K141" s="13">
        <f>AVERAGE('Datos finales'!AG3:AG107)</f>
        <v>15.153246753246753</v>
      </c>
      <c r="L141" s="13">
        <f>AVERAGE('Datos finales'!AH3:AH107)</f>
        <v>58.382352941176471</v>
      </c>
      <c r="M141" s="13">
        <f>AVERAGE('Datos finales'!AI3:AI107)</f>
        <v>11.193121693121693</v>
      </c>
      <c r="N141" s="13">
        <f>AVERAGE('Datos finales'!AJ3:AJ107)</f>
        <v>56.617647058823529</v>
      </c>
    </row>
    <row r="142" spans="2:14" x14ac:dyDescent="0.25">
      <c r="B142" s="16" t="s">
        <v>1061</v>
      </c>
      <c r="C142" s="13"/>
      <c r="D142" s="13">
        <f>MAX('Datos finales'!Z3:Z107)</f>
        <v>473</v>
      </c>
      <c r="E142" s="13">
        <f>MAX('Datos finales'!AA3:AA107)</f>
        <v>26</v>
      </c>
      <c r="F142" s="13">
        <f>MAX('Datos finales'!AB3:AB107)</f>
        <v>212</v>
      </c>
      <c r="G142" s="13">
        <f>MAX('Datos finales'!AC3:AC107)</f>
        <v>316</v>
      </c>
      <c r="H142" s="13"/>
      <c r="I142" s="13">
        <f>MAX('Datos finales'!AE3:AE107)</f>
        <v>1095</v>
      </c>
      <c r="J142" s="13">
        <f>MAX('Datos finales'!AF3:AF107)</f>
        <v>15</v>
      </c>
      <c r="K142" s="13">
        <f>MAX('Datos finales'!AG3:AG107)</f>
        <v>298</v>
      </c>
      <c r="L142" s="13">
        <f>MAX('Datos finales'!AH3:AH107)</f>
        <v>180</v>
      </c>
      <c r="M142" s="13">
        <f>MAX('Datos finales'!AI3:AI107)</f>
        <v>298</v>
      </c>
      <c r="N142" s="13">
        <f>MAX('Datos finales'!AJ3:AJ107)</f>
        <v>180</v>
      </c>
    </row>
    <row r="143" spans="2:14" x14ac:dyDescent="0.25">
      <c r="B143" s="16" t="s">
        <v>1062</v>
      </c>
      <c r="C143" s="13"/>
      <c r="D143" s="13">
        <f>MIN('Datos finales'!Z3:Z107)</f>
        <v>4</v>
      </c>
      <c r="E143" s="13">
        <f>MIN('Datos finales'!AA3:AA107)</f>
        <v>2</v>
      </c>
      <c r="F143" s="13">
        <f>MIN('Datos finales'!AB3:AB107)</f>
        <v>2</v>
      </c>
      <c r="G143" s="13">
        <f>MIN('Datos finales'!AC3:AC107)</f>
        <v>9</v>
      </c>
      <c r="H143" s="13"/>
      <c r="I143" s="13">
        <f>MIN('Datos finales'!AE3:AE107)</f>
        <v>1</v>
      </c>
      <c r="J143" s="13">
        <f>MIN('Datos finales'!AF3:AF107)</f>
        <v>1.9178082191780823E-2</v>
      </c>
      <c r="K143" s="13">
        <f>MIN('Datos finales'!AG3:AG107)</f>
        <v>1</v>
      </c>
      <c r="L143" s="13">
        <f>MIN('Datos finales'!AH3:AH107)</f>
        <v>5</v>
      </c>
      <c r="M143" s="13">
        <f>MIN('Datos finales'!AI3:AI107)</f>
        <v>1</v>
      </c>
      <c r="N143" s="13">
        <f>MIN('Datos finales'!AJ3:AJ107)</f>
        <v>5</v>
      </c>
    </row>
    <row r="146" spans="2:3" ht="21" x14ac:dyDescent="0.35">
      <c r="B146" s="25" t="s">
        <v>1019</v>
      </c>
    </row>
    <row r="147" spans="2:3" x14ac:dyDescent="0.25">
      <c r="B147" s="13" t="s">
        <v>1063</v>
      </c>
      <c r="C147" s="13">
        <f>SUM(C148:C170)</f>
        <v>100</v>
      </c>
    </row>
    <row r="148" spans="2:3" x14ac:dyDescent="0.25">
      <c r="B148" s="13" t="s">
        <v>1039</v>
      </c>
      <c r="C148" s="13">
        <f>COUNTIF('Datos finales'!Y$3:Y$107,B148)</f>
        <v>2</v>
      </c>
    </row>
    <row r="149" spans="2:3" x14ac:dyDescent="0.25">
      <c r="B149" s="13" t="s">
        <v>1042</v>
      </c>
      <c r="C149" s="13">
        <f>COUNTIF('Datos finales'!Y$3:Y$107,B149)</f>
        <v>2</v>
      </c>
    </row>
    <row r="150" spans="2:3" x14ac:dyDescent="0.25">
      <c r="B150" s="13" t="s">
        <v>1035</v>
      </c>
      <c r="C150" s="13">
        <f>COUNTIF('Datos finales'!Y$3:Y$107,B150)</f>
        <v>3</v>
      </c>
    </row>
    <row r="151" spans="2:3" x14ac:dyDescent="0.25">
      <c r="B151" s="13" t="s">
        <v>1049</v>
      </c>
      <c r="C151" s="13">
        <f>COUNTIF('Datos finales'!Y$3:Y$107,B151)</f>
        <v>2</v>
      </c>
    </row>
    <row r="152" spans="2:3" x14ac:dyDescent="0.25">
      <c r="B152" s="13" t="s">
        <v>1041</v>
      </c>
      <c r="C152" s="13">
        <f>COUNTIF('Datos finales'!Y$3:Y$107,B152)</f>
        <v>3</v>
      </c>
    </row>
    <row r="153" spans="2:3" x14ac:dyDescent="0.25">
      <c r="B153" s="13" t="s">
        <v>1064</v>
      </c>
      <c r="C153" s="13">
        <f>COUNTIF('Datos finales'!Y$3:Y$107,B153)</f>
        <v>4</v>
      </c>
    </row>
    <row r="154" spans="2:3" x14ac:dyDescent="0.25">
      <c r="B154" s="13" t="s">
        <v>1022</v>
      </c>
      <c r="C154" s="13">
        <f>COUNTIF('Datos finales'!Y$3:Y$107,B154)</f>
        <v>3</v>
      </c>
    </row>
    <row r="155" spans="2:3" x14ac:dyDescent="0.25">
      <c r="B155" s="13" t="s">
        <v>1050</v>
      </c>
      <c r="C155" s="13">
        <f>COUNTIF('Datos finales'!Y$3:Y$107,B155)</f>
        <v>2</v>
      </c>
    </row>
    <row r="156" spans="2:3" x14ac:dyDescent="0.25">
      <c r="B156" s="13" t="s">
        <v>1043</v>
      </c>
      <c r="C156" s="13">
        <f>COUNTIF('Datos finales'!Y$3:Y$107,B156)</f>
        <v>4</v>
      </c>
    </row>
    <row r="157" spans="2:3" x14ac:dyDescent="0.25">
      <c r="B157" s="13" t="s">
        <v>1052</v>
      </c>
      <c r="C157" s="13">
        <f>COUNTIF('Datos finales'!Y$3:Y$107,B157)</f>
        <v>1</v>
      </c>
    </row>
    <row r="158" spans="2:3" x14ac:dyDescent="0.25">
      <c r="B158" s="13" t="s">
        <v>1031</v>
      </c>
      <c r="C158" s="13">
        <f>COUNTIF('Datos finales'!Y$3:Y$107,B158)</f>
        <v>32</v>
      </c>
    </row>
    <row r="159" spans="2:3" x14ac:dyDescent="0.25">
      <c r="B159" s="13" t="s">
        <v>1030</v>
      </c>
      <c r="C159" s="13">
        <f>COUNTIF('Datos finales'!Y$3:Y$107,B159)</f>
        <v>1</v>
      </c>
    </row>
    <row r="160" spans="2:3" x14ac:dyDescent="0.25">
      <c r="B160" s="13" t="s">
        <v>1047</v>
      </c>
      <c r="C160" s="13">
        <f>COUNTIF('Datos finales'!Y$3:Y$107,B160)</f>
        <v>4</v>
      </c>
    </row>
    <row r="161" spans="2:17" x14ac:dyDescent="0.25">
      <c r="B161" s="13" t="s">
        <v>1051</v>
      </c>
      <c r="C161" s="13">
        <f>COUNTIF('Datos finales'!Y$3:Y$107,B161)</f>
        <v>1</v>
      </c>
    </row>
    <row r="162" spans="2:17" x14ac:dyDescent="0.25">
      <c r="B162" s="13" t="s">
        <v>1040</v>
      </c>
      <c r="C162" s="13">
        <f>COUNTIF('Datos finales'!Y$3:Y$107,B162)</f>
        <v>1</v>
      </c>
    </row>
    <row r="163" spans="2:17" x14ac:dyDescent="0.25">
      <c r="B163" s="13" t="s">
        <v>1038</v>
      </c>
      <c r="C163" s="13">
        <f>COUNTIF('Datos finales'!Y$3:Y$107,B163)</f>
        <v>1</v>
      </c>
    </row>
    <row r="164" spans="2:17" x14ac:dyDescent="0.25">
      <c r="B164" s="13" t="s">
        <v>1032</v>
      </c>
      <c r="C164" s="13">
        <f>COUNTIF('Datos finales'!Y$3:Y$107,B164)</f>
        <v>9</v>
      </c>
    </row>
    <row r="165" spans="2:17" x14ac:dyDescent="0.25">
      <c r="B165" s="13" t="s">
        <v>1028</v>
      </c>
      <c r="C165" s="13">
        <f>COUNTIF('Datos finales'!Y$3:Y$107,B165)</f>
        <v>1</v>
      </c>
    </row>
    <row r="166" spans="2:17" x14ac:dyDescent="0.25">
      <c r="B166" s="13" t="s">
        <v>1034</v>
      </c>
      <c r="C166" s="13">
        <f>COUNTIF('Datos finales'!Y$3:Y$107,B166)</f>
        <v>8</v>
      </c>
    </row>
    <row r="167" spans="2:17" x14ac:dyDescent="0.25">
      <c r="B167" s="13" t="s">
        <v>1048</v>
      </c>
      <c r="C167" s="13">
        <f>COUNTIF('Datos finales'!Y$3:Y$107,B167)</f>
        <v>1</v>
      </c>
    </row>
    <row r="168" spans="2:17" x14ac:dyDescent="0.25">
      <c r="B168" s="13" t="s">
        <v>1045</v>
      </c>
      <c r="C168" s="13">
        <f>COUNTIF('Datos finales'!Y$3:Y$107,B168)</f>
        <v>3</v>
      </c>
    </row>
    <row r="169" spans="2:17" x14ac:dyDescent="0.25">
      <c r="B169" s="13" t="s">
        <v>1024</v>
      </c>
      <c r="C169" s="13">
        <f>COUNTIF('Datos finales'!Y$3:Y$107,B169)</f>
        <v>11</v>
      </c>
    </row>
    <row r="170" spans="2:17" x14ac:dyDescent="0.25">
      <c r="B170" s="13" t="s">
        <v>1046</v>
      </c>
      <c r="C170" s="13">
        <f>COUNTIF('Datos finales'!Y$3:Y$107,B170)</f>
        <v>1</v>
      </c>
      <c r="J170" s="34">
        <v>0</v>
      </c>
      <c r="K170" s="16">
        <v>10</v>
      </c>
      <c r="L170" s="16">
        <v>20</v>
      </c>
      <c r="M170" s="16">
        <v>40</v>
      </c>
      <c r="N170" s="16">
        <v>80</v>
      </c>
      <c r="O170" s="16">
        <v>160</v>
      </c>
      <c r="P170" s="16">
        <v>320</v>
      </c>
      <c r="Q170" s="16">
        <v>640</v>
      </c>
    </row>
    <row r="171" spans="2:17" x14ac:dyDescent="0.25">
      <c r="J171" s="18" t="s">
        <v>879</v>
      </c>
      <c r="K171" s="8">
        <f>COUNTIFS('Datos finales'!$Z:$Z,"&gt;"&amp;J$170,'Datos finales'!$Z:$Z,"&lt;="&amp;K$170,'Datos finales'!$G:$G,"=1")</f>
        <v>1</v>
      </c>
      <c r="L171" s="8">
        <f>COUNTIFS('Datos finales'!$Z:$Z,"&gt;"&amp;K$170,'Datos finales'!$Z:$Z,"&lt;="&amp;L$170,'Datos finales'!$G:$G,"=1")</f>
        <v>10</v>
      </c>
      <c r="M171" s="8">
        <f>COUNTIFS('Datos finales'!$Z:$Z,"&gt;"&amp;L$170,'Datos finales'!$Z:$Z,"&lt;="&amp;M$170,'Datos finales'!$G:$G,"=1")</f>
        <v>10</v>
      </c>
      <c r="N171" s="8">
        <f>COUNTIFS('Datos finales'!$Z:$Z,"&gt;"&amp;M$170,'Datos finales'!$Z:$Z,"&lt;="&amp;N$170,'Datos finales'!$G:$G,"=1")</f>
        <v>23</v>
      </c>
      <c r="O171" s="8">
        <f>COUNTIFS('Datos finales'!$Z:$Z,"&gt;"&amp;N$170,'Datos finales'!$Z:$Z,"&lt;="&amp;O$170,'Datos finales'!$G:$G,"=1")</f>
        <v>10</v>
      </c>
      <c r="P171" s="8">
        <f>COUNTIFS('Datos finales'!$Z:$Z,"&gt;"&amp;O$170,'Datos finales'!$Z:$Z,"&lt;="&amp;P$170,'Datos finales'!$G:$G,"=1")</f>
        <v>6</v>
      </c>
      <c r="Q171" s="8">
        <f>COUNTIFS('Datos finales'!$Z:$Z,"&gt;"&amp;P$170,'Datos finales'!$Z:$Z,"&lt;="&amp;Q$170,'Datos finales'!$G:$G,"=1")</f>
        <v>6</v>
      </c>
    </row>
    <row r="172" spans="2:17" x14ac:dyDescent="0.25">
      <c r="J172" s="18" t="s">
        <v>880</v>
      </c>
      <c r="K172" s="8">
        <f>COUNTIFS('Datos finales'!$Z:$Z,"&gt;"&amp;J$170,'Datos finales'!$Z:$Z,"&lt;="&amp;K$170,'Datos finales'!$G:$G,"=-1")</f>
        <v>1</v>
      </c>
      <c r="L172" s="8">
        <f>COUNTIFS('Datos finales'!$Z:$Z,"&gt;"&amp;K$170,'Datos finales'!$Z:$Z,"&lt;="&amp;L$170,'Datos finales'!$G:$G,"=-1")</f>
        <v>1</v>
      </c>
      <c r="M172" s="8">
        <f>COUNTIFS('Datos finales'!$Z:$Z,"&gt;"&amp;L$170,'Datos finales'!$Z:$Z,"&lt;="&amp;M$170,'Datos finales'!$G:$G,"=-1")</f>
        <v>1</v>
      </c>
      <c r="N172" s="8">
        <f>COUNTIFS('Datos finales'!$Z:$Z,"&gt;"&amp;M$170,'Datos finales'!$Z:$Z,"&lt;="&amp;N$170,'Datos finales'!$G:$G,"=-1")</f>
        <v>1</v>
      </c>
      <c r="O172" s="8">
        <f>COUNTIFS('Datos finales'!$Z:$Z,"&gt;"&amp;N$170,'Datos finales'!$Z:$Z,"&lt;="&amp;O$170,'Datos finales'!$G:$G,"=-1")</f>
        <v>0</v>
      </c>
      <c r="P172" s="8">
        <f>COUNTIFS('Datos finales'!$Z:$Z,"&gt;"&amp;O$170,'Datos finales'!$Z:$Z,"&lt;="&amp;P$170,'Datos finales'!$G:$G,"=-1")</f>
        <v>0</v>
      </c>
      <c r="Q172" s="8">
        <f>COUNTIFS('Datos finales'!$Z:$Z,"&gt;"&amp;P$170,'Datos finales'!$Z:$Z,"&lt;="&amp;Q$170,'Datos finales'!$G:$G,"=-1")</f>
        <v>1</v>
      </c>
    </row>
    <row r="173" spans="2:17" ht="21" x14ac:dyDescent="0.35">
      <c r="B173" s="25" t="s">
        <v>1020</v>
      </c>
      <c r="J173" s="18" t="s">
        <v>881</v>
      </c>
      <c r="K173" s="8">
        <f>COUNTIFS('Datos finales'!$Z:$Z,"&gt;"&amp;J$170,'Datos finales'!$Z:$Z,"&lt;="&amp;K$170,'Datos finales'!$G:$G,"=0")</f>
        <v>1</v>
      </c>
      <c r="L173" s="8">
        <f>COUNTIFS('Datos finales'!$Z:$Z,"&gt;"&amp;K$170,'Datos finales'!$Z:$Z,"&lt;="&amp;L$170,'Datos finales'!$G:$G,"=0")</f>
        <v>2</v>
      </c>
      <c r="M173" s="8">
        <f>COUNTIFS('Datos finales'!$Z:$Z,"&gt;"&amp;L$170,'Datos finales'!$Z:$Z,"&lt;="&amp;M$170,'Datos finales'!$G:$G,"=0")</f>
        <v>0</v>
      </c>
      <c r="N173" s="8">
        <f>COUNTIFS('Datos finales'!$Z:$Z,"&gt;"&amp;M$170,'Datos finales'!$Z:$Z,"&lt;="&amp;N$170,'Datos finales'!$G:$G,"=0")</f>
        <v>4</v>
      </c>
      <c r="O173" s="8">
        <f>COUNTIFS('Datos finales'!$Z:$Z,"&gt;"&amp;N$170,'Datos finales'!$Z:$Z,"&lt;="&amp;O$170,'Datos finales'!$G:$G,"=0")</f>
        <v>2</v>
      </c>
      <c r="P173" s="8">
        <f>COUNTIFS('Datos finales'!$Z:$Z,"&gt;"&amp;O$170,'Datos finales'!$Z:$Z,"&lt;="&amp;P$170,'Datos finales'!$G:$G,"=0")</f>
        <v>2</v>
      </c>
      <c r="Q173" s="8">
        <f>COUNTIFS('Datos finales'!$Z:$Z,"&gt;"&amp;P$170,'Datos finales'!$Z:$Z,"&lt;="&amp;Q$170,'Datos finales'!$G:$G,"=0")</f>
        <v>0</v>
      </c>
    </row>
    <row r="174" spans="2:17" x14ac:dyDescent="0.25">
      <c r="B174" s="16" t="s">
        <v>1072</v>
      </c>
      <c r="C174" s="16" t="s">
        <v>1068</v>
      </c>
      <c r="D174" s="16" t="s">
        <v>1069</v>
      </c>
      <c r="J174" s="18" t="s">
        <v>884</v>
      </c>
      <c r="K174" s="8">
        <f>COUNTIFS('Datos finales'!$Z:$Z,"&gt;"&amp;J$170,'Datos finales'!$Z:$Z,"&lt;="&amp;K$170,'Datos finales'!$G:$G,"=N/A")</f>
        <v>0</v>
      </c>
      <c r="L174" s="8">
        <f>COUNTIFS('Datos finales'!$Z:$Z,"&gt;"&amp;K$170,'Datos finales'!$Z:$Z,"&lt;="&amp;L$170,'Datos finales'!$G:$G,"=N/A")</f>
        <v>0</v>
      </c>
      <c r="M174" s="8">
        <f>COUNTIFS('Datos finales'!$Z:$Z,"&gt;"&amp;L$170,'Datos finales'!$Z:$Z,"&lt;="&amp;M$170,'Datos finales'!$G:$G,"=N/A")</f>
        <v>2</v>
      </c>
      <c r="N174" s="8">
        <f>COUNTIFS('Datos finales'!$Z:$Z,"&gt;"&amp;M$170,'Datos finales'!$Z:$Z,"&lt;="&amp;N$170,'Datos finales'!$G:$G,"=N/A")</f>
        <v>0</v>
      </c>
      <c r="O174" s="8">
        <f>COUNTIFS('Datos finales'!$Z:$Z,"&gt;"&amp;N$170,'Datos finales'!$Z:$Z,"&lt;="&amp;O$170,'Datos finales'!$G:$G,"=N/A")</f>
        <v>1</v>
      </c>
      <c r="P174" s="8">
        <f>COUNTIFS('Datos finales'!$Z:$Z,"&gt;"&amp;O$170,'Datos finales'!$Z:$Z,"&lt;="&amp;P$170,'Datos finales'!$G:$G,"=N/A")</f>
        <v>0</v>
      </c>
      <c r="Q174" s="8">
        <f>COUNTIFS('Datos finales'!$Z:$Z,"&gt;"&amp;P$170,'Datos finales'!$Z:$Z,"&lt;="&amp;Q$170,'Datos finales'!$G:$G,"=N/A")</f>
        <v>0</v>
      </c>
    </row>
    <row r="175" spans="2:17" x14ac:dyDescent="0.25">
      <c r="B175" s="13" t="s">
        <v>1108</v>
      </c>
      <c r="C175" s="13">
        <v>10</v>
      </c>
      <c r="D175" s="13" cm="1">
        <f t="array" ref="D175:D182">FREQUENCY('Datos finales'!Z3:Z107,Cálculos!C175:C181)</f>
        <v>3</v>
      </c>
      <c r="K175" cm="1">
        <f t="array" ref="K175:Q175">TRANSPOSE(D175:D181)</f>
        <v>3</v>
      </c>
      <c r="L175">
        <v>13</v>
      </c>
      <c r="M175">
        <v>13</v>
      </c>
      <c r="N175">
        <v>28</v>
      </c>
      <c r="O175">
        <v>13</v>
      </c>
      <c r="P175">
        <v>8</v>
      </c>
      <c r="Q175">
        <v>7</v>
      </c>
    </row>
    <row r="176" spans="2:17" x14ac:dyDescent="0.25">
      <c r="B176" s="57" t="s">
        <v>1090</v>
      </c>
      <c r="C176" s="13">
        <v>20</v>
      </c>
      <c r="D176" s="13">
        <v>13</v>
      </c>
      <c r="K176" s="13" t="str" cm="1">
        <f t="array" ref="K176:Q176">TRANSPOSE(B175:B181)</f>
        <v>0-10</v>
      </c>
      <c r="L176" s="13" t="str">
        <v>11-20</v>
      </c>
      <c r="M176" s="13" t="str">
        <v>21-40</v>
      </c>
      <c r="N176" s="13" t="str">
        <v>41-80</v>
      </c>
      <c r="O176" s="13" t="str">
        <v>81-160</v>
      </c>
      <c r="P176" s="13" t="str">
        <v>161-320</v>
      </c>
      <c r="Q176" s="13" t="str">
        <v>321-640</v>
      </c>
    </row>
    <row r="177" spans="2:19" x14ac:dyDescent="0.25">
      <c r="B177" s="13" t="s">
        <v>1109</v>
      </c>
      <c r="C177" s="13">
        <v>40</v>
      </c>
      <c r="D177" s="13">
        <v>13</v>
      </c>
      <c r="J177" s="18" t="s">
        <v>879</v>
      </c>
      <c r="K177" s="61">
        <f>K171/K$175</f>
        <v>0.33333333333333331</v>
      </c>
      <c r="L177" s="61">
        <f t="shared" ref="L177:Q177" si="23">L171/L$175</f>
        <v>0.76923076923076927</v>
      </c>
      <c r="M177" s="61">
        <f t="shared" si="23"/>
        <v>0.76923076923076927</v>
      </c>
      <c r="N177" s="61">
        <f t="shared" si="23"/>
        <v>0.8214285714285714</v>
      </c>
      <c r="O177" s="61">
        <f t="shared" si="23"/>
        <v>0.76923076923076927</v>
      </c>
      <c r="P177" s="61">
        <f t="shared" si="23"/>
        <v>0.75</v>
      </c>
      <c r="Q177" s="61">
        <f t="shared" si="23"/>
        <v>0.8571428571428571</v>
      </c>
    </row>
    <row r="178" spans="2:19" x14ac:dyDescent="0.25">
      <c r="B178" s="13" t="s">
        <v>1110</v>
      </c>
      <c r="C178" s="13">
        <v>80</v>
      </c>
      <c r="D178" s="13">
        <v>28</v>
      </c>
      <c r="J178" s="18" t="s">
        <v>880</v>
      </c>
      <c r="K178" s="61">
        <f t="shared" ref="K178:Q178" si="24">K172/K$175</f>
        <v>0.33333333333333331</v>
      </c>
      <c r="L178" s="61">
        <f t="shared" si="24"/>
        <v>7.6923076923076927E-2</v>
      </c>
      <c r="M178" s="61">
        <f t="shared" si="24"/>
        <v>7.6923076923076927E-2</v>
      </c>
      <c r="N178" s="61">
        <f t="shared" si="24"/>
        <v>3.5714285714285712E-2</v>
      </c>
      <c r="O178" s="61">
        <f t="shared" si="24"/>
        <v>0</v>
      </c>
      <c r="P178" s="61">
        <f t="shared" si="24"/>
        <v>0</v>
      </c>
      <c r="Q178" s="61">
        <f t="shared" si="24"/>
        <v>0.14285714285714285</v>
      </c>
    </row>
    <row r="179" spans="2:19" x14ac:dyDescent="0.25">
      <c r="B179" s="13" t="s">
        <v>1111</v>
      </c>
      <c r="C179" s="13">
        <v>160</v>
      </c>
      <c r="D179" s="13">
        <v>13</v>
      </c>
      <c r="J179" s="18" t="s">
        <v>881</v>
      </c>
      <c r="K179" s="61">
        <f t="shared" ref="K179:Q179" si="25">K173/K$175</f>
        <v>0.33333333333333331</v>
      </c>
      <c r="L179" s="61">
        <f t="shared" si="25"/>
        <v>0.15384615384615385</v>
      </c>
      <c r="M179" s="61">
        <f t="shared" si="25"/>
        <v>0</v>
      </c>
      <c r="N179" s="61">
        <f t="shared" si="25"/>
        <v>0.14285714285714285</v>
      </c>
      <c r="O179" s="61">
        <f t="shared" si="25"/>
        <v>0.15384615384615385</v>
      </c>
      <c r="P179" s="61">
        <f t="shared" si="25"/>
        <v>0.25</v>
      </c>
      <c r="Q179" s="61">
        <f t="shared" si="25"/>
        <v>0</v>
      </c>
    </row>
    <row r="180" spans="2:19" x14ac:dyDescent="0.25">
      <c r="B180" s="13" t="s">
        <v>1112</v>
      </c>
      <c r="C180" s="13">
        <v>320</v>
      </c>
      <c r="D180" s="13">
        <v>8</v>
      </c>
      <c r="J180" s="18" t="s">
        <v>884</v>
      </c>
      <c r="K180" s="61">
        <f t="shared" ref="K180:Q180" si="26">K174/K$175</f>
        <v>0</v>
      </c>
      <c r="L180" s="61">
        <f t="shared" si="26"/>
        <v>0</v>
      </c>
      <c r="M180" s="61">
        <f t="shared" si="26"/>
        <v>0.15384615384615385</v>
      </c>
      <c r="N180" s="61">
        <f t="shared" si="26"/>
        <v>0</v>
      </c>
      <c r="O180" s="61">
        <f t="shared" si="26"/>
        <v>7.6923076923076927E-2</v>
      </c>
      <c r="P180" s="61">
        <f t="shared" si="26"/>
        <v>0</v>
      </c>
      <c r="Q180" s="61">
        <f t="shared" si="26"/>
        <v>0</v>
      </c>
    </row>
    <row r="181" spans="2:19" x14ac:dyDescent="0.25">
      <c r="B181" s="13" t="s">
        <v>1113</v>
      </c>
      <c r="C181" s="13">
        <v>640</v>
      </c>
      <c r="D181" s="13">
        <v>7</v>
      </c>
    </row>
    <row r="182" spans="2:19" x14ac:dyDescent="0.25">
      <c r="C182" s="13" t="s">
        <v>1071</v>
      </c>
      <c r="D182" s="13">
        <v>0</v>
      </c>
    </row>
    <row r="183" spans="2:19" x14ac:dyDescent="0.25">
      <c r="C183" t="s">
        <v>1070</v>
      </c>
      <c r="D183">
        <f>SUM(D175:D181)</f>
        <v>85</v>
      </c>
    </row>
    <row r="187" spans="2:19" ht="21" x14ac:dyDescent="0.35">
      <c r="B187" s="25" t="s">
        <v>1021</v>
      </c>
    </row>
    <row r="188" spans="2:19" x14ac:dyDescent="0.25">
      <c r="B188" s="16" t="s">
        <v>1072</v>
      </c>
      <c r="C188" s="16" t="s">
        <v>1068</v>
      </c>
      <c r="D188" s="16" t="s">
        <v>1069</v>
      </c>
      <c r="J188" s="34">
        <v>0</v>
      </c>
      <c r="K188" s="16" cm="1">
        <f t="array" ref="K188:R188">TRANSPOSE(C189:C196)</f>
        <v>2</v>
      </c>
      <c r="L188" s="16">
        <v>3</v>
      </c>
      <c r="M188" s="16">
        <v>4</v>
      </c>
      <c r="N188" s="16">
        <v>5</v>
      </c>
      <c r="O188" s="16">
        <v>10</v>
      </c>
      <c r="P188" s="16">
        <v>15</v>
      </c>
      <c r="Q188" s="16">
        <v>20</v>
      </c>
      <c r="R188" s="16">
        <v>30</v>
      </c>
      <c r="S188" s="34"/>
    </row>
    <row r="189" spans="2:19" x14ac:dyDescent="0.25">
      <c r="B189" s="13">
        <v>2</v>
      </c>
      <c r="C189" s="13">
        <v>2</v>
      </c>
      <c r="D189" s="13" cm="1">
        <f t="array" ref="D189:D197">FREQUENCY('Datos finales'!AA3:AA107,Cálculos!C189:C196)</f>
        <v>18</v>
      </c>
      <c r="J189" s="18" t="s">
        <v>879</v>
      </c>
      <c r="K189" s="8">
        <f>COUNTIFS('Datos finales'!$AA:$AA,"&gt;"&amp;J$188,'Datos finales'!$AA:$AA,"&lt;="&amp;K$188,'Datos finales'!$G:$G,"=1")</f>
        <v>14</v>
      </c>
      <c r="L189" s="8">
        <f>COUNTIFS('Datos finales'!$AA:$AA,"&gt;"&amp;K$188,'Datos finales'!$AA:$AA,"&lt;="&amp;L$188,'Datos finales'!$G:$G,"=1")</f>
        <v>4</v>
      </c>
      <c r="M189" s="8">
        <f>COUNTIFS('Datos finales'!$AA:$AA,"&gt;"&amp;L$188,'Datos finales'!$AA:$AA,"&lt;="&amp;M$188,'Datos finales'!$G:$G,"=1")</f>
        <v>0</v>
      </c>
      <c r="N189" s="8">
        <f>COUNTIFS('Datos finales'!$AA:$AA,"&gt;"&amp;M$188,'Datos finales'!$AA:$AA,"&lt;="&amp;N$188,'Datos finales'!$G:$G,"=1")</f>
        <v>1</v>
      </c>
      <c r="O189" s="8">
        <f>COUNTIFS('Datos finales'!$AA:$AA,"&gt;"&amp;N$188,'Datos finales'!$AA:$AA,"&lt;="&amp;O$188,'Datos finales'!$G:$G,"=1")</f>
        <v>2</v>
      </c>
      <c r="P189" s="8">
        <f>COUNTIFS('Datos finales'!$AA:$AA,"&gt;"&amp;O$188,'Datos finales'!$AA:$AA,"&lt;="&amp;P$188,'Datos finales'!$G:$G,"=1")</f>
        <v>0</v>
      </c>
      <c r="Q189" s="8">
        <f>COUNTIFS('Datos finales'!$AA:$AA,"&gt;"&amp;P$188,'Datos finales'!$AA:$AA,"&lt;="&amp;Q$188,'Datos finales'!$G:$G,"=1")</f>
        <v>1</v>
      </c>
      <c r="R189" s="8">
        <f>COUNTIFS('Datos finales'!$AA:$AA,"&gt;"&amp;Q$188,'Datos finales'!$AA:$AA,"&lt;="&amp;R$188,'Datos finales'!$G:$G,"=1")</f>
        <v>1</v>
      </c>
    </row>
    <row r="190" spans="2:19" x14ac:dyDescent="0.25">
      <c r="B190" s="13">
        <v>3</v>
      </c>
      <c r="C190" s="13">
        <v>3</v>
      </c>
      <c r="D190" s="13">
        <v>6</v>
      </c>
      <c r="J190" s="18" t="s">
        <v>880</v>
      </c>
      <c r="K190" s="8">
        <f>COUNTIFS('Datos finales'!$AA:$AA,"&gt;"&amp;J$188,'Datos finales'!$AA:$AA,"&lt;="&amp;K$188,'Datos finales'!$G:$G,"=-1")</f>
        <v>1</v>
      </c>
      <c r="L190" s="8">
        <f>COUNTIFS('Datos finales'!$AA:$AA,"&gt;"&amp;K$188,'Datos finales'!$AA:$AA,"&lt;="&amp;L$188,'Datos finales'!$G:$G,"=-1")</f>
        <v>1</v>
      </c>
      <c r="M190" s="8">
        <f>COUNTIFS('Datos finales'!$AA:$AA,"&gt;"&amp;L$188,'Datos finales'!$AA:$AA,"&lt;="&amp;M$188,'Datos finales'!$G:$G,"=-1")</f>
        <v>0</v>
      </c>
      <c r="N190" s="8">
        <f>COUNTIFS('Datos finales'!$AA:$AA,"&gt;"&amp;M$188,'Datos finales'!$AA:$AA,"&lt;="&amp;N$188,'Datos finales'!$G:$G,"=-1")</f>
        <v>0</v>
      </c>
      <c r="O190" s="8">
        <f>COUNTIFS('Datos finales'!$AA:$AA,"&gt;"&amp;N$188,'Datos finales'!$AA:$AA,"&lt;="&amp;O$188,'Datos finales'!$G:$G,"=-1")</f>
        <v>0</v>
      </c>
      <c r="P190" s="8">
        <f>COUNTIFS('Datos finales'!$AA:$AA,"&gt;"&amp;O$188,'Datos finales'!$AA:$AA,"&lt;="&amp;P$188,'Datos finales'!$G:$G,"=-1")</f>
        <v>0</v>
      </c>
      <c r="Q190" s="8">
        <f>COUNTIFS('Datos finales'!$AA:$AA,"&gt;"&amp;P$188,'Datos finales'!$AA:$AA,"&lt;="&amp;Q$188,'Datos finales'!$G:$G,"=-1")</f>
        <v>0</v>
      </c>
      <c r="R190" s="8">
        <f>COUNTIFS('Datos finales'!$AA:$AA,"&gt;"&amp;Q$188,'Datos finales'!$AA:$AA,"&lt;="&amp;R$188,'Datos finales'!$G:$G,"=-1")</f>
        <v>0</v>
      </c>
    </row>
    <row r="191" spans="2:19" x14ac:dyDescent="0.25">
      <c r="B191" s="13">
        <v>4</v>
      </c>
      <c r="C191" s="13">
        <v>4</v>
      </c>
      <c r="D191" s="13">
        <v>0</v>
      </c>
      <c r="J191" s="18" t="s">
        <v>881</v>
      </c>
      <c r="K191" s="8">
        <f>COUNTIFS('Datos finales'!$AA:$AA,"&gt;"&amp;J$188,'Datos finales'!$AA:$AA,"&lt;="&amp;K$188,'Datos finales'!$G:$G,"=0")</f>
        <v>2</v>
      </c>
      <c r="L191" s="8">
        <f>COUNTIFS('Datos finales'!$AA:$AA,"&gt;"&amp;K$188,'Datos finales'!$AA:$AA,"&lt;="&amp;L$188,'Datos finales'!$G:$G,"=0")</f>
        <v>1</v>
      </c>
      <c r="M191" s="8">
        <f>COUNTIFS('Datos finales'!$AA:$AA,"&gt;"&amp;L$188,'Datos finales'!$AA:$AA,"&lt;="&amp;M$188,'Datos finales'!$G:$G,"=0")</f>
        <v>0</v>
      </c>
      <c r="N191" s="8">
        <f>COUNTIFS('Datos finales'!$AA:$AA,"&gt;"&amp;M$188,'Datos finales'!$AA:$AA,"&lt;="&amp;N$188,'Datos finales'!$G:$G,"=0")</f>
        <v>0</v>
      </c>
      <c r="O191" s="8">
        <f>COUNTIFS('Datos finales'!$AA:$AA,"&gt;"&amp;N$188,'Datos finales'!$AA:$AA,"&lt;="&amp;O$188,'Datos finales'!$G:$G,"=0")</f>
        <v>2</v>
      </c>
      <c r="P191" s="8">
        <f>COUNTIFS('Datos finales'!$AA:$AA,"&gt;"&amp;O$188,'Datos finales'!$AA:$AA,"&lt;="&amp;P$188,'Datos finales'!$G:$G,"=0")</f>
        <v>0</v>
      </c>
      <c r="Q191" s="8">
        <f>COUNTIFS('Datos finales'!$AA:$AA,"&gt;"&amp;P$188,'Datos finales'!$AA:$AA,"&lt;="&amp;Q$188,'Datos finales'!$G:$G,"=0")</f>
        <v>0</v>
      </c>
      <c r="R191" s="8">
        <f>COUNTIFS('Datos finales'!$AA:$AA,"&gt;"&amp;Q$188,'Datos finales'!$AA:$AA,"&lt;="&amp;R$188,'Datos finales'!$G:$G,"=0")</f>
        <v>0</v>
      </c>
    </row>
    <row r="192" spans="2:19" x14ac:dyDescent="0.25">
      <c r="B192" s="13">
        <v>5</v>
      </c>
      <c r="C192" s="13">
        <v>5</v>
      </c>
      <c r="D192" s="13">
        <v>1</v>
      </c>
      <c r="J192" s="18" t="s">
        <v>884</v>
      </c>
      <c r="K192" s="8">
        <f>COUNTIFS('Datos finales'!$AA:$AA,"&gt;"&amp;J$188,'Datos finales'!$AA:$AA,"&lt;="&amp;K$188,'Datos finales'!$G:$G,"=N/A")</f>
        <v>1</v>
      </c>
      <c r="L192" s="8">
        <f>COUNTIFS('Datos finales'!$AA:$AA,"&gt;"&amp;K$188,'Datos finales'!$AA:$AA,"&lt;="&amp;L$188,'Datos finales'!$G:$G,"=N/A")</f>
        <v>0</v>
      </c>
      <c r="M192" s="8">
        <f>COUNTIFS('Datos finales'!$AA:$AA,"&gt;"&amp;L$188,'Datos finales'!$AA:$AA,"&lt;="&amp;M$188,'Datos finales'!$G:$G,"=N/A")</f>
        <v>0</v>
      </c>
      <c r="N192" s="8">
        <f>COUNTIFS('Datos finales'!$AA:$AA,"&gt;"&amp;M$188,'Datos finales'!$AA:$AA,"&lt;="&amp;N$188,'Datos finales'!$G:$G,"=N/A")</f>
        <v>0</v>
      </c>
      <c r="O192" s="8">
        <f>COUNTIFS('Datos finales'!$AA:$AA,"&gt;"&amp;N$188,'Datos finales'!$AA:$AA,"&lt;="&amp;O$188,'Datos finales'!$G:$G,"=N/A")</f>
        <v>0</v>
      </c>
      <c r="P192" s="8">
        <f>COUNTIFS('Datos finales'!$AA:$AA,"&gt;"&amp;O$188,'Datos finales'!$AA:$AA,"&lt;="&amp;P$188,'Datos finales'!$G:$G,"=N/A")</f>
        <v>0</v>
      </c>
      <c r="Q192" s="8">
        <f>COUNTIFS('Datos finales'!$AA:$AA,"&gt;"&amp;P$188,'Datos finales'!$AA:$AA,"&lt;="&amp;Q$188,'Datos finales'!$G:$G,"=N/A")</f>
        <v>0</v>
      </c>
      <c r="R192" s="8">
        <f>COUNTIFS('Datos finales'!$AA:$AA,"&gt;"&amp;Q$188,'Datos finales'!$AA:$AA,"&lt;="&amp;R$188,'Datos finales'!$G:$G,"=N/A")</f>
        <v>0</v>
      </c>
    </row>
    <row r="193" spans="2:18" x14ac:dyDescent="0.25">
      <c r="B193" s="13" t="s">
        <v>1073</v>
      </c>
      <c r="C193" s="13">
        <v>10</v>
      </c>
      <c r="D193" s="13">
        <v>4</v>
      </c>
      <c r="K193" cm="1">
        <f t="array" ref="K193:R193">TRANSPOSE(D189:D196)</f>
        <v>18</v>
      </c>
      <c r="L193">
        <v>6</v>
      </c>
      <c r="M193">
        <v>0</v>
      </c>
      <c r="N193">
        <v>1</v>
      </c>
      <c r="O193">
        <v>4</v>
      </c>
      <c r="P193">
        <v>0</v>
      </c>
      <c r="Q193">
        <v>1</v>
      </c>
      <c r="R193">
        <v>1</v>
      </c>
    </row>
    <row r="194" spans="2:18" x14ac:dyDescent="0.25">
      <c r="B194" s="13" t="s">
        <v>1074</v>
      </c>
      <c r="C194" s="13">
        <v>15</v>
      </c>
      <c r="D194" s="13">
        <v>0</v>
      </c>
      <c r="K194" cm="1">
        <f t="array" ref="K194:R194">TRANSPOSE(B189:B196)</f>
        <v>2</v>
      </c>
      <c r="L194">
        <v>3</v>
      </c>
      <c r="M194">
        <v>4</v>
      </c>
      <c r="N194">
        <v>5</v>
      </c>
      <c r="O194" t="str">
        <v>De 6-10</v>
      </c>
      <c r="P194" t="str">
        <v>De 11-15</v>
      </c>
      <c r="Q194" t="str">
        <v>De 15-20</v>
      </c>
      <c r="R194" t="str">
        <v>De 20-30</v>
      </c>
    </row>
    <row r="195" spans="2:18" x14ac:dyDescent="0.25">
      <c r="B195" s="13" t="s">
        <v>1075</v>
      </c>
      <c r="C195" s="13">
        <v>20</v>
      </c>
      <c r="D195" s="13">
        <v>1</v>
      </c>
      <c r="J195" s="18" t="s">
        <v>879</v>
      </c>
      <c r="K195" s="61">
        <f>IF(K$193&lt;&gt;0, K189/K$193, "-")</f>
        <v>0.77777777777777779</v>
      </c>
      <c r="L195" s="61">
        <f t="shared" ref="L195:R195" si="27">IF(L$193&lt;&gt;0, L189/L$193, "-")</f>
        <v>0.66666666666666663</v>
      </c>
      <c r="M195" s="61" t="str">
        <f t="shared" si="27"/>
        <v>-</v>
      </c>
      <c r="N195" s="61">
        <f t="shared" si="27"/>
        <v>1</v>
      </c>
      <c r="O195" s="61">
        <f t="shared" si="27"/>
        <v>0.5</v>
      </c>
      <c r="P195" s="61" t="str">
        <f t="shared" si="27"/>
        <v>-</v>
      </c>
      <c r="Q195" s="61">
        <f t="shared" si="27"/>
        <v>1</v>
      </c>
      <c r="R195" s="61">
        <f t="shared" si="27"/>
        <v>1</v>
      </c>
    </row>
    <row r="196" spans="2:18" x14ac:dyDescent="0.25">
      <c r="B196" s="13" t="s">
        <v>1076</v>
      </c>
      <c r="C196" s="13">
        <v>30</v>
      </c>
      <c r="D196" s="13">
        <v>1</v>
      </c>
      <c r="J196" s="18" t="s">
        <v>880</v>
      </c>
      <c r="K196" s="61">
        <f t="shared" ref="K196:R196" si="28">IF(K$193&lt;&gt;0, K190/K$193, "-")</f>
        <v>5.5555555555555552E-2</v>
      </c>
      <c r="L196" s="61">
        <f t="shared" si="28"/>
        <v>0.16666666666666666</v>
      </c>
      <c r="M196" s="61" t="str">
        <f t="shared" si="28"/>
        <v>-</v>
      </c>
      <c r="N196" s="61">
        <f t="shared" si="28"/>
        <v>0</v>
      </c>
      <c r="O196" s="61">
        <f t="shared" si="28"/>
        <v>0</v>
      </c>
      <c r="P196" s="61" t="str">
        <f t="shared" si="28"/>
        <v>-</v>
      </c>
      <c r="Q196" s="61">
        <f t="shared" si="28"/>
        <v>0</v>
      </c>
      <c r="R196" s="61">
        <f t="shared" si="28"/>
        <v>0</v>
      </c>
    </row>
    <row r="197" spans="2:18" x14ac:dyDescent="0.25">
      <c r="C197" s="13" t="s">
        <v>1071</v>
      </c>
      <c r="D197" s="13">
        <v>0</v>
      </c>
      <c r="J197" s="18" t="s">
        <v>881</v>
      </c>
      <c r="K197" s="61">
        <f t="shared" ref="K197:R197" si="29">IF(K$193&lt;&gt;0, K191/K$193, "-")</f>
        <v>0.1111111111111111</v>
      </c>
      <c r="L197" s="61">
        <f t="shared" si="29"/>
        <v>0.16666666666666666</v>
      </c>
      <c r="M197" s="61" t="str">
        <f t="shared" si="29"/>
        <v>-</v>
      </c>
      <c r="N197" s="61">
        <f t="shared" si="29"/>
        <v>0</v>
      </c>
      <c r="O197" s="61">
        <f t="shared" si="29"/>
        <v>0.5</v>
      </c>
      <c r="P197" s="61" t="str">
        <f t="shared" si="29"/>
        <v>-</v>
      </c>
      <c r="Q197" s="61">
        <f t="shared" si="29"/>
        <v>0</v>
      </c>
      <c r="R197" s="61">
        <f t="shared" si="29"/>
        <v>0</v>
      </c>
    </row>
    <row r="198" spans="2:18" x14ac:dyDescent="0.25">
      <c r="C198" t="s">
        <v>1070</v>
      </c>
      <c r="D198">
        <f>SUM(_xlfn.ANCHORARRAY(D189))</f>
        <v>31</v>
      </c>
      <c r="J198" s="18" t="s">
        <v>884</v>
      </c>
      <c r="K198" s="61">
        <f t="shared" ref="K198:R198" si="30">IF(K$193&lt;&gt;0, K192/K$193, "-")</f>
        <v>5.5555555555555552E-2</v>
      </c>
      <c r="L198" s="61">
        <f t="shared" si="30"/>
        <v>0</v>
      </c>
      <c r="M198" s="61" t="str">
        <f t="shared" si="30"/>
        <v>-</v>
      </c>
      <c r="N198" s="61">
        <f t="shared" si="30"/>
        <v>0</v>
      </c>
      <c r="O198" s="61">
        <f t="shared" si="30"/>
        <v>0</v>
      </c>
      <c r="P198" s="61" t="str">
        <f t="shared" si="30"/>
        <v>-</v>
      </c>
      <c r="Q198" s="61">
        <f t="shared" si="30"/>
        <v>0</v>
      </c>
      <c r="R198" s="61">
        <f t="shared" si="30"/>
        <v>0</v>
      </c>
    </row>
    <row r="200" spans="2:18" ht="21" x14ac:dyDescent="0.35">
      <c r="B200" s="25" t="s">
        <v>1077</v>
      </c>
    </row>
    <row r="201" spans="2:18" x14ac:dyDescent="0.25">
      <c r="B201" s="16" t="s">
        <v>1072</v>
      </c>
      <c r="C201" s="16" t="s">
        <v>1068</v>
      </c>
      <c r="D201" s="16" t="s">
        <v>1069</v>
      </c>
      <c r="J201" s="34">
        <v>0</v>
      </c>
      <c r="K201" s="16" cm="1">
        <f t="array" ref="K201:Q201">TRANSPOSE(C202:C208)</f>
        <v>5</v>
      </c>
      <c r="L201" s="16">
        <v>10</v>
      </c>
      <c r="M201" s="16">
        <v>20</v>
      </c>
      <c r="N201" s="16">
        <v>40</v>
      </c>
      <c r="O201" s="16">
        <v>80</v>
      </c>
      <c r="P201" s="16">
        <v>160</v>
      </c>
      <c r="Q201" s="18">
        <v>320</v>
      </c>
      <c r="R201" s="58"/>
    </row>
    <row r="202" spans="2:18" x14ac:dyDescent="0.25">
      <c r="B202" s="13" t="s">
        <v>1114</v>
      </c>
      <c r="C202" s="13">
        <v>5</v>
      </c>
      <c r="D202" s="13" cm="1">
        <f t="array" ref="D202:D209">FREQUENCY('Datos finales'!AB3:AB107,Cálculos!C202:C208)</f>
        <v>7</v>
      </c>
      <c r="J202" s="18" t="s">
        <v>879</v>
      </c>
      <c r="K202" s="8">
        <f>COUNTIFS('Datos finales'!$AB:$AB,"&gt;"&amp;J$201,'Datos finales'!$AB:$AB,"&lt;="&amp;K$201,'Datos finales'!$G:$G,"=1")</f>
        <v>4</v>
      </c>
      <c r="L202" s="8">
        <f>COUNTIFS('Datos finales'!$AB:$AB,"&gt;"&amp;K$201,'Datos finales'!$AB:$AB,"&lt;="&amp;L$201,'Datos finales'!$G:$G,"=1")</f>
        <v>0</v>
      </c>
      <c r="M202" s="8">
        <f>COUNTIFS('Datos finales'!$AB:$AB,"&gt;"&amp;L$201,'Datos finales'!$AB:$AB,"&lt;="&amp;M$201,'Datos finales'!$G:$G,"=1")</f>
        <v>3</v>
      </c>
      <c r="N202" s="8">
        <f>COUNTIFS('Datos finales'!$AB:$AB,"&gt;"&amp;M$201,'Datos finales'!$AB:$AB,"&lt;="&amp;N$201,'Datos finales'!$G:$G,"=1")</f>
        <v>8</v>
      </c>
      <c r="O202" s="8">
        <f>COUNTIFS('Datos finales'!$AB:$AB,"&gt;"&amp;N$201,'Datos finales'!$AB:$AB,"&lt;="&amp;O$201,'Datos finales'!$G:$G,"=1")</f>
        <v>5</v>
      </c>
      <c r="P202" s="8">
        <f>COUNTIFS('Datos finales'!$AB:$AB,"&gt;"&amp;O$201,'Datos finales'!$AB:$AB,"&lt;="&amp;P$201,'Datos finales'!$G:$G,"=1")</f>
        <v>3</v>
      </c>
      <c r="Q202" s="8">
        <f>COUNTIFS('Datos finales'!$AB:$AB,"&gt;"&amp;P$201,'Datos finales'!$AB:$AB,"&lt;="&amp;Q$201,'Datos finales'!$G:$G,"=1")</f>
        <v>1</v>
      </c>
      <c r="R202" s="52"/>
    </row>
    <row r="203" spans="2:18" x14ac:dyDescent="0.25">
      <c r="B203" s="13" t="str">
        <f t="shared" ref="B203:B208" si="31">""&amp;C202+1&amp;"-"&amp;C203</f>
        <v>6-10</v>
      </c>
      <c r="C203" s="13">
        <v>10</v>
      </c>
      <c r="D203" s="13">
        <v>1</v>
      </c>
      <c r="J203" s="18" t="s">
        <v>880</v>
      </c>
      <c r="K203" s="8">
        <f>COUNTIFS('Datos finales'!$AB:$AB,"&gt;"&amp;J$201,'Datos finales'!$AB:$AB,"&lt;="&amp;K$201,'Datos finales'!$G:$G,"=-1")</f>
        <v>0</v>
      </c>
      <c r="L203" s="8">
        <f>COUNTIFS('Datos finales'!$AB:$AB,"&gt;"&amp;K$201,'Datos finales'!$AB:$AB,"&lt;="&amp;L$201,'Datos finales'!$G:$G,"=-1")</f>
        <v>1</v>
      </c>
      <c r="M203" s="8">
        <f>COUNTIFS('Datos finales'!$AB:$AB,"&gt;"&amp;L$201,'Datos finales'!$AB:$AB,"&lt;="&amp;M$201,'Datos finales'!$G:$G,"=-1")</f>
        <v>0</v>
      </c>
      <c r="N203" s="8">
        <f>COUNTIFS('Datos finales'!$AB:$AB,"&gt;"&amp;M$201,'Datos finales'!$AB:$AB,"&lt;="&amp;N$201,'Datos finales'!$G:$G,"=-1")</f>
        <v>0</v>
      </c>
      <c r="O203" s="8">
        <f>COUNTIFS('Datos finales'!$AB:$AB,"&gt;"&amp;N$201,'Datos finales'!$AB:$AB,"&lt;="&amp;O$201,'Datos finales'!$G:$G,"=-1")</f>
        <v>0</v>
      </c>
      <c r="P203" s="8">
        <f>COUNTIFS('Datos finales'!$AB:$AB,"&gt;"&amp;O$201,'Datos finales'!$AB:$AB,"&lt;="&amp;P$201,'Datos finales'!$G:$G,"=-1")</f>
        <v>1</v>
      </c>
      <c r="Q203" s="8">
        <f>COUNTIFS('Datos finales'!$AB:$AB,"&gt;"&amp;P$201,'Datos finales'!$AB:$AB,"&lt;="&amp;Q$201,'Datos finales'!$G:$G,"=-1")</f>
        <v>0</v>
      </c>
      <c r="R203" s="52"/>
    </row>
    <row r="204" spans="2:18" x14ac:dyDescent="0.25">
      <c r="B204" s="13" t="str">
        <f t="shared" si="31"/>
        <v>11-20</v>
      </c>
      <c r="C204" s="13">
        <v>20</v>
      </c>
      <c r="D204" s="13">
        <v>6</v>
      </c>
      <c r="J204" s="18" t="s">
        <v>881</v>
      </c>
      <c r="K204" s="8">
        <f>COUNTIFS('Datos finales'!$AB:$AB,"&gt;"&amp;J$201,'Datos finales'!$AB:$AB,"&lt;="&amp;K$201,'Datos finales'!$G:$G,"=0")</f>
        <v>2</v>
      </c>
      <c r="L204" s="8">
        <f>COUNTIFS('Datos finales'!$AB:$AB,"&gt;"&amp;K$201,'Datos finales'!$AB:$AB,"&lt;="&amp;L$201,'Datos finales'!$G:$G,"=0")</f>
        <v>0</v>
      </c>
      <c r="M204" s="8">
        <f>COUNTIFS('Datos finales'!$AB:$AB,"&gt;"&amp;L$201,'Datos finales'!$AB:$AB,"&lt;="&amp;M$201,'Datos finales'!$G:$G,"=0")</f>
        <v>2</v>
      </c>
      <c r="N204" s="8">
        <f>COUNTIFS('Datos finales'!$AB:$AB,"&gt;"&amp;M$201,'Datos finales'!$AB:$AB,"&lt;="&amp;N$201,'Datos finales'!$G:$G,"=0")</f>
        <v>1</v>
      </c>
      <c r="O204" s="8">
        <f>COUNTIFS('Datos finales'!$AB:$AB,"&gt;"&amp;N$201,'Datos finales'!$AB:$AB,"&lt;="&amp;O$201,'Datos finales'!$G:$G,"=0")</f>
        <v>0</v>
      </c>
      <c r="P204" s="8">
        <f>COUNTIFS('Datos finales'!$AB:$AB,"&gt;"&amp;O$201,'Datos finales'!$AB:$AB,"&lt;="&amp;P$201,'Datos finales'!$G:$G,"=0")</f>
        <v>0</v>
      </c>
      <c r="Q204" s="8">
        <f>COUNTIFS('Datos finales'!$AB:$AB,"&gt;"&amp;P$201,'Datos finales'!$AB:$AB,"&lt;="&amp;Q$201,'Datos finales'!$G:$G,"=0")</f>
        <v>0</v>
      </c>
      <c r="R204" s="52"/>
    </row>
    <row r="205" spans="2:18" x14ac:dyDescent="0.25">
      <c r="B205" s="13" t="str">
        <f t="shared" si="31"/>
        <v>21-40</v>
      </c>
      <c r="C205" s="13">
        <v>40</v>
      </c>
      <c r="D205" s="13">
        <v>9</v>
      </c>
      <c r="J205" s="18" t="s">
        <v>884</v>
      </c>
      <c r="K205" s="8">
        <f>COUNTIFS('Datos finales'!$AB:$AB,"&gt;"&amp;J$201,'Datos finales'!$AB:$AB,"&lt;="&amp;K$201,'Datos finales'!$G:$G,"=N/A")</f>
        <v>1</v>
      </c>
      <c r="L205" s="8">
        <f>COUNTIFS('Datos finales'!$AB:$AB,"&gt;"&amp;K$201,'Datos finales'!$AB:$AB,"&lt;="&amp;L$201,'Datos finales'!$G:$G,"=N/A")</f>
        <v>0</v>
      </c>
      <c r="M205" s="8">
        <f>COUNTIFS('Datos finales'!$AB:$AB,"&gt;"&amp;L$201,'Datos finales'!$AB:$AB,"&lt;="&amp;M$201,'Datos finales'!$G:$G,"=N/A")</f>
        <v>1</v>
      </c>
      <c r="N205" s="8">
        <f>COUNTIFS('Datos finales'!$AB:$AB,"&gt;"&amp;M$201,'Datos finales'!$AB:$AB,"&lt;="&amp;N$201,'Datos finales'!$G:$G,"=N/A")</f>
        <v>0</v>
      </c>
      <c r="O205" s="8">
        <f>COUNTIFS('Datos finales'!$AB:$AB,"&gt;"&amp;N$201,'Datos finales'!$AB:$AB,"&lt;="&amp;O$201,'Datos finales'!$G:$G,"=N/A")</f>
        <v>0</v>
      </c>
      <c r="P205" s="8">
        <f>COUNTIFS('Datos finales'!$AB:$AB,"&gt;"&amp;O$201,'Datos finales'!$AB:$AB,"&lt;="&amp;P$201,'Datos finales'!$G:$G,"=N/A")</f>
        <v>0</v>
      </c>
      <c r="Q205" s="8">
        <f>COUNTIFS('Datos finales'!$AB:$AB,"&gt;"&amp;P$201,'Datos finales'!$AB:$AB,"&lt;="&amp;Q$201,'Datos finales'!$G:$G,"=N/A")</f>
        <v>0</v>
      </c>
      <c r="R205" s="52"/>
    </row>
    <row r="206" spans="2:18" x14ac:dyDescent="0.25">
      <c r="B206" s="13" t="str">
        <f t="shared" si="31"/>
        <v>41-80</v>
      </c>
      <c r="C206" s="13">
        <v>80</v>
      </c>
      <c r="D206" s="13">
        <v>5</v>
      </c>
      <c r="K206" cm="1">
        <f t="array" ref="K206:Q206">TRANSPOSE(D202:D208)</f>
        <v>7</v>
      </c>
      <c r="L206">
        <v>1</v>
      </c>
      <c r="M206">
        <v>6</v>
      </c>
      <c r="N206">
        <v>9</v>
      </c>
      <c r="O206">
        <v>5</v>
      </c>
      <c r="P206">
        <v>4</v>
      </c>
      <c r="Q206">
        <v>1</v>
      </c>
      <c r="R206" s="59"/>
    </row>
    <row r="207" spans="2:18" x14ac:dyDescent="0.25">
      <c r="B207" s="13" t="str">
        <f t="shared" si="31"/>
        <v>81-160</v>
      </c>
      <c r="C207" s="13">
        <v>160</v>
      </c>
      <c r="D207" s="13">
        <v>4</v>
      </c>
      <c r="K207" t="str" cm="1">
        <f t="array" ref="K207:Q207">TRANSPOSE(B202:B208)</f>
        <v>0-5</v>
      </c>
      <c r="L207" t="str">
        <v>6-10</v>
      </c>
      <c r="M207" t="str">
        <v>11-20</v>
      </c>
      <c r="N207" t="str">
        <v>21-40</v>
      </c>
      <c r="O207" t="str">
        <v>41-80</v>
      </c>
      <c r="P207" t="str">
        <v>81-160</v>
      </c>
      <c r="Q207" t="str">
        <v>161-320</v>
      </c>
      <c r="R207" s="59"/>
    </row>
    <row r="208" spans="2:18" x14ac:dyDescent="0.25">
      <c r="B208" s="13" t="str">
        <f t="shared" si="31"/>
        <v>161-320</v>
      </c>
      <c r="C208" s="13">
        <v>320</v>
      </c>
      <c r="D208" s="13">
        <v>1</v>
      </c>
      <c r="J208" s="18" t="s">
        <v>879</v>
      </c>
      <c r="K208" s="61">
        <f>IF(K$206&lt;&gt;0, K202/K$206, 0)</f>
        <v>0.5714285714285714</v>
      </c>
      <c r="L208" s="61">
        <f t="shared" ref="L208:Q208" si="32">IF(L$206&lt;&gt;0, L202/L$206, 0)</f>
        <v>0</v>
      </c>
      <c r="M208" s="61">
        <f t="shared" si="32"/>
        <v>0.5</v>
      </c>
      <c r="N208" s="61">
        <f t="shared" si="32"/>
        <v>0.88888888888888884</v>
      </c>
      <c r="O208" s="61">
        <f t="shared" si="32"/>
        <v>1</v>
      </c>
      <c r="P208" s="61">
        <f t="shared" si="32"/>
        <v>0.75</v>
      </c>
      <c r="Q208" s="61">
        <f t="shared" si="32"/>
        <v>1</v>
      </c>
      <c r="R208" s="60"/>
    </row>
    <row r="209" spans="2:18" x14ac:dyDescent="0.25">
      <c r="C209" s="13" t="s">
        <v>1071</v>
      </c>
      <c r="D209" s="13">
        <v>0</v>
      </c>
      <c r="J209" s="18" t="s">
        <v>880</v>
      </c>
      <c r="K209" s="61">
        <f t="shared" ref="K209:Q209" si="33">IF(K$206&lt;&gt;0, K203/K$206, 0)</f>
        <v>0</v>
      </c>
      <c r="L209" s="61">
        <f t="shared" si="33"/>
        <v>1</v>
      </c>
      <c r="M209" s="61">
        <f t="shared" si="33"/>
        <v>0</v>
      </c>
      <c r="N209" s="61">
        <f t="shared" si="33"/>
        <v>0</v>
      </c>
      <c r="O209" s="61">
        <f t="shared" si="33"/>
        <v>0</v>
      </c>
      <c r="P209" s="61">
        <f t="shared" si="33"/>
        <v>0.25</v>
      </c>
      <c r="Q209" s="61">
        <f t="shared" si="33"/>
        <v>0</v>
      </c>
      <c r="R209" s="60"/>
    </row>
    <row r="210" spans="2:18" x14ac:dyDescent="0.25">
      <c r="C210" t="s">
        <v>1070</v>
      </c>
      <c r="D210">
        <f>SUM(D202:D208)</f>
        <v>33</v>
      </c>
      <c r="J210" s="18" t="s">
        <v>881</v>
      </c>
      <c r="K210" s="61">
        <f t="shared" ref="K210:Q210" si="34">IF(K$206&lt;&gt;0, K204/K$206, 0)</f>
        <v>0.2857142857142857</v>
      </c>
      <c r="L210" s="61">
        <f t="shared" si="34"/>
        <v>0</v>
      </c>
      <c r="M210" s="61">
        <f t="shared" si="34"/>
        <v>0.33333333333333331</v>
      </c>
      <c r="N210" s="61">
        <f t="shared" si="34"/>
        <v>0.1111111111111111</v>
      </c>
      <c r="O210" s="61">
        <f t="shared" si="34"/>
        <v>0</v>
      </c>
      <c r="P210" s="61">
        <f t="shared" si="34"/>
        <v>0</v>
      </c>
      <c r="Q210" s="61">
        <f t="shared" si="34"/>
        <v>0</v>
      </c>
      <c r="R210" s="60"/>
    </row>
    <row r="211" spans="2:18" x14ac:dyDescent="0.25">
      <c r="J211" s="18" t="s">
        <v>884</v>
      </c>
      <c r="K211" s="61">
        <f t="shared" ref="K211:Q211" si="35">IF(K$206&lt;&gt;0, K205/K$206, 0)</f>
        <v>0.14285714285714285</v>
      </c>
      <c r="L211" s="61">
        <f t="shared" si="35"/>
        <v>0</v>
      </c>
      <c r="M211" s="61">
        <f t="shared" si="35"/>
        <v>0.16666666666666666</v>
      </c>
      <c r="N211" s="61">
        <f t="shared" si="35"/>
        <v>0</v>
      </c>
      <c r="O211" s="61">
        <f t="shared" si="35"/>
        <v>0</v>
      </c>
      <c r="P211" s="61">
        <f t="shared" si="35"/>
        <v>0</v>
      </c>
      <c r="Q211" s="61">
        <f t="shared" si="35"/>
        <v>0</v>
      </c>
      <c r="R211" s="60"/>
    </row>
    <row r="213" spans="2:18" ht="21" x14ac:dyDescent="0.35">
      <c r="B213" s="25" t="s">
        <v>1078</v>
      </c>
    </row>
    <row r="214" spans="2:18" x14ac:dyDescent="0.25">
      <c r="B214" s="16" t="s">
        <v>1072</v>
      </c>
      <c r="C214" s="16" t="s">
        <v>1068</v>
      </c>
      <c r="D214" s="16" t="s">
        <v>1069</v>
      </c>
    </row>
    <row r="215" spans="2:18" x14ac:dyDescent="0.25">
      <c r="B215" s="13" t="s">
        <v>1114</v>
      </c>
      <c r="C215" s="13">
        <v>5</v>
      </c>
      <c r="D215" s="13" cm="1">
        <f t="array" ref="D215:D222">FREQUENCY('Datos finales'!AC3:AC107,Cálculos!C215:C221)</f>
        <v>0</v>
      </c>
    </row>
    <row r="216" spans="2:18" x14ac:dyDescent="0.25">
      <c r="B216" s="13" t="str">
        <f t="shared" ref="B216:B221" si="36">""&amp;C215+1&amp;"-"&amp;C216</f>
        <v>6-10</v>
      </c>
      <c r="C216" s="13">
        <v>10</v>
      </c>
      <c r="D216" s="13">
        <v>1</v>
      </c>
    </row>
    <row r="217" spans="2:18" x14ac:dyDescent="0.25">
      <c r="B217" s="13" t="str">
        <f t="shared" si="36"/>
        <v>11-20</v>
      </c>
      <c r="C217" s="13">
        <v>20</v>
      </c>
      <c r="D217" s="13">
        <v>2</v>
      </c>
    </row>
    <row r="218" spans="2:18" x14ac:dyDescent="0.25">
      <c r="B218" s="13" t="str">
        <f t="shared" si="36"/>
        <v>21-40</v>
      </c>
      <c r="C218" s="13">
        <v>40</v>
      </c>
      <c r="D218" s="13">
        <v>8</v>
      </c>
    </row>
    <row r="219" spans="2:18" x14ac:dyDescent="0.25">
      <c r="B219" s="13" t="str">
        <f t="shared" si="36"/>
        <v>41-80</v>
      </c>
      <c r="C219" s="13">
        <v>80</v>
      </c>
      <c r="D219" s="13">
        <v>6</v>
      </c>
    </row>
    <row r="220" spans="2:18" x14ac:dyDescent="0.25">
      <c r="B220" s="13" t="str">
        <f t="shared" si="36"/>
        <v>81-160</v>
      </c>
      <c r="C220" s="13">
        <v>160</v>
      </c>
      <c r="D220" s="13">
        <v>0</v>
      </c>
    </row>
    <row r="221" spans="2:18" x14ac:dyDescent="0.25">
      <c r="B221" s="13" t="str">
        <f t="shared" si="36"/>
        <v>161-320</v>
      </c>
      <c r="C221" s="13">
        <v>320</v>
      </c>
      <c r="D221" s="13">
        <v>2</v>
      </c>
    </row>
    <row r="222" spans="2:18" x14ac:dyDescent="0.25">
      <c r="C222" s="13" t="s">
        <v>1071</v>
      </c>
      <c r="D222" s="13">
        <v>0</v>
      </c>
    </row>
    <row r="223" spans="2:18" x14ac:dyDescent="0.25">
      <c r="C223" t="s">
        <v>1070</v>
      </c>
      <c r="D223">
        <f>SUM(D215:D221)</f>
        <v>19</v>
      </c>
    </row>
    <row r="225" spans="2:7" ht="21" x14ac:dyDescent="0.35">
      <c r="B225" s="25" t="s">
        <v>1079</v>
      </c>
    </row>
    <row r="226" spans="2:7" x14ac:dyDescent="0.25">
      <c r="B226" s="13" t="s">
        <v>1063</v>
      </c>
      <c r="C226" s="13">
        <f>SUM(C227:C231)</f>
        <v>30</v>
      </c>
    </row>
    <row r="227" spans="2:7" x14ac:dyDescent="0.25">
      <c r="B227" s="13" t="s">
        <v>1026</v>
      </c>
      <c r="C227" s="13">
        <f>COUNTIF('Datos finales'!AD$3:AD$107,B227)</f>
        <v>2</v>
      </c>
    </row>
    <row r="228" spans="2:7" x14ac:dyDescent="0.25">
      <c r="B228" s="13" t="s">
        <v>1033</v>
      </c>
      <c r="C228" s="13">
        <f>COUNTIF('Datos finales'!AD$3:AD$107,B228)</f>
        <v>24</v>
      </c>
    </row>
    <row r="229" spans="2:7" x14ac:dyDescent="0.25">
      <c r="B229" s="13" t="s">
        <v>1118</v>
      </c>
      <c r="C229" s="13">
        <f>COUNTIF('Datos finales'!AD$3:AD$107,B229)</f>
        <v>1</v>
      </c>
    </row>
    <row r="230" spans="2:7" x14ac:dyDescent="0.25">
      <c r="B230" s="13" t="s">
        <v>1080</v>
      </c>
      <c r="C230" s="13">
        <f>COUNTIF('Datos finales'!AD$3:AD$107,B230)</f>
        <v>1</v>
      </c>
    </row>
    <row r="231" spans="2:7" x14ac:dyDescent="0.25">
      <c r="B231" s="13" t="s">
        <v>1037</v>
      </c>
      <c r="C231" s="13">
        <f>COUNTIF('Datos finales'!AD$3:AD$107,B231)</f>
        <v>2</v>
      </c>
    </row>
    <row r="236" spans="2:7" x14ac:dyDescent="0.25">
      <c r="G236" s="6"/>
    </row>
    <row r="241" spans="2:20" ht="21" x14ac:dyDescent="0.35">
      <c r="B241" s="25" t="s">
        <v>1083</v>
      </c>
    </row>
    <row r="243" spans="2:20" x14ac:dyDescent="0.25">
      <c r="B243" s="16" t="s">
        <v>1072</v>
      </c>
      <c r="C243" s="16" t="s">
        <v>1068</v>
      </c>
      <c r="D243" s="16" t="s">
        <v>1069</v>
      </c>
      <c r="J243" s="34">
        <v>0</v>
      </c>
      <c r="K243" s="16" cm="1">
        <f t="array" ref="K243:Q243">TRANSPOSE(C244:C250)</f>
        <v>7</v>
      </c>
      <c r="L243" s="16">
        <v>14</v>
      </c>
      <c r="M243" s="16">
        <v>30</v>
      </c>
      <c r="N243" s="16">
        <v>60</v>
      </c>
      <c r="O243" s="16">
        <v>120</v>
      </c>
      <c r="P243" s="16">
        <v>365</v>
      </c>
      <c r="Q243" s="18">
        <v>100000</v>
      </c>
    </row>
    <row r="244" spans="2:20" x14ac:dyDescent="0.25">
      <c r="B244" s="13" t="s">
        <v>1101</v>
      </c>
      <c r="C244" s="13">
        <v>7</v>
      </c>
      <c r="D244" s="13" cm="1">
        <f t="array" ref="D244:D250">FREQUENCY('Datos finales'!AE$3:AE$107,Cálculos!C244:C249)</f>
        <v>29</v>
      </c>
      <c r="J244" s="18" t="s">
        <v>879</v>
      </c>
      <c r="K244" s="8">
        <f>COUNTIFS('Datos finales'!$AE:$AE,"&gt;"&amp;J$243,'Datos finales'!$AE:$AE,"&lt;="&amp;K$243,'Datos finales'!$G:$G,"=1")</f>
        <v>25</v>
      </c>
      <c r="L244" s="8">
        <f>COUNTIFS('Datos finales'!$AE:$AE,"&gt;"&amp;K$243,'Datos finales'!$AE:$AE,"&lt;="&amp;L$243,'Datos finales'!$G:$G,"=1")</f>
        <v>1</v>
      </c>
      <c r="M244" s="8">
        <f>COUNTIFS('Datos finales'!$AE:$AE,"&gt;"&amp;L$243,'Datos finales'!$AE:$AE,"&lt;="&amp;M$243,'Datos finales'!$G:$G,"=1")</f>
        <v>6</v>
      </c>
      <c r="N244" s="8">
        <f>COUNTIFS('Datos finales'!$AE:$AE,"&gt;"&amp;M$243,'Datos finales'!$AE:$AE,"&lt;="&amp;N$243,'Datos finales'!$G:$G,"=1")</f>
        <v>4</v>
      </c>
      <c r="O244" s="8">
        <f>COUNTIFS('Datos finales'!$AE:$AE,"&gt;"&amp;N$243,'Datos finales'!$AE:$AE,"&lt;="&amp;O$243,'Datos finales'!$G:$G,"=1")</f>
        <v>8</v>
      </c>
      <c r="P244" s="8">
        <f>COUNTIFS('Datos finales'!$AE:$AE,"&gt;"&amp;O$243,'Datos finales'!$AE:$AE,"&lt;="&amp;P$243,'Datos finales'!$G:$G,"=1")</f>
        <v>8</v>
      </c>
      <c r="Q244" s="8">
        <f>COUNTIFS('Datos finales'!$AE:$AE,"&gt;"&amp;P$243,'Datos finales'!$AE:$AE,"&lt;="&amp;Q$243,'Datos finales'!$G:$G,"=1")</f>
        <v>3</v>
      </c>
    </row>
    <row r="245" spans="2:20" x14ac:dyDescent="0.25">
      <c r="B245" s="57" t="s">
        <v>1102</v>
      </c>
      <c r="C245" s="13">
        <v>14</v>
      </c>
      <c r="D245" s="13">
        <v>1</v>
      </c>
      <c r="J245" s="18" t="s">
        <v>880</v>
      </c>
      <c r="K245" s="8">
        <f>COUNTIFS('Datos finales'!$AE:$AE,"&gt;"&amp;J$243,'Datos finales'!$AE:$AE,"&lt;="&amp;K$243,'Datos finales'!$G:$G,"=-1")</f>
        <v>0</v>
      </c>
      <c r="L245" s="8">
        <f>COUNTIFS('Datos finales'!$AE:$AE,"&gt;"&amp;K$243,'Datos finales'!$AE:$AE,"&lt;="&amp;L$243,'Datos finales'!$G:$G,"=-1")</f>
        <v>0</v>
      </c>
      <c r="M245" s="8">
        <f>COUNTIFS('Datos finales'!$AE:$AE,"&gt;"&amp;L$243,'Datos finales'!$AE:$AE,"&lt;="&amp;M$243,'Datos finales'!$G:$G,"=-1")</f>
        <v>1</v>
      </c>
      <c r="N245" s="8">
        <f>COUNTIFS('Datos finales'!$AE:$AE,"&gt;"&amp;M$243,'Datos finales'!$AE:$AE,"&lt;="&amp;N$243,'Datos finales'!$G:$G,"=-1")</f>
        <v>0</v>
      </c>
      <c r="O245" s="8">
        <f>COUNTIFS('Datos finales'!$AE:$AE,"&gt;"&amp;N$243,'Datos finales'!$AE:$AE,"&lt;="&amp;O$243,'Datos finales'!$G:$G,"=-1")</f>
        <v>1</v>
      </c>
      <c r="P245" s="8">
        <f>COUNTIFS('Datos finales'!$AE:$AE,"&gt;"&amp;O$243,'Datos finales'!$AE:$AE,"&lt;="&amp;P$243,'Datos finales'!$G:$G,"=-1")</f>
        <v>3</v>
      </c>
      <c r="Q245" s="8">
        <f>COUNTIFS('Datos finales'!$AE:$AE,"&gt;"&amp;P$243,'Datos finales'!$AE:$AE,"&lt;="&amp;Q$243,'Datos finales'!$G:$G,"=-1")</f>
        <v>0</v>
      </c>
    </row>
    <row r="246" spans="2:20" x14ac:dyDescent="0.25">
      <c r="B246" s="56" t="s">
        <v>1103</v>
      </c>
      <c r="C246" s="13">
        <v>30</v>
      </c>
      <c r="D246" s="13">
        <v>9</v>
      </c>
      <c r="J246" s="18" t="s">
        <v>881</v>
      </c>
      <c r="K246" s="8">
        <f>COUNTIFS('Datos finales'!$AE:$AE,"&gt;"&amp;J$243,'Datos finales'!$AE:$AE,"&lt;="&amp;K$243,'Datos finales'!$G:$G,"=0")</f>
        <v>3</v>
      </c>
      <c r="L246" s="8">
        <f>COUNTIFS('Datos finales'!$AE:$AE,"&gt;"&amp;K$243,'Datos finales'!$AE:$AE,"&lt;="&amp;L$243,'Datos finales'!$G:$G,"=0")</f>
        <v>0</v>
      </c>
      <c r="M246" s="8">
        <f>COUNTIFS('Datos finales'!$AE:$AE,"&gt;"&amp;L$243,'Datos finales'!$AE:$AE,"&lt;="&amp;M$243,'Datos finales'!$G:$G,"=0")</f>
        <v>2</v>
      </c>
      <c r="N246" s="8">
        <f>COUNTIFS('Datos finales'!$AE:$AE,"&gt;"&amp;M$243,'Datos finales'!$AE:$AE,"&lt;="&amp;N$243,'Datos finales'!$G:$G,"=0")</f>
        <v>0</v>
      </c>
      <c r="O246" s="8">
        <f>COUNTIFS('Datos finales'!$AE:$AE,"&gt;"&amp;N$243,'Datos finales'!$AE:$AE,"&lt;="&amp;O$243,'Datos finales'!$G:$G,"=0")</f>
        <v>1</v>
      </c>
      <c r="P246" s="8">
        <f>COUNTIFS('Datos finales'!$AE:$AE,"&gt;"&amp;O$243,'Datos finales'!$AE:$AE,"&lt;="&amp;P$243,'Datos finales'!$G:$G,"=0")</f>
        <v>1</v>
      </c>
      <c r="Q246" s="8">
        <f>COUNTIFS('Datos finales'!$AE:$AE,"&gt;"&amp;P$243,'Datos finales'!$AE:$AE,"&lt;="&amp;Q$243,'Datos finales'!$G:$G,"=0")</f>
        <v>0</v>
      </c>
    </row>
    <row r="247" spans="2:20" x14ac:dyDescent="0.25">
      <c r="B247" s="56" t="s">
        <v>1104</v>
      </c>
      <c r="C247" s="13">
        <v>60</v>
      </c>
      <c r="D247" s="13">
        <v>4</v>
      </c>
      <c r="J247" s="18" t="s">
        <v>884</v>
      </c>
      <c r="K247" s="8">
        <f>COUNTIFS('Datos finales'!$AE:$AE,"&gt;"&amp;J$243,'Datos finales'!$AE:$AE,"&lt;="&amp;K$243,'Datos finales'!$G:$G,"=N/A")</f>
        <v>1</v>
      </c>
      <c r="L247" s="8">
        <f>COUNTIFS('Datos finales'!$AE:$AE,"&gt;"&amp;K$243,'Datos finales'!$AE:$AE,"&lt;="&amp;L$243,'Datos finales'!$G:$G,"=N/A")</f>
        <v>0</v>
      </c>
      <c r="M247" s="8">
        <f>COUNTIFS('Datos finales'!$AE:$AE,"&gt;"&amp;L$243,'Datos finales'!$AE:$AE,"&lt;="&amp;M$243,'Datos finales'!$G:$G,"=N/A")</f>
        <v>0</v>
      </c>
      <c r="N247" s="8">
        <f>COUNTIFS('Datos finales'!$AE:$AE,"&gt;"&amp;M$243,'Datos finales'!$AE:$AE,"&lt;="&amp;N$243,'Datos finales'!$G:$G,"=N/A")</f>
        <v>0</v>
      </c>
      <c r="O247" s="8">
        <f>COUNTIFS('Datos finales'!$AE:$AE,"&gt;"&amp;N$243,'Datos finales'!$AE:$AE,"&lt;="&amp;O$243,'Datos finales'!$G:$G,"=N/A")</f>
        <v>0</v>
      </c>
      <c r="P247" s="8">
        <f>COUNTIFS('Datos finales'!$AE:$AE,"&gt;"&amp;O$243,'Datos finales'!$AE:$AE,"&lt;="&amp;P$243,'Datos finales'!$G:$G,"=N/A")</f>
        <v>1</v>
      </c>
      <c r="Q247" s="8">
        <f>COUNTIFS('Datos finales'!$AE:$AE,"&gt;"&amp;P$243,'Datos finales'!$AE:$AE,"&lt;="&amp;Q$243,'Datos finales'!$G:$G,"=N/A")</f>
        <v>0</v>
      </c>
    </row>
    <row r="248" spans="2:20" x14ac:dyDescent="0.25">
      <c r="B248" s="56" t="s">
        <v>1105</v>
      </c>
      <c r="C248" s="13">
        <v>120</v>
      </c>
      <c r="D248" s="13">
        <v>10</v>
      </c>
      <c r="K248" cm="1">
        <f t="array" ref="K248:Q248">TRANSPOSE(D244:D250)</f>
        <v>29</v>
      </c>
      <c r="L248">
        <v>1</v>
      </c>
      <c r="M248">
        <v>9</v>
      </c>
      <c r="N248">
        <v>4</v>
      </c>
      <c r="O248">
        <v>10</v>
      </c>
      <c r="P248">
        <v>13</v>
      </c>
      <c r="Q248">
        <v>3</v>
      </c>
    </row>
    <row r="249" spans="2:20" x14ac:dyDescent="0.25">
      <c r="B249" s="56" t="s">
        <v>1107</v>
      </c>
      <c r="C249" s="13">
        <v>365</v>
      </c>
      <c r="D249" s="13">
        <v>13</v>
      </c>
      <c r="K249" t="str" cm="1">
        <f t="array" ref="K249:Q249">TRANSPOSE(B244:B250)</f>
        <v>0-7</v>
      </c>
      <c r="L249" t="str">
        <v>8-14</v>
      </c>
      <c r="M249" t="str">
        <v>15-30</v>
      </c>
      <c r="N249" t="str">
        <v>31-60</v>
      </c>
      <c r="O249" t="str">
        <v>61-120</v>
      </c>
      <c r="P249" t="str">
        <v>121-365</v>
      </c>
      <c r="Q249" t="str">
        <v>&gt;365</v>
      </c>
    </row>
    <row r="250" spans="2:20" x14ac:dyDescent="0.25">
      <c r="B250" s="13" t="s">
        <v>1106</v>
      </c>
      <c r="C250" s="13">
        <v>100000</v>
      </c>
      <c r="D250" s="13">
        <v>3</v>
      </c>
      <c r="J250" s="18" t="s">
        <v>879</v>
      </c>
      <c r="K250" s="61">
        <f>IF(K$248&lt;&gt;0, K244/K$248, 0)</f>
        <v>0.86206896551724133</v>
      </c>
      <c r="L250" s="61">
        <f t="shared" ref="L250:Q250" si="37">IF(L$248&lt;&gt;0, L244/L$248, 0)</f>
        <v>1</v>
      </c>
      <c r="M250" s="61">
        <f t="shared" si="37"/>
        <v>0.66666666666666663</v>
      </c>
      <c r="N250" s="61">
        <f t="shared" si="37"/>
        <v>1</v>
      </c>
      <c r="O250" s="61">
        <f t="shared" si="37"/>
        <v>0.8</v>
      </c>
      <c r="P250" s="61">
        <f t="shared" si="37"/>
        <v>0.61538461538461542</v>
      </c>
      <c r="Q250" s="61">
        <f t="shared" si="37"/>
        <v>1</v>
      </c>
    </row>
    <row r="251" spans="2:20" x14ac:dyDescent="0.25">
      <c r="C251" s="13" t="s">
        <v>1071</v>
      </c>
      <c r="D251" s="13"/>
      <c r="F251" s="6"/>
      <c r="J251" s="18" t="s">
        <v>880</v>
      </c>
      <c r="K251" s="61">
        <f t="shared" ref="K251:Q251" si="38">IF(K$248&lt;&gt;0, K245/K$248, 0)</f>
        <v>0</v>
      </c>
      <c r="L251" s="61">
        <f t="shared" si="38"/>
        <v>0</v>
      </c>
      <c r="M251" s="61">
        <f t="shared" si="38"/>
        <v>0.1111111111111111</v>
      </c>
      <c r="N251" s="61">
        <f t="shared" si="38"/>
        <v>0</v>
      </c>
      <c r="O251" s="61">
        <f t="shared" si="38"/>
        <v>0.1</v>
      </c>
      <c r="P251" s="61">
        <f t="shared" si="38"/>
        <v>0.23076923076923078</v>
      </c>
      <c r="Q251" s="61">
        <f t="shared" si="38"/>
        <v>0</v>
      </c>
    </row>
    <row r="252" spans="2:20" x14ac:dyDescent="0.25">
      <c r="C252" t="s">
        <v>1070</v>
      </c>
      <c r="D252">
        <f>SUM(D244:D250)</f>
        <v>69</v>
      </c>
      <c r="J252" s="18" t="s">
        <v>881</v>
      </c>
      <c r="K252" s="61">
        <f t="shared" ref="K252:Q252" si="39">IF(K$248&lt;&gt;0, K246/K$248, 0)</f>
        <v>0.10344827586206896</v>
      </c>
      <c r="L252" s="61">
        <f t="shared" si="39"/>
        <v>0</v>
      </c>
      <c r="M252" s="61">
        <f t="shared" si="39"/>
        <v>0.22222222222222221</v>
      </c>
      <c r="N252" s="61">
        <f t="shared" si="39"/>
        <v>0</v>
      </c>
      <c r="O252" s="61">
        <f t="shared" si="39"/>
        <v>0.1</v>
      </c>
      <c r="P252" s="61">
        <f t="shared" si="39"/>
        <v>7.6923076923076927E-2</v>
      </c>
      <c r="Q252" s="61">
        <f t="shared" si="39"/>
        <v>0</v>
      </c>
    </row>
    <row r="253" spans="2:20" x14ac:dyDescent="0.25">
      <c r="J253" s="18" t="s">
        <v>884</v>
      </c>
      <c r="K253" s="61">
        <f t="shared" ref="K253:Q253" si="40">IF(K$248&lt;&gt;0, K247/K$248, 0)</f>
        <v>3.4482758620689655E-2</v>
      </c>
      <c r="L253" s="61">
        <f t="shared" si="40"/>
        <v>0</v>
      </c>
      <c r="M253" s="61">
        <f t="shared" si="40"/>
        <v>0</v>
      </c>
      <c r="N253" s="61">
        <f t="shared" si="40"/>
        <v>0</v>
      </c>
      <c r="O253" s="61">
        <f t="shared" si="40"/>
        <v>0</v>
      </c>
      <c r="P253" s="61">
        <f t="shared" si="40"/>
        <v>7.6923076923076927E-2</v>
      </c>
      <c r="Q253" s="61">
        <f t="shared" si="40"/>
        <v>0</v>
      </c>
    </row>
    <row r="254" spans="2:20" ht="21" x14ac:dyDescent="0.35">
      <c r="B254" s="25" t="s">
        <v>1084</v>
      </c>
    </row>
    <row r="256" spans="2:20" x14ac:dyDescent="0.25">
      <c r="B256" s="16" t="s">
        <v>1072</v>
      </c>
      <c r="C256" s="16" t="s">
        <v>1068</v>
      </c>
      <c r="D256" s="16" t="s">
        <v>1069</v>
      </c>
      <c r="J256" s="34">
        <v>0</v>
      </c>
      <c r="K256" s="16" cm="1">
        <f t="array" ref="K256:T256">TRANSPOSE(C257:C266)</f>
        <v>0.999</v>
      </c>
      <c r="L256" s="16">
        <v>1</v>
      </c>
      <c r="M256" s="16">
        <v>2</v>
      </c>
      <c r="N256" s="16">
        <v>3</v>
      </c>
      <c r="O256" s="16">
        <v>4</v>
      </c>
      <c r="P256" s="16">
        <v>5</v>
      </c>
      <c r="Q256" s="16">
        <v>6</v>
      </c>
      <c r="R256" s="13">
        <v>7</v>
      </c>
      <c r="S256" s="13">
        <v>10</v>
      </c>
      <c r="T256" s="13">
        <v>10000</v>
      </c>
    </row>
    <row r="257" spans="2:20" x14ac:dyDescent="0.25">
      <c r="B257" s="13" t="s">
        <v>1085</v>
      </c>
      <c r="C257" s="13">
        <v>0.999</v>
      </c>
      <c r="D257" s="13" cm="1">
        <f t="array" ref="D257:D266">FREQUENCY('Datos finales'!AF$3:AF$107,Cálculos!C257:C265)</f>
        <v>6</v>
      </c>
      <c r="J257" s="18" t="s">
        <v>879</v>
      </c>
      <c r="K257" s="8">
        <f>COUNTIFS('Datos finales'!$AF:$AF,"&gt;"&amp;J$256,'Datos finales'!$AF:$AF,"&lt;="&amp;K$256,'Datos finales'!$G:$G,"=1")</f>
        <v>5</v>
      </c>
      <c r="L257" s="8">
        <f>COUNTIFS('Datos finales'!$AF:$AF,"&gt;"&amp;K$256,'Datos finales'!$AF:$AF,"&lt;="&amp;L$256,'Datos finales'!$G:$G,"=1")</f>
        <v>5</v>
      </c>
      <c r="M257" s="8">
        <f>COUNTIFS('Datos finales'!$AF:$AF,"&gt;"&amp;L$256,'Datos finales'!$AF:$AF,"&lt;="&amp;M$256,'Datos finales'!$G:$G,"=1")</f>
        <v>7</v>
      </c>
      <c r="N257" s="8">
        <f>COUNTIFS('Datos finales'!$AF:$AF,"&gt;"&amp;M$256,'Datos finales'!$AF:$AF,"&lt;="&amp;N$256,'Datos finales'!$G:$G,"=1")</f>
        <v>3</v>
      </c>
      <c r="O257" s="8">
        <f>COUNTIFS('Datos finales'!$AF:$AF,"&gt;"&amp;N$256,'Datos finales'!$AF:$AF,"&lt;="&amp;O$256,'Datos finales'!$G:$G,"=1")</f>
        <v>0</v>
      </c>
      <c r="P257" s="8">
        <f>COUNTIFS('Datos finales'!$AF:$AF,"&gt;"&amp;O$256,'Datos finales'!$AF:$AF,"&lt;="&amp;P$256,'Datos finales'!$G:$G,"=1")</f>
        <v>0</v>
      </c>
      <c r="Q257" s="8">
        <f>COUNTIFS('Datos finales'!$AF:$AF,"&gt;"&amp;P$256,'Datos finales'!$AF:$AF,"&lt;="&amp;Q$256,'Datos finales'!$G:$G,"=1")</f>
        <v>0</v>
      </c>
      <c r="R257" s="8">
        <f>COUNTIFS('Datos finales'!$AF:$AF,"&gt;"&amp;Q$256,'Datos finales'!$AF:$AF,"&lt;="&amp;R$256,'Datos finales'!$G:$G,"=1")</f>
        <v>1</v>
      </c>
      <c r="S257" s="8">
        <f>COUNTIFS('Datos finales'!$AF:$AF,"&gt;"&amp;R$256,'Datos finales'!$AF:$AF,"&lt;="&amp;S$256,'Datos finales'!$G:$G,"=1")</f>
        <v>0</v>
      </c>
      <c r="T257" s="8">
        <f>COUNTIFS('Datos finales'!$AF:$AF,"&gt;"&amp;S$256,'Datos finales'!$AF:$AF,"&lt;="&amp;T$256,'Datos finales'!$G:$G,"=1")</f>
        <v>1</v>
      </c>
    </row>
    <row r="258" spans="2:20" x14ac:dyDescent="0.25">
      <c r="B258" s="13">
        <v>1</v>
      </c>
      <c r="C258" s="13">
        <v>1</v>
      </c>
      <c r="D258" s="13">
        <v>5</v>
      </c>
      <c r="J258" s="18" t="s">
        <v>880</v>
      </c>
      <c r="K258" s="8">
        <f>COUNTIFS('Datos finales'!$AF:$AF,"&gt;"&amp;J$256,'Datos finales'!$AF:$AF,"&lt;="&amp;K$256,'Datos finales'!$G:$G,"=-1")</f>
        <v>0</v>
      </c>
      <c r="L258" s="8">
        <f>COUNTIFS('Datos finales'!$AF:$AF,"&gt;"&amp;K$256,'Datos finales'!$AF:$AF,"&lt;="&amp;L$256,'Datos finales'!$G:$G,"=-1")</f>
        <v>0</v>
      </c>
      <c r="M258" s="8">
        <f>COUNTIFS('Datos finales'!$AF:$AF,"&gt;"&amp;L$256,'Datos finales'!$AF:$AF,"&lt;="&amp;M$256,'Datos finales'!$G:$G,"=-1")</f>
        <v>0</v>
      </c>
      <c r="N258" s="8">
        <f>COUNTIFS('Datos finales'!$AF:$AF,"&gt;"&amp;M$256,'Datos finales'!$AF:$AF,"&lt;="&amp;N$256,'Datos finales'!$G:$G,"=-1")</f>
        <v>0</v>
      </c>
      <c r="O258" s="8">
        <f>COUNTIFS('Datos finales'!$AF:$AF,"&gt;"&amp;N$256,'Datos finales'!$AF:$AF,"&lt;="&amp;O$256,'Datos finales'!$G:$G,"=-1")</f>
        <v>0</v>
      </c>
      <c r="P258" s="8">
        <f>COUNTIFS('Datos finales'!$AF:$AF,"&gt;"&amp;O$256,'Datos finales'!$AF:$AF,"&lt;="&amp;P$256,'Datos finales'!$G:$G,"=-1")</f>
        <v>0</v>
      </c>
      <c r="Q258" s="8">
        <f>COUNTIFS('Datos finales'!$AF:$AF,"&gt;"&amp;P$256,'Datos finales'!$AF:$AF,"&lt;="&amp;Q$256,'Datos finales'!$G:$G,"=-1")</f>
        <v>0</v>
      </c>
      <c r="R258" s="8">
        <f>COUNTIFS('Datos finales'!$AF:$AF,"&gt;"&amp;Q$256,'Datos finales'!$AF:$AF,"&lt;="&amp;R$256,'Datos finales'!$G:$G,"=-1")</f>
        <v>1</v>
      </c>
      <c r="S258" s="8">
        <f>COUNTIFS('Datos finales'!$AF:$AF,"&gt;"&amp;R$256,'Datos finales'!$AF:$AF,"&lt;="&amp;S$256,'Datos finales'!$G:$G,"=-1")</f>
        <v>0</v>
      </c>
      <c r="T258" s="8">
        <f>COUNTIFS('Datos finales'!$AF:$AF,"&gt;"&amp;S$256,'Datos finales'!$AF:$AF,"&lt;="&amp;T$256,'Datos finales'!$G:$G,"=-1")</f>
        <v>0</v>
      </c>
    </row>
    <row r="259" spans="2:20" x14ac:dyDescent="0.25">
      <c r="B259" s="13">
        <v>2</v>
      </c>
      <c r="C259" s="13">
        <v>2</v>
      </c>
      <c r="D259" s="13">
        <v>7</v>
      </c>
      <c r="J259" s="18" t="s">
        <v>881</v>
      </c>
      <c r="K259" s="8">
        <f>COUNTIFS('Datos finales'!$AF:$AF,"&gt;"&amp;J$256,'Datos finales'!$AF:$AF,"&lt;="&amp;K$256,'Datos finales'!$G:$G,"=0")</f>
        <v>0</v>
      </c>
      <c r="L259" s="8">
        <f>COUNTIFS('Datos finales'!$AF:$AF,"&gt;"&amp;K$256,'Datos finales'!$AF:$AF,"&lt;="&amp;L$256,'Datos finales'!$G:$G,"=0")</f>
        <v>0</v>
      </c>
      <c r="M259" s="8">
        <f>COUNTIFS('Datos finales'!$AF:$AF,"&gt;"&amp;L$256,'Datos finales'!$AF:$AF,"&lt;="&amp;M$256,'Datos finales'!$G:$G,"=0")</f>
        <v>0</v>
      </c>
      <c r="N259" s="8">
        <f>COUNTIFS('Datos finales'!$AF:$AF,"&gt;"&amp;M$256,'Datos finales'!$AF:$AF,"&lt;="&amp;N$256,'Datos finales'!$G:$G,"=0")</f>
        <v>0</v>
      </c>
      <c r="O259" s="8">
        <f>COUNTIFS('Datos finales'!$AF:$AF,"&gt;"&amp;N$256,'Datos finales'!$AF:$AF,"&lt;="&amp;O$256,'Datos finales'!$G:$G,"=0")</f>
        <v>0</v>
      </c>
      <c r="P259" s="8">
        <f>COUNTIFS('Datos finales'!$AF:$AF,"&gt;"&amp;O$256,'Datos finales'!$AF:$AF,"&lt;="&amp;P$256,'Datos finales'!$G:$G,"=0")</f>
        <v>0</v>
      </c>
      <c r="Q259" s="8">
        <f>COUNTIFS('Datos finales'!$AF:$AF,"&gt;"&amp;P$256,'Datos finales'!$AF:$AF,"&lt;="&amp;Q$256,'Datos finales'!$G:$G,"=0")</f>
        <v>0</v>
      </c>
      <c r="R259" s="8">
        <f>COUNTIFS('Datos finales'!$AF:$AF,"&gt;"&amp;Q$256,'Datos finales'!$AF:$AF,"&lt;="&amp;R$256,'Datos finales'!$G:$G,"=0")</f>
        <v>0</v>
      </c>
      <c r="S259" s="8">
        <f>COUNTIFS('Datos finales'!$AF:$AF,"&gt;"&amp;R$256,'Datos finales'!$AF:$AF,"&lt;="&amp;S$256,'Datos finales'!$G:$G,"=0")</f>
        <v>0</v>
      </c>
      <c r="T259" s="8">
        <f>COUNTIFS('Datos finales'!$AF:$AF,"&gt;"&amp;S$256,'Datos finales'!$AF:$AF,"&lt;="&amp;T$256,'Datos finales'!$G:$G,"=0")</f>
        <v>0</v>
      </c>
    </row>
    <row r="260" spans="2:20" x14ac:dyDescent="0.25">
      <c r="B260" s="13">
        <v>3</v>
      </c>
      <c r="C260" s="13">
        <v>3</v>
      </c>
      <c r="D260" s="13">
        <v>3</v>
      </c>
      <c r="J260" s="18" t="s">
        <v>884</v>
      </c>
      <c r="K260" s="8">
        <f>COUNTIFS('Datos finales'!$AF:$AF,"&gt;"&amp;J$256,'Datos finales'!$AF:$AF,"&lt;="&amp;K$256,'Datos finales'!$G:$G,"=N/A")</f>
        <v>1</v>
      </c>
      <c r="L260" s="8">
        <f>COUNTIFS('Datos finales'!$AF:$AF,"&gt;"&amp;K$256,'Datos finales'!$AF:$AF,"&lt;="&amp;L$256,'Datos finales'!$G:$G,"=N/A")</f>
        <v>0</v>
      </c>
      <c r="M260" s="8">
        <f>COUNTIFS('Datos finales'!$AF:$AF,"&gt;"&amp;L$256,'Datos finales'!$AF:$AF,"&lt;="&amp;M$256,'Datos finales'!$G:$G,"=N/A")</f>
        <v>0</v>
      </c>
      <c r="N260" s="8">
        <f>COUNTIFS('Datos finales'!$AF:$AF,"&gt;"&amp;M$256,'Datos finales'!$AF:$AF,"&lt;="&amp;N$256,'Datos finales'!$G:$G,"=N/A")</f>
        <v>0</v>
      </c>
      <c r="O260" s="8">
        <f>COUNTIFS('Datos finales'!$AF:$AF,"&gt;"&amp;N$256,'Datos finales'!$AF:$AF,"&lt;="&amp;O$256,'Datos finales'!$G:$G,"=N/A")</f>
        <v>0</v>
      </c>
      <c r="P260" s="8">
        <f>COUNTIFS('Datos finales'!$AF:$AF,"&gt;"&amp;O$256,'Datos finales'!$AF:$AF,"&lt;="&amp;P$256,'Datos finales'!$G:$G,"=N/A")</f>
        <v>0</v>
      </c>
      <c r="Q260" s="8">
        <f>COUNTIFS('Datos finales'!$AF:$AF,"&gt;"&amp;P$256,'Datos finales'!$AF:$AF,"&lt;="&amp;Q$256,'Datos finales'!$G:$G,"=N/A")</f>
        <v>0</v>
      </c>
      <c r="R260" s="8">
        <f>COUNTIFS('Datos finales'!$AF:$AF,"&gt;"&amp;Q$256,'Datos finales'!$AF:$AF,"&lt;="&amp;R$256,'Datos finales'!$G:$G,"=N/A")</f>
        <v>0</v>
      </c>
      <c r="S260" s="8">
        <f>COUNTIFS('Datos finales'!$AF:$AF,"&gt;"&amp;R$256,'Datos finales'!$AF:$AF,"&lt;="&amp;S$256,'Datos finales'!$G:$G,"=N/A")</f>
        <v>0</v>
      </c>
      <c r="T260" s="8">
        <f>COUNTIFS('Datos finales'!$AF:$AF,"&gt;"&amp;S$256,'Datos finales'!$AF:$AF,"&lt;="&amp;T$256,'Datos finales'!$G:$G,"=N/A")</f>
        <v>0</v>
      </c>
    </row>
    <row r="261" spans="2:20" x14ac:dyDescent="0.25">
      <c r="B261" s="13">
        <v>4</v>
      </c>
      <c r="C261" s="13">
        <v>4</v>
      </c>
      <c r="D261" s="13">
        <v>0</v>
      </c>
      <c r="K261" cm="1">
        <f t="array" ref="K261:T261">TRANSPOSE(_xlfn.ANCHORARRAY(D257))</f>
        <v>6</v>
      </c>
      <c r="L261">
        <v>5</v>
      </c>
      <c r="M261">
        <v>7</v>
      </c>
      <c r="N261">
        <v>3</v>
      </c>
      <c r="O261">
        <v>0</v>
      </c>
      <c r="P261">
        <v>0</v>
      </c>
      <c r="Q261">
        <v>0</v>
      </c>
      <c r="R261">
        <v>2</v>
      </c>
      <c r="S261">
        <v>0</v>
      </c>
      <c r="T261">
        <v>1</v>
      </c>
    </row>
    <row r="262" spans="2:20" x14ac:dyDescent="0.25">
      <c r="B262" s="13">
        <v>5</v>
      </c>
      <c r="C262" s="13">
        <v>5</v>
      </c>
      <c r="D262" s="13">
        <v>0</v>
      </c>
      <c r="K262" t="str" cm="1">
        <f t="array" ref="K262:T262">TRANSPOSE(B257:B266)</f>
        <v>&lt; 1</v>
      </c>
      <c r="L262">
        <v>1</v>
      </c>
      <c r="M262">
        <v>2</v>
      </c>
      <c r="N262">
        <v>3</v>
      </c>
      <c r="O262">
        <v>4</v>
      </c>
      <c r="P262">
        <v>5</v>
      </c>
      <c r="Q262">
        <v>6</v>
      </c>
      <c r="R262">
        <v>7</v>
      </c>
      <c r="S262" t="str">
        <v>8-10</v>
      </c>
      <c r="T262" t="str">
        <v>&gt; 10</v>
      </c>
    </row>
    <row r="263" spans="2:20" x14ac:dyDescent="0.25">
      <c r="B263" s="13">
        <v>6</v>
      </c>
      <c r="C263" s="13">
        <v>6</v>
      </c>
      <c r="D263" s="13">
        <v>0</v>
      </c>
      <c r="J263" s="18" t="s">
        <v>879</v>
      </c>
      <c r="K263" s="61">
        <f t="shared" ref="K263:R263" si="41">IF(K$261&lt;&gt;0, K257/K$261, "-")</f>
        <v>0.83333333333333337</v>
      </c>
      <c r="L263" s="61">
        <f t="shared" si="41"/>
        <v>1</v>
      </c>
      <c r="M263" s="61">
        <f t="shared" si="41"/>
        <v>1</v>
      </c>
      <c r="N263" s="61">
        <f t="shared" si="41"/>
        <v>1</v>
      </c>
      <c r="O263" s="61" t="str">
        <f t="shared" si="41"/>
        <v>-</v>
      </c>
      <c r="P263" s="61" t="str">
        <f t="shared" si="41"/>
        <v>-</v>
      </c>
      <c r="Q263" s="61" t="str">
        <f t="shared" si="41"/>
        <v>-</v>
      </c>
      <c r="R263" s="61">
        <f t="shared" si="41"/>
        <v>0.5</v>
      </c>
      <c r="S263" s="61" t="str">
        <f>IF(S$261&lt;&gt;0, S257/S$261, "-")</f>
        <v>-</v>
      </c>
      <c r="T263" s="61">
        <f>IF(T$261&lt;&gt;0, T257/T$261, "-")</f>
        <v>1</v>
      </c>
    </row>
    <row r="264" spans="2:20" x14ac:dyDescent="0.25">
      <c r="B264" s="13">
        <v>7</v>
      </c>
      <c r="C264" s="13">
        <v>7</v>
      </c>
      <c r="D264" s="13">
        <v>2</v>
      </c>
      <c r="J264" s="18" t="s">
        <v>880</v>
      </c>
      <c r="K264" s="61">
        <f t="shared" ref="K264:R264" si="42">IF(K$261&lt;&gt;0, K258/K$261, "-")</f>
        <v>0</v>
      </c>
      <c r="L264" s="61">
        <f t="shared" si="42"/>
        <v>0</v>
      </c>
      <c r="M264" s="61">
        <f t="shared" si="42"/>
        <v>0</v>
      </c>
      <c r="N264" s="61">
        <f t="shared" si="42"/>
        <v>0</v>
      </c>
      <c r="O264" s="61" t="str">
        <f t="shared" si="42"/>
        <v>-</v>
      </c>
      <c r="P264" s="61" t="str">
        <f t="shared" si="42"/>
        <v>-</v>
      </c>
      <c r="Q264" s="61" t="str">
        <f t="shared" si="42"/>
        <v>-</v>
      </c>
      <c r="R264" s="61">
        <f t="shared" si="42"/>
        <v>0.5</v>
      </c>
      <c r="S264" s="61" t="str">
        <f t="shared" ref="S264:T264" si="43">IF(S$261&lt;&gt;0, S258/S$261, "-")</f>
        <v>-</v>
      </c>
      <c r="T264" s="61">
        <f t="shared" si="43"/>
        <v>0</v>
      </c>
    </row>
    <row r="265" spans="2:20" x14ac:dyDescent="0.25">
      <c r="B265" s="55" t="s">
        <v>1115</v>
      </c>
      <c r="C265" s="13">
        <v>10</v>
      </c>
      <c r="D265" s="13">
        <v>0</v>
      </c>
      <c r="J265" s="18" t="s">
        <v>881</v>
      </c>
      <c r="K265" s="61">
        <f t="shared" ref="K265:R265" si="44">IF(K$261&lt;&gt;0, K259/K$261, "-")</f>
        <v>0</v>
      </c>
      <c r="L265" s="61">
        <f t="shared" si="44"/>
        <v>0</v>
      </c>
      <c r="M265" s="61">
        <f t="shared" si="44"/>
        <v>0</v>
      </c>
      <c r="N265" s="61">
        <f t="shared" si="44"/>
        <v>0</v>
      </c>
      <c r="O265" s="61" t="str">
        <f t="shared" si="44"/>
        <v>-</v>
      </c>
      <c r="P265" s="61" t="str">
        <f t="shared" si="44"/>
        <v>-</v>
      </c>
      <c r="Q265" s="61" t="str">
        <f t="shared" si="44"/>
        <v>-</v>
      </c>
      <c r="R265" s="61">
        <f t="shared" si="44"/>
        <v>0</v>
      </c>
      <c r="S265" s="61" t="str">
        <f t="shared" ref="S265:T265" si="45">IF(S$261&lt;&gt;0, S259/S$261, "-")</f>
        <v>-</v>
      </c>
      <c r="T265" s="61">
        <f t="shared" si="45"/>
        <v>0</v>
      </c>
    </row>
    <row r="266" spans="2:20" x14ac:dyDescent="0.25">
      <c r="B266" t="s">
        <v>1086</v>
      </c>
      <c r="C266" s="13">
        <v>10000</v>
      </c>
      <c r="D266" s="13">
        <v>1</v>
      </c>
      <c r="J266" s="18" t="s">
        <v>884</v>
      </c>
      <c r="K266" s="61">
        <f t="shared" ref="K266:R266" si="46">IF(K$261&lt;&gt;0, K260/K$261, "-")</f>
        <v>0.16666666666666666</v>
      </c>
      <c r="L266" s="61">
        <f t="shared" si="46"/>
        <v>0</v>
      </c>
      <c r="M266" s="61">
        <f t="shared" si="46"/>
        <v>0</v>
      </c>
      <c r="N266" s="61">
        <f t="shared" si="46"/>
        <v>0</v>
      </c>
      <c r="O266" s="61" t="str">
        <f t="shared" si="46"/>
        <v>-</v>
      </c>
      <c r="P266" s="61" t="str">
        <f t="shared" si="46"/>
        <v>-</v>
      </c>
      <c r="Q266" s="61" t="str">
        <f t="shared" si="46"/>
        <v>-</v>
      </c>
      <c r="R266" s="61">
        <f t="shared" si="46"/>
        <v>0</v>
      </c>
      <c r="S266" s="61" t="str">
        <f t="shared" ref="S266:T266" si="47">IF(S$261&lt;&gt;0, S260/S$261, "-")</f>
        <v>-</v>
      </c>
      <c r="T266" s="61">
        <f t="shared" si="47"/>
        <v>0</v>
      </c>
    </row>
    <row r="267" spans="2:20" x14ac:dyDescent="0.25">
      <c r="C267" s="13" t="s">
        <v>1071</v>
      </c>
      <c r="D267" s="13"/>
    </row>
    <row r="268" spans="2:20" x14ac:dyDescent="0.25">
      <c r="C268" t="s">
        <v>1070</v>
      </c>
      <c r="D268">
        <f>SUM(_xlfn.ANCHORARRAY(D257))</f>
        <v>24</v>
      </c>
    </row>
    <row r="270" spans="2:20" ht="21" x14ac:dyDescent="0.35">
      <c r="B270" s="25" t="s">
        <v>1087</v>
      </c>
    </row>
    <row r="272" spans="2:20" x14ac:dyDescent="0.25">
      <c r="B272" s="16" t="s">
        <v>1072</v>
      </c>
      <c r="C272" s="16" t="s">
        <v>1068</v>
      </c>
      <c r="D272" s="16" t="s">
        <v>1069</v>
      </c>
      <c r="J272" s="34">
        <v>0</v>
      </c>
      <c r="K272" s="16" cm="1">
        <f t="array" ref="K272:Q272">TRANSPOSE(C273:C279)</f>
        <v>1</v>
      </c>
      <c r="L272" s="16">
        <v>2</v>
      </c>
      <c r="M272" s="16">
        <v>5</v>
      </c>
      <c r="N272" s="16">
        <v>10</v>
      </c>
      <c r="O272" s="16">
        <v>20</v>
      </c>
      <c r="P272" s="16">
        <v>50</v>
      </c>
      <c r="Q272" s="16">
        <v>10000</v>
      </c>
    </row>
    <row r="273" spans="2:17" x14ac:dyDescent="0.25">
      <c r="B273" s="13">
        <v>1</v>
      </c>
      <c r="C273" s="13">
        <v>1</v>
      </c>
      <c r="D273" s="13" cm="1">
        <f t="array" ref="D273:D279">FREQUENCY('Datos finales'!AG$3:AG$107,Cálculos!C273:C278)</f>
        <v>27</v>
      </c>
      <c r="J273" s="18" t="s">
        <v>879</v>
      </c>
      <c r="K273" s="8">
        <f>COUNTIFS('Datos finales'!$AG:$AG,"&gt;"&amp;J$272,'Datos finales'!$AG:$AG,"&lt;="&amp;K$272,'Datos finales'!$G:$G,"=1")</f>
        <v>23</v>
      </c>
      <c r="L273" s="8">
        <f>COUNTIFS('Datos finales'!$AG:$AG,"&gt;"&amp;K$272,'Datos finales'!$AG:$AG,"&lt;="&amp;L$272,'Datos finales'!$G:$G,"=1")</f>
        <v>1</v>
      </c>
      <c r="M273" s="8">
        <f>COUNTIFS('Datos finales'!$AG:$AG,"&gt;"&amp;L$272,'Datos finales'!$AG:$AG,"&lt;="&amp;M$272,'Datos finales'!$G:$G,"=1")</f>
        <v>7</v>
      </c>
      <c r="N273" s="8">
        <f>COUNTIFS('Datos finales'!$AG:$AG,"&gt;"&amp;M$272,'Datos finales'!$AG:$AG,"&lt;="&amp;N$272,'Datos finales'!$G:$G,"=1")</f>
        <v>4</v>
      </c>
      <c r="O273" s="8">
        <f>COUNTIFS('Datos finales'!$AG:$AG,"&gt;"&amp;N$272,'Datos finales'!$AG:$AG,"&lt;="&amp;O$272,'Datos finales'!$G:$G,"=1")</f>
        <v>7</v>
      </c>
      <c r="P273" s="8">
        <f>COUNTIFS('Datos finales'!$AG:$AG,"&gt;"&amp;O$272,'Datos finales'!$AG:$AG,"&lt;="&amp;P$272,'Datos finales'!$G:$G,"=1")</f>
        <v>4</v>
      </c>
      <c r="Q273" s="8">
        <f>COUNTIFS('Datos finales'!$AG:$AG,"&gt;"&amp;P$272,'Datos finales'!$AG:$AG,"&lt;="&amp;Q$272,'Datos finales'!$G:$G,"=1")</f>
        <v>1</v>
      </c>
    </row>
    <row r="274" spans="2:17" x14ac:dyDescent="0.25">
      <c r="B274" s="13">
        <v>2</v>
      </c>
      <c r="C274" s="13">
        <v>2</v>
      </c>
      <c r="D274" s="13">
        <v>2</v>
      </c>
      <c r="J274" s="18" t="s">
        <v>880</v>
      </c>
      <c r="K274" s="8">
        <f>COUNTIFS('Datos finales'!$AG:$AG,"&gt;"&amp;J$272,'Datos finales'!$AG:$AG,"&lt;="&amp;K$272,'Datos finales'!$G:$G,"=-1")</f>
        <v>0</v>
      </c>
      <c r="L274" s="8">
        <f>COUNTIFS('Datos finales'!$AG:$AG,"&gt;"&amp;K$272,'Datos finales'!$AG:$AG,"&lt;="&amp;L$272,'Datos finales'!$G:$G,"=-1")</f>
        <v>0</v>
      </c>
      <c r="M274" s="8">
        <f>COUNTIFS('Datos finales'!$AG:$AG,"&gt;"&amp;L$272,'Datos finales'!$AG:$AG,"&lt;="&amp;M$272,'Datos finales'!$G:$G,"=-1")</f>
        <v>0</v>
      </c>
      <c r="N274" s="8">
        <f>COUNTIFS('Datos finales'!$AG:$AG,"&gt;"&amp;M$272,'Datos finales'!$AG:$AG,"&lt;="&amp;N$272,'Datos finales'!$G:$G,"=-1")</f>
        <v>0</v>
      </c>
      <c r="O274" s="8">
        <f>COUNTIFS('Datos finales'!$AG:$AG,"&gt;"&amp;N$272,'Datos finales'!$AG:$AG,"&lt;="&amp;O$272,'Datos finales'!$G:$G,"=-1")</f>
        <v>0</v>
      </c>
      <c r="P274" s="8">
        <f>COUNTIFS('Datos finales'!$AG:$AG,"&gt;"&amp;O$272,'Datos finales'!$AG:$AG,"&lt;="&amp;P$272,'Datos finales'!$G:$G,"=-1")</f>
        <v>0</v>
      </c>
      <c r="Q274" s="8">
        <f>COUNTIFS('Datos finales'!$AG:$AG,"&gt;"&amp;P$272,'Datos finales'!$AG:$AG,"&lt;="&amp;Q$272,'Datos finales'!$G:$G,"=-1")</f>
        <v>1</v>
      </c>
    </row>
    <row r="275" spans="2:17" x14ac:dyDescent="0.25">
      <c r="B275" s="55" t="s">
        <v>1088</v>
      </c>
      <c r="C275" s="13">
        <v>5</v>
      </c>
      <c r="D275" s="13">
        <v>8</v>
      </c>
      <c r="J275" s="18" t="s">
        <v>881</v>
      </c>
      <c r="K275" s="8">
        <f>COUNTIFS('Datos finales'!$AG:$AG,"&gt;"&amp;J$272,'Datos finales'!$AG:$AG,"&lt;="&amp;K$272,'Datos finales'!$G:$G,"=0")</f>
        <v>3</v>
      </c>
      <c r="L275" s="8">
        <f>COUNTIFS('Datos finales'!$AG:$AG,"&gt;"&amp;K$272,'Datos finales'!$AG:$AG,"&lt;="&amp;L$272,'Datos finales'!$G:$G,"=0")</f>
        <v>1</v>
      </c>
      <c r="M275" s="8">
        <f>COUNTIFS('Datos finales'!$AG:$AG,"&gt;"&amp;L$272,'Datos finales'!$AG:$AG,"&lt;="&amp;M$272,'Datos finales'!$G:$G,"=0")</f>
        <v>0</v>
      </c>
      <c r="N275" s="8">
        <f>COUNTIFS('Datos finales'!$AG:$AG,"&gt;"&amp;M$272,'Datos finales'!$AG:$AG,"&lt;="&amp;N$272,'Datos finales'!$G:$G,"=0")</f>
        <v>0</v>
      </c>
      <c r="O275" s="8">
        <f>COUNTIFS('Datos finales'!$AG:$AG,"&gt;"&amp;N$272,'Datos finales'!$AG:$AG,"&lt;="&amp;O$272,'Datos finales'!$G:$G,"=0")</f>
        <v>0</v>
      </c>
      <c r="P275" s="8">
        <f>COUNTIFS('Datos finales'!$AG:$AG,"&gt;"&amp;O$272,'Datos finales'!$AG:$AG,"&lt;="&amp;P$272,'Datos finales'!$G:$G,"=0")</f>
        <v>0</v>
      </c>
      <c r="Q275" s="8">
        <f>COUNTIFS('Datos finales'!$AG:$AG,"&gt;"&amp;P$272,'Datos finales'!$AG:$AG,"&lt;="&amp;Q$272,'Datos finales'!$G:$G,"=0")</f>
        <v>1</v>
      </c>
    </row>
    <row r="276" spans="2:17" x14ac:dyDescent="0.25">
      <c r="B276" s="56" t="s">
        <v>1089</v>
      </c>
      <c r="C276" s="13">
        <v>10</v>
      </c>
      <c r="D276" s="13">
        <v>4</v>
      </c>
      <c r="J276" s="18" t="s">
        <v>884</v>
      </c>
      <c r="K276" s="8">
        <f>COUNTIFS('Datos finales'!$AG:$AG,"&gt;"&amp;J$272,'Datos finales'!$AG:$AG,"&lt;="&amp;K$272,'Datos finales'!$G:$G,"=N/A")</f>
        <v>1</v>
      </c>
      <c r="L276" s="8">
        <f>COUNTIFS('Datos finales'!$AG:$AG,"&gt;"&amp;K$272,'Datos finales'!$AG:$AG,"&lt;="&amp;L$272,'Datos finales'!$G:$G,"=N/A")</f>
        <v>0</v>
      </c>
      <c r="M276" s="8">
        <f>COUNTIFS('Datos finales'!$AG:$AG,"&gt;"&amp;L$272,'Datos finales'!$AG:$AG,"&lt;="&amp;M$272,'Datos finales'!$G:$G,"=N/A")</f>
        <v>1</v>
      </c>
      <c r="N276" s="8">
        <f>COUNTIFS('Datos finales'!$AG:$AG,"&gt;"&amp;M$272,'Datos finales'!$AG:$AG,"&lt;="&amp;N$272,'Datos finales'!$G:$G,"=N/A")</f>
        <v>0</v>
      </c>
      <c r="O276" s="8">
        <f>COUNTIFS('Datos finales'!$AG:$AG,"&gt;"&amp;N$272,'Datos finales'!$AG:$AG,"&lt;="&amp;O$272,'Datos finales'!$G:$G,"=N/A")</f>
        <v>0</v>
      </c>
      <c r="P276" s="8">
        <f>COUNTIFS('Datos finales'!$AG:$AG,"&gt;"&amp;O$272,'Datos finales'!$AG:$AG,"&lt;="&amp;P$272,'Datos finales'!$G:$G,"=N/A")</f>
        <v>0</v>
      </c>
      <c r="Q276" s="8">
        <f>COUNTIFS('Datos finales'!$AG:$AG,"&gt;"&amp;P$272,'Datos finales'!$AG:$AG,"&lt;="&amp;Q$272,'Datos finales'!$G:$G,"=N/A")</f>
        <v>0</v>
      </c>
    </row>
    <row r="277" spans="2:17" x14ac:dyDescent="0.25">
      <c r="B277" s="56" t="s">
        <v>1090</v>
      </c>
      <c r="C277" s="13">
        <v>20</v>
      </c>
      <c r="D277" s="13">
        <v>7</v>
      </c>
      <c r="K277" cm="1">
        <f t="array" ref="K277:Q277">TRANSPOSE(_xlfn.ANCHORARRAY(D273))</f>
        <v>27</v>
      </c>
      <c r="L277">
        <v>2</v>
      </c>
      <c r="M277">
        <v>8</v>
      </c>
      <c r="N277">
        <v>4</v>
      </c>
      <c r="O277">
        <v>7</v>
      </c>
      <c r="P277">
        <v>4</v>
      </c>
      <c r="Q277">
        <v>3</v>
      </c>
    </row>
    <row r="278" spans="2:17" x14ac:dyDescent="0.25">
      <c r="B278" s="56" t="s">
        <v>1091</v>
      </c>
      <c r="C278" s="13">
        <v>50</v>
      </c>
      <c r="D278" s="13">
        <v>4</v>
      </c>
      <c r="K278" cm="1">
        <f t="array" ref="K278:Q278">TRANSPOSE(B273:B279)</f>
        <v>1</v>
      </c>
      <c r="L278">
        <v>2</v>
      </c>
      <c r="M278" t="str">
        <v>3-5</v>
      </c>
      <c r="N278" t="str">
        <v>6-10</v>
      </c>
      <c r="O278" t="str">
        <v>11-20</v>
      </c>
      <c r="P278" t="str">
        <v>21-50</v>
      </c>
      <c r="Q278" t="str">
        <v>&gt; 50</v>
      </c>
    </row>
    <row r="279" spans="2:17" x14ac:dyDescent="0.25">
      <c r="B279" s="13" t="s">
        <v>1092</v>
      </c>
      <c r="C279" s="13">
        <v>10000</v>
      </c>
      <c r="D279" s="13">
        <v>3</v>
      </c>
      <c r="J279" s="18" t="s">
        <v>879</v>
      </c>
      <c r="K279" s="61">
        <f>IF(K$277&lt;&gt;0, K273/K$277, "-")</f>
        <v>0.85185185185185186</v>
      </c>
      <c r="L279" s="61">
        <f t="shared" ref="L279:Q279" si="48">IF(L$277&lt;&gt;0, L273/L$277, "-")</f>
        <v>0.5</v>
      </c>
      <c r="M279" s="61">
        <f t="shared" si="48"/>
        <v>0.875</v>
      </c>
      <c r="N279" s="61">
        <f t="shared" si="48"/>
        <v>1</v>
      </c>
      <c r="O279" s="61">
        <f t="shared" si="48"/>
        <v>1</v>
      </c>
      <c r="P279" s="61">
        <f t="shared" si="48"/>
        <v>1</v>
      </c>
      <c r="Q279" s="61">
        <f t="shared" si="48"/>
        <v>0.33333333333333331</v>
      </c>
    </row>
    <row r="280" spans="2:17" x14ac:dyDescent="0.25">
      <c r="C280" s="13" t="s">
        <v>1071</v>
      </c>
      <c r="D280" s="13"/>
      <c r="F280" s="1"/>
      <c r="J280" s="18" t="s">
        <v>880</v>
      </c>
      <c r="K280" s="61">
        <f t="shared" ref="K280:Q282" si="49">IF(K$277&lt;&gt;0, K274/K$277, "-")</f>
        <v>0</v>
      </c>
      <c r="L280" s="61">
        <f t="shared" si="49"/>
        <v>0</v>
      </c>
      <c r="M280" s="61">
        <f t="shared" si="49"/>
        <v>0</v>
      </c>
      <c r="N280" s="61">
        <f t="shared" si="49"/>
        <v>0</v>
      </c>
      <c r="O280" s="61">
        <f t="shared" si="49"/>
        <v>0</v>
      </c>
      <c r="P280" s="61">
        <f t="shared" si="49"/>
        <v>0</v>
      </c>
      <c r="Q280" s="61">
        <f t="shared" si="49"/>
        <v>0.33333333333333331</v>
      </c>
    </row>
    <row r="281" spans="2:17" x14ac:dyDescent="0.25">
      <c r="C281" t="s">
        <v>1070</v>
      </c>
      <c r="D281">
        <f>SUM(D273:D279)</f>
        <v>55</v>
      </c>
      <c r="J281" s="18" t="s">
        <v>881</v>
      </c>
      <c r="K281" s="61">
        <f t="shared" si="49"/>
        <v>0.1111111111111111</v>
      </c>
      <c r="L281" s="61">
        <f t="shared" si="49"/>
        <v>0.5</v>
      </c>
      <c r="M281" s="61">
        <f t="shared" si="49"/>
        <v>0</v>
      </c>
      <c r="N281" s="61">
        <f t="shared" si="49"/>
        <v>0</v>
      </c>
      <c r="O281" s="61">
        <f t="shared" si="49"/>
        <v>0</v>
      </c>
      <c r="P281" s="61">
        <f t="shared" si="49"/>
        <v>0</v>
      </c>
      <c r="Q281" s="61">
        <f t="shared" si="49"/>
        <v>0.33333333333333331</v>
      </c>
    </row>
    <row r="282" spans="2:17" x14ac:dyDescent="0.25">
      <c r="J282" s="18" t="s">
        <v>884</v>
      </c>
      <c r="K282" s="61">
        <f t="shared" si="49"/>
        <v>3.7037037037037035E-2</v>
      </c>
      <c r="L282" s="61">
        <f t="shared" si="49"/>
        <v>0</v>
      </c>
      <c r="M282" s="61">
        <f t="shared" si="49"/>
        <v>0.125</v>
      </c>
      <c r="N282" s="61">
        <f t="shared" si="49"/>
        <v>0</v>
      </c>
      <c r="O282" s="61">
        <f t="shared" si="49"/>
        <v>0</v>
      </c>
      <c r="P282" s="61">
        <f t="shared" si="49"/>
        <v>0</v>
      </c>
      <c r="Q282" s="61">
        <f t="shared" si="49"/>
        <v>0</v>
      </c>
    </row>
    <row r="283" spans="2:17" ht="21" x14ac:dyDescent="0.35">
      <c r="B283" s="25" t="s">
        <v>1093</v>
      </c>
    </row>
    <row r="285" spans="2:17" x14ac:dyDescent="0.25">
      <c r="B285" s="16" t="s">
        <v>1072</v>
      </c>
      <c r="C285" s="16" t="s">
        <v>1068</v>
      </c>
      <c r="D285" s="16" t="s">
        <v>1069</v>
      </c>
      <c r="J285" s="34">
        <v>0</v>
      </c>
      <c r="K285" s="16" cm="1">
        <f t="array" ref="K285:Q285">TRANSPOSE(C286:C292)</f>
        <v>15</v>
      </c>
      <c r="L285" s="16">
        <v>30</v>
      </c>
      <c r="M285" s="16">
        <v>60</v>
      </c>
      <c r="N285" s="16">
        <v>90</v>
      </c>
      <c r="O285" s="16">
        <v>120</v>
      </c>
      <c r="P285" s="16">
        <v>180</v>
      </c>
      <c r="Q285" s="16">
        <v>100000</v>
      </c>
    </row>
    <row r="286" spans="2:17" x14ac:dyDescent="0.25">
      <c r="B286" s="13" t="s">
        <v>1094</v>
      </c>
      <c r="C286" s="13">
        <v>15</v>
      </c>
      <c r="D286" s="13" cm="1">
        <f t="array" ref="D286:D292">FREQUENCY('Datos finales'!AH$3:AH$107,Cálculos!C286:C291)</f>
        <v>4</v>
      </c>
      <c r="J286" s="18" t="s">
        <v>879</v>
      </c>
      <c r="K286" s="8">
        <f>COUNTIFS('Datos finales'!$AH:$AH,"&gt;"&amp;J$285,'Datos finales'!$AH:$AH,"&lt;="&amp;K$285,'Datos finales'!$G:$G,"=1")</f>
        <v>4</v>
      </c>
      <c r="L286" s="8">
        <f>COUNTIFS('Datos finales'!$AH:$AH,"&gt;"&amp;K$285,'Datos finales'!$AH:$AH,"&lt;="&amp;L$285,'Datos finales'!$G:$G,"=1")</f>
        <v>4</v>
      </c>
      <c r="M286" s="8">
        <f>COUNTIFS('Datos finales'!$AH:$AH,"&gt;"&amp;L$285,'Datos finales'!$AH:$AH,"&lt;="&amp;M$285,'Datos finales'!$G:$G,"=1")</f>
        <v>12</v>
      </c>
      <c r="N286" s="8">
        <f>COUNTIFS('Datos finales'!$AH:$AH,"&gt;"&amp;M$285,'Datos finales'!$AH:$AH,"&lt;="&amp;N$285,'Datos finales'!$G:$G,"=1")</f>
        <v>3</v>
      </c>
      <c r="O286" s="8">
        <f>COUNTIFS('Datos finales'!$AH:$AH,"&gt;"&amp;N$285,'Datos finales'!$AH:$AH,"&lt;="&amp;O$285,'Datos finales'!$G:$G,"=1")</f>
        <v>2</v>
      </c>
      <c r="P286" s="8">
        <f>COUNTIFS('Datos finales'!$AH:$AH,"&gt;"&amp;O$285,'Datos finales'!$AH:$AH,"&lt;="&amp;P$285,'Datos finales'!$G:$G,"=1")</f>
        <v>2</v>
      </c>
      <c r="Q286" s="8">
        <f>COUNTIFS('Datos finales'!$AH:$AH,"&gt;"&amp;P$285,'Datos finales'!$AH:$AH,"&lt;="&amp;Q$285,'Datos finales'!$G:$G,"=1")</f>
        <v>0</v>
      </c>
    </row>
    <row r="287" spans="2:17" x14ac:dyDescent="0.25">
      <c r="B287" s="13" t="s">
        <v>1095</v>
      </c>
      <c r="C287" s="13">
        <v>30</v>
      </c>
      <c r="D287" s="13">
        <v>5</v>
      </c>
      <c r="J287" s="18" t="s">
        <v>880</v>
      </c>
      <c r="K287" s="8">
        <f>COUNTIFS('Datos finales'!$AH:$AH,"&gt;"&amp;J$285,'Datos finales'!$AH:$AH,"&lt;="&amp;K$285,'Datos finales'!$G:$G,"=-1")</f>
        <v>0</v>
      </c>
      <c r="L287" s="8">
        <f>COUNTIFS('Datos finales'!$AH:$AH,"&gt;"&amp;K$285,'Datos finales'!$AH:$AH,"&lt;="&amp;L$285,'Datos finales'!$G:$G,"=-1")</f>
        <v>0</v>
      </c>
      <c r="M287" s="8">
        <f>COUNTIFS('Datos finales'!$AH:$AH,"&gt;"&amp;L$285,'Datos finales'!$AH:$AH,"&lt;="&amp;M$285,'Datos finales'!$G:$G,"=-1")</f>
        <v>0</v>
      </c>
      <c r="N287" s="8">
        <f>COUNTIFS('Datos finales'!$AH:$AH,"&gt;"&amp;M$285,'Datos finales'!$AH:$AH,"&lt;="&amp;N$285,'Datos finales'!$G:$G,"=-1")</f>
        <v>0</v>
      </c>
      <c r="O287" s="8">
        <f>COUNTIFS('Datos finales'!$AH:$AH,"&gt;"&amp;N$285,'Datos finales'!$AH:$AH,"&lt;="&amp;O$285,'Datos finales'!$G:$G,"=-1")</f>
        <v>0</v>
      </c>
      <c r="P287" s="8">
        <f>COUNTIFS('Datos finales'!$AH:$AH,"&gt;"&amp;O$285,'Datos finales'!$AH:$AH,"&lt;="&amp;P$285,'Datos finales'!$G:$G,"=-1")</f>
        <v>0</v>
      </c>
      <c r="Q287" s="8">
        <f>COUNTIFS('Datos finales'!$AH:$AH,"&gt;"&amp;P$285,'Datos finales'!$AH:$AH,"&lt;="&amp;Q$285,'Datos finales'!$G:$G,"=-1")</f>
        <v>0</v>
      </c>
    </row>
    <row r="288" spans="2:17" x14ac:dyDescent="0.25">
      <c r="B288" s="55" t="s">
        <v>1096</v>
      </c>
      <c r="C288" s="13">
        <v>60</v>
      </c>
      <c r="D288" s="13">
        <v>15</v>
      </c>
      <c r="J288" s="18" t="s">
        <v>881</v>
      </c>
      <c r="K288" s="8">
        <f>COUNTIFS('Datos finales'!$AH:$AH,"&gt;"&amp;J$285,'Datos finales'!$AH:$AH,"&lt;="&amp;K$285,'Datos finales'!$G:$G,"=0")</f>
        <v>0</v>
      </c>
      <c r="L288" s="8">
        <f>COUNTIFS('Datos finales'!$AH:$AH,"&gt;"&amp;K$285,'Datos finales'!$AH:$AH,"&lt;="&amp;L$285,'Datos finales'!$G:$G,"=0")</f>
        <v>1</v>
      </c>
      <c r="M288" s="8">
        <f>COUNTIFS('Datos finales'!$AH:$AH,"&gt;"&amp;L$285,'Datos finales'!$AH:$AH,"&lt;="&amp;M$285,'Datos finales'!$G:$G,"=0")</f>
        <v>3</v>
      </c>
      <c r="N288" s="8">
        <f>COUNTIFS('Datos finales'!$AH:$AH,"&gt;"&amp;M$285,'Datos finales'!$AH:$AH,"&lt;="&amp;N$285,'Datos finales'!$G:$G,"=0")</f>
        <v>2</v>
      </c>
      <c r="O288" s="8">
        <f>COUNTIFS('Datos finales'!$AH:$AH,"&gt;"&amp;N$285,'Datos finales'!$AH:$AH,"&lt;="&amp;O$285,'Datos finales'!$G:$G,"=0")</f>
        <v>0</v>
      </c>
      <c r="P288" s="8">
        <f>COUNTIFS('Datos finales'!$AH:$AH,"&gt;"&amp;O$285,'Datos finales'!$AH:$AH,"&lt;="&amp;P$285,'Datos finales'!$G:$G,"=0")</f>
        <v>0</v>
      </c>
      <c r="Q288" s="8">
        <f>COUNTIFS('Datos finales'!$AH:$AH,"&gt;"&amp;P$285,'Datos finales'!$AH:$AH,"&lt;="&amp;Q$285,'Datos finales'!$G:$G,"=0")</f>
        <v>0</v>
      </c>
    </row>
    <row r="289" spans="2:17" x14ac:dyDescent="0.25">
      <c r="B289" s="56" t="s">
        <v>1097</v>
      </c>
      <c r="C289" s="13">
        <v>90</v>
      </c>
      <c r="D289" s="13">
        <v>5</v>
      </c>
      <c r="J289" s="18" t="s">
        <v>884</v>
      </c>
      <c r="K289" s="8">
        <f>COUNTIFS('Datos finales'!$AH:$AH,"&gt;"&amp;J$285,'Datos finales'!$AH:$AH,"&lt;="&amp;K$285,'Datos finales'!$G:$G,"=N/A")</f>
        <v>0</v>
      </c>
      <c r="L289" s="8">
        <f>COUNTIFS('Datos finales'!$AH:$AH,"&gt;"&amp;K$285,'Datos finales'!$AH:$AH,"&lt;="&amp;L$285,'Datos finales'!$G:$G,"=N/A")</f>
        <v>0</v>
      </c>
      <c r="M289" s="8">
        <f>COUNTIFS('Datos finales'!$AH:$AH,"&gt;"&amp;L$285,'Datos finales'!$AH:$AH,"&lt;="&amp;M$285,'Datos finales'!$G:$G,"=N/A")</f>
        <v>0</v>
      </c>
      <c r="N289" s="8">
        <f>COUNTIFS('Datos finales'!$AH:$AH,"&gt;"&amp;M$285,'Datos finales'!$AH:$AH,"&lt;="&amp;N$285,'Datos finales'!$G:$G,"=N/A")</f>
        <v>0</v>
      </c>
      <c r="O289" s="8">
        <f>COUNTIFS('Datos finales'!$AH:$AH,"&gt;"&amp;N$285,'Datos finales'!$AH:$AH,"&lt;="&amp;O$285,'Datos finales'!$G:$G,"=N/A")</f>
        <v>1</v>
      </c>
      <c r="P289" s="8">
        <f>COUNTIFS('Datos finales'!$AH:$AH,"&gt;"&amp;O$285,'Datos finales'!$AH:$AH,"&lt;="&amp;P$285,'Datos finales'!$G:$G,"=N/A")</f>
        <v>0</v>
      </c>
      <c r="Q289" s="8">
        <f>COUNTIFS('Datos finales'!$AH:$AH,"&gt;"&amp;P$285,'Datos finales'!$AH:$AH,"&lt;="&amp;Q$285,'Datos finales'!$G:$G,"=N/A")</f>
        <v>0</v>
      </c>
    </row>
    <row r="290" spans="2:17" x14ac:dyDescent="0.25">
      <c r="B290" s="56" t="s">
        <v>1098</v>
      </c>
      <c r="C290" s="13">
        <v>120</v>
      </c>
      <c r="D290" s="13">
        <v>3</v>
      </c>
      <c r="K290" cm="1">
        <f t="array" ref="K290:Q290">TRANSPOSE(_xlfn.ANCHORARRAY(D286))</f>
        <v>4</v>
      </c>
      <c r="L290">
        <v>5</v>
      </c>
      <c r="M290">
        <v>15</v>
      </c>
      <c r="N290">
        <v>5</v>
      </c>
      <c r="O290">
        <v>3</v>
      </c>
      <c r="P290">
        <v>2</v>
      </c>
      <c r="Q290">
        <v>0</v>
      </c>
    </row>
    <row r="291" spans="2:17" x14ac:dyDescent="0.25">
      <c r="B291" s="56" t="s">
        <v>1099</v>
      </c>
      <c r="C291" s="13">
        <v>180</v>
      </c>
      <c r="D291" s="13">
        <v>2</v>
      </c>
      <c r="K291" t="str" cm="1">
        <f t="array" ref="K291:Q291">TRANSPOSE(B286:B292)</f>
        <v>&lt; 15'</v>
      </c>
      <c r="L291" t="str">
        <v>16'-30'</v>
      </c>
      <c r="M291" t="str">
        <v>31'-60'</v>
      </c>
      <c r="N291" t="str">
        <v>61'-90'</v>
      </c>
      <c r="O291" t="str">
        <v>91'-120'</v>
      </c>
      <c r="P291" t="str">
        <v>121'-180'</v>
      </c>
      <c r="Q291" t="str">
        <v>&gt; 180'</v>
      </c>
    </row>
    <row r="292" spans="2:17" x14ac:dyDescent="0.25">
      <c r="B292" s="13" t="s">
        <v>1100</v>
      </c>
      <c r="C292" s="13">
        <v>100000</v>
      </c>
      <c r="D292" s="13">
        <v>0</v>
      </c>
      <c r="J292" s="18" t="s">
        <v>879</v>
      </c>
      <c r="K292" s="61">
        <f>IF(K$290&lt;&gt;0, K286/K$290, "-")</f>
        <v>1</v>
      </c>
      <c r="L292" s="61">
        <f t="shared" ref="L292:Q292" si="50">IF(L$290&lt;&gt;0, L286/L$290, "-")</f>
        <v>0.8</v>
      </c>
      <c r="M292" s="61">
        <f t="shared" si="50"/>
        <v>0.8</v>
      </c>
      <c r="N292" s="61">
        <f t="shared" si="50"/>
        <v>0.6</v>
      </c>
      <c r="O292" s="61">
        <f t="shared" si="50"/>
        <v>0.66666666666666663</v>
      </c>
      <c r="P292" s="61">
        <f t="shared" si="50"/>
        <v>1</v>
      </c>
      <c r="Q292" s="61" t="str">
        <f t="shared" si="50"/>
        <v>-</v>
      </c>
    </row>
    <row r="293" spans="2:17" x14ac:dyDescent="0.25">
      <c r="C293" s="13" t="s">
        <v>1071</v>
      </c>
      <c r="D293" s="13"/>
      <c r="J293" s="18" t="s">
        <v>880</v>
      </c>
      <c r="K293" s="61">
        <f t="shared" ref="K293:Q295" si="51">IF(K$290&lt;&gt;0, K287/K$290, "-")</f>
        <v>0</v>
      </c>
      <c r="L293" s="61">
        <f t="shared" si="51"/>
        <v>0</v>
      </c>
      <c r="M293" s="61">
        <f t="shared" si="51"/>
        <v>0</v>
      </c>
      <c r="N293" s="61">
        <f t="shared" si="51"/>
        <v>0</v>
      </c>
      <c r="O293" s="61">
        <f t="shared" si="51"/>
        <v>0</v>
      </c>
      <c r="P293" s="61">
        <f t="shared" si="51"/>
        <v>0</v>
      </c>
      <c r="Q293" s="61" t="str">
        <f t="shared" si="51"/>
        <v>-</v>
      </c>
    </row>
    <row r="294" spans="2:17" x14ac:dyDescent="0.25">
      <c r="C294" t="s">
        <v>1070</v>
      </c>
      <c r="D294">
        <f>SUM(D286:D292)</f>
        <v>34</v>
      </c>
      <c r="J294" s="18" t="s">
        <v>881</v>
      </c>
      <c r="K294" s="61">
        <f t="shared" si="51"/>
        <v>0</v>
      </c>
      <c r="L294" s="61">
        <f t="shared" si="51"/>
        <v>0.2</v>
      </c>
      <c r="M294" s="61">
        <f t="shared" si="51"/>
        <v>0.2</v>
      </c>
      <c r="N294" s="61">
        <f t="shared" si="51"/>
        <v>0.4</v>
      </c>
      <c r="O294" s="61">
        <f t="shared" si="51"/>
        <v>0</v>
      </c>
      <c r="P294" s="61">
        <f t="shared" si="51"/>
        <v>0</v>
      </c>
      <c r="Q294" s="61" t="str">
        <f t="shared" si="51"/>
        <v>-</v>
      </c>
    </row>
    <row r="295" spans="2:17" x14ac:dyDescent="0.25">
      <c r="J295" s="18" t="s">
        <v>884</v>
      </c>
      <c r="K295" s="61">
        <f t="shared" si="51"/>
        <v>0</v>
      </c>
      <c r="L295" s="61">
        <f t="shared" si="51"/>
        <v>0</v>
      </c>
      <c r="M295" s="61">
        <f t="shared" si="51"/>
        <v>0</v>
      </c>
      <c r="N295" s="61">
        <f t="shared" si="51"/>
        <v>0</v>
      </c>
      <c r="O295" s="61">
        <f t="shared" si="51"/>
        <v>0.33333333333333331</v>
      </c>
      <c r="P295" s="61">
        <f t="shared" si="51"/>
        <v>0</v>
      </c>
      <c r="Q295" s="61" t="str">
        <f t="shared" si="51"/>
        <v>-</v>
      </c>
    </row>
    <row r="299" spans="2:17" ht="21" x14ac:dyDescent="0.35">
      <c r="B299" s="25" t="s">
        <v>1175</v>
      </c>
    </row>
    <row r="301" spans="2:17" ht="15.75" x14ac:dyDescent="0.25">
      <c r="B301" s="65" t="s">
        <v>1176</v>
      </c>
      <c r="C301" s="66" t="s">
        <v>1195</v>
      </c>
      <c r="D301" s="66">
        <v>2018</v>
      </c>
      <c r="E301" s="66">
        <v>2019</v>
      </c>
      <c r="F301" s="66">
        <v>2020</v>
      </c>
      <c r="G301" s="66">
        <v>2021</v>
      </c>
      <c r="H301" s="66">
        <v>2022</v>
      </c>
      <c r="I301" s="66">
        <v>2023</v>
      </c>
      <c r="J301" t="s">
        <v>882</v>
      </c>
      <c r="N301" s="67" t="s">
        <v>1011</v>
      </c>
      <c r="O301" s="67" t="s">
        <v>1190</v>
      </c>
    </row>
    <row r="302" spans="2:17" x14ac:dyDescent="0.25">
      <c r="B302" s="38" t="s">
        <v>1011</v>
      </c>
      <c r="C302" s="38">
        <f>COUNTIFS('Datos finales'!$C$3:$C$107,"&lt;=2017")</f>
        <v>28</v>
      </c>
      <c r="D302" s="38">
        <f>COUNTIFS('Datos finales'!$C$3:$C$107,"=2018")</f>
        <v>11</v>
      </c>
      <c r="E302" s="38">
        <f>COUNTIFS('Datos finales'!$C$3:$C$107,"=2019")</f>
        <v>13</v>
      </c>
      <c r="F302" s="38">
        <f>COUNTIFS('Datos finales'!$C$3:$C$107,"=2020")</f>
        <v>20</v>
      </c>
      <c r="G302" s="38">
        <f>COUNTIFS('Datos finales'!$C$3:$C$107,"=2021")</f>
        <v>18</v>
      </c>
      <c r="H302" s="38">
        <f>COUNTIFS('Datos finales'!$C$3:$C$107,"=2022")</f>
        <v>7</v>
      </c>
      <c r="I302" s="38">
        <f>COUNTIFS('Datos finales'!$C$3:$C$107,"=2023")</f>
        <v>3</v>
      </c>
      <c r="J302">
        <f>SUM(C302:I302)</f>
        <v>100</v>
      </c>
      <c r="M302" s="13" t="s">
        <v>1186</v>
      </c>
      <c r="N302" s="13">
        <f>COUNTIF('Análisis de revistas'!A:A,"&lt;&gt;")-1</f>
        <v>17</v>
      </c>
      <c r="O302" s="13">
        <f>COUNTIF('Análisis de revistas'!C:C,"=Sí")</f>
        <v>6</v>
      </c>
    </row>
    <row r="303" spans="2:17" ht="45" x14ac:dyDescent="0.25">
      <c r="B303" s="38" t="s">
        <v>1177</v>
      </c>
      <c r="C303" s="38">
        <f>COUNTIFS('Datos finales'!$C$3:$C$107,"&lt;=2017",'Datos finales'!$AP$3:$AP$107,"si")</f>
        <v>7</v>
      </c>
      <c r="D303" s="38">
        <f>COUNTIFS('Datos finales'!$C$3:$C$107,"=2018",'Datos finales'!$AP$3:$AP$107,"si")</f>
        <v>5</v>
      </c>
      <c r="E303" s="38">
        <f>COUNTIFS('Datos finales'!$C$3:$C$107,"=2019",'Datos finales'!$AP$3:$AP$107,"si")</f>
        <v>7</v>
      </c>
      <c r="F303" s="38">
        <f>COUNTIFS('Datos finales'!$C$3:$C$107,"=2020",'Datos finales'!$AP$3:$AP$107,"si")</f>
        <v>10</v>
      </c>
      <c r="G303" s="38">
        <f>COUNTIFS('Datos finales'!$C$3:$C$107,"=2021",'Datos finales'!$AP$3:$AP$107,"si")</f>
        <v>6</v>
      </c>
      <c r="H303" s="38">
        <f>COUNTIFS('Datos finales'!$C$3:$C$107,"=2022",'Datos finales'!$AP$3:$AP$107,"si")</f>
        <v>2</v>
      </c>
      <c r="I303" s="38">
        <f>COUNTIFS('Datos finales'!$C$3:$C$107,"=2023",'Datos finales'!$AP$3:$AP$107,"si")</f>
        <v>3</v>
      </c>
      <c r="J303">
        <f t="shared" ref="J303:J313" si="52">SUM(C303:I303)</f>
        <v>40</v>
      </c>
      <c r="M303" s="38" t="s">
        <v>1187</v>
      </c>
      <c r="N303" s="13">
        <f>COUNTIF('Análisis de revistas'!E:E,"x")</f>
        <v>4</v>
      </c>
      <c r="O303" s="13">
        <f>COUNTIFS('Análisis de revistas'!C:C,"=Sí",'Análisis de revistas'!E:E,"x")</f>
        <v>1</v>
      </c>
    </row>
    <row r="304" spans="2:17" ht="45" x14ac:dyDescent="0.25">
      <c r="B304" s="38" t="s">
        <v>1178</v>
      </c>
      <c r="C304" s="38">
        <f>COUNTIFS('Datos finales'!$C$3:$C$107,"&lt;=2017",'Datos finales'!$AT$3:$AT$107,"x")</f>
        <v>21</v>
      </c>
      <c r="D304" s="38">
        <f>COUNTIFS('Datos finales'!$C$3:$C$107,"=2018",'Datos finales'!$AT$3:$AT$107,"x")</f>
        <v>9</v>
      </c>
      <c r="E304" s="38">
        <f>COUNTIFS('Datos finales'!$C$3:$C$107,"=2019",'Datos finales'!$AT$3:$AT$107,"x")</f>
        <v>5</v>
      </c>
      <c r="F304" s="38">
        <f>COUNTIFS('Datos finales'!$C$3:$C$107,"=2020",'Datos finales'!$AT$3:$AT$107,"x")</f>
        <v>7</v>
      </c>
      <c r="G304" s="38">
        <f>COUNTIFS('Datos finales'!$C$3:$C$107,"=2021",'Datos finales'!$AT$3:$AT$107,"x")</f>
        <v>12</v>
      </c>
      <c r="H304" s="38">
        <f>COUNTIFS('Datos finales'!$C$3:$C$107,"=2022",'Datos finales'!$AT$3:$AT$107,"x")</f>
        <v>6</v>
      </c>
      <c r="I304" s="38">
        <f>COUNTIFS('Datos finales'!$C$3:$C$107,"=2023",'Datos finales'!$AT$3:$AT$107,"x")</f>
        <v>3</v>
      </c>
      <c r="J304">
        <f t="shared" si="52"/>
        <v>63</v>
      </c>
      <c r="M304" s="38" t="s">
        <v>1188</v>
      </c>
      <c r="N304" s="13">
        <f>COUNTIF('Análisis de revistas'!F:F,"x")</f>
        <v>8</v>
      </c>
      <c r="O304" s="13">
        <f>COUNTIFS('Análisis de revistas'!C:C,"=Sí",'Análisis de revistas'!F:F,"x")</f>
        <v>3</v>
      </c>
    </row>
    <row r="305" spans="2:15" ht="47.25" customHeight="1" x14ac:dyDescent="0.25">
      <c r="B305" s="38" t="s">
        <v>1179</v>
      </c>
      <c r="C305" s="38">
        <f>COUNTIFS('Datos finales'!$C$3:$C$107,"&lt;=2017",'Datos finales'!$AP$3:$AP$107,"si",'Datos finales'!$AT$3:$AT$107,"x")</f>
        <v>7</v>
      </c>
      <c r="D305" s="38">
        <f>COUNTIFS('Datos finales'!$C$3:$C$107,"=2018",'Datos finales'!$AP$3:$AP$107,"si",'Datos finales'!$AT$3:$AT$107,"x")</f>
        <v>5</v>
      </c>
      <c r="E305" s="38">
        <f>COUNTIFS('Datos finales'!$C$3:$C$107,"=2019",'Datos finales'!$AP$3:$AP$107,"si",'Datos finales'!$AT$3:$AT$107,"x")</f>
        <v>2</v>
      </c>
      <c r="F305" s="38">
        <f>COUNTIFS('Datos finales'!$C$3:$C$107,"=2020",'Datos finales'!$AP$3:$AP$107,"si",'Datos finales'!$AT$3:$AT$107,"x")</f>
        <v>4</v>
      </c>
      <c r="G305" s="38">
        <f>COUNTIFS('Datos finales'!$C$3:$C$107,"=2021",'Datos finales'!$AP$3:$AP$107,"si",'Datos finales'!$AT$3:$AT$107,"x")</f>
        <v>4</v>
      </c>
      <c r="H305" s="38">
        <f>COUNTIFS('Datos finales'!$C$3:$C$107,"=2022",'Datos finales'!$AP$3:$AP$107,"si",'Datos finales'!$AT$3:$AT$107,"x")</f>
        <v>2</v>
      </c>
      <c r="I305" s="38">
        <f>COUNTIFS('Datos finales'!$C$3:$C$107,"=2023",'Datos finales'!$AP$3:$AP$107,"si",'Datos finales'!$AT$3:$AT$107,"x")</f>
        <v>3</v>
      </c>
      <c r="J305">
        <f t="shared" si="52"/>
        <v>27</v>
      </c>
      <c r="M305" s="38" t="s">
        <v>1189</v>
      </c>
      <c r="N305" s="13">
        <f>COUNTIF('Análisis de revistas'!G:G,"x")</f>
        <v>11</v>
      </c>
      <c r="O305" s="13">
        <f>COUNTIFS('Análisis de revistas'!C:C,"=Sí",'Análisis de revistas'!G:G,"x")</f>
        <v>4</v>
      </c>
    </row>
    <row r="306" spans="2:15" ht="30" x14ac:dyDescent="0.25">
      <c r="B306" s="38" t="s">
        <v>1180</v>
      </c>
      <c r="C306" s="38">
        <f>COUNTIFS('Datos finales'!$C$3:$C$107,"&lt;=2017",'Datos finales'!$AS$3:$AS$107,"x")</f>
        <v>3</v>
      </c>
      <c r="D306" s="38">
        <f>COUNTIFS('Datos finales'!$C$3:$C$107,"=2018",'Datos finales'!$AS$3:$AS$107,"x")</f>
        <v>2</v>
      </c>
      <c r="E306" s="38">
        <f>COUNTIFS('Datos finales'!$C$3:$C$107,"=2019",'Datos finales'!$AS$3:$AS$107,"x")</f>
        <v>2</v>
      </c>
      <c r="F306" s="38">
        <f>COUNTIFS('Datos finales'!$C$3:$C$107,"=2020",'Datos finales'!$AS$3:$AS$107,"x")</f>
        <v>1</v>
      </c>
      <c r="G306" s="38">
        <f>COUNTIFS('Datos finales'!$C$3:$C$107,"=2021",'Datos finales'!$AS$3:$AS$107,"x")</f>
        <v>2</v>
      </c>
      <c r="H306" s="38">
        <f>COUNTIFS('Datos finales'!$C$3:$C$107,"=2022",'Datos finales'!$AS$3:$AS$107,"x")</f>
        <v>2</v>
      </c>
      <c r="I306" s="38">
        <f>COUNTIFS('Datos finales'!$C$3:$C$107,"=2023",'Datos finales'!$AS$3:$AS$107,"x")</f>
        <v>0</v>
      </c>
      <c r="J306">
        <f t="shared" si="52"/>
        <v>12</v>
      </c>
      <c r="M306" s="38" t="s">
        <v>1191</v>
      </c>
      <c r="N306" s="13">
        <f>COUNTIF('Análisis de revistas'!D:D,"Q1")</f>
        <v>2</v>
      </c>
      <c r="O306" s="13">
        <f>COUNTIFS('Análisis de revistas'!C:C,"=Sí",'Análisis de revistas'!D:D,"Q1")</f>
        <v>1</v>
      </c>
    </row>
    <row r="307" spans="2:15" ht="45" x14ac:dyDescent="0.25">
      <c r="B307" s="38" t="s">
        <v>1181</v>
      </c>
      <c r="C307" s="38">
        <f>COUNTIFS('Datos finales'!$C$3:$C$107,"&lt;=2017",'Datos finales'!$AP$3:$AP$107,"si",'Datos finales'!$AS$3:$AS$107,"x")</f>
        <v>0</v>
      </c>
      <c r="D307" s="38">
        <f>COUNTIFS('Datos finales'!$C$3:$C$107,"=2018",'Datos finales'!$AP$3:$AP$107,"si",'Datos finales'!$AS$3:$AS$107,"x")</f>
        <v>0</v>
      </c>
      <c r="E307" s="38">
        <f>COUNTIFS('Datos finales'!$C$3:$C$107,"=2019",'Datos finales'!$AP$3:$AP$107,"si",'Datos finales'!$AS$3:$AS$107,"x")</f>
        <v>0</v>
      </c>
      <c r="F307" s="38">
        <f>COUNTIFS('Datos finales'!$C$3:$C$107,"=2020",'Datos finales'!$AP$3:$AP$107,"si",'Datos finales'!$AS$3:$AS$107,"x")</f>
        <v>0</v>
      </c>
      <c r="G307" s="38">
        <f>COUNTIFS('Datos finales'!$C$3:$C$107,"=2021",'Datos finales'!$AP$3:$AP$107,"si",'Datos finales'!$AS$3:$AS$107,"x")</f>
        <v>1</v>
      </c>
      <c r="H307" s="38">
        <f>COUNTIFS('Datos finales'!$C$3:$C$107,"=2022",'Datos finales'!$AP$3:$AP$107,"si",'Datos finales'!$AS$3:$AS$107,"x")</f>
        <v>0</v>
      </c>
      <c r="I307" s="38">
        <f>COUNTIFS('Datos finales'!$C$3:$C$107,"=2023",'Datos finales'!$AP$3:$AP$107,"si",'Datos finales'!$AS$3:$AS$107,"x")</f>
        <v>0</v>
      </c>
      <c r="J307">
        <f t="shared" si="52"/>
        <v>1</v>
      </c>
      <c r="M307" s="38" t="s">
        <v>1192</v>
      </c>
      <c r="N307" s="13">
        <f>COUNTIF('Análisis de revistas'!D:D,"Q2")</f>
        <v>9</v>
      </c>
      <c r="O307" s="13">
        <f>COUNTIFS('Análisis de revistas'!C:C,"=Sí",'Análisis de revistas'!D:D,"Q2")</f>
        <v>4</v>
      </c>
    </row>
    <row r="308" spans="2:15" ht="60" x14ac:dyDescent="0.25">
      <c r="B308" s="38" t="s">
        <v>1182</v>
      </c>
      <c r="C308" s="38">
        <f>C304+C306-COUNTIFS('Datos finales'!$C$3:$C$107,"&lt;=2017",'Datos finales'!$AS$3:$AS$107,"x",'Datos finales'!$AT$3:$AT$107,"x")</f>
        <v>21</v>
      </c>
      <c r="D308" s="38">
        <f>D304+D306-COUNTIFS('Datos finales'!$C$3:$C$107,"=2018",'Datos finales'!$AS$3:$AS$107,"x",'Datos finales'!$AT$3:$AT$107,"x")</f>
        <v>10</v>
      </c>
      <c r="E308" s="38">
        <f>E304+E306-COUNTIFS('Datos finales'!$C$3:$C$107,"=2019",'Datos finales'!$AS$3:$AS$107,"x",'Datos finales'!$AT$3:$AT$107,"x")</f>
        <v>5</v>
      </c>
      <c r="F308" s="38">
        <f>F304+F306-COUNTIFS('Datos finales'!$C$3:$C$107,"=2020",'Datos finales'!$AS$3:$AS$107,"x",'Datos finales'!$AT$3:$AT$107,"x")</f>
        <v>7</v>
      </c>
      <c r="G308" s="38">
        <f>G304+G306-COUNTIFS('Datos finales'!$C$3:$C$107,"=2021",'Datos finales'!$AS$3:$AS$107,"x",'Datos finales'!$AT$3:$AT$107,"x")</f>
        <v>12</v>
      </c>
      <c r="H308" s="38">
        <f>H304+H306-COUNTIFS('Datos finales'!$C$3:$C$107,"=2022",'Datos finales'!$AS$3:$AS$107,"x",'Datos finales'!$AT$3:$AT$107,"x")</f>
        <v>6</v>
      </c>
      <c r="I308" s="38">
        <f>I304+I306-COUNTIFS('Datos finales'!$C$3:$C$107,"=2023",'Datos finales'!$AS$3:$AS$107,"x",'Datos finales'!$AT$3:$AT$107,"x")</f>
        <v>3</v>
      </c>
      <c r="J308">
        <f t="shared" si="52"/>
        <v>64</v>
      </c>
      <c r="M308" s="38" t="s">
        <v>1193</v>
      </c>
      <c r="N308" s="13">
        <f>COUNTIF('Análisis de revistas'!D:D,"Q3")</f>
        <v>4</v>
      </c>
      <c r="O308" s="13">
        <f>COUNTIFS('Análisis de revistas'!C:C,"=Sí",'Análisis de revistas'!D:D,"Q3")</f>
        <v>0</v>
      </c>
    </row>
    <row r="309" spans="2:15" ht="60" x14ac:dyDescent="0.25">
      <c r="B309" s="38" t="s">
        <v>1183</v>
      </c>
      <c r="C309" s="38">
        <f>C305+C307-COUNTIFS('Datos finales'!$C$3:$C$107,"&lt;=2017",'Datos finales'!$AP$3:$AP$107,"si",'Datos finales'!$AS$3:$AS$107,"s",'Datos finales'!$AT$3:$AT$107,"s")</f>
        <v>7</v>
      </c>
      <c r="D309" s="38">
        <f>D305+D307-COUNTIFS('Datos finales'!$C$3:$C$107,"=2018",'Datos finales'!$AP$3:$AP$107,"si",'Datos finales'!$AS$3:$AS$107,"s",'Datos finales'!$AT$3:$AT$107,"s")</f>
        <v>5</v>
      </c>
      <c r="E309" s="38">
        <f>E305+E307-COUNTIFS('Datos finales'!$C$3:$C$107,"=2019",'Datos finales'!$AP$3:$AP$107,"si",'Datos finales'!$AS$3:$AS$107,"s",'Datos finales'!$AT$3:$AT$107,"s")</f>
        <v>2</v>
      </c>
      <c r="F309" s="38">
        <f>F305+F307-COUNTIFS('Datos finales'!$C$3:$C$107,"=2020",'Datos finales'!$AP$3:$AP$107,"si",'Datos finales'!$AS$3:$AS$107,"s",'Datos finales'!$AT$3:$AT$107,"s")</f>
        <v>4</v>
      </c>
      <c r="G309" s="38">
        <f>G305+G307-COUNTIFS('Datos finales'!$C$3:$C$107,"=2021",'Datos finales'!$AP$3:$AP$107,"si",'Datos finales'!$AS$3:$AS$107,"s",'Datos finales'!$AT$3:$AT$107,"s")</f>
        <v>5</v>
      </c>
      <c r="H309" s="38">
        <f>H305+H307-COUNTIFS('Datos finales'!$C$3:$C$107,"=2022",'Datos finales'!$AP$3:$AP$107,"si",'Datos finales'!$AS$3:$AS$107,"s",'Datos finales'!$AT$3:$AT$107,"s")</f>
        <v>2</v>
      </c>
      <c r="I309" s="38">
        <f>I305+I307-COUNTIFS('Datos finales'!$C$3:$C$107,"=2022",'Datos finales'!$AP$3:$AP$107,"si",'Datos finales'!$AS$3:$AS$107,"s",'Datos finales'!$AT$3:$AT$107,"s")</f>
        <v>3</v>
      </c>
      <c r="J309">
        <f t="shared" si="52"/>
        <v>28</v>
      </c>
      <c r="M309" s="38" t="s">
        <v>1194</v>
      </c>
      <c r="N309" s="13">
        <f>COUNTIF('Análisis de revistas'!D:D,"Q4")</f>
        <v>2</v>
      </c>
      <c r="O309" s="13">
        <f>COUNTIFS('Análisis de revistas'!C:C,"=Sí",'Análisis de revistas'!D:D,"Q4")</f>
        <v>1</v>
      </c>
    </row>
    <row r="310" spans="2:15" x14ac:dyDescent="0.25">
      <c r="B310" s="38" t="s">
        <v>1184</v>
      </c>
      <c r="C310" s="38">
        <f>COUNTIFS('Datos finales'!$C$3:$C$107,"&lt;=2017",'Datos finales'!$AU$3:$AU$107,"x")</f>
        <v>21</v>
      </c>
      <c r="D310" s="38">
        <f>COUNTIFS('Datos finales'!$C$3:$C$107,"=2018",'Datos finales'!$AU$3:$AU$107,"x")</f>
        <v>9</v>
      </c>
      <c r="E310" s="38">
        <f>COUNTIFS('Datos finales'!$C$3:$C$107,"=2019",'Datos finales'!$AU$3:$AU$107,"x")</f>
        <v>9</v>
      </c>
      <c r="F310" s="38">
        <f>COUNTIFS('Datos finales'!$C$3:$C$107,"=2020",'Datos finales'!$AU$3:$AU$107,"x")</f>
        <v>11</v>
      </c>
      <c r="G310" s="38">
        <f>COUNTIFS('Datos finales'!$C$3:$C$107,"=2021",'Datos finales'!$AU$3:$AU$107,"x")</f>
        <v>9</v>
      </c>
      <c r="H310" s="38">
        <f>COUNTIFS('Datos finales'!$C$3:$C$107,"=2022",'Datos finales'!$AU$3:$AU$107,"x")</f>
        <v>6</v>
      </c>
      <c r="I310" s="38">
        <f>COUNTIFS('Datos finales'!$C$3:$C$107,"=2022",'Datos finales'!$AU$3:$AU$107,"x")</f>
        <v>6</v>
      </c>
      <c r="J310">
        <f t="shared" si="52"/>
        <v>71</v>
      </c>
    </row>
    <row r="311" spans="2:15" ht="30" x14ac:dyDescent="0.25">
      <c r="B311" s="38" t="s">
        <v>1185</v>
      </c>
      <c r="C311" s="38">
        <f>COUNTIFS('Datos finales'!$C$3:$C$107,"&lt;=2017",'Datos finales'!$AP$3:$AP$107,"si",'Datos finales'!$AU$3:$AU$107,"x")</f>
        <v>4</v>
      </c>
      <c r="D311" s="38">
        <f>COUNTIFS('Datos finales'!$C$3:$C$107,"=2018",'Datos finales'!$AP$3:$AP$107,"si",'Datos finales'!$AU$3:$AU$107,"x")</f>
        <v>4</v>
      </c>
      <c r="E311" s="38">
        <f>COUNTIFS('Datos finales'!$C$3:$C$107,"=2019",'Datos finales'!$AP$3:$AP$107,"si",'Datos finales'!$AU$3:$AU$107,"x")</f>
        <v>6</v>
      </c>
      <c r="F311" s="38">
        <f>COUNTIFS('Datos finales'!$C$3:$C$107,"=2020",'Datos finales'!$AP$3:$AP$107,"si",'Datos finales'!$AU$3:$AU$107,"x")</f>
        <v>8</v>
      </c>
      <c r="G311" s="38">
        <f>COUNTIFS('Datos finales'!$C$3:$C$107,"=2021",'Datos finales'!$AP$3:$AP$107,"si",'Datos finales'!$AU$3:$AU$107,"x")</f>
        <v>3</v>
      </c>
      <c r="H311" s="38">
        <f>COUNTIFS('Datos finales'!$C$3:$C$107,"=2022",'Datos finales'!$AP$3:$AP$107,"si",'Datos finales'!$AU$3:$AU$107,"x")</f>
        <v>1</v>
      </c>
      <c r="I311" s="38">
        <f>COUNTIFS('Datos finales'!$C$3:$C$107,"=2022",'Datos finales'!$AP$3:$AP$107,"si",'Datos finales'!$AU$3:$AU$107,"x")</f>
        <v>1</v>
      </c>
      <c r="J311">
        <f t="shared" si="52"/>
        <v>27</v>
      </c>
    </row>
    <row r="312" spans="2:15" x14ac:dyDescent="0.25">
      <c r="B312" s="38" t="s">
        <v>1264</v>
      </c>
      <c r="C312" s="38">
        <f>COUNTIFS('Datos finales'!$C$3:$C$107,"&lt;=2017",'Datos finales'!$AU$3:$AU$107,"",'Datos finales'!$AT$3:$AT$107,"",'Datos finales'!$AS$3:$AS$107,"")</f>
        <v>4</v>
      </c>
      <c r="D312" s="38">
        <f>COUNTIFS('Datos finales'!$C$3:$C$107,"2018",'Datos finales'!$AU$3:$AU$107,"",'Datos finales'!$AT$3:$AT$107,"",'Datos finales'!$AS$3:$AS$107,"")</f>
        <v>1</v>
      </c>
      <c r="E312" s="38">
        <f>COUNTIFS('Datos finales'!$C$3:$C$107,"2019",'Datos finales'!$AU$3:$AU$107,"",'Datos finales'!$AT$3:$AT$107,"",'Datos finales'!$AS$3:$AS$107,"")</f>
        <v>3</v>
      </c>
      <c r="F312" s="38">
        <f>COUNTIFS('Datos finales'!$C$3:$C$107,"2020",'Datos finales'!$AU$3:$AU$107,"",'Datos finales'!$AT$3:$AT$107,"",'Datos finales'!$AS$3:$AS$107,"")</f>
        <v>7</v>
      </c>
      <c r="G312" s="38">
        <f>COUNTIFS('Datos finales'!$C$3:$C$107,"2021",'Datos finales'!$AU$3:$AU$107,"",'Datos finales'!$AT$3:$AT$107,"",'Datos finales'!$AS$3:$AS$107,"")</f>
        <v>5</v>
      </c>
      <c r="H312" s="38">
        <f>COUNTIFS('Datos finales'!$C$3:$C$107,"2022",'Datos finales'!$AU$3:$AU$107,"",'Datos finales'!$AT$3:$AT$107,"",'Datos finales'!$AS$3:$AS$107,"")</f>
        <v>0</v>
      </c>
      <c r="I312" s="38">
        <f>COUNTIFS('Datos finales'!$C$3:$C$107,"2023",'Datos finales'!$AU$3:$AU$107,"",'Datos finales'!$AT$3:$AT$107,"",'Datos finales'!$AS$3:$AS$107,"")</f>
        <v>0</v>
      </c>
      <c r="J312">
        <f t="shared" si="52"/>
        <v>20</v>
      </c>
    </row>
    <row r="313" spans="2:15" ht="30" x14ac:dyDescent="0.25">
      <c r="B313" s="38" t="s">
        <v>1265</v>
      </c>
      <c r="C313" s="38">
        <f>COUNTIFS('Datos finales'!$C$3:$C$107,"&lt;=2017",'Datos finales'!$AP$3:$AP$107,"si",'Datos finales'!$AU$3:$AU$107,"",'Datos finales'!$AT$3:$AT$107,"",'Datos finales'!$AS$3:$AS$107,"")</f>
        <v>0</v>
      </c>
      <c r="D313" s="38">
        <f>COUNTIFS('Datos finales'!$C$3:$C$107,"2018",'Datos finales'!$AP$3:$AP$107,"si",'Datos finales'!$AU$3:$AU$107,"",'Datos finales'!$AT$3:$AT$107,"",'Datos finales'!$AS$3:$AS$107,"")</f>
        <v>0</v>
      </c>
      <c r="E313" s="38">
        <f>COUNTIFS('Datos finales'!$C$3:$C$107,"2019",'Datos finales'!$AP$3:$AP$107,"si",'Datos finales'!$AU$3:$AU$107,"",'Datos finales'!$AT$3:$AT$107,"",'Datos finales'!$AS$3:$AS$107,"")</f>
        <v>0</v>
      </c>
      <c r="F313" s="38">
        <f>COUNTIFS('Datos finales'!$C$3:$C$107,"2020",'Datos finales'!$AP$3:$AP$107,"si",'Datos finales'!$AU$3:$AU$107,"",'Datos finales'!$AT$3:$AT$107,"",'Datos finales'!$AS$3:$AS$107,"")</f>
        <v>1</v>
      </c>
      <c r="G313" s="38">
        <f>COUNTIFS('Datos finales'!$C$3:$C$107,"2021",'Datos finales'!$AP$3:$AP$107,"si",'Datos finales'!$AU$3:$AU$107,"",'Datos finales'!$AT$3:$AT$107,"",'Datos finales'!$AS$3:$AS$107,"")</f>
        <v>1</v>
      </c>
      <c r="H313" s="38">
        <f>COUNTIFS('Datos finales'!$C$3:$C$107,"2022",'Datos finales'!$AP$3:$AP$107,"si",'Datos finales'!$AU$3:$AU$107,"",'Datos finales'!$AT$3:$AT$107,"",'Datos finales'!$AS$3:$AS$107,"")</f>
        <v>0</v>
      </c>
      <c r="I313" s="38">
        <f>COUNTIFS('Datos finales'!$C$3:$C$107,"2023",'Datos finales'!$AP$3:$AP$107,"si",'Datos finales'!$AU$3:$AU$107,"",'Datos finales'!$AT$3:$AT$107,"",'Datos finales'!$AS$3:$AS$107,"")</f>
        <v>0</v>
      </c>
      <c r="J313">
        <f t="shared" si="52"/>
        <v>2</v>
      </c>
    </row>
    <row r="333" spans="6:6" x14ac:dyDescent="0.25">
      <c r="F333" t="s">
        <v>1027</v>
      </c>
    </row>
    <row r="349" spans="2:3" ht="31.5" customHeight="1" x14ac:dyDescent="0.25">
      <c r="C349" s="65" t="s">
        <v>1244</v>
      </c>
    </row>
    <row r="350" spans="2:3" x14ac:dyDescent="0.25">
      <c r="B350" s="38" t="s">
        <v>1011</v>
      </c>
      <c r="C350" s="38">
        <f>N302</f>
        <v>17</v>
      </c>
    </row>
    <row r="351" spans="2:3" x14ac:dyDescent="0.25">
      <c r="B351" s="38" t="s">
        <v>1177</v>
      </c>
      <c r="C351" s="38">
        <f>O302</f>
        <v>6</v>
      </c>
    </row>
    <row r="352" spans="2:3" ht="30" x14ac:dyDescent="0.25">
      <c r="B352" s="38" t="s">
        <v>1178</v>
      </c>
      <c r="C352" s="38">
        <f>N304</f>
        <v>8</v>
      </c>
    </row>
    <row r="353" spans="2:3" ht="46.5" customHeight="1" x14ac:dyDescent="0.25">
      <c r="B353" s="38" t="s">
        <v>1179</v>
      </c>
      <c r="C353" s="38">
        <f>O304</f>
        <v>3</v>
      </c>
    </row>
    <row r="354" spans="2:3" ht="30" x14ac:dyDescent="0.25">
      <c r="B354" s="38" t="s">
        <v>1180</v>
      </c>
      <c r="C354" s="38">
        <f>N303</f>
        <v>4</v>
      </c>
    </row>
    <row r="355" spans="2:3" ht="45" x14ac:dyDescent="0.25">
      <c r="B355" s="38" t="s">
        <v>1181</v>
      </c>
      <c r="C355" s="38">
        <f>O303</f>
        <v>1</v>
      </c>
    </row>
    <row r="356" spans="2:3" ht="80.25" customHeight="1" x14ac:dyDescent="0.25">
      <c r="B356" s="38" t="s">
        <v>1182</v>
      </c>
      <c r="C356" s="38">
        <v>9</v>
      </c>
    </row>
    <row r="357" spans="2:3" ht="79.5" customHeight="1" x14ac:dyDescent="0.25">
      <c r="B357" s="38" t="s">
        <v>1183</v>
      </c>
      <c r="C357" s="38">
        <v>3</v>
      </c>
    </row>
    <row r="358" spans="2:3" ht="32.25" customHeight="1" x14ac:dyDescent="0.25">
      <c r="B358" s="38" t="s">
        <v>1184</v>
      </c>
      <c r="C358" s="38">
        <v>11</v>
      </c>
    </row>
    <row r="359" spans="2:3" ht="43.5" customHeight="1" x14ac:dyDescent="0.25">
      <c r="B359" s="38" t="s">
        <v>1185</v>
      </c>
      <c r="C359" s="38">
        <v>4</v>
      </c>
    </row>
  </sheetData>
  <sortState xmlns:xlrd2="http://schemas.microsoft.com/office/spreadsheetml/2017/richdata2" ref="B148:C170">
    <sortCondition ref="B148:B170"/>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E342-B919-47B4-BDFD-7231F4B0FA68}">
  <sheetPr>
    <pageSetUpPr fitToPage="1"/>
  </sheetPr>
  <dimension ref="A1:AB23"/>
  <sheetViews>
    <sheetView workbookViewId="0"/>
  </sheetViews>
  <sheetFormatPr baseColWidth="10" defaultRowHeight="15" x14ac:dyDescent="0.25"/>
  <cols>
    <col min="5" max="15" width="7.7109375" customWidth="1"/>
    <col min="20" max="20" width="11.42578125" customWidth="1"/>
    <col min="21" max="28" width="8.7109375" customWidth="1"/>
  </cols>
  <sheetData>
    <row r="1" spans="1:19" x14ac:dyDescent="0.25">
      <c r="A1" t="s">
        <v>204</v>
      </c>
    </row>
    <row r="2" spans="1:19" x14ac:dyDescent="0.25">
      <c r="A2" t="s">
        <v>206</v>
      </c>
    </row>
    <row r="3" spans="1:19" ht="26.25" customHeight="1" x14ac:dyDescent="0.25">
      <c r="A3" t="s">
        <v>215</v>
      </c>
    </row>
    <row r="4" spans="1:19" ht="17.25" customHeight="1" x14ac:dyDescent="0.25"/>
    <row r="5" spans="1:19" ht="78" customHeight="1" x14ac:dyDescent="0.25">
      <c r="E5" s="42" t="s">
        <v>219</v>
      </c>
      <c r="F5" s="42" t="s">
        <v>283</v>
      </c>
      <c r="G5" s="42" t="s">
        <v>889</v>
      </c>
      <c r="H5" s="42" t="s">
        <v>1003</v>
      </c>
      <c r="I5" s="42" t="s">
        <v>224</v>
      </c>
      <c r="J5" s="42" t="s">
        <v>232</v>
      </c>
      <c r="K5" s="42" t="s">
        <v>233</v>
      </c>
      <c r="L5" s="42" t="s">
        <v>234</v>
      </c>
      <c r="M5" s="42" t="s">
        <v>258</v>
      </c>
      <c r="N5" s="42" t="s">
        <v>257</v>
      </c>
      <c r="O5" s="42" t="s">
        <v>244</v>
      </c>
    </row>
    <row r="6" spans="1:19" ht="20.100000000000001" customHeight="1" x14ac:dyDescent="0.25">
      <c r="D6" s="45" t="s">
        <v>879</v>
      </c>
      <c r="E6" s="43">
        <v>0.70588235294117652</v>
      </c>
      <c r="F6" s="43">
        <v>0.8</v>
      </c>
      <c r="G6" s="43">
        <v>0.77777777777777779</v>
      </c>
      <c r="H6" s="43">
        <v>0.7846153846153846</v>
      </c>
      <c r="I6" s="43">
        <v>0.6785714285714286</v>
      </c>
      <c r="J6" s="43">
        <v>0.76923076923076927</v>
      </c>
      <c r="K6" s="43">
        <v>0.76</v>
      </c>
      <c r="L6" s="43">
        <v>0.72881355932203384</v>
      </c>
      <c r="M6" s="43">
        <v>0.84848484848484851</v>
      </c>
      <c r="N6" s="43">
        <v>0.73333333333333328</v>
      </c>
      <c r="O6" s="43">
        <v>0.82608695652173914</v>
      </c>
    </row>
    <row r="7" spans="1:19" ht="20.100000000000001" customHeight="1" x14ac:dyDescent="0.25">
      <c r="D7" s="45" t="s">
        <v>880</v>
      </c>
      <c r="E7" s="44">
        <v>8.8235294117647065E-2</v>
      </c>
      <c r="F7" s="44">
        <v>0.04</v>
      </c>
      <c r="G7" s="44">
        <v>1.3888888888888888E-2</v>
      </c>
      <c r="H7" s="44">
        <v>1.5384615384615385E-2</v>
      </c>
      <c r="I7" s="44">
        <v>7.1428571428571425E-2</v>
      </c>
      <c r="J7" s="44">
        <v>7.6923076923076927E-2</v>
      </c>
      <c r="K7" s="44">
        <v>0.08</v>
      </c>
      <c r="L7" s="44">
        <v>5.0847457627118647E-2</v>
      </c>
      <c r="M7" s="44">
        <v>3.0303030303030304E-2</v>
      </c>
      <c r="N7" s="44">
        <v>6.6666666666666666E-2</v>
      </c>
      <c r="O7" s="44">
        <v>4.3478260869565216E-2</v>
      </c>
    </row>
    <row r="8" spans="1:19" ht="20.100000000000001" customHeight="1" x14ac:dyDescent="0.25">
      <c r="D8" s="45" t="s">
        <v>881</v>
      </c>
      <c r="E8" s="43">
        <v>0.17647058823529413</v>
      </c>
      <c r="F8" s="43">
        <v>0.08</v>
      </c>
      <c r="G8" s="43">
        <v>0.1111111111111111</v>
      </c>
      <c r="H8" s="43">
        <v>0.1076923076923077</v>
      </c>
      <c r="I8" s="43">
        <v>0.10714285714285714</v>
      </c>
      <c r="J8" s="43">
        <v>0.15384615384615385</v>
      </c>
      <c r="K8" s="43">
        <v>0.12</v>
      </c>
      <c r="L8" s="43">
        <v>0.13559322033898305</v>
      </c>
      <c r="M8" s="43">
        <v>6.0606060606060608E-2</v>
      </c>
      <c r="N8" s="43">
        <v>0.13333333333333333</v>
      </c>
      <c r="O8" s="43">
        <v>4.3478260869565216E-2</v>
      </c>
    </row>
    <row r="9" spans="1:19" ht="20.100000000000001" customHeight="1" x14ac:dyDescent="0.25">
      <c r="D9" s="45" t="s">
        <v>884</v>
      </c>
      <c r="E9" s="44">
        <v>2.9411764705882353E-2</v>
      </c>
      <c r="F9" s="44">
        <v>0.08</v>
      </c>
      <c r="G9" s="44">
        <v>9.7222222222222224E-2</v>
      </c>
      <c r="H9" s="44">
        <v>9.2307692307692313E-2</v>
      </c>
      <c r="I9" s="44">
        <v>0.14285714285714285</v>
      </c>
      <c r="J9" s="44">
        <v>0</v>
      </c>
      <c r="K9" s="44">
        <v>0.04</v>
      </c>
      <c r="L9" s="44">
        <v>8.4745762711864403E-2</v>
      </c>
      <c r="M9" s="44">
        <v>6.0606060606060608E-2</v>
      </c>
      <c r="N9" s="44">
        <v>6.6666666666666666E-2</v>
      </c>
      <c r="O9" s="44">
        <v>8.6956521739130432E-2</v>
      </c>
    </row>
    <row r="13" spans="1:19" x14ac:dyDescent="0.25">
      <c r="Q13" s="46" t="s">
        <v>343</v>
      </c>
      <c r="R13" s="46" t="s">
        <v>344</v>
      </c>
      <c r="S13" s="46" t="s">
        <v>342</v>
      </c>
    </row>
    <row r="14" spans="1:19" x14ac:dyDescent="0.25">
      <c r="P14" s="45" t="s">
        <v>879</v>
      </c>
      <c r="Q14" s="43">
        <v>0.80555555555555558</v>
      </c>
      <c r="R14" s="43">
        <v>0.8571428571428571</v>
      </c>
      <c r="S14" s="43">
        <v>0.78260869565217395</v>
      </c>
    </row>
    <row r="15" spans="1:19" x14ac:dyDescent="0.25">
      <c r="P15" s="45" t="s">
        <v>880</v>
      </c>
      <c r="Q15" s="44">
        <v>2.7777777777777776E-2</v>
      </c>
      <c r="R15" s="44">
        <v>1.7857142857142856E-2</v>
      </c>
      <c r="S15" s="44">
        <v>0.13043478260869565</v>
      </c>
    </row>
    <row r="16" spans="1:19" ht="9.75" customHeight="1" x14ac:dyDescent="0.25">
      <c r="P16" s="45" t="s">
        <v>881</v>
      </c>
      <c r="Q16" s="43">
        <v>0.16666666666666666</v>
      </c>
      <c r="R16" s="43">
        <v>0.125</v>
      </c>
      <c r="S16" s="43">
        <v>8.6956521739130432E-2</v>
      </c>
    </row>
    <row r="17" spans="16:28" hidden="1" x14ac:dyDescent="0.25">
      <c r="P17" s="45" t="s">
        <v>884</v>
      </c>
      <c r="Q17" s="44">
        <v>0</v>
      </c>
      <c r="R17" s="44">
        <v>0</v>
      </c>
      <c r="S17" s="44">
        <v>0</v>
      </c>
    </row>
    <row r="18" spans="16:28" x14ac:dyDescent="0.25">
      <c r="P18" s="47"/>
      <c r="Q18" s="48"/>
      <c r="R18" s="48"/>
    </row>
    <row r="19" spans="16:28" ht="83.25" customHeight="1" x14ac:dyDescent="0.25">
      <c r="U19" s="42" t="s">
        <v>349</v>
      </c>
      <c r="V19" s="42" t="s">
        <v>343</v>
      </c>
      <c r="W19" s="42" t="s">
        <v>344</v>
      </c>
      <c r="X19" s="42" t="s">
        <v>342</v>
      </c>
      <c r="Y19" s="42" t="s">
        <v>345</v>
      </c>
      <c r="Z19" s="42" t="s">
        <v>348</v>
      </c>
      <c r="AA19" s="42" t="s">
        <v>346</v>
      </c>
      <c r="AB19" s="42" t="s">
        <v>347</v>
      </c>
    </row>
    <row r="20" spans="16:28" x14ac:dyDescent="0.25">
      <c r="T20" s="45" t="s">
        <v>879</v>
      </c>
      <c r="U20" s="43">
        <v>0.4</v>
      </c>
      <c r="V20" s="43">
        <v>0.7</v>
      </c>
      <c r="W20" s="43">
        <v>0.82352941176470584</v>
      </c>
      <c r="X20" s="43">
        <v>0.66666666666666663</v>
      </c>
      <c r="Y20" s="43">
        <v>0.92307692307692313</v>
      </c>
      <c r="Z20" s="43">
        <v>1</v>
      </c>
      <c r="AA20" s="43">
        <v>0.875</v>
      </c>
      <c r="AB20" s="43">
        <v>1</v>
      </c>
    </row>
    <row r="21" spans="16:28" x14ac:dyDescent="0.25">
      <c r="T21" s="45" t="s">
        <v>880</v>
      </c>
      <c r="U21" s="44">
        <v>0</v>
      </c>
      <c r="V21" s="44">
        <v>0.05</v>
      </c>
      <c r="W21" s="44">
        <v>2.9411764705882353E-2</v>
      </c>
      <c r="X21" s="44">
        <v>0.25</v>
      </c>
      <c r="Y21" s="44">
        <v>0</v>
      </c>
      <c r="Z21" s="44">
        <v>0</v>
      </c>
      <c r="AA21" s="44">
        <v>0</v>
      </c>
      <c r="AB21" s="44">
        <v>0</v>
      </c>
    </row>
    <row r="22" spans="16:28" x14ac:dyDescent="0.25">
      <c r="T22" s="45" t="s">
        <v>881</v>
      </c>
      <c r="U22" s="43">
        <v>0.13333333333333333</v>
      </c>
      <c r="V22" s="43">
        <v>0.25</v>
      </c>
      <c r="W22" s="43">
        <v>0.14705882352941177</v>
      </c>
      <c r="X22" s="43">
        <v>8.3333333333333329E-2</v>
      </c>
      <c r="Y22" s="43">
        <v>7.6923076923076927E-2</v>
      </c>
      <c r="Z22" s="43">
        <v>0</v>
      </c>
      <c r="AA22" s="43">
        <v>0.125</v>
      </c>
      <c r="AB22" s="43">
        <v>0</v>
      </c>
    </row>
    <row r="23" spans="16:28" x14ac:dyDescent="0.25">
      <c r="T23" s="45" t="s">
        <v>884</v>
      </c>
      <c r="U23" s="44">
        <v>0.46666666666666667</v>
      </c>
      <c r="V23" s="44">
        <v>0</v>
      </c>
      <c r="W23" s="44">
        <v>0</v>
      </c>
      <c r="X23" s="44">
        <v>0</v>
      </c>
      <c r="Y23" s="44">
        <v>0</v>
      </c>
      <c r="Z23" s="44">
        <v>0</v>
      </c>
      <c r="AA23" s="44">
        <v>0</v>
      </c>
      <c r="AB23" s="44">
        <v>0</v>
      </c>
    </row>
  </sheetData>
  <pageMargins left="0.25" right="0.25" top="0.75" bottom="0.75" header="0.3" footer="0.3"/>
  <pageSetup paperSize="9" scale="7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README</vt:lpstr>
      <vt:lpstr>Datos generales</vt:lpstr>
      <vt:lpstr>Datos periódicos</vt:lpstr>
      <vt:lpstr>Datos finales</vt:lpstr>
      <vt:lpstr>Análisis de revistas</vt:lpstr>
      <vt:lpstr>Resumen Artículos JCR</vt:lpstr>
      <vt:lpstr>Cálculos</vt:lpstr>
      <vt:lpstr>Apoyo</vt:lpstr>
      <vt:lpstr>'Datos finales'!Área_de_extracción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2024-01-09T19:46:56Z</cp:lastPrinted>
  <dcterms:created xsi:type="dcterms:W3CDTF">2015-06-05T18:19:34Z</dcterms:created>
  <dcterms:modified xsi:type="dcterms:W3CDTF">2024-02-01T11:13:40Z</dcterms:modified>
</cp:coreProperties>
</file>